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/>
  <mc:AlternateContent xmlns:mc="http://schemas.openxmlformats.org/markup-compatibility/2006">
    <mc:Choice Requires="x15">
      <x15ac:absPath xmlns:x15ac="http://schemas.microsoft.com/office/spreadsheetml/2010/11/ac" url="\\Wgquispe\waldir 2024\COMPENDIOS PUNO\COMPENDIO_PUNO_2024\EXCEL INEI LIMA\"/>
    </mc:Choice>
  </mc:AlternateContent>
  <bookViews>
    <workbookView xWindow="-120" yWindow="-120" windowWidth="29040" windowHeight="15720" tabRatio="841"/>
  </bookViews>
  <sheets>
    <sheet name="SALUD" sheetId="52" r:id="rId1"/>
    <sheet name="6.1" sheetId="3" r:id="rId2"/>
    <sheet name="6.2" sheetId="68" r:id="rId3"/>
    <sheet name="6.3" sheetId="58" r:id="rId4"/>
    <sheet name="6.4" sheetId="8" r:id="rId5"/>
    <sheet name="6.5" sheetId="12" r:id="rId6"/>
    <sheet name="6.6" sheetId="13" r:id="rId7"/>
    <sheet name="6.7" sheetId="15" r:id="rId8"/>
    <sheet name="6.8 - 6.10" sheetId="67" r:id="rId9"/>
    <sheet name="6.11" sheetId="22" r:id="rId10"/>
    <sheet name="6.12" sheetId="61" r:id="rId11"/>
    <sheet name="6.11 Oculto" sheetId="62" state="hidden" r:id="rId12"/>
    <sheet name="6.13" sheetId="69" r:id="rId13"/>
    <sheet name="6.14" sheetId="59" r:id="rId14"/>
    <sheet name="6.15" sheetId="60" r:id="rId15"/>
    <sheet name="6.16" sheetId="55" r:id="rId16"/>
    <sheet name="6.17" sheetId="57" r:id="rId17"/>
    <sheet name="6.18" sheetId="63" r:id="rId18"/>
    <sheet name="6.19" sheetId="64" r:id="rId19"/>
    <sheet name="6.20" sheetId="65" r:id="rId20"/>
    <sheet name="6.19-6.25" sheetId="39" state="hidden" r:id="rId21"/>
    <sheet name="6.19-6.24-2015" sheetId="51" state="hidden" r:id="rId22"/>
    <sheet name="6.17_2012" sheetId="34" state="hidden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____________________G7" localSheetId="12" hidden="1">#REF!</definedName>
    <definedName name="______________________G7" localSheetId="14" hidden="1">#REF!</definedName>
    <definedName name="______________________G7" localSheetId="19" hidden="1">#REF!</definedName>
    <definedName name="______________________G7" hidden="1">#REF!</definedName>
    <definedName name="______________________key2" localSheetId="12" hidden="1">#REF!</definedName>
    <definedName name="______________________key2" localSheetId="14" hidden="1">#REF!</definedName>
    <definedName name="______________________key2" localSheetId="19" hidden="1">#REF!</definedName>
    <definedName name="______________________key2" hidden="1">#REF!</definedName>
    <definedName name="_____________________key2" localSheetId="12" hidden="1">#REF!</definedName>
    <definedName name="_____________________key2" localSheetId="14" hidden="1">#REF!</definedName>
    <definedName name="_____________________key2" localSheetId="19" hidden="1">#REF!</definedName>
    <definedName name="_____________________key2" hidden="1">#REF!</definedName>
    <definedName name="____________________G7" localSheetId="12" hidden="1">#REF!</definedName>
    <definedName name="____________________G7" localSheetId="14" hidden="1">#REF!</definedName>
    <definedName name="____________________G7" localSheetId="19" hidden="1">#REF!</definedName>
    <definedName name="____________________G7" hidden="1">#REF!</definedName>
    <definedName name="____________________key2" localSheetId="12" hidden="1">#REF!</definedName>
    <definedName name="____________________key2" localSheetId="14" hidden="1">#REF!</definedName>
    <definedName name="____________________key2" localSheetId="19" hidden="1">#REF!</definedName>
    <definedName name="____________________key2" hidden="1">#REF!</definedName>
    <definedName name="___________________G7" localSheetId="12" hidden="1">#REF!</definedName>
    <definedName name="___________________G7" localSheetId="14" hidden="1">#REF!</definedName>
    <definedName name="___________________G7" localSheetId="19" hidden="1">#REF!</definedName>
    <definedName name="___________________G7" hidden="1">#REF!</definedName>
    <definedName name="___________________key2" localSheetId="12" hidden="1">#REF!</definedName>
    <definedName name="___________________key2" localSheetId="14" hidden="1">#REF!</definedName>
    <definedName name="___________________key2" localSheetId="19" hidden="1">#REF!</definedName>
    <definedName name="___________________key2" hidden="1">#REF!</definedName>
    <definedName name="__________________G7" localSheetId="12" hidden="1">#REF!</definedName>
    <definedName name="__________________G7" localSheetId="14" hidden="1">#REF!</definedName>
    <definedName name="__________________G7" localSheetId="19" hidden="1">#REF!</definedName>
    <definedName name="__________________G7" hidden="1">#REF!</definedName>
    <definedName name="__________________key2" localSheetId="12" hidden="1">#REF!</definedName>
    <definedName name="__________________key2" localSheetId="14" hidden="1">#REF!</definedName>
    <definedName name="__________________key2" localSheetId="19" hidden="1">#REF!</definedName>
    <definedName name="__________________key2" hidden="1">#REF!</definedName>
    <definedName name="_________________G7" localSheetId="12" hidden="1">#REF!</definedName>
    <definedName name="_________________G7" localSheetId="14" hidden="1">#REF!</definedName>
    <definedName name="_________________G7" localSheetId="19" hidden="1">#REF!</definedName>
    <definedName name="_________________G7" hidden="1">#REF!</definedName>
    <definedName name="_________________key2" localSheetId="12" hidden="1">#REF!</definedName>
    <definedName name="_________________key2" localSheetId="14" hidden="1">#REF!</definedName>
    <definedName name="_________________key2" localSheetId="19" hidden="1">#REF!</definedName>
    <definedName name="_________________key2" hidden="1">#REF!</definedName>
    <definedName name="________________G7" localSheetId="12" hidden="1">#REF!</definedName>
    <definedName name="________________G7" localSheetId="14" hidden="1">#REF!</definedName>
    <definedName name="________________G7" localSheetId="19" hidden="1">#REF!</definedName>
    <definedName name="________________G7" hidden="1">#REF!</definedName>
    <definedName name="________________key2" localSheetId="12" hidden="1">#REF!</definedName>
    <definedName name="________________key2" localSheetId="14" hidden="1">#REF!</definedName>
    <definedName name="________________key2" localSheetId="19" hidden="1">#REF!</definedName>
    <definedName name="________________key2" hidden="1">#REF!</definedName>
    <definedName name="_______________G7" localSheetId="12" hidden="1">#REF!</definedName>
    <definedName name="_______________G7" localSheetId="14" hidden="1">#REF!</definedName>
    <definedName name="_______________G7" localSheetId="19" hidden="1">#REF!</definedName>
    <definedName name="_______________G7" hidden="1">#REF!</definedName>
    <definedName name="_______________key2" localSheetId="12" hidden="1">#REF!</definedName>
    <definedName name="_______________key2" localSheetId="14" hidden="1">#REF!</definedName>
    <definedName name="_______________key2" localSheetId="19" hidden="1">#REF!</definedName>
    <definedName name="_______________key2" hidden="1">#REF!</definedName>
    <definedName name="______________G7" localSheetId="12" hidden="1">#REF!</definedName>
    <definedName name="______________G7" localSheetId="14" hidden="1">#REF!</definedName>
    <definedName name="______________G7" localSheetId="19" hidden="1">#REF!</definedName>
    <definedName name="______________G7" hidden="1">#REF!</definedName>
    <definedName name="______________key2" localSheetId="12" hidden="1">#REF!</definedName>
    <definedName name="______________key2" localSheetId="14" hidden="1">#REF!</definedName>
    <definedName name="______________key2" localSheetId="19" hidden="1">#REF!</definedName>
    <definedName name="______________key2" hidden="1">#REF!</definedName>
    <definedName name="_____________G7" localSheetId="12" hidden="1">#REF!</definedName>
    <definedName name="_____________G7" localSheetId="14" hidden="1">#REF!</definedName>
    <definedName name="_____________G7" localSheetId="19" hidden="1">#REF!</definedName>
    <definedName name="_____________G7" hidden="1">#REF!</definedName>
    <definedName name="_____________key2" localSheetId="12" hidden="1">#REF!</definedName>
    <definedName name="_____________key2" localSheetId="14" hidden="1">#REF!</definedName>
    <definedName name="_____________key2" localSheetId="19" hidden="1">#REF!</definedName>
    <definedName name="_____________key2" hidden="1">#REF!</definedName>
    <definedName name="____________G7" localSheetId="12" hidden="1">#REF!</definedName>
    <definedName name="____________G7" localSheetId="14" hidden="1">#REF!</definedName>
    <definedName name="____________G7" localSheetId="19" hidden="1">#REF!</definedName>
    <definedName name="____________G7" hidden="1">#REF!</definedName>
    <definedName name="____________key2" localSheetId="12" hidden="1">#REF!</definedName>
    <definedName name="____________key2" localSheetId="14" hidden="1">#REF!</definedName>
    <definedName name="____________key2" localSheetId="19" hidden="1">#REF!</definedName>
    <definedName name="____________key2" hidden="1">#REF!</definedName>
    <definedName name="___________G7" localSheetId="12" hidden="1">#REF!</definedName>
    <definedName name="___________G7" localSheetId="14" hidden="1">#REF!</definedName>
    <definedName name="___________G7" localSheetId="19" hidden="1">#REF!</definedName>
    <definedName name="___________G7" hidden="1">#REF!</definedName>
    <definedName name="___________key2" localSheetId="12" hidden="1">#REF!</definedName>
    <definedName name="___________key2" localSheetId="14" hidden="1">#REF!</definedName>
    <definedName name="___________key2" localSheetId="19" hidden="1">#REF!</definedName>
    <definedName name="___________key2" hidden="1">#REF!</definedName>
    <definedName name="__________G7" localSheetId="12" hidden="1">#REF!</definedName>
    <definedName name="__________G7" localSheetId="14" hidden="1">#REF!</definedName>
    <definedName name="__________G7" localSheetId="19" hidden="1">#REF!</definedName>
    <definedName name="__________G7" hidden="1">#REF!</definedName>
    <definedName name="__________key2" localSheetId="12" hidden="1">#REF!</definedName>
    <definedName name="__________key2" localSheetId="14" hidden="1">#REF!</definedName>
    <definedName name="__________key2" localSheetId="19" hidden="1">#REF!</definedName>
    <definedName name="__________key2" hidden="1">#REF!</definedName>
    <definedName name="_________G7" localSheetId="12" hidden="1">#REF!</definedName>
    <definedName name="_________G7" localSheetId="14" hidden="1">#REF!</definedName>
    <definedName name="_________G7" localSheetId="19" hidden="1">#REF!</definedName>
    <definedName name="_________G7" hidden="1">#REF!</definedName>
    <definedName name="_________key2" localSheetId="12" hidden="1">#REF!</definedName>
    <definedName name="_________key2" localSheetId="14" hidden="1">#REF!</definedName>
    <definedName name="_________key2" localSheetId="19" hidden="1">#REF!</definedName>
    <definedName name="_________key2" hidden="1">#REF!</definedName>
    <definedName name="________G7" localSheetId="12" hidden="1">#REF!</definedName>
    <definedName name="________G7" localSheetId="14" hidden="1">#REF!</definedName>
    <definedName name="________G7" localSheetId="19" hidden="1">#REF!</definedName>
    <definedName name="________G7" hidden="1">#REF!</definedName>
    <definedName name="________key2" localSheetId="12" hidden="1">#REF!</definedName>
    <definedName name="________key2" localSheetId="14" hidden="1">#REF!</definedName>
    <definedName name="________key2" localSheetId="19" hidden="1">#REF!</definedName>
    <definedName name="________key2" hidden="1">#REF!</definedName>
    <definedName name="_______G7" localSheetId="12" hidden="1">#REF!</definedName>
    <definedName name="_______G7" localSheetId="14" hidden="1">#REF!</definedName>
    <definedName name="_______G7" localSheetId="19" hidden="1">#REF!</definedName>
    <definedName name="_______G7" hidden="1">#REF!</definedName>
    <definedName name="_______key2" localSheetId="12" hidden="1">#REF!</definedName>
    <definedName name="_______key2" localSheetId="14" hidden="1">#REF!</definedName>
    <definedName name="_______key2" localSheetId="19" hidden="1">#REF!</definedName>
    <definedName name="_______key2" hidden="1">#REF!</definedName>
    <definedName name="______G7" localSheetId="12" hidden="1">#REF!</definedName>
    <definedName name="______G7" localSheetId="14" hidden="1">#REF!</definedName>
    <definedName name="______G7" localSheetId="19" hidden="1">#REF!</definedName>
    <definedName name="______G7" hidden="1">#REF!</definedName>
    <definedName name="______key2" localSheetId="12" hidden="1">#REF!</definedName>
    <definedName name="______key2" localSheetId="14" hidden="1">#REF!</definedName>
    <definedName name="______key2" localSheetId="19" hidden="1">#REF!</definedName>
    <definedName name="______key2" hidden="1">#REF!</definedName>
    <definedName name="_____G7" localSheetId="12" hidden="1">#REF!</definedName>
    <definedName name="_____G7" localSheetId="14" hidden="1">#REF!</definedName>
    <definedName name="_____G7" localSheetId="19" hidden="1">#REF!</definedName>
    <definedName name="_____G7" hidden="1">#REF!</definedName>
    <definedName name="_____key2" localSheetId="12" hidden="1">#REF!</definedName>
    <definedName name="_____key2" localSheetId="14" hidden="1">#REF!</definedName>
    <definedName name="_____key2" localSheetId="19" hidden="1">#REF!</definedName>
    <definedName name="_____key2" hidden="1">#REF!</definedName>
    <definedName name="____G7" localSheetId="12" hidden="1">#REF!</definedName>
    <definedName name="____G7" localSheetId="14" hidden="1">#REF!</definedName>
    <definedName name="____G7" localSheetId="19" hidden="1">#REF!</definedName>
    <definedName name="____G7" hidden="1">#REF!</definedName>
    <definedName name="____key2" localSheetId="12" hidden="1">#REF!</definedName>
    <definedName name="____key2" localSheetId="14" hidden="1">#REF!</definedName>
    <definedName name="____key2" localSheetId="19" hidden="1">#REF!</definedName>
    <definedName name="____key2" hidden="1">#REF!</definedName>
    <definedName name="___G7" localSheetId="12" hidden="1">#REF!</definedName>
    <definedName name="___G7" localSheetId="14" hidden="1">#REF!</definedName>
    <definedName name="___G7" localSheetId="19" hidden="1">#REF!</definedName>
    <definedName name="___G7" hidden="1">#REF!</definedName>
    <definedName name="___key2" localSheetId="12" hidden="1">#REF!</definedName>
    <definedName name="___key2" localSheetId="14" hidden="1">#REF!</definedName>
    <definedName name="___key2" localSheetId="19" hidden="1">#REF!</definedName>
    <definedName name="___key2" hidden="1">#REF!</definedName>
    <definedName name="__1__123Graph_ACHART_1" hidden="1">[1]Hoja3!$J$368:$J$408</definedName>
    <definedName name="__123Graph_A" localSheetId="12" hidden="1">[2]balance!#REF!</definedName>
    <definedName name="__123Graph_A" localSheetId="14" hidden="1">[2]balance!#REF!</definedName>
    <definedName name="__123Graph_A" localSheetId="19" hidden="1">[2]balance!#REF!</definedName>
    <definedName name="__123Graph_A" hidden="1">[2]balance!#REF!</definedName>
    <definedName name="__123Graph_ACURRENT" localSheetId="12" hidden="1">[2]balance!#REF!</definedName>
    <definedName name="__123Graph_ACURRENT" localSheetId="14" hidden="1">[2]balance!#REF!</definedName>
    <definedName name="__123Graph_ACURRENT" localSheetId="19" hidden="1">[2]balance!#REF!</definedName>
    <definedName name="__123Graph_ACURRENT" hidden="1">[2]balance!#REF!</definedName>
    <definedName name="__123Graph_B" localSheetId="12" hidden="1">[2]balance!#REF!</definedName>
    <definedName name="__123Graph_B" localSheetId="14" hidden="1">[2]balance!#REF!</definedName>
    <definedName name="__123Graph_B" localSheetId="19" hidden="1">[2]balance!#REF!</definedName>
    <definedName name="__123Graph_B" hidden="1">[2]balance!#REF!</definedName>
    <definedName name="__123Graph_BCURRENT" localSheetId="12" hidden="1">[2]balance!#REF!</definedName>
    <definedName name="__123Graph_BCURRENT" localSheetId="14" hidden="1">[2]balance!#REF!</definedName>
    <definedName name="__123Graph_BCURRENT" localSheetId="19" hidden="1">[2]balance!#REF!</definedName>
    <definedName name="__123Graph_BCURRENT" hidden="1">[2]balance!#REF!</definedName>
    <definedName name="__123Graph_D" localSheetId="12" hidden="1">[2]balance!#REF!</definedName>
    <definedName name="__123Graph_D" localSheetId="14" hidden="1">[2]balance!#REF!</definedName>
    <definedName name="__123Graph_D" localSheetId="19" hidden="1">[2]balance!#REF!</definedName>
    <definedName name="__123Graph_D" hidden="1">[2]balance!#REF!</definedName>
    <definedName name="__123Graph_DCURRENT" localSheetId="12" hidden="1">[2]balance!#REF!</definedName>
    <definedName name="__123Graph_DCURRENT" localSheetId="14" hidden="1">[2]balance!#REF!</definedName>
    <definedName name="__123Graph_DCURRENT" localSheetId="19" hidden="1">[2]balance!#REF!</definedName>
    <definedName name="__123Graph_DCURRENT" hidden="1">[2]balance!#REF!</definedName>
    <definedName name="__123Graph_F" localSheetId="12" hidden="1">[2]balance!#REF!</definedName>
    <definedName name="__123Graph_F" localSheetId="14" hidden="1">[2]balance!#REF!</definedName>
    <definedName name="__123Graph_F" localSheetId="19" hidden="1">[2]balance!#REF!</definedName>
    <definedName name="__123Graph_F" hidden="1">[2]balance!#REF!</definedName>
    <definedName name="__123Graph_FCURRENT" localSheetId="12" hidden="1">[2]balance!#REF!</definedName>
    <definedName name="__123Graph_FCURRENT" localSheetId="14" hidden="1">[2]balance!#REF!</definedName>
    <definedName name="__123Graph_FCURRENT" localSheetId="19" hidden="1">[2]balance!#REF!</definedName>
    <definedName name="__123Graph_FCURRENT" hidden="1">[2]balance!#REF!</definedName>
    <definedName name="__123Graph_X" localSheetId="12" hidden="1">[2]balance!#REF!</definedName>
    <definedName name="__123Graph_X" localSheetId="14" hidden="1">[2]balance!#REF!</definedName>
    <definedName name="__123Graph_X" localSheetId="19" hidden="1">[2]balance!#REF!</definedName>
    <definedName name="__123Graph_X" hidden="1">[2]balance!#REF!</definedName>
    <definedName name="__123Graph_XCURRENT" localSheetId="12" hidden="1">[2]balance!#REF!</definedName>
    <definedName name="__123Graph_XCURRENT" localSheetId="14" hidden="1">[2]balance!#REF!</definedName>
    <definedName name="__123Graph_XCURRENT" localSheetId="19" hidden="1">[2]balance!#REF!</definedName>
    <definedName name="__123Graph_XCURRENT" hidden="1">[2]balance!#REF!</definedName>
    <definedName name="__2__123Graph_XCHART_1" hidden="1">[1]Hoja3!$A$368:$A$408</definedName>
    <definedName name="__G7" localSheetId="12" hidden="1">#REF!</definedName>
    <definedName name="__G7" localSheetId="14" hidden="1">#REF!</definedName>
    <definedName name="__G7" localSheetId="19" hidden="1">#REF!</definedName>
    <definedName name="__G7" hidden="1">#REF!</definedName>
    <definedName name="__key2" localSheetId="12" hidden="1">#REF!</definedName>
    <definedName name="__key2" localSheetId="14" hidden="1">#REF!</definedName>
    <definedName name="__key2" localSheetId="19" hidden="1">#REF!</definedName>
    <definedName name="__key2" hidden="1">#REF!</definedName>
    <definedName name="_1__123Graph_ACHART_1" hidden="1">[3]Hoja3!$J$368:$J$408</definedName>
    <definedName name="_1__123Graph_AGráfico_1A" hidden="1">[4]HIERRO!$B$47:$D$47</definedName>
    <definedName name="_14__123Graph_XCHART_1" hidden="1">[3]Hoja3!$A$368:$A$408</definedName>
    <definedName name="_16__123Graph_ACHART_1" hidden="1">[3]Hoja3!$J$368:$J$408</definedName>
    <definedName name="_17__123Graph_XCHART_1" hidden="1">[3]Hoja3!$A$368:$A$408</definedName>
    <definedName name="_18__123Graph_ACHART_1" hidden="1">[1]Hoja3!$J$368:$J$408</definedName>
    <definedName name="_2___123Graph_ACHART_1" hidden="1">[1]Hoja3!$J$368:$J$408</definedName>
    <definedName name="_2__123Graph_ACHART_1" hidden="1">[3]Hoja3!$J$368:$J$408</definedName>
    <definedName name="_2__123Graph_BCHART_1" hidden="1">[5]EST_PB!$B$18:$D$18</definedName>
    <definedName name="_2__123Graph_XCHART_1" hidden="1">[3]Hoja3!$A$368:$A$408</definedName>
    <definedName name="_29__123Graph_ACHART_1" hidden="1">[6]Hoja3!$J$368:$J$408</definedName>
    <definedName name="_3___123Graph_XCHART_1" hidden="1">[1]Hoja3!$A$368:$A$408</definedName>
    <definedName name="_3__123Graph_ACHART_1" hidden="1">[1]Hoja3!$J$368:$J$408</definedName>
    <definedName name="_3__123Graph_BGráfico_1A" hidden="1">[4]HIERRO!$B$49:$D$49</definedName>
    <definedName name="_3__123Graph_XCHART_1" hidden="1">[3]Hoja3!$A$368:$A$408</definedName>
    <definedName name="_31__123Graph_XCHART_1" hidden="1">[6]Hoja3!$A$368:$A$408</definedName>
    <definedName name="_35__123Graph_XCHART_1" hidden="1">[1]Hoja3!$A$368:$A$408</definedName>
    <definedName name="_4__123Graph_ACHART_1" hidden="1">[3]Hoja3!$J$368:$J$408</definedName>
    <definedName name="_4__123Graph_CCHART_1" hidden="1">[5]EST_PB!$B$19:$D$19</definedName>
    <definedName name="_4__123Graph_XCHART_1" hidden="1">[1]Hoja3!$A$368:$A$408</definedName>
    <definedName name="_5__123Graph_ACHART_1" hidden="1">[1]Hoja3!$J$368:$J$408</definedName>
    <definedName name="_5__123Graph_CGráfico_1A" hidden="1">[4]HIERRO!$B$51:$D$51</definedName>
    <definedName name="_5__123Graph_XCHART_1" hidden="1">[1]Hoja3!$A$368:$A$408</definedName>
    <definedName name="_6__123Graph_DGráfico_1A" hidden="1">[4]HIERRO!$B$53:$D$53</definedName>
    <definedName name="_7__123Graph_EGráfico_1A" hidden="1">[4]HIERRO!$B$53:$D$53</definedName>
    <definedName name="_7__123Graph_XCHART_1" hidden="1">[3]Hoja3!$A$368:$A$408</definedName>
    <definedName name="_8__123Graph_ACHART_1" hidden="1">[3]Hoja3!$J$368:$J$408</definedName>
    <definedName name="_8__123Graph_FGráfico_1A" localSheetId="12" hidden="1">[5]HIERRO!#REF!</definedName>
    <definedName name="_8__123Graph_FGráfico_1A" localSheetId="14" hidden="1">[5]HIERRO!#REF!</definedName>
    <definedName name="_8__123Graph_FGráfico_1A" localSheetId="19" hidden="1">[5]HIERRO!#REF!</definedName>
    <definedName name="_8__123Graph_FGráfico_1A" hidden="1">[5]HIERRO!#REF!</definedName>
    <definedName name="_9__123Graph_XCHART_1" hidden="1">[1]Hoja3!$A$368:$A$408</definedName>
    <definedName name="_9__123Graph_XGráfico_1A" localSheetId="12" hidden="1">[5]HIERRO!#REF!</definedName>
    <definedName name="_9__123Graph_XGráfico_1A" localSheetId="14" hidden="1">[5]HIERRO!#REF!</definedName>
    <definedName name="_9__123Graph_XGráfico_1A" localSheetId="19" hidden="1">[5]HIERRO!#REF!</definedName>
    <definedName name="_9__123Graph_XGráfico_1A" hidden="1">[5]HIERRO!#REF!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0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localSheetId="12" hidden="1">#REF!</definedName>
    <definedName name="_Fill" localSheetId="14" hidden="1">#REF!</definedName>
    <definedName name="_Fill" localSheetId="19" hidden="1">#REF!</definedName>
    <definedName name="_Fill" hidden="1">#REF!</definedName>
    <definedName name="_fill1" localSheetId="12" hidden="1">#REF!</definedName>
    <definedName name="_fill1" localSheetId="14" hidden="1">#REF!</definedName>
    <definedName name="_fill1" localSheetId="19" hidden="1">#REF!</definedName>
    <definedName name="_fill1" hidden="1">#REF!</definedName>
    <definedName name="_xlnm._FilterDatabase" localSheetId="14" hidden="1">'6.15'!#REF!</definedName>
    <definedName name="_G7" localSheetId="12" hidden="1">#REF!</definedName>
    <definedName name="_G7" localSheetId="14" hidden="1">#REF!</definedName>
    <definedName name="_G7" localSheetId="19" hidden="1">#REF!</definedName>
    <definedName name="_G7" hidden="1">#REF!</definedName>
    <definedName name="_key01" localSheetId="12" hidden="1">#REF!</definedName>
    <definedName name="_key01" localSheetId="14" hidden="1">#REF!</definedName>
    <definedName name="_key01" localSheetId="19" hidden="1">#REF!</definedName>
    <definedName name="_key01" hidden="1">#REF!</definedName>
    <definedName name="_Key1" localSheetId="12" hidden="1">[7]Data!#REF!</definedName>
    <definedName name="_Key1" localSheetId="14" hidden="1">[7]Data!#REF!</definedName>
    <definedName name="_Key1" localSheetId="19" hidden="1">[7]Data!#REF!</definedName>
    <definedName name="_Key1" hidden="1">[7]Data!#REF!</definedName>
    <definedName name="_Key2" hidden="1">[8]plomo!$J$7:$J$17</definedName>
    <definedName name="_key3" localSheetId="12" hidden="1">#REF!</definedName>
    <definedName name="_key3" localSheetId="14" hidden="1">#REF!</definedName>
    <definedName name="_key3" localSheetId="19" hidden="1">#REF!</definedName>
    <definedName name="_key3" hidden="1">#REF!</definedName>
    <definedName name="_MatInverse_In" hidden="1">[9]Asfalto!$T$7:$U$8</definedName>
    <definedName name="_MatInverse_Out" hidden="1">[9]Asfalto!$T$10:$T$10</definedName>
    <definedName name="_MatMult_A" hidden="1">[9]Asfalto!$T$10:$U$11</definedName>
    <definedName name="_MatMult_AxB" hidden="1">[9]Asfalto!$V$7:$V$7</definedName>
    <definedName name="_MatMult_B" hidden="1">[9]Asfalto!$W$7:$W$8</definedName>
    <definedName name="_Order1" hidden="1">255</definedName>
    <definedName name="_Order2" hidden="1">255</definedName>
    <definedName name="_Parse_Out" localSheetId="12" hidden="1">#REF!</definedName>
    <definedName name="_Parse_Out" localSheetId="14" hidden="1">#REF!</definedName>
    <definedName name="_Parse_Out" localSheetId="19" hidden="1">#REF!</definedName>
    <definedName name="_Parse_Out" hidden="1">#REF!</definedName>
    <definedName name="_Parse_Out8" localSheetId="12" hidden="1">#REF!</definedName>
    <definedName name="_Parse_Out8" localSheetId="14" hidden="1">#REF!</definedName>
    <definedName name="_Parse_Out8" localSheetId="19" hidden="1">#REF!</definedName>
    <definedName name="_Parse_Out8" hidden="1">#REF!</definedName>
    <definedName name="_Sort" localSheetId="12" hidden="1">#REF!</definedName>
    <definedName name="_Sort" localSheetId="14" hidden="1">#REF!</definedName>
    <definedName name="_Sort" localSheetId="19" hidden="1">#REF!</definedName>
    <definedName name="_Sort" hidden="1">#REF!</definedName>
    <definedName name="_sort01" localSheetId="12" hidden="1">#REF!</definedName>
    <definedName name="_sort01" localSheetId="14" hidden="1">#REF!</definedName>
    <definedName name="_sort01" localSheetId="19" hidden="1">#REF!</definedName>
    <definedName name="_sort01" hidden="1">#REF!</definedName>
    <definedName name="_sort1" localSheetId="12" hidden="1">#REF!</definedName>
    <definedName name="_sort1" localSheetId="14" hidden="1">#REF!</definedName>
    <definedName name="_sort1" localSheetId="19" hidden="1">#REF!</definedName>
    <definedName name="_sort1" hidden="1">#REF!</definedName>
    <definedName name="a" localSheetId="12" hidden="1">#REF!</definedName>
    <definedName name="a" localSheetId="14" hidden="1">#REF!</definedName>
    <definedName name="a" localSheetId="19" hidden="1">#REF!</definedName>
    <definedName name="a" hidden="1">#REF!</definedName>
    <definedName name="aaaaa" localSheetId="12" hidden="1">#REF!</definedName>
    <definedName name="aaaaa" localSheetId="14" hidden="1">#REF!</definedName>
    <definedName name="aaaaa" localSheetId="19" hidden="1">#REF!</definedName>
    <definedName name="aaaaa" hidden="1">#REF!</definedName>
    <definedName name="_xlnm.Print_Area" localSheetId="22">'6.17_2012'!$B$1:$L$275</definedName>
    <definedName name="_xlnm.Print_Area" localSheetId="20">'6.19-6.25'!$A$1:$F$183</definedName>
    <definedName name="_xlnm.Print_Area" localSheetId="6">'6.6'!$A$59:$M$157</definedName>
    <definedName name="asd" localSheetId="12" hidden="1">[2]balance!#REF!</definedName>
    <definedName name="asd" localSheetId="14" hidden="1">[2]balance!#REF!</definedName>
    <definedName name="asd" localSheetId="19" hidden="1">[2]balance!#REF!</definedName>
    <definedName name="asd" hidden="1">[2]balance!#REF!</definedName>
    <definedName name="asde" localSheetId="12" hidden="1">#REF!</definedName>
    <definedName name="asde" localSheetId="14" hidden="1">#REF!</definedName>
    <definedName name="asde" localSheetId="19" hidden="1">#REF!</definedName>
    <definedName name="asde" hidden="1">#REF!</definedName>
    <definedName name="BLPH1" localSheetId="12" hidden="1">#REF!</definedName>
    <definedName name="BLPH1" localSheetId="14" hidden="1">#REF!</definedName>
    <definedName name="BLPH1" localSheetId="19" hidden="1">#REF!</definedName>
    <definedName name="BLPH1" hidden="1">#REF!</definedName>
    <definedName name="capitulo" localSheetId="12" hidden="1">#REF!</definedName>
    <definedName name="capitulo" localSheetId="14" hidden="1">#REF!</definedName>
    <definedName name="capitulo" localSheetId="19" hidden="1">#REF!</definedName>
    <definedName name="capitulo" hidden="1">#REF!</definedName>
    <definedName name="cartera" hidden="1">255</definedName>
    <definedName name="copia" localSheetId="12" hidden="1">[2]balance!#REF!</definedName>
    <definedName name="copia" localSheetId="14" hidden="1">[2]balance!#REF!</definedName>
    <definedName name="copia" localSheetId="19" hidden="1">[2]balance!#REF!</definedName>
    <definedName name="copia" hidden="1">[2]balance!#REF!</definedName>
    <definedName name="copia7" localSheetId="12" hidden="1">[2]balance!#REF!</definedName>
    <definedName name="copia7" localSheetId="14" hidden="1">[2]balance!#REF!</definedName>
    <definedName name="copia7" localSheetId="19" hidden="1">[2]balance!#REF!</definedName>
    <definedName name="copia7" hidden="1">[2]balance!#REF!</definedName>
    <definedName name="erika" localSheetId="12" hidden="1">#REF!</definedName>
    <definedName name="erika" localSheetId="14" hidden="1">#REF!</definedName>
    <definedName name="erika" localSheetId="19" hidden="1">#REF!</definedName>
    <definedName name="erika" hidden="1">#REF!</definedName>
    <definedName name="gdgdg" localSheetId="12" hidden="1">#REF!</definedName>
    <definedName name="gdgdg" localSheetId="14" hidden="1">#REF!</definedName>
    <definedName name="gdgdg" localSheetId="19" hidden="1">#REF!</definedName>
    <definedName name="gdgdg" hidden="1">#REF!</definedName>
    <definedName name="graf" localSheetId="12" hidden="1">#REF!</definedName>
    <definedName name="graf" localSheetId="14" hidden="1">#REF!</definedName>
    <definedName name="graf" localSheetId="19" hidden="1">#REF!</definedName>
    <definedName name="graf" hidden="1">#REF!</definedName>
    <definedName name="Grafico22n" localSheetId="12" hidden="1">#REF!</definedName>
    <definedName name="Grafico22n" localSheetId="14" hidden="1">#REF!</definedName>
    <definedName name="Grafico22n" localSheetId="19" hidden="1">#REF!</definedName>
    <definedName name="Grafico22n" hidden="1">#REF!</definedName>
    <definedName name="HTML1_1" hidden="1">"[ieim4000.xls]IECM4213!$A$1:$G$37"</definedName>
    <definedName name="HTML1_10" hidden="1">"pabad@inei.gob.pe"</definedName>
    <definedName name="HTML1_11" hidden="1">1</definedName>
    <definedName name="HTML1_12" hidden="1">"C:\IEWM\IEWM4213.htm"</definedName>
    <definedName name="HTML1_2" hidden="1">1</definedName>
    <definedName name="HTML1_3" hidden="1">"EVOLUCION DE LA TASA DE DESEMPLEO"</definedName>
    <definedName name="HTML1_4" hidden="1">""</definedName>
    <definedName name="HTML1_5" hidden="1">""</definedName>
    <definedName name="HTML1_6" hidden="1">1</definedName>
    <definedName name="HTML1_7" hidden="1">1</definedName>
    <definedName name="HTML1_8" hidden="1">"4/11/97"</definedName>
    <definedName name="HTML1_9" hidden="1">""</definedName>
    <definedName name="HTMLCount" hidden="1">1</definedName>
    <definedName name="OLE_LINK4" localSheetId="22">'6.17_2012'!$B$8</definedName>
    <definedName name="Pal_Workbook_GUID" hidden="1">"P1H6R1B74UANAH2ZL61HSKT5"</definedName>
    <definedName name="pegado" localSheetId="12" hidden="1">#REF!</definedName>
    <definedName name="pegado" localSheetId="14" hidden="1">#REF!</definedName>
    <definedName name="pegado" localSheetId="19" hidden="1">#REF!</definedName>
    <definedName name="pegado" hidden="1">#REF!</definedName>
    <definedName name="pgraficos" hidden="1">[6]Hoja3!$A$368:$A$408</definedName>
    <definedName name="PRU" localSheetId="12" hidden="1">#REF!</definedName>
    <definedName name="PRU" localSheetId="14" hidden="1">#REF!</definedName>
    <definedName name="PRU" localSheetId="19" hidden="1">#REF!</definedName>
    <definedName name="PRU" hidden="1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erv2010" localSheetId="12" hidden="1">[2]balance!#REF!</definedName>
    <definedName name="serv2010" localSheetId="14" hidden="1">[2]balance!#REF!</definedName>
    <definedName name="serv2010" localSheetId="19" hidden="1">[2]balance!#REF!</definedName>
    <definedName name="serv2010" hidden="1">[2]balance!#REF!</definedName>
    <definedName name="sssas" localSheetId="12" hidden="1">#REF!</definedName>
    <definedName name="sssas" localSheetId="14" hidden="1">#REF!</definedName>
    <definedName name="sssas" localSheetId="19" hidden="1">#REF!</definedName>
    <definedName name="sssas" hidden="1">#REF!</definedName>
    <definedName name="_xlnm.Print_Titles" localSheetId="6">'6.6'!$61:$62</definedName>
    <definedName name="xxx" localSheetId="12" hidden="1">#REF!</definedName>
    <definedName name="xxx" localSheetId="14" hidden="1">#REF!</definedName>
    <definedName name="xxx" localSheetId="19" hidden="1">#REF!</definedName>
    <definedName name="xxx" hidden="1">#REF!</definedName>
    <definedName name="xxxx" localSheetId="12" hidden="1">#REF!</definedName>
    <definedName name="xxxx" localSheetId="14" hidden="1">#REF!</definedName>
    <definedName name="xxxx" localSheetId="19" hidden="1">#REF!</definedName>
    <definedName name="xxxx" hidden="1">#REF!</definedName>
  </definedNames>
  <calcPr calcId="152511"/>
</workbook>
</file>

<file path=xl/calcChain.xml><?xml version="1.0" encoding="utf-8"?>
<calcChain xmlns="http://schemas.openxmlformats.org/spreadsheetml/2006/main">
  <c r="M105" i="57" l="1"/>
  <c r="A105" i="57"/>
  <c r="M52" i="57"/>
  <c r="A52" i="57"/>
  <c r="M1" i="57"/>
  <c r="E161" i="3" l="1"/>
  <c r="A14" i="52"/>
  <c r="A10" i="52"/>
  <c r="C85" i="15"/>
  <c r="A3" i="52"/>
  <c r="H151" i="68"/>
  <c r="G151" i="68"/>
  <c r="F151" i="68"/>
  <c r="E151" i="68"/>
  <c r="D151" i="68"/>
  <c r="C151" i="68"/>
  <c r="B151" i="68"/>
  <c r="H136" i="68"/>
  <c r="G136" i="68"/>
  <c r="F136" i="68"/>
  <c r="E136" i="68"/>
  <c r="D136" i="68"/>
  <c r="C136" i="68"/>
  <c r="B136" i="68"/>
  <c r="H123" i="68"/>
  <c r="G123" i="68"/>
  <c r="F123" i="68"/>
  <c r="E123" i="68"/>
  <c r="D123" i="68"/>
  <c r="C123" i="68"/>
  <c r="B123" i="68"/>
  <c r="G114" i="68"/>
  <c r="F114" i="68"/>
  <c r="E114" i="68"/>
  <c r="D114" i="68"/>
  <c r="C114" i="68"/>
  <c r="B114" i="68"/>
  <c r="H113" i="68"/>
  <c r="G113" i="68"/>
  <c r="F113" i="68"/>
  <c r="E113" i="68"/>
  <c r="D113" i="68"/>
  <c r="C113" i="68"/>
  <c r="B113" i="68"/>
  <c r="H112" i="68"/>
  <c r="G112" i="68"/>
  <c r="F112" i="68"/>
  <c r="E112" i="68"/>
  <c r="D112" i="68"/>
  <c r="C112" i="68"/>
  <c r="B112" i="68"/>
  <c r="G111" i="68"/>
  <c r="F111" i="68"/>
  <c r="E111" i="68"/>
  <c r="D111" i="68"/>
  <c r="B111" i="68"/>
  <c r="H110" i="68"/>
  <c r="G110" i="68"/>
  <c r="F110" i="68"/>
  <c r="E110" i="68"/>
  <c r="D110" i="68"/>
  <c r="C110" i="68"/>
  <c r="B110" i="68"/>
  <c r="H109" i="68"/>
  <c r="G109" i="68"/>
  <c r="F109" i="68"/>
  <c r="E109" i="68"/>
  <c r="D109" i="68"/>
  <c r="C109" i="68"/>
  <c r="B109" i="68"/>
  <c r="H108" i="68"/>
  <c r="G108" i="68"/>
  <c r="F108" i="68"/>
  <c r="E108" i="68"/>
  <c r="D108" i="68"/>
  <c r="C108" i="68"/>
  <c r="B108" i="68"/>
  <c r="H107" i="68"/>
  <c r="G107" i="68"/>
  <c r="F107" i="68"/>
  <c r="E107" i="68"/>
  <c r="D107" i="68"/>
  <c r="C107" i="68"/>
  <c r="B107" i="68"/>
  <c r="H106" i="68"/>
  <c r="G106" i="68"/>
  <c r="F106" i="68"/>
  <c r="E106" i="68"/>
  <c r="D106" i="68"/>
  <c r="C106" i="68"/>
  <c r="B106" i="68"/>
  <c r="H105" i="68"/>
  <c r="G105" i="68"/>
  <c r="F105" i="68"/>
  <c r="E105" i="68"/>
  <c r="D105" i="68"/>
  <c r="C105" i="68"/>
  <c r="B105" i="68"/>
  <c r="H104" i="68"/>
  <c r="G104" i="68"/>
  <c r="F104" i="68"/>
  <c r="E104" i="68"/>
  <c r="D104" i="68"/>
  <c r="C104" i="68"/>
  <c r="B104" i="68"/>
  <c r="H103" i="68"/>
  <c r="G103" i="68"/>
  <c r="F103" i="68"/>
  <c r="E103" i="68"/>
  <c r="D103" i="68"/>
  <c r="C103" i="68"/>
  <c r="B103" i="68"/>
  <c r="T99" i="68"/>
  <c r="S99" i="68"/>
  <c r="R99" i="68"/>
  <c r="Q99" i="68"/>
  <c r="P99" i="68"/>
  <c r="O99" i="68"/>
  <c r="N99" i="68"/>
  <c r="H86" i="68"/>
  <c r="G86" i="68"/>
  <c r="F86" i="68"/>
  <c r="E86" i="68"/>
  <c r="D86" i="68"/>
  <c r="C86" i="68"/>
  <c r="B86" i="68"/>
  <c r="T71" i="68"/>
  <c r="S71" i="68"/>
  <c r="R71" i="68"/>
  <c r="Q71" i="68"/>
  <c r="P71" i="68"/>
  <c r="O71" i="68"/>
  <c r="N71" i="68"/>
  <c r="H71" i="68"/>
  <c r="G71" i="68"/>
  <c r="F71" i="68"/>
  <c r="E71" i="68"/>
  <c r="D71" i="68"/>
  <c r="C71" i="68"/>
  <c r="B71" i="68"/>
  <c r="H58" i="68"/>
  <c r="G58" i="68"/>
  <c r="F58" i="68"/>
  <c r="E58" i="68"/>
  <c r="D58" i="68"/>
  <c r="C58" i="68"/>
  <c r="B58" i="68"/>
  <c r="H35" i="68"/>
  <c r="G35" i="68"/>
  <c r="F35" i="68"/>
  <c r="E35" i="68"/>
  <c r="D35" i="68"/>
  <c r="C35" i="68"/>
  <c r="B35" i="68"/>
  <c r="H22" i="68"/>
  <c r="G22" i="68"/>
  <c r="F22" i="68"/>
  <c r="E22" i="68"/>
  <c r="D22" i="68"/>
  <c r="C22" i="68"/>
  <c r="B22" i="68"/>
  <c r="H9" i="68"/>
  <c r="G9" i="68"/>
  <c r="F9" i="68"/>
  <c r="E9" i="68"/>
  <c r="D9" i="68"/>
  <c r="C9" i="68"/>
  <c r="B9" i="68"/>
  <c r="E102" i="68" l="1"/>
  <c r="F102" i="68"/>
  <c r="G102" i="68"/>
  <c r="H102" i="68"/>
  <c r="D102" i="68"/>
  <c r="B102" i="68"/>
  <c r="C102" i="68"/>
  <c r="K250" i="55" l="1"/>
  <c r="J250" i="55"/>
  <c r="I250" i="55"/>
  <c r="H250" i="55"/>
  <c r="G250" i="55"/>
  <c r="F250" i="55"/>
  <c r="E250" i="55"/>
  <c r="D250" i="55"/>
  <c r="C250" i="55"/>
  <c r="B250" i="55"/>
  <c r="P6" i="22" l="1"/>
  <c r="M247" i="67"/>
  <c r="L247" i="67"/>
  <c r="K247" i="67"/>
  <c r="M158" i="67"/>
  <c r="L158" i="67"/>
  <c r="K158" i="67"/>
  <c r="M70" i="67"/>
  <c r="L70" i="67"/>
  <c r="K70" i="67"/>
  <c r="B88" i="15"/>
  <c r="B87" i="15"/>
  <c r="B86" i="15"/>
  <c r="N85" i="15"/>
  <c r="M85" i="15"/>
  <c r="L85" i="15"/>
  <c r="K85" i="15"/>
  <c r="J85" i="15"/>
  <c r="I85" i="15"/>
  <c r="H85" i="15"/>
  <c r="G85" i="15"/>
  <c r="F85" i="15"/>
  <c r="E85" i="15"/>
  <c r="D85" i="15"/>
  <c r="B85" i="15" l="1"/>
  <c r="B153" i="13" l="1"/>
  <c r="B152" i="13"/>
  <c r="B151" i="13"/>
  <c r="M150" i="13"/>
  <c r="L150" i="13"/>
  <c r="K150" i="13"/>
  <c r="J150" i="13"/>
  <c r="I150" i="13"/>
  <c r="H150" i="13"/>
  <c r="G150" i="13"/>
  <c r="F150" i="13"/>
  <c r="D150" i="13"/>
  <c r="C150" i="13"/>
  <c r="B149" i="13"/>
  <c r="B148" i="13"/>
  <c r="B147" i="13"/>
  <c r="M146" i="13"/>
  <c r="L146" i="13"/>
  <c r="K146" i="13"/>
  <c r="J146" i="13"/>
  <c r="I146" i="13"/>
  <c r="H146" i="13"/>
  <c r="G146" i="13"/>
  <c r="F146" i="13"/>
  <c r="E146" i="13"/>
  <c r="D146" i="13"/>
  <c r="C146" i="13"/>
  <c r="C145" i="13" s="1"/>
  <c r="K145" i="13" l="1"/>
  <c r="J145" i="13"/>
  <c r="I145" i="13"/>
  <c r="H145" i="13"/>
  <c r="G145" i="13"/>
  <c r="F145" i="13"/>
  <c r="E145" i="13"/>
  <c r="D145" i="13"/>
  <c r="B150" i="13"/>
  <c r="M145" i="13"/>
  <c r="L145" i="13"/>
  <c r="B146" i="13"/>
  <c r="B145" i="13" l="1"/>
  <c r="B184" i="12"/>
  <c r="B183" i="12"/>
  <c r="B182" i="12"/>
  <c r="M181" i="12"/>
  <c r="L181" i="12"/>
  <c r="K181" i="12"/>
  <c r="J181" i="12"/>
  <c r="J175" i="12" s="1"/>
  <c r="I181" i="12"/>
  <c r="H181" i="12"/>
  <c r="G181" i="12"/>
  <c r="F181" i="12"/>
  <c r="E181" i="12"/>
  <c r="D181" i="12"/>
  <c r="C181" i="12"/>
  <c r="B180" i="12"/>
  <c r="B179" i="12"/>
  <c r="B178" i="12"/>
  <c r="M176" i="12"/>
  <c r="L176" i="12"/>
  <c r="K176" i="12"/>
  <c r="J176" i="12"/>
  <c r="I176" i="12"/>
  <c r="H176" i="12"/>
  <c r="G176" i="12"/>
  <c r="F176" i="12"/>
  <c r="E176" i="12"/>
  <c r="D176" i="12"/>
  <c r="C176" i="12"/>
  <c r="C175" i="12" s="1"/>
  <c r="B176" i="12" l="1"/>
  <c r="H175" i="12"/>
  <c r="G175" i="12"/>
  <c r="F175" i="12"/>
  <c r="E175" i="12"/>
  <c r="D175" i="12"/>
  <c r="B181" i="12"/>
  <c r="M175" i="12"/>
  <c r="L175" i="12"/>
  <c r="K175" i="12"/>
  <c r="I175" i="12"/>
  <c r="B175" i="12" l="1"/>
  <c r="S5" i="58"/>
  <c r="B224" i="3"/>
  <c r="B223" i="3"/>
  <c r="B222" i="3"/>
  <c r="B221" i="3"/>
  <c r="B220" i="3"/>
  <c r="B219" i="3"/>
  <c r="B218" i="3"/>
  <c r="B217" i="3"/>
  <c r="B216" i="3"/>
  <c r="B215" i="3"/>
  <c r="B214" i="3"/>
  <c r="E213" i="3"/>
  <c r="D213" i="3"/>
  <c r="C213" i="3"/>
  <c r="R5" i="58"/>
  <c r="B211" i="3"/>
  <c r="B210" i="3"/>
  <c r="B209" i="3"/>
  <c r="B208" i="3"/>
  <c r="B207" i="3"/>
  <c r="B206" i="3"/>
  <c r="B205" i="3"/>
  <c r="B204" i="3"/>
  <c r="B203" i="3"/>
  <c r="B202" i="3"/>
  <c r="B201" i="3"/>
  <c r="E200" i="3"/>
  <c r="D200" i="3"/>
  <c r="C200" i="3"/>
  <c r="B213" i="3" l="1"/>
  <c r="B200" i="3"/>
  <c r="K236" i="55"/>
  <c r="J236" i="55"/>
  <c r="I236" i="55"/>
  <c r="H236" i="55"/>
  <c r="G236" i="55"/>
  <c r="F236" i="55"/>
  <c r="E236" i="55"/>
  <c r="D236" i="55"/>
  <c r="C236" i="55"/>
  <c r="B236" i="55"/>
  <c r="O6" i="22" l="1"/>
  <c r="L231" i="67"/>
  <c r="M231" i="67"/>
  <c r="K231" i="67"/>
  <c r="L215" i="67"/>
  <c r="M215" i="67"/>
  <c r="K215" i="67"/>
  <c r="L142" i="67" l="1"/>
  <c r="M142" i="67"/>
  <c r="K142" i="67"/>
  <c r="L126" i="67" l="1"/>
  <c r="M126" i="67"/>
  <c r="K126" i="67"/>
  <c r="L54" i="67" l="1"/>
  <c r="M54" i="67"/>
  <c r="K54" i="67"/>
  <c r="L38" i="67" l="1"/>
  <c r="M38" i="67"/>
  <c r="K38" i="67"/>
  <c r="B83" i="15" l="1"/>
  <c r="B82" i="15"/>
  <c r="B81" i="15"/>
  <c r="N80" i="15"/>
  <c r="M80" i="15"/>
  <c r="L80" i="15"/>
  <c r="K80" i="15"/>
  <c r="J80" i="15"/>
  <c r="I80" i="15"/>
  <c r="H80" i="15"/>
  <c r="G80" i="15"/>
  <c r="F80" i="15"/>
  <c r="E80" i="15"/>
  <c r="D80" i="15"/>
  <c r="C80" i="15"/>
  <c r="B80" i="15" l="1"/>
  <c r="G130" i="13" l="1"/>
  <c r="B143" i="13"/>
  <c r="B142" i="13"/>
  <c r="B141" i="13"/>
  <c r="M140" i="13"/>
  <c r="L140" i="13"/>
  <c r="K140" i="13"/>
  <c r="J140" i="13"/>
  <c r="I140" i="13"/>
  <c r="H140" i="13"/>
  <c r="G140" i="13"/>
  <c r="F140" i="13"/>
  <c r="E140" i="13"/>
  <c r="D140" i="13"/>
  <c r="C140" i="13"/>
  <c r="B139" i="13"/>
  <c r="B138" i="13"/>
  <c r="B137" i="13"/>
  <c r="M136" i="13"/>
  <c r="L136" i="13"/>
  <c r="K136" i="13"/>
  <c r="J136" i="13"/>
  <c r="I136" i="13"/>
  <c r="H136" i="13"/>
  <c r="G136" i="13"/>
  <c r="F136" i="13"/>
  <c r="E136" i="13"/>
  <c r="D136" i="13"/>
  <c r="C136" i="13"/>
  <c r="B173" i="12"/>
  <c r="B172" i="12"/>
  <c r="B171" i="12"/>
  <c r="M170" i="12"/>
  <c r="L170" i="12"/>
  <c r="K170" i="12"/>
  <c r="J170" i="12"/>
  <c r="I170" i="12"/>
  <c r="H170" i="12"/>
  <c r="G170" i="12"/>
  <c r="F170" i="12"/>
  <c r="E170" i="12"/>
  <c r="D170" i="12"/>
  <c r="C170" i="12"/>
  <c r="B169" i="12"/>
  <c r="B168" i="12"/>
  <c r="B167" i="12"/>
  <c r="M165" i="12"/>
  <c r="L165" i="12"/>
  <c r="K165" i="12"/>
  <c r="J165" i="12"/>
  <c r="I165" i="12"/>
  <c r="H165" i="12"/>
  <c r="G165" i="12"/>
  <c r="F165" i="12"/>
  <c r="E165" i="12"/>
  <c r="D165" i="12"/>
  <c r="C165" i="12"/>
  <c r="L135" i="13" l="1"/>
  <c r="M135" i="13"/>
  <c r="M164" i="12"/>
  <c r="G164" i="12"/>
  <c r="H164" i="12"/>
  <c r="E135" i="13"/>
  <c r="I135" i="13"/>
  <c r="J135" i="13"/>
  <c r="G135" i="13"/>
  <c r="K135" i="13"/>
  <c r="H135" i="13"/>
  <c r="F135" i="13"/>
  <c r="D135" i="13"/>
  <c r="B140" i="13"/>
  <c r="C135" i="13"/>
  <c r="B136" i="13"/>
  <c r="B170" i="12"/>
  <c r="C164" i="12"/>
  <c r="L164" i="12"/>
  <c r="K164" i="12"/>
  <c r="J164" i="12"/>
  <c r="I164" i="12"/>
  <c r="F164" i="12"/>
  <c r="E164" i="12"/>
  <c r="D164" i="12"/>
  <c r="B165" i="12"/>
  <c r="B135" i="13" l="1"/>
  <c r="B164" i="12"/>
  <c r="A19" i="52" l="1"/>
  <c r="A15" i="52"/>
  <c r="A16" i="52"/>
  <c r="A12" i="52"/>
  <c r="A6" i="52"/>
  <c r="A8" i="52"/>
  <c r="A17" i="52"/>
  <c r="A13" i="52" l="1"/>
  <c r="A18" i="52"/>
  <c r="A20" i="52"/>
  <c r="A21" i="52"/>
  <c r="A11" i="52"/>
  <c r="A5" i="52"/>
  <c r="A4" i="52"/>
  <c r="A2" i="52"/>
  <c r="A9" i="52"/>
  <c r="N6" i="67"/>
  <c r="M6" i="67"/>
  <c r="L6" i="67"/>
  <c r="K6" i="67"/>
  <c r="I6" i="67"/>
  <c r="J7" i="67" s="1"/>
  <c r="J8" i="67" s="1"/>
  <c r="J9" i="67" s="1"/>
  <c r="J10" i="67" s="1"/>
  <c r="J11" i="67" s="1"/>
  <c r="J12" i="67" s="1"/>
  <c r="J13" i="67" s="1"/>
  <c r="J14" i="67" s="1"/>
  <c r="J15" i="67" s="1"/>
  <c r="G6" i="67"/>
  <c r="H7" i="67" s="1"/>
  <c r="H8" i="67" s="1"/>
  <c r="H9" i="67" s="1"/>
  <c r="H10" i="67" s="1"/>
  <c r="H11" i="67" s="1"/>
  <c r="H12" i="67" s="1"/>
  <c r="H13" i="67" s="1"/>
  <c r="H14" i="67" s="1"/>
  <c r="H15" i="67" s="1"/>
  <c r="F6" i="67"/>
  <c r="E6" i="67"/>
  <c r="C6" i="67"/>
  <c r="D12" i="67" s="1"/>
  <c r="B89" i="57"/>
  <c r="B78" i="57"/>
  <c r="B63" i="57"/>
  <c r="B32" i="57"/>
  <c r="D7" i="67" l="1"/>
  <c r="D10" i="67"/>
  <c r="D13" i="67"/>
  <c r="D15" i="67"/>
  <c r="H17" i="67"/>
  <c r="H16" i="67"/>
  <c r="J17" i="67"/>
  <c r="J16" i="67"/>
  <c r="D8" i="67"/>
  <c r="D16" i="67"/>
  <c r="D11" i="67"/>
  <c r="D14" i="67"/>
  <c r="D9" i="67"/>
  <c r="D17" i="67"/>
  <c r="D6" i="67" l="1"/>
  <c r="Q5" i="58"/>
  <c r="K222" i="55" l="1"/>
  <c r="J222" i="55"/>
  <c r="I222" i="55"/>
  <c r="H222" i="55"/>
  <c r="G222" i="55"/>
  <c r="F222" i="55"/>
  <c r="E222" i="55"/>
  <c r="D222" i="55"/>
  <c r="C222" i="55"/>
  <c r="B222" i="55"/>
  <c r="B78" i="15" l="1"/>
  <c r="B77" i="15"/>
  <c r="B76" i="15"/>
  <c r="N75" i="15"/>
  <c r="M75" i="15"/>
  <c r="L75" i="15"/>
  <c r="K75" i="15"/>
  <c r="J75" i="15"/>
  <c r="I75" i="15"/>
  <c r="H75" i="15"/>
  <c r="G75" i="15"/>
  <c r="F75" i="15"/>
  <c r="E75" i="15"/>
  <c r="D75" i="15"/>
  <c r="C75" i="15"/>
  <c r="B133" i="13"/>
  <c r="B132" i="13"/>
  <c r="B131" i="13"/>
  <c r="M130" i="13"/>
  <c r="L130" i="13"/>
  <c r="K130" i="13"/>
  <c r="J130" i="13"/>
  <c r="I130" i="13"/>
  <c r="H130" i="13"/>
  <c r="F130" i="13"/>
  <c r="E130" i="13"/>
  <c r="D130" i="13"/>
  <c r="C130" i="13"/>
  <c r="B129" i="13"/>
  <c r="B128" i="13"/>
  <c r="B127" i="13"/>
  <c r="M126" i="13"/>
  <c r="L126" i="13"/>
  <c r="K126" i="13"/>
  <c r="J126" i="13"/>
  <c r="I126" i="13"/>
  <c r="H126" i="13"/>
  <c r="G126" i="13"/>
  <c r="G125" i="13" s="1"/>
  <c r="F126" i="13"/>
  <c r="E126" i="13"/>
  <c r="D126" i="13"/>
  <c r="C126" i="13"/>
  <c r="H125" i="13" l="1"/>
  <c r="I125" i="13"/>
  <c r="B75" i="15"/>
  <c r="M125" i="13"/>
  <c r="L125" i="13"/>
  <c r="K125" i="13"/>
  <c r="J125" i="13"/>
  <c r="F125" i="13"/>
  <c r="E125" i="13"/>
  <c r="D125" i="13"/>
  <c r="B130" i="13"/>
  <c r="C125" i="13"/>
  <c r="B126" i="13"/>
  <c r="B125" i="13" l="1"/>
  <c r="B162" i="12" l="1"/>
  <c r="B161" i="12"/>
  <c r="B160" i="12"/>
  <c r="M159" i="12"/>
  <c r="L159" i="12"/>
  <c r="K159" i="12"/>
  <c r="J159" i="12"/>
  <c r="I159" i="12"/>
  <c r="H159" i="12"/>
  <c r="G159" i="12"/>
  <c r="F159" i="12"/>
  <c r="E159" i="12"/>
  <c r="D159" i="12"/>
  <c r="C159" i="12"/>
  <c r="B158" i="12"/>
  <c r="B157" i="12"/>
  <c r="B156" i="12"/>
  <c r="M154" i="12"/>
  <c r="L154" i="12"/>
  <c r="K154" i="12"/>
  <c r="J154" i="12"/>
  <c r="I154" i="12"/>
  <c r="H154" i="12"/>
  <c r="G154" i="12"/>
  <c r="F154" i="12"/>
  <c r="E154" i="12"/>
  <c r="D154" i="12"/>
  <c r="C154" i="12"/>
  <c r="M153" i="12" l="1"/>
  <c r="L153" i="12"/>
  <c r="K153" i="12"/>
  <c r="J153" i="12"/>
  <c r="I153" i="12"/>
  <c r="H153" i="12"/>
  <c r="G153" i="12"/>
  <c r="F153" i="12"/>
  <c r="E153" i="12"/>
  <c r="D153" i="12"/>
  <c r="B159" i="12"/>
  <c r="C153" i="12"/>
  <c r="B154" i="12"/>
  <c r="B153" i="12" l="1"/>
  <c r="B198" i="3" l="1"/>
  <c r="B197" i="3"/>
  <c r="B196" i="3"/>
  <c r="B195" i="3"/>
  <c r="B194" i="3"/>
  <c r="B193" i="3"/>
  <c r="B192" i="3"/>
  <c r="B191" i="3"/>
  <c r="B190" i="3"/>
  <c r="B189" i="3"/>
  <c r="B188" i="3"/>
  <c r="E187" i="3"/>
  <c r="D187" i="3"/>
  <c r="C187" i="3"/>
  <c r="N6" i="22"/>
  <c r="B187" i="3" l="1"/>
  <c r="A7" i="52"/>
  <c r="C70" i="15" l="1"/>
  <c r="D70" i="15"/>
  <c r="E70" i="15"/>
  <c r="F70" i="15"/>
  <c r="G70" i="15"/>
  <c r="H70" i="15"/>
  <c r="I70" i="15"/>
  <c r="J70" i="15"/>
  <c r="K70" i="15"/>
  <c r="L70" i="15"/>
  <c r="M70" i="15"/>
  <c r="N70" i="15"/>
  <c r="C65" i="15"/>
  <c r="D65" i="15"/>
  <c r="E65" i="15"/>
  <c r="F65" i="15"/>
  <c r="G65" i="15"/>
  <c r="H65" i="15"/>
  <c r="I65" i="15"/>
  <c r="J65" i="15"/>
  <c r="K65" i="15"/>
  <c r="L65" i="15"/>
  <c r="M65" i="15"/>
  <c r="N65" i="15"/>
  <c r="C60" i="15"/>
  <c r="D60" i="15"/>
  <c r="E60" i="15"/>
  <c r="F60" i="15"/>
  <c r="G60" i="15"/>
  <c r="H60" i="15"/>
  <c r="I60" i="15"/>
  <c r="J60" i="15"/>
  <c r="K60" i="15"/>
  <c r="L60" i="15"/>
  <c r="M60" i="15"/>
  <c r="N60" i="15"/>
  <c r="C55" i="15"/>
  <c r="D55" i="15"/>
  <c r="E55" i="15"/>
  <c r="F55" i="15"/>
  <c r="G55" i="15"/>
  <c r="H55" i="15"/>
  <c r="I55" i="15"/>
  <c r="J55" i="15"/>
  <c r="K55" i="15"/>
  <c r="L55" i="15"/>
  <c r="M55" i="15"/>
  <c r="N55" i="15"/>
  <c r="C50" i="15"/>
  <c r="D50" i="15"/>
  <c r="E50" i="15"/>
  <c r="F50" i="15"/>
  <c r="G50" i="15"/>
  <c r="H50" i="15"/>
  <c r="I50" i="15"/>
  <c r="J50" i="15"/>
  <c r="K50" i="15"/>
  <c r="L50" i="15"/>
  <c r="M50" i="15"/>
  <c r="N50" i="15"/>
  <c r="C45" i="15"/>
  <c r="D45" i="15"/>
  <c r="E45" i="15"/>
  <c r="F45" i="15"/>
  <c r="G45" i="15"/>
  <c r="H45" i="15"/>
  <c r="I45" i="15"/>
  <c r="J45" i="15"/>
  <c r="K45" i="15"/>
  <c r="L45" i="15"/>
  <c r="M45" i="15"/>
  <c r="N45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N35" i="15"/>
  <c r="M35" i="15"/>
  <c r="L35" i="15"/>
  <c r="K35" i="15"/>
  <c r="J35" i="15"/>
  <c r="I35" i="15"/>
  <c r="H35" i="15"/>
  <c r="G35" i="15"/>
  <c r="F35" i="15"/>
  <c r="E35" i="15"/>
  <c r="D35" i="15"/>
  <c r="C35" i="15"/>
  <c r="I208" i="55" l="1"/>
  <c r="J208" i="55"/>
  <c r="K208" i="55"/>
  <c r="H208" i="55"/>
  <c r="I194" i="55" l="1"/>
  <c r="J194" i="55"/>
  <c r="K194" i="55"/>
  <c r="H194" i="55"/>
  <c r="I180" i="55" l="1"/>
  <c r="J180" i="55"/>
  <c r="K180" i="55"/>
  <c r="H180" i="55"/>
  <c r="G208" i="55"/>
  <c r="F208" i="55"/>
  <c r="E208" i="55"/>
  <c r="D208" i="55"/>
  <c r="C208" i="55"/>
  <c r="B208" i="55"/>
  <c r="G194" i="55"/>
  <c r="F194" i="55"/>
  <c r="E194" i="55"/>
  <c r="D194" i="55"/>
  <c r="C194" i="55"/>
  <c r="B194" i="55"/>
  <c r="M6" i="22" l="1"/>
  <c r="L6" i="22"/>
  <c r="K6" i="22"/>
  <c r="P5" i="58" l="1"/>
  <c r="O5" i="58"/>
  <c r="B185" i="3"/>
  <c r="B184" i="3"/>
  <c r="B183" i="3"/>
  <c r="B182" i="3"/>
  <c r="B181" i="3"/>
  <c r="B180" i="3"/>
  <c r="B179" i="3"/>
  <c r="B178" i="3"/>
  <c r="B177" i="3"/>
  <c r="B176" i="3"/>
  <c r="B175" i="3"/>
  <c r="E174" i="3"/>
  <c r="D174" i="3"/>
  <c r="C174" i="3"/>
  <c r="B172" i="3"/>
  <c r="B171" i="3"/>
  <c r="B170" i="3"/>
  <c r="B169" i="3"/>
  <c r="B168" i="3"/>
  <c r="B167" i="3"/>
  <c r="B166" i="3"/>
  <c r="B165" i="3"/>
  <c r="B164" i="3"/>
  <c r="B163" i="3"/>
  <c r="B162" i="3"/>
  <c r="D161" i="3"/>
  <c r="C161" i="3"/>
  <c r="B174" i="3" l="1"/>
  <c r="B161" i="3"/>
  <c r="B73" i="15" l="1"/>
  <c r="B72" i="15"/>
  <c r="B71" i="15"/>
  <c r="B68" i="15"/>
  <c r="B67" i="15"/>
  <c r="B66" i="15"/>
  <c r="B70" i="15" l="1"/>
  <c r="B65" i="15"/>
  <c r="B123" i="13" l="1"/>
  <c r="B122" i="13"/>
  <c r="B121" i="13"/>
  <c r="M120" i="13"/>
  <c r="L120" i="13"/>
  <c r="K120" i="13"/>
  <c r="J120" i="13"/>
  <c r="I120" i="13"/>
  <c r="H120" i="13"/>
  <c r="G120" i="13"/>
  <c r="F120" i="13"/>
  <c r="E120" i="13"/>
  <c r="D120" i="13"/>
  <c r="C120" i="13"/>
  <c r="B119" i="13"/>
  <c r="B118" i="13"/>
  <c r="B117" i="13"/>
  <c r="M116" i="13"/>
  <c r="L116" i="13"/>
  <c r="K116" i="13"/>
  <c r="J116" i="13"/>
  <c r="I116" i="13"/>
  <c r="H116" i="13"/>
  <c r="G116" i="13"/>
  <c r="F116" i="13"/>
  <c r="E116" i="13"/>
  <c r="D116" i="13"/>
  <c r="C116" i="13"/>
  <c r="B113" i="13"/>
  <c r="B112" i="13"/>
  <c r="B111" i="13"/>
  <c r="M110" i="13"/>
  <c r="L110" i="13"/>
  <c r="K110" i="13"/>
  <c r="J110" i="13"/>
  <c r="I110" i="13"/>
  <c r="H110" i="13"/>
  <c r="G110" i="13"/>
  <c r="F110" i="13"/>
  <c r="E110" i="13"/>
  <c r="D110" i="13"/>
  <c r="C110" i="13"/>
  <c r="B109" i="13"/>
  <c r="B108" i="13"/>
  <c r="B107" i="13"/>
  <c r="M106" i="13"/>
  <c r="L106" i="13"/>
  <c r="K106" i="13"/>
  <c r="J106" i="13"/>
  <c r="I106" i="13"/>
  <c r="H106" i="13"/>
  <c r="G106" i="13"/>
  <c r="F106" i="13"/>
  <c r="E106" i="13"/>
  <c r="D106" i="13"/>
  <c r="C106" i="13"/>
  <c r="B151" i="12"/>
  <c r="B150" i="12"/>
  <c r="B149" i="12"/>
  <c r="M148" i="12"/>
  <c r="L148" i="12"/>
  <c r="K148" i="12"/>
  <c r="J148" i="12"/>
  <c r="I148" i="12"/>
  <c r="H148" i="12"/>
  <c r="G148" i="12"/>
  <c r="F148" i="12"/>
  <c r="E148" i="12"/>
  <c r="D148" i="12"/>
  <c r="C148" i="12"/>
  <c r="B147" i="12"/>
  <c r="B146" i="12"/>
  <c r="B145" i="12"/>
  <c r="M143" i="12"/>
  <c r="L143" i="12"/>
  <c r="K143" i="12"/>
  <c r="J143" i="12"/>
  <c r="I143" i="12"/>
  <c r="H143" i="12"/>
  <c r="G143" i="12"/>
  <c r="F143" i="12"/>
  <c r="E143" i="12"/>
  <c r="D143" i="12"/>
  <c r="C143" i="12"/>
  <c r="B140" i="12"/>
  <c r="B139" i="12"/>
  <c r="B138" i="12"/>
  <c r="M137" i="12"/>
  <c r="L137" i="12"/>
  <c r="K137" i="12"/>
  <c r="J137" i="12"/>
  <c r="I137" i="12"/>
  <c r="H137" i="12"/>
  <c r="G137" i="12"/>
  <c r="F137" i="12"/>
  <c r="E137" i="12"/>
  <c r="D137" i="12"/>
  <c r="C137" i="12"/>
  <c r="B136" i="12"/>
  <c r="B135" i="12"/>
  <c r="B134" i="12"/>
  <c r="M132" i="12"/>
  <c r="L132" i="12"/>
  <c r="K132" i="12"/>
  <c r="J132" i="12"/>
  <c r="I132" i="12"/>
  <c r="H132" i="12"/>
  <c r="G132" i="12"/>
  <c r="F132" i="12"/>
  <c r="E132" i="12"/>
  <c r="D132" i="12"/>
  <c r="C132" i="12"/>
  <c r="B106" i="12"/>
  <c r="B105" i="12"/>
  <c r="B104" i="12"/>
  <c r="M103" i="12"/>
  <c r="L103" i="12"/>
  <c r="K103" i="12"/>
  <c r="J103" i="12"/>
  <c r="I103" i="12"/>
  <c r="H103" i="12"/>
  <c r="G103" i="12"/>
  <c r="F103" i="12"/>
  <c r="E103" i="12"/>
  <c r="D103" i="12"/>
  <c r="C103" i="12"/>
  <c r="B102" i="12"/>
  <c r="B101" i="12"/>
  <c r="B100" i="12"/>
  <c r="B99" i="12"/>
  <c r="M97" i="12"/>
  <c r="L97" i="12"/>
  <c r="K97" i="12"/>
  <c r="J97" i="12"/>
  <c r="I97" i="12"/>
  <c r="H97" i="12"/>
  <c r="G97" i="12"/>
  <c r="F97" i="12"/>
  <c r="E97" i="12"/>
  <c r="D97" i="12"/>
  <c r="C97" i="12"/>
  <c r="B94" i="12"/>
  <c r="B93" i="12"/>
  <c r="B92" i="12"/>
  <c r="M91" i="12"/>
  <c r="L91" i="12"/>
  <c r="K91" i="12"/>
  <c r="J91" i="12"/>
  <c r="I91" i="12"/>
  <c r="H91" i="12"/>
  <c r="G91" i="12"/>
  <c r="F91" i="12"/>
  <c r="E91" i="12"/>
  <c r="D91" i="12"/>
  <c r="C91" i="12"/>
  <c r="B89" i="12"/>
  <c r="B88" i="12"/>
  <c r="B87" i="12"/>
  <c r="M85" i="12"/>
  <c r="L85" i="12"/>
  <c r="K85" i="12"/>
  <c r="J85" i="12"/>
  <c r="I85" i="12"/>
  <c r="H85" i="12"/>
  <c r="G85" i="12"/>
  <c r="F85" i="12"/>
  <c r="E85" i="12"/>
  <c r="D85" i="12"/>
  <c r="C85" i="12"/>
  <c r="B81" i="12"/>
  <c r="B80" i="12"/>
  <c r="B79" i="12"/>
  <c r="M78" i="12"/>
  <c r="L78" i="12"/>
  <c r="K78" i="12"/>
  <c r="J78" i="12"/>
  <c r="I78" i="12"/>
  <c r="H78" i="12"/>
  <c r="G78" i="12"/>
  <c r="F78" i="12"/>
  <c r="E78" i="12"/>
  <c r="D78" i="12"/>
  <c r="C78" i="12"/>
  <c r="B76" i="12"/>
  <c r="B75" i="12"/>
  <c r="B74" i="12"/>
  <c r="B73" i="12"/>
  <c r="M72" i="12"/>
  <c r="L72" i="12"/>
  <c r="K72" i="12"/>
  <c r="J72" i="12"/>
  <c r="I72" i="12"/>
  <c r="H72" i="12"/>
  <c r="G72" i="12"/>
  <c r="F72" i="12"/>
  <c r="E72" i="12"/>
  <c r="D72" i="12"/>
  <c r="C72" i="12"/>
  <c r="B68" i="12"/>
  <c r="B67" i="12"/>
  <c r="B66" i="12"/>
  <c r="M65" i="12"/>
  <c r="L65" i="12"/>
  <c r="K65" i="12"/>
  <c r="J65" i="12"/>
  <c r="I65" i="12"/>
  <c r="H65" i="12"/>
  <c r="G65" i="12"/>
  <c r="F65" i="12"/>
  <c r="E65" i="12"/>
  <c r="D65" i="12"/>
  <c r="C65" i="12"/>
  <c r="B63" i="12"/>
  <c r="B62" i="12"/>
  <c r="B61" i="12"/>
  <c r="B60" i="12"/>
  <c r="M59" i="12"/>
  <c r="L59" i="12"/>
  <c r="K59" i="12"/>
  <c r="J59" i="12"/>
  <c r="I59" i="12"/>
  <c r="H59" i="12"/>
  <c r="G59" i="12"/>
  <c r="F59" i="12"/>
  <c r="E59" i="12"/>
  <c r="D59" i="12"/>
  <c r="C59" i="12"/>
  <c r="D131" i="12" l="1"/>
  <c r="M131" i="12"/>
  <c r="B137" i="12"/>
  <c r="J58" i="12"/>
  <c r="K96" i="12"/>
  <c r="B132" i="12"/>
  <c r="B148" i="12"/>
  <c r="E96" i="12"/>
  <c r="E115" i="13"/>
  <c r="I105" i="13"/>
  <c r="C105" i="13"/>
  <c r="M96" i="12"/>
  <c r="H58" i="12"/>
  <c r="F71" i="12"/>
  <c r="E84" i="12"/>
  <c r="I84" i="12"/>
  <c r="B72" i="12"/>
  <c r="I96" i="12"/>
  <c r="C71" i="12"/>
  <c r="G71" i="12"/>
  <c r="K71" i="12"/>
  <c r="H71" i="12"/>
  <c r="I71" i="12"/>
  <c r="F96" i="12"/>
  <c r="J96" i="12"/>
  <c r="C96" i="12"/>
  <c r="E58" i="12"/>
  <c r="I58" i="12"/>
  <c r="M58" i="12"/>
  <c r="D71" i="12"/>
  <c r="L71" i="12"/>
  <c r="E71" i="12"/>
  <c r="M71" i="12"/>
  <c r="D84" i="12"/>
  <c r="H84" i="12"/>
  <c r="L84" i="12"/>
  <c r="D96" i="12"/>
  <c r="H96" i="12"/>
  <c r="L96" i="12"/>
  <c r="C58" i="12"/>
  <c r="G58" i="12"/>
  <c r="K58" i="12"/>
  <c r="J71" i="12"/>
  <c r="B78" i="12"/>
  <c r="C84" i="12"/>
  <c r="G84" i="12"/>
  <c r="K84" i="12"/>
  <c r="J84" i="12"/>
  <c r="E105" i="13"/>
  <c r="M105" i="13"/>
  <c r="D115" i="13"/>
  <c r="H115" i="13"/>
  <c r="L115" i="13"/>
  <c r="D58" i="12"/>
  <c r="L58" i="12"/>
  <c r="M84" i="12"/>
  <c r="B91" i="12"/>
  <c r="F105" i="13"/>
  <c r="J105" i="13"/>
  <c r="I115" i="13"/>
  <c r="M115" i="13"/>
  <c r="C115" i="13"/>
  <c r="K115" i="13"/>
  <c r="F58" i="12"/>
  <c r="B85" i="12"/>
  <c r="G96" i="12"/>
  <c r="B97" i="12"/>
  <c r="B59" i="12"/>
  <c r="H105" i="13"/>
  <c r="J115" i="13"/>
  <c r="K105" i="13"/>
  <c r="B65" i="12"/>
  <c r="G115" i="13"/>
  <c r="F84" i="12"/>
  <c r="D105" i="13"/>
  <c r="L105" i="13"/>
  <c r="F115" i="13"/>
  <c r="B103" i="12"/>
  <c r="G105" i="13"/>
  <c r="B120" i="13"/>
  <c r="B116" i="13"/>
  <c r="B110" i="13"/>
  <c r="B106" i="13"/>
  <c r="M142" i="12"/>
  <c r="L142" i="12"/>
  <c r="K142" i="12"/>
  <c r="J142" i="12"/>
  <c r="I142" i="12"/>
  <c r="H142" i="12"/>
  <c r="G142" i="12"/>
  <c r="F142" i="12"/>
  <c r="E142" i="12"/>
  <c r="D142" i="12"/>
  <c r="C142" i="12"/>
  <c r="B143" i="12"/>
  <c r="L131" i="12"/>
  <c r="K131" i="12"/>
  <c r="J131" i="12"/>
  <c r="I131" i="12"/>
  <c r="H131" i="12"/>
  <c r="G131" i="12"/>
  <c r="F131" i="12"/>
  <c r="E131" i="12"/>
  <c r="C131" i="12"/>
  <c r="B84" i="12" l="1"/>
  <c r="B71" i="12"/>
  <c r="B96" i="12"/>
  <c r="B58" i="12"/>
  <c r="B142" i="12"/>
  <c r="B115" i="13"/>
  <c r="B105" i="13"/>
  <c r="B131" i="12"/>
  <c r="N5" i="58" l="1"/>
  <c r="F90" i="13" l="1"/>
  <c r="D126" i="12"/>
  <c r="E126" i="12"/>
  <c r="F126" i="12"/>
  <c r="G126" i="12"/>
  <c r="H126" i="12"/>
  <c r="I126" i="12"/>
  <c r="J126" i="12"/>
  <c r="K126" i="12"/>
  <c r="L126" i="12"/>
  <c r="M126" i="12"/>
  <c r="C126" i="12"/>
  <c r="M121" i="12"/>
  <c r="C121" i="12"/>
  <c r="D121" i="12"/>
  <c r="E121" i="12"/>
  <c r="F121" i="12"/>
  <c r="G121" i="12"/>
  <c r="H121" i="12"/>
  <c r="I121" i="12"/>
  <c r="J121" i="12"/>
  <c r="K121" i="12"/>
  <c r="L121" i="12"/>
  <c r="C109" i="12"/>
  <c r="D109" i="12"/>
  <c r="E109" i="12"/>
  <c r="F109" i="12"/>
  <c r="G109" i="12"/>
  <c r="H109" i="12"/>
  <c r="I109" i="12"/>
  <c r="J109" i="12"/>
  <c r="K109" i="12"/>
  <c r="L109" i="12"/>
  <c r="M109" i="12"/>
  <c r="J6" i="22" l="1"/>
  <c r="C134" i="3"/>
  <c r="B145" i="3"/>
  <c r="B144" i="3"/>
  <c r="B143" i="3"/>
  <c r="B142" i="3"/>
  <c r="B141" i="3"/>
  <c r="B140" i="3"/>
  <c r="B139" i="3"/>
  <c r="B138" i="3"/>
  <c r="B137" i="3"/>
  <c r="B136" i="3"/>
  <c r="B135" i="3"/>
  <c r="E134" i="3"/>
  <c r="D134" i="3"/>
  <c r="D147" i="3"/>
  <c r="E147" i="3"/>
  <c r="C147" i="3"/>
  <c r="B123" i="3"/>
  <c r="B149" i="3"/>
  <c r="B148" i="3"/>
  <c r="B150" i="3"/>
  <c r="B151" i="3"/>
  <c r="B152" i="3"/>
  <c r="B153" i="3"/>
  <c r="B154" i="3"/>
  <c r="B155" i="3"/>
  <c r="B156" i="3"/>
  <c r="B157" i="3"/>
  <c r="B158" i="3"/>
  <c r="B147" i="3" l="1"/>
  <c r="B134" i="3"/>
  <c r="K136" i="57"/>
  <c r="I6" i="22"/>
  <c r="C180" i="55" l="1"/>
  <c r="D180" i="55"/>
  <c r="E180" i="55"/>
  <c r="F180" i="55"/>
  <c r="G180" i="55"/>
  <c r="B180" i="55"/>
  <c r="K166" i="55" l="1"/>
  <c r="J166" i="55"/>
  <c r="I166" i="55"/>
  <c r="H166" i="55"/>
  <c r="C166" i="55"/>
  <c r="D166" i="55"/>
  <c r="E166" i="55"/>
  <c r="F166" i="55"/>
  <c r="G166" i="55"/>
  <c r="B166" i="55"/>
  <c r="H82" i="55" l="1"/>
  <c r="I82" i="55"/>
  <c r="J82" i="55"/>
  <c r="K82" i="55"/>
  <c r="C82" i="55"/>
  <c r="D82" i="55"/>
  <c r="E82" i="55"/>
  <c r="F82" i="55"/>
  <c r="G82" i="55"/>
  <c r="B82" i="55"/>
  <c r="K152" i="55"/>
  <c r="J152" i="55"/>
  <c r="I152" i="55"/>
  <c r="H152" i="55"/>
  <c r="G152" i="55"/>
  <c r="F152" i="55"/>
  <c r="F137" i="55" s="1"/>
  <c r="E152" i="55"/>
  <c r="E137" i="55" s="1"/>
  <c r="D152" i="55"/>
  <c r="C152" i="55"/>
  <c r="B152" i="55"/>
  <c r="K123" i="55"/>
  <c r="J123" i="55"/>
  <c r="I123" i="55"/>
  <c r="H123" i="55"/>
  <c r="G123" i="55"/>
  <c r="F123" i="55"/>
  <c r="E123" i="55"/>
  <c r="D123" i="55"/>
  <c r="C123" i="55"/>
  <c r="B123" i="55"/>
  <c r="K108" i="55"/>
  <c r="J108" i="55"/>
  <c r="I108" i="55"/>
  <c r="H108" i="55"/>
  <c r="G108" i="55"/>
  <c r="F108" i="55"/>
  <c r="E108" i="55"/>
  <c r="D108" i="55"/>
  <c r="C108" i="55"/>
  <c r="B108" i="55"/>
  <c r="J137" i="55" l="1"/>
  <c r="B137" i="55"/>
  <c r="K137" i="55"/>
  <c r="H137" i="55"/>
  <c r="I137" i="55"/>
  <c r="G137" i="55"/>
  <c r="C137" i="55"/>
  <c r="D137" i="55"/>
  <c r="B62" i="15" l="1"/>
  <c r="B63" i="15"/>
  <c r="B61" i="15"/>
  <c r="B60" i="15" s="1"/>
  <c r="B52" i="15"/>
  <c r="B53" i="15"/>
  <c r="B51" i="15"/>
  <c r="B56" i="15"/>
  <c r="B77" i="13"/>
  <c r="B78" i="13"/>
  <c r="B76" i="13"/>
  <c r="B81" i="13"/>
  <c r="B82" i="13"/>
  <c r="B80" i="13"/>
  <c r="B103" i="13"/>
  <c r="B102" i="13"/>
  <c r="B101" i="13"/>
  <c r="M100" i="13"/>
  <c r="L100" i="13"/>
  <c r="K100" i="13"/>
  <c r="J100" i="13"/>
  <c r="I100" i="13"/>
  <c r="H100" i="13"/>
  <c r="G100" i="13"/>
  <c r="F100" i="13"/>
  <c r="E100" i="13"/>
  <c r="D100" i="13"/>
  <c r="C100" i="13"/>
  <c r="B99" i="13"/>
  <c r="B98" i="13"/>
  <c r="B97" i="13"/>
  <c r="M96" i="13"/>
  <c r="L96" i="13"/>
  <c r="K96" i="13"/>
  <c r="J96" i="13"/>
  <c r="I96" i="13"/>
  <c r="H96" i="13"/>
  <c r="G96" i="13"/>
  <c r="F96" i="13"/>
  <c r="E96" i="13"/>
  <c r="D96" i="13"/>
  <c r="C96" i="13"/>
  <c r="B93" i="13"/>
  <c r="B92" i="13"/>
  <c r="B91" i="13"/>
  <c r="M90" i="13"/>
  <c r="L90" i="13"/>
  <c r="K90" i="13"/>
  <c r="J90" i="13"/>
  <c r="I90" i="13"/>
  <c r="H90" i="13"/>
  <c r="G90" i="13"/>
  <c r="E90" i="13"/>
  <c r="D90" i="13"/>
  <c r="C90" i="13"/>
  <c r="B89" i="13"/>
  <c r="B88" i="13"/>
  <c r="B87" i="13"/>
  <c r="M86" i="13"/>
  <c r="L86" i="13"/>
  <c r="K86" i="13"/>
  <c r="J86" i="13"/>
  <c r="I86" i="13"/>
  <c r="H86" i="13"/>
  <c r="G86" i="13"/>
  <c r="F86" i="13"/>
  <c r="F85" i="13" s="1"/>
  <c r="E86" i="13"/>
  <c r="D86" i="13"/>
  <c r="C86" i="13"/>
  <c r="B124" i="12"/>
  <c r="B125" i="12"/>
  <c r="G85" i="13" l="1"/>
  <c r="L95" i="13"/>
  <c r="B90" i="13"/>
  <c r="I85" i="13"/>
  <c r="D95" i="13"/>
  <c r="B50" i="15"/>
  <c r="B75" i="13"/>
  <c r="B100" i="13"/>
  <c r="E95" i="13"/>
  <c r="M95" i="13"/>
  <c r="H95" i="13"/>
  <c r="F95" i="13"/>
  <c r="G95" i="13"/>
  <c r="B96" i="13"/>
  <c r="C85" i="13"/>
  <c r="K85" i="13"/>
  <c r="D85" i="13"/>
  <c r="L85" i="13"/>
  <c r="B86" i="13"/>
  <c r="H85" i="13"/>
  <c r="I95" i="13"/>
  <c r="E85" i="13"/>
  <c r="M85" i="13"/>
  <c r="J95" i="13"/>
  <c r="C95" i="13"/>
  <c r="K95" i="13"/>
  <c r="J85" i="13"/>
  <c r="B95" i="13" l="1"/>
  <c r="B85" i="13"/>
  <c r="B112" i="12" l="1"/>
  <c r="B113" i="12"/>
  <c r="B114" i="12"/>
  <c r="B117" i="12"/>
  <c r="B118" i="12"/>
  <c r="B116" i="12"/>
  <c r="B50" i="12"/>
  <c r="B51" i="12"/>
  <c r="B52" i="12"/>
  <c r="B49" i="12"/>
  <c r="B55" i="12"/>
  <c r="B56" i="12"/>
  <c r="B54" i="12"/>
  <c r="B47" i="12" l="1"/>
  <c r="B53" i="12"/>
  <c r="B46" i="12" l="1"/>
  <c r="C53" i="12"/>
  <c r="D53" i="12"/>
  <c r="B129" i="12"/>
  <c r="B128" i="12"/>
  <c r="B127" i="12"/>
  <c r="L120" i="12"/>
  <c r="F120" i="12"/>
  <c r="E120" i="12"/>
  <c r="D120" i="12"/>
  <c r="B123" i="12"/>
  <c r="B121" i="12" s="1"/>
  <c r="J120" i="12"/>
  <c r="I120" i="12"/>
  <c r="B126" i="12" l="1"/>
  <c r="B120" i="12" s="1"/>
  <c r="K120" i="12"/>
  <c r="C120" i="12"/>
  <c r="M120" i="12"/>
  <c r="G120" i="12"/>
  <c r="H120" i="12"/>
  <c r="B58" i="15" l="1"/>
  <c r="B57" i="15"/>
  <c r="M115" i="12"/>
  <c r="M108" i="12" s="1"/>
  <c r="L115" i="12"/>
  <c r="K115" i="12"/>
  <c r="J115" i="12"/>
  <c r="I115" i="12"/>
  <c r="H115" i="12"/>
  <c r="G115" i="12"/>
  <c r="F115" i="12"/>
  <c r="E115" i="12"/>
  <c r="D115" i="12"/>
  <c r="D108" i="12" s="1"/>
  <c r="C115" i="12"/>
  <c r="C108" i="12" s="1"/>
  <c r="B111" i="12"/>
  <c r="B109" i="12" s="1"/>
  <c r="B55" i="15" l="1"/>
  <c r="J108" i="12"/>
  <c r="G108" i="12"/>
  <c r="H108" i="12"/>
  <c r="L108" i="12"/>
  <c r="B115" i="12"/>
  <c r="B108" i="12" s="1"/>
  <c r="E108" i="12"/>
  <c r="K108" i="12"/>
  <c r="F108" i="12"/>
  <c r="I108" i="12"/>
  <c r="M5" i="58" l="1"/>
  <c r="L5" i="58"/>
  <c r="K5" i="58"/>
  <c r="J5" i="58"/>
  <c r="I5" i="58"/>
  <c r="H5" i="58"/>
  <c r="G5" i="58"/>
  <c r="F5" i="58"/>
  <c r="E5" i="58"/>
  <c r="D5" i="58"/>
  <c r="C5" i="58"/>
  <c r="B5" i="58"/>
  <c r="V136" i="57" l="1"/>
  <c r="U136" i="57"/>
  <c r="T136" i="57"/>
  <c r="S136" i="57"/>
  <c r="R136" i="57"/>
  <c r="Q136" i="57"/>
  <c r="P136" i="57"/>
  <c r="O136" i="57"/>
  <c r="N136" i="57"/>
  <c r="J136" i="57"/>
  <c r="I136" i="57"/>
  <c r="H136" i="57"/>
  <c r="G136" i="57"/>
  <c r="F136" i="57"/>
  <c r="E136" i="57"/>
  <c r="D136" i="57"/>
  <c r="C136" i="57"/>
  <c r="B136" i="57"/>
  <c r="V125" i="57"/>
  <c r="U125" i="57"/>
  <c r="T125" i="57"/>
  <c r="S125" i="57"/>
  <c r="R125" i="57"/>
  <c r="Q125" i="57"/>
  <c r="P125" i="57"/>
  <c r="O125" i="57"/>
  <c r="N125" i="57"/>
  <c r="K125" i="57"/>
  <c r="J125" i="57"/>
  <c r="I125" i="57"/>
  <c r="H125" i="57"/>
  <c r="G125" i="57"/>
  <c r="F125" i="57"/>
  <c r="E125" i="57"/>
  <c r="D125" i="57"/>
  <c r="C125" i="57"/>
  <c r="B125" i="57"/>
  <c r="V119" i="57"/>
  <c r="U119" i="57"/>
  <c r="T119" i="57"/>
  <c r="S119" i="57"/>
  <c r="R119" i="57"/>
  <c r="Q119" i="57"/>
  <c r="P119" i="57"/>
  <c r="O119" i="57"/>
  <c r="N119" i="57"/>
  <c r="K119" i="57"/>
  <c r="J119" i="57"/>
  <c r="I119" i="57"/>
  <c r="H119" i="57"/>
  <c r="G119" i="57"/>
  <c r="F119" i="57"/>
  <c r="E119" i="57"/>
  <c r="D119" i="57"/>
  <c r="C119" i="57"/>
  <c r="B119" i="57"/>
  <c r="V113" i="57"/>
  <c r="U113" i="57"/>
  <c r="T113" i="57"/>
  <c r="S113" i="57"/>
  <c r="R113" i="57"/>
  <c r="Q113" i="57"/>
  <c r="P113" i="57"/>
  <c r="O113" i="57"/>
  <c r="N113" i="57"/>
  <c r="K113" i="57"/>
  <c r="J113" i="57"/>
  <c r="I113" i="57"/>
  <c r="H113" i="57"/>
  <c r="G113" i="57"/>
  <c r="F113" i="57"/>
  <c r="E113" i="57"/>
  <c r="D113" i="57"/>
  <c r="C113" i="57"/>
  <c r="B113" i="57"/>
  <c r="V108" i="57"/>
  <c r="U108" i="57"/>
  <c r="T108" i="57"/>
  <c r="S108" i="57"/>
  <c r="R108" i="57"/>
  <c r="Q108" i="57"/>
  <c r="P108" i="57"/>
  <c r="O108" i="57"/>
  <c r="N108" i="57"/>
  <c r="K108" i="57"/>
  <c r="J108" i="57"/>
  <c r="I108" i="57"/>
  <c r="H108" i="57"/>
  <c r="G108" i="57"/>
  <c r="F108" i="57"/>
  <c r="E108" i="57"/>
  <c r="D108" i="57"/>
  <c r="C108" i="57"/>
  <c r="B108" i="57"/>
  <c r="V89" i="57"/>
  <c r="U89" i="57"/>
  <c r="T89" i="57"/>
  <c r="S89" i="57"/>
  <c r="R89" i="57"/>
  <c r="Q89" i="57"/>
  <c r="P89" i="57"/>
  <c r="O89" i="57"/>
  <c r="N89" i="57"/>
  <c r="K89" i="57"/>
  <c r="J89" i="57"/>
  <c r="I89" i="57"/>
  <c r="H89" i="57"/>
  <c r="G89" i="57"/>
  <c r="F89" i="57"/>
  <c r="E89" i="57"/>
  <c r="D89" i="57"/>
  <c r="C89" i="57"/>
  <c r="V78" i="57"/>
  <c r="U78" i="57"/>
  <c r="T78" i="57"/>
  <c r="S78" i="57"/>
  <c r="R78" i="57"/>
  <c r="Q78" i="57"/>
  <c r="P78" i="57"/>
  <c r="O78" i="57"/>
  <c r="N78" i="57"/>
  <c r="K78" i="57"/>
  <c r="J78" i="57"/>
  <c r="I78" i="57"/>
  <c r="H78" i="57"/>
  <c r="G78" i="57"/>
  <c r="F78" i="57"/>
  <c r="E78" i="57"/>
  <c r="D78" i="57"/>
  <c r="C78" i="57"/>
  <c r="V69" i="57"/>
  <c r="U69" i="57"/>
  <c r="T69" i="57"/>
  <c r="S69" i="57"/>
  <c r="R69" i="57"/>
  <c r="Q69" i="57"/>
  <c r="P69" i="57"/>
  <c r="O69" i="57"/>
  <c r="N69" i="57"/>
  <c r="K69" i="57"/>
  <c r="J69" i="57"/>
  <c r="I69" i="57"/>
  <c r="H69" i="57"/>
  <c r="G69" i="57"/>
  <c r="F69" i="57"/>
  <c r="E69" i="57"/>
  <c r="D69" i="57"/>
  <c r="C69" i="57"/>
  <c r="B69" i="57"/>
  <c r="V63" i="57"/>
  <c r="U63" i="57"/>
  <c r="T63" i="57"/>
  <c r="S63" i="57"/>
  <c r="R63" i="57"/>
  <c r="Q63" i="57"/>
  <c r="P63" i="57"/>
  <c r="O63" i="57"/>
  <c r="N63" i="57"/>
  <c r="K63" i="57"/>
  <c r="J63" i="57"/>
  <c r="I63" i="57"/>
  <c r="H63" i="57"/>
  <c r="G63" i="57"/>
  <c r="F63" i="57"/>
  <c r="E63" i="57"/>
  <c r="D63" i="57"/>
  <c r="C63" i="57"/>
  <c r="V55" i="57"/>
  <c r="U55" i="57"/>
  <c r="T55" i="57"/>
  <c r="S55" i="57"/>
  <c r="R55" i="57"/>
  <c r="Q55" i="57"/>
  <c r="P55" i="57"/>
  <c r="O55" i="57"/>
  <c r="N55" i="57"/>
  <c r="K55" i="57"/>
  <c r="J55" i="57"/>
  <c r="I55" i="57"/>
  <c r="H55" i="57"/>
  <c r="G55" i="57"/>
  <c r="F55" i="57"/>
  <c r="E55" i="57"/>
  <c r="D55" i="57"/>
  <c r="C55" i="57"/>
  <c r="B55" i="57"/>
  <c r="V21" i="57"/>
  <c r="U21" i="57"/>
  <c r="T21" i="57"/>
  <c r="S21" i="57"/>
  <c r="R21" i="57"/>
  <c r="Q21" i="57"/>
  <c r="P21" i="57"/>
  <c r="O21" i="57"/>
  <c r="N21" i="57"/>
  <c r="K21" i="57"/>
  <c r="J21" i="57"/>
  <c r="I21" i="57"/>
  <c r="H21" i="57"/>
  <c r="G21" i="57"/>
  <c r="F21" i="57"/>
  <c r="E21" i="57"/>
  <c r="D21" i="57"/>
  <c r="C21" i="57"/>
  <c r="B21" i="57"/>
  <c r="V32" i="57"/>
  <c r="U32" i="57"/>
  <c r="T32" i="57"/>
  <c r="S32" i="57"/>
  <c r="R32" i="57"/>
  <c r="Q32" i="57"/>
  <c r="P32" i="57"/>
  <c r="O32" i="57"/>
  <c r="N32" i="57"/>
  <c r="K32" i="57"/>
  <c r="J32" i="57"/>
  <c r="I32" i="57"/>
  <c r="H32" i="57"/>
  <c r="G32" i="57"/>
  <c r="F32" i="57"/>
  <c r="E32" i="57"/>
  <c r="D32" i="57"/>
  <c r="C32" i="57"/>
  <c r="V5" i="57"/>
  <c r="U5" i="57"/>
  <c r="T5" i="57"/>
  <c r="S5" i="57"/>
  <c r="R5" i="57"/>
  <c r="Q5" i="57"/>
  <c r="P5" i="57"/>
  <c r="O5" i="57"/>
  <c r="N5" i="57"/>
  <c r="K5" i="57"/>
  <c r="J5" i="57"/>
  <c r="I5" i="57"/>
  <c r="H5" i="57"/>
  <c r="G5" i="57"/>
  <c r="F5" i="57"/>
  <c r="E5" i="57"/>
  <c r="D5" i="57"/>
  <c r="C5" i="57"/>
  <c r="B5" i="57"/>
  <c r="B4" i="57" l="1"/>
  <c r="F4" i="57"/>
  <c r="J4" i="57"/>
  <c r="P4" i="57"/>
  <c r="T4" i="57"/>
  <c r="G4" i="57"/>
  <c r="K4" i="57"/>
  <c r="U4" i="57"/>
  <c r="Q4" i="57"/>
  <c r="D4" i="57"/>
  <c r="H4" i="57"/>
  <c r="N4" i="57"/>
  <c r="R4" i="57"/>
  <c r="V4" i="57"/>
  <c r="E4" i="57"/>
  <c r="I4" i="57"/>
  <c r="O4" i="57"/>
  <c r="S4" i="57"/>
  <c r="C4" i="57"/>
  <c r="G6" i="22" l="1"/>
  <c r="H6" i="22"/>
  <c r="K68" i="55" l="1"/>
  <c r="J68" i="55"/>
  <c r="I68" i="55"/>
  <c r="H68" i="55"/>
  <c r="C68" i="55"/>
  <c r="D68" i="55"/>
  <c r="E68" i="55"/>
  <c r="F68" i="55"/>
  <c r="G68" i="55"/>
  <c r="B68" i="55"/>
  <c r="K54" i="55" l="1"/>
  <c r="K39" i="55" s="1"/>
  <c r="J54" i="55"/>
  <c r="J39" i="55" s="1"/>
  <c r="I54" i="55"/>
  <c r="I39" i="55" s="1"/>
  <c r="H54" i="55"/>
  <c r="H39" i="55" s="1"/>
  <c r="G54" i="55"/>
  <c r="G39" i="55" s="1"/>
  <c r="F54" i="55"/>
  <c r="F39" i="55" s="1"/>
  <c r="E54" i="55"/>
  <c r="E39" i="55" s="1"/>
  <c r="D54" i="55"/>
  <c r="D39" i="55" s="1"/>
  <c r="C54" i="55"/>
  <c r="C39" i="55" s="1"/>
  <c r="B54" i="55"/>
  <c r="B39" i="55" s="1"/>
  <c r="K25" i="55"/>
  <c r="J25" i="55"/>
  <c r="I25" i="55"/>
  <c r="H25" i="55"/>
  <c r="G25" i="55"/>
  <c r="F25" i="55"/>
  <c r="E25" i="55"/>
  <c r="D25" i="55"/>
  <c r="C25" i="55"/>
  <c r="B25" i="55"/>
  <c r="K10" i="55"/>
  <c r="J10" i="55"/>
  <c r="I10" i="55"/>
  <c r="H10" i="55"/>
  <c r="G10" i="55"/>
  <c r="F10" i="55"/>
  <c r="E10" i="55"/>
  <c r="D10" i="55"/>
  <c r="C10" i="55"/>
  <c r="B10" i="55"/>
  <c r="B25" i="12" l="1"/>
  <c r="B43" i="12"/>
  <c r="B29" i="12"/>
  <c r="B37" i="12"/>
  <c r="B26" i="12"/>
  <c r="B24" i="12"/>
  <c r="B31" i="12"/>
  <c r="B30" i="12"/>
  <c r="B13" i="12"/>
  <c r="B12" i="12"/>
  <c r="B11" i="12"/>
  <c r="B17" i="12"/>
  <c r="B16" i="12"/>
  <c r="B18" i="12"/>
  <c r="M15" i="12"/>
  <c r="L15" i="12"/>
  <c r="K15" i="12"/>
  <c r="J15" i="12"/>
  <c r="I15" i="12"/>
  <c r="H15" i="12"/>
  <c r="G15" i="12"/>
  <c r="F15" i="12"/>
  <c r="E15" i="12"/>
  <c r="D15" i="12"/>
  <c r="C15" i="12"/>
  <c r="B72" i="13"/>
  <c r="B71" i="13"/>
  <c r="B70" i="13"/>
  <c r="B68" i="13"/>
  <c r="B67" i="13"/>
  <c r="B66" i="13"/>
  <c r="B54" i="13"/>
  <c r="B53" i="13"/>
  <c r="B52" i="13"/>
  <c r="C51" i="13"/>
  <c r="F47" i="13"/>
  <c r="E47" i="13"/>
  <c r="D47" i="13"/>
  <c r="C47" i="13"/>
  <c r="D36" i="13"/>
  <c r="E36" i="13"/>
  <c r="F36" i="13"/>
  <c r="G36" i="13"/>
  <c r="H36" i="13"/>
  <c r="I36" i="13"/>
  <c r="J36" i="13"/>
  <c r="K36" i="13"/>
  <c r="L36" i="13"/>
  <c r="M36" i="13"/>
  <c r="C36" i="13"/>
  <c r="D40" i="13"/>
  <c r="E40" i="13"/>
  <c r="F40" i="13"/>
  <c r="G40" i="13"/>
  <c r="H40" i="13"/>
  <c r="I40" i="13"/>
  <c r="J40" i="13"/>
  <c r="K40" i="13"/>
  <c r="L40" i="13"/>
  <c r="M40" i="13"/>
  <c r="C40" i="13"/>
  <c r="B43" i="13"/>
  <c r="B42" i="13"/>
  <c r="B41" i="13"/>
  <c r="B39" i="13"/>
  <c r="B38" i="13"/>
  <c r="B37" i="13"/>
  <c r="B46" i="15"/>
  <c r="B36" i="15"/>
  <c r="B43" i="15"/>
  <c r="B42" i="15"/>
  <c r="B41" i="15"/>
  <c r="B48" i="15"/>
  <c r="B47" i="15"/>
  <c r="C75" i="13"/>
  <c r="M79" i="13"/>
  <c r="L79" i="13"/>
  <c r="K79" i="13"/>
  <c r="J79" i="13"/>
  <c r="I79" i="13"/>
  <c r="H79" i="13"/>
  <c r="G79" i="13"/>
  <c r="F79" i="13"/>
  <c r="E79" i="13"/>
  <c r="D79" i="13"/>
  <c r="C79" i="13"/>
  <c r="M75" i="13"/>
  <c r="L75" i="13"/>
  <c r="K75" i="13"/>
  <c r="J75" i="13"/>
  <c r="I75" i="13"/>
  <c r="H75" i="13"/>
  <c r="G75" i="13"/>
  <c r="F75" i="13"/>
  <c r="E75" i="13"/>
  <c r="D75" i="13"/>
  <c r="M69" i="13"/>
  <c r="L69" i="13"/>
  <c r="K69" i="13"/>
  <c r="J69" i="13"/>
  <c r="I69" i="13"/>
  <c r="H69" i="13"/>
  <c r="G69" i="13"/>
  <c r="F69" i="13"/>
  <c r="E69" i="13"/>
  <c r="D69" i="13"/>
  <c r="C69" i="13"/>
  <c r="M65" i="13"/>
  <c r="L65" i="13"/>
  <c r="K65" i="13"/>
  <c r="J65" i="13"/>
  <c r="I65" i="13"/>
  <c r="H65" i="13"/>
  <c r="G65" i="13"/>
  <c r="F65" i="13"/>
  <c r="E65" i="13"/>
  <c r="D65" i="13"/>
  <c r="C65" i="13"/>
  <c r="B42" i="12"/>
  <c r="C35" i="12"/>
  <c r="D41" i="12"/>
  <c r="E41" i="12"/>
  <c r="F41" i="12"/>
  <c r="G41" i="12"/>
  <c r="H41" i="12"/>
  <c r="I41" i="12"/>
  <c r="J41" i="12"/>
  <c r="K41" i="12"/>
  <c r="L41" i="12"/>
  <c r="M41" i="12"/>
  <c r="C41" i="12"/>
  <c r="D35" i="12"/>
  <c r="E35" i="12"/>
  <c r="F35" i="12"/>
  <c r="G35" i="12"/>
  <c r="H35" i="12"/>
  <c r="I35" i="12"/>
  <c r="J35" i="12"/>
  <c r="K35" i="12"/>
  <c r="L35" i="12"/>
  <c r="M35" i="12"/>
  <c r="C22" i="12"/>
  <c r="D47" i="12"/>
  <c r="D46" i="12" s="1"/>
  <c r="E47" i="12"/>
  <c r="F47" i="12"/>
  <c r="G47" i="12"/>
  <c r="H47" i="12"/>
  <c r="I47" i="12"/>
  <c r="J47" i="12"/>
  <c r="K47" i="12"/>
  <c r="L47" i="12"/>
  <c r="M47" i="12"/>
  <c r="C47" i="12"/>
  <c r="C46" i="12" s="1"/>
  <c r="E53" i="12"/>
  <c r="F53" i="12"/>
  <c r="G53" i="12"/>
  <c r="H53" i="12"/>
  <c r="I53" i="12"/>
  <c r="J53" i="12"/>
  <c r="K53" i="12"/>
  <c r="L53" i="12"/>
  <c r="M53" i="12"/>
  <c r="B44" i="12"/>
  <c r="B38" i="12"/>
  <c r="B39" i="12"/>
  <c r="B122" i="3"/>
  <c r="B124" i="3"/>
  <c r="B125" i="3"/>
  <c r="B126" i="3"/>
  <c r="B127" i="3"/>
  <c r="B128" i="3"/>
  <c r="B129" i="3"/>
  <c r="B130" i="3"/>
  <c r="B131" i="3"/>
  <c r="B132" i="3"/>
  <c r="E121" i="3"/>
  <c r="D121" i="3"/>
  <c r="C121" i="3"/>
  <c r="E108" i="3"/>
  <c r="D108" i="3"/>
  <c r="C108" i="3"/>
  <c r="B111" i="3"/>
  <c r="B112" i="3"/>
  <c r="B113" i="3"/>
  <c r="B114" i="3"/>
  <c r="B115" i="3"/>
  <c r="B116" i="3"/>
  <c r="B117" i="3"/>
  <c r="B118" i="3"/>
  <c r="B119" i="3"/>
  <c r="B110" i="3"/>
  <c r="B109" i="3"/>
  <c r="B45" i="15" l="1"/>
  <c r="I46" i="12"/>
  <c r="F46" i="12"/>
  <c r="L46" i="12"/>
  <c r="M46" i="12"/>
  <c r="E46" i="12"/>
  <c r="J46" i="12"/>
  <c r="K46" i="12"/>
  <c r="H46" i="12"/>
  <c r="G46" i="12"/>
  <c r="D74" i="13"/>
  <c r="L74" i="13"/>
  <c r="B51" i="13"/>
  <c r="B36" i="13"/>
  <c r="E34" i="12"/>
  <c r="C74" i="13"/>
  <c r="C35" i="13"/>
  <c r="C46" i="13"/>
  <c r="B65" i="13"/>
  <c r="B79" i="13"/>
  <c r="B74" i="13" s="1"/>
  <c r="B35" i="12"/>
  <c r="B41" i="12"/>
  <c r="B40" i="13"/>
  <c r="B22" i="12"/>
  <c r="B28" i="12"/>
  <c r="F34" i="12"/>
  <c r="B9" i="12"/>
  <c r="J34" i="12"/>
  <c r="I34" i="12"/>
  <c r="M34" i="12"/>
  <c r="B15" i="12"/>
  <c r="H34" i="12"/>
  <c r="C34" i="12"/>
  <c r="L34" i="12"/>
  <c r="D34" i="12"/>
  <c r="G34" i="12"/>
  <c r="B40" i="15"/>
  <c r="J64" i="13"/>
  <c r="I64" i="13"/>
  <c r="E74" i="13"/>
  <c r="M74" i="13"/>
  <c r="K74" i="13"/>
  <c r="I74" i="13"/>
  <c r="G74" i="13"/>
  <c r="K64" i="13"/>
  <c r="E64" i="13"/>
  <c r="M64" i="13"/>
  <c r="L64" i="13"/>
  <c r="C64" i="13"/>
  <c r="H74" i="13"/>
  <c r="J74" i="13"/>
  <c r="F64" i="13"/>
  <c r="H64" i="13"/>
  <c r="D64" i="13"/>
  <c r="F74" i="13"/>
  <c r="B69" i="13"/>
  <c r="G64" i="13"/>
  <c r="K34" i="12"/>
  <c r="B121" i="3"/>
  <c r="B108" i="3"/>
  <c r="B64" i="13" l="1"/>
  <c r="B35" i="13"/>
  <c r="B34" i="12"/>
  <c r="B21" i="12"/>
  <c r="B8" i="12"/>
  <c r="M28" i="12"/>
  <c r="L28" i="12"/>
  <c r="K28" i="12"/>
  <c r="J28" i="12"/>
  <c r="I28" i="12"/>
  <c r="H28" i="12"/>
  <c r="M22" i="12"/>
  <c r="L22" i="12"/>
  <c r="K22" i="12"/>
  <c r="J22" i="12"/>
  <c r="I22" i="12"/>
  <c r="H22" i="12"/>
  <c r="M9" i="12"/>
  <c r="L9" i="12"/>
  <c r="K9" i="12"/>
  <c r="J9" i="12"/>
  <c r="I9" i="12"/>
  <c r="H9" i="12"/>
  <c r="L21" i="12" l="1"/>
  <c r="L8" i="12"/>
  <c r="I21" i="12"/>
  <c r="M21" i="12"/>
  <c r="M8" i="12"/>
  <c r="H21" i="12"/>
  <c r="H8" i="12"/>
  <c r="J21" i="12"/>
  <c r="I8" i="12"/>
  <c r="K8" i="12"/>
  <c r="K21" i="12"/>
  <c r="J8" i="12"/>
  <c r="C12" i="13" l="1"/>
  <c r="B48" i="13" l="1"/>
  <c r="J35" i="13" l="1"/>
  <c r="I35" i="13"/>
  <c r="G35" i="13"/>
  <c r="H35" i="13"/>
  <c r="D35" i="13"/>
  <c r="L35" i="13"/>
  <c r="K35" i="13"/>
  <c r="F35" i="13"/>
  <c r="E35" i="13"/>
  <c r="M35" i="13"/>
  <c r="G28" i="12"/>
  <c r="F28" i="12"/>
  <c r="E28" i="12"/>
  <c r="D28" i="12"/>
  <c r="C28" i="12"/>
  <c r="B23" i="12"/>
  <c r="G22" i="12"/>
  <c r="F22" i="12"/>
  <c r="E22" i="12"/>
  <c r="D22" i="12"/>
  <c r="C21" i="12" l="1"/>
  <c r="E21" i="12"/>
  <c r="G21" i="12"/>
  <c r="F21" i="12"/>
  <c r="D21" i="12"/>
  <c r="B93" i="3" l="1"/>
  <c r="B84" i="3"/>
  <c r="B85" i="3"/>
  <c r="B86" i="3"/>
  <c r="B87" i="3"/>
  <c r="B88" i="3"/>
  <c r="B89" i="3"/>
  <c r="B90" i="3"/>
  <c r="B91" i="3"/>
  <c r="B92" i="3"/>
  <c r="B83" i="3"/>
  <c r="B69" i="3"/>
  <c r="B73" i="3"/>
  <c r="B38" i="15" l="1"/>
  <c r="B37" i="15"/>
  <c r="B35" i="15" l="1"/>
  <c r="B79" i="3"/>
  <c r="C82" i="3"/>
  <c r="D82" i="3"/>
  <c r="E82" i="3"/>
  <c r="B82" i="3"/>
  <c r="B96" i="3"/>
  <c r="B97" i="3"/>
  <c r="B98" i="3"/>
  <c r="B99" i="3"/>
  <c r="B100" i="3"/>
  <c r="B101" i="3"/>
  <c r="B102" i="3"/>
  <c r="B103" i="3"/>
  <c r="B104" i="3"/>
  <c r="B105" i="3"/>
  <c r="B106" i="3"/>
  <c r="C95" i="3"/>
  <c r="D95" i="3"/>
  <c r="D68" i="3"/>
  <c r="C68" i="3"/>
  <c r="E68" i="3"/>
  <c r="E95" i="3"/>
  <c r="B95" i="3" l="1"/>
  <c r="B25" i="13" l="1"/>
  <c r="M23" i="13"/>
  <c r="L23" i="13"/>
  <c r="K23" i="13"/>
  <c r="J23" i="13"/>
  <c r="I23" i="13"/>
  <c r="H23" i="13"/>
  <c r="G23" i="13"/>
  <c r="F23" i="13"/>
  <c r="E23" i="13"/>
  <c r="D23" i="13"/>
  <c r="C23" i="13"/>
  <c r="B50" i="13"/>
  <c r="M51" i="13"/>
  <c r="L51" i="13"/>
  <c r="K51" i="13"/>
  <c r="J51" i="13"/>
  <c r="I51" i="13"/>
  <c r="H51" i="13"/>
  <c r="G51" i="13"/>
  <c r="F51" i="13"/>
  <c r="E51" i="13"/>
  <c r="D51" i="13"/>
  <c r="G47" i="13" l="1"/>
  <c r="B10" i="12"/>
  <c r="G9" i="12"/>
  <c r="F9" i="12"/>
  <c r="E9" i="12"/>
  <c r="D9" i="12"/>
  <c r="C9" i="12"/>
  <c r="D8" i="12" l="1"/>
  <c r="G46" i="13"/>
  <c r="F46" i="13"/>
  <c r="M47" i="13"/>
  <c r="M46" i="13" s="1"/>
  <c r="L47" i="13"/>
  <c r="L46" i="13" s="1"/>
  <c r="K47" i="13"/>
  <c r="K46" i="13" s="1"/>
  <c r="J47" i="13"/>
  <c r="J46" i="13" s="1"/>
  <c r="I47" i="13"/>
  <c r="H47" i="13"/>
  <c r="H46" i="13" s="1"/>
  <c r="B49" i="13"/>
  <c r="B47" i="13" s="1"/>
  <c r="B46" i="13" s="1"/>
  <c r="D46" i="13"/>
  <c r="F8" i="12"/>
  <c r="E8" i="12"/>
  <c r="G8" i="12"/>
  <c r="C8" i="12"/>
  <c r="I46" i="13" l="1"/>
  <c r="E46" i="13"/>
  <c r="D6" i="51" l="1"/>
  <c r="F6" i="51" s="1"/>
  <c r="D16" i="51"/>
  <c r="F16" i="51" s="1"/>
  <c r="D7" i="51"/>
  <c r="C17" i="51"/>
  <c r="B17" i="51"/>
  <c r="D17" i="51" l="1"/>
  <c r="C127" i="51"/>
  <c r="B127" i="51"/>
  <c r="D126" i="51"/>
  <c r="F126" i="51" s="1"/>
  <c r="D125" i="51"/>
  <c r="F125" i="51" s="1"/>
  <c r="D124" i="51"/>
  <c r="F124" i="51" s="1"/>
  <c r="D123" i="51"/>
  <c r="F123" i="51" s="1"/>
  <c r="D122" i="51"/>
  <c r="F122" i="51" s="1"/>
  <c r="D121" i="51"/>
  <c r="F121" i="51" s="1"/>
  <c r="D120" i="51"/>
  <c r="F120" i="51" s="1"/>
  <c r="D119" i="51"/>
  <c r="F119" i="51" s="1"/>
  <c r="D118" i="51"/>
  <c r="F118" i="51" s="1"/>
  <c r="D117" i="51"/>
  <c r="F117" i="51" s="1"/>
  <c r="D116" i="51"/>
  <c r="F116" i="51" s="1"/>
  <c r="C105" i="51"/>
  <c r="B105" i="51"/>
  <c r="D104" i="51"/>
  <c r="F104" i="51" s="1"/>
  <c r="D103" i="51"/>
  <c r="F103" i="51" s="1"/>
  <c r="D102" i="51"/>
  <c r="F102" i="51" s="1"/>
  <c r="D101" i="51"/>
  <c r="F101" i="51" s="1"/>
  <c r="D100" i="51"/>
  <c r="F100" i="51" s="1"/>
  <c r="D99" i="51"/>
  <c r="F99" i="51" s="1"/>
  <c r="D98" i="51"/>
  <c r="F98" i="51" s="1"/>
  <c r="D97" i="51"/>
  <c r="F97" i="51" s="1"/>
  <c r="D96" i="51"/>
  <c r="F96" i="51" s="1"/>
  <c r="D95" i="51"/>
  <c r="F95" i="51" s="1"/>
  <c r="D94" i="51"/>
  <c r="F94" i="51" s="1"/>
  <c r="C83" i="51"/>
  <c r="B83" i="51"/>
  <c r="D82" i="51"/>
  <c r="F82" i="51" s="1"/>
  <c r="D81" i="51"/>
  <c r="F81" i="51" s="1"/>
  <c r="D80" i="51"/>
  <c r="F80" i="51" s="1"/>
  <c r="D79" i="51"/>
  <c r="F79" i="51" s="1"/>
  <c r="D78" i="51"/>
  <c r="F78" i="51" s="1"/>
  <c r="D77" i="51"/>
  <c r="F77" i="51" s="1"/>
  <c r="D76" i="51"/>
  <c r="F76" i="51" s="1"/>
  <c r="D75" i="51"/>
  <c r="F75" i="51" s="1"/>
  <c r="D74" i="51"/>
  <c r="F74" i="51" s="1"/>
  <c r="D73" i="51"/>
  <c r="F73" i="51" s="1"/>
  <c r="D72" i="51"/>
  <c r="F72" i="51" s="1"/>
  <c r="C61" i="51"/>
  <c r="B61" i="51"/>
  <c r="D60" i="51"/>
  <c r="F60" i="51" s="1"/>
  <c r="D59" i="51"/>
  <c r="F59" i="51" s="1"/>
  <c r="D58" i="51"/>
  <c r="F58" i="51" s="1"/>
  <c r="D57" i="51"/>
  <c r="F57" i="51" s="1"/>
  <c r="D56" i="51"/>
  <c r="F56" i="51" s="1"/>
  <c r="D55" i="51"/>
  <c r="F55" i="51" s="1"/>
  <c r="D54" i="51"/>
  <c r="F54" i="51" s="1"/>
  <c r="D53" i="51"/>
  <c r="F53" i="51" s="1"/>
  <c r="D52" i="51"/>
  <c r="F52" i="51" s="1"/>
  <c r="D51" i="51"/>
  <c r="F51" i="51" s="1"/>
  <c r="D50" i="51"/>
  <c r="F50" i="51" s="1"/>
  <c r="C39" i="51"/>
  <c r="B39" i="51"/>
  <c r="D38" i="51"/>
  <c r="F38" i="51" s="1"/>
  <c r="D37" i="51"/>
  <c r="F37" i="51" s="1"/>
  <c r="D36" i="51"/>
  <c r="F36" i="51" s="1"/>
  <c r="D35" i="51"/>
  <c r="F35" i="51" s="1"/>
  <c r="D34" i="51"/>
  <c r="F34" i="51" s="1"/>
  <c r="D33" i="51"/>
  <c r="F33" i="51" s="1"/>
  <c r="D32" i="51"/>
  <c r="F32" i="51" s="1"/>
  <c r="D31" i="51"/>
  <c r="F31" i="51" s="1"/>
  <c r="D30" i="51"/>
  <c r="F30" i="51" s="1"/>
  <c r="D29" i="51"/>
  <c r="F29" i="51" s="1"/>
  <c r="D28" i="51"/>
  <c r="F28" i="51" s="1"/>
  <c r="D15" i="51"/>
  <c r="F15" i="51" s="1"/>
  <c r="D14" i="51"/>
  <c r="D13" i="51"/>
  <c r="F13" i="51" s="1"/>
  <c r="D12" i="51"/>
  <c r="D11" i="51"/>
  <c r="F11" i="51" s="1"/>
  <c r="D10" i="51"/>
  <c r="D9" i="51"/>
  <c r="F9" i="51" s="1"/>
  <c r="D8" i="51"/>
  <c r="F8" i="51" s="1"/>
  <c r="F7" i="51"/>
  <c r="H16" i="51" l="1"/>
  <c r="E16" i="51" s="1"/>
  <c r="H6" i="51"/>
  <c r="D39" i="51"/>
  <c r="H36" i="51" s="1"/>
  <c r="E36" i="51" s="1"/>
  <c r="D105" i="51"/>
  <c r="H96" i="51" s="1"/>
  <c r="E96" i="51" s="1"/>
  <c r="H12" i="51"/>
  <c r="E12" i="51" s="1"/>
  <c r="D83" i="51"/>
  <c r="H73" i="51" s="1"/>
  <c r="E73" i="51" s="1"/>
  <c r="D127" i="51"/>
  <c r="H122" i="51" s="1"/>
  <c r="E122" i="51" s="1"/>
  <c r="F12" i="51"/>
  <c r="F10" i="51"/>
  <c r="F14" i="51"/>
  <c r="D61" i="51"/>
  <c r="J41" i="39"/>
  <c r="H125" i="51" l="1"/>
  <c r="E125" i="51" s="1"/>
  <c r="H102" i="51"/>
  <c r="E102" i="51" s="1"/>
  <c r="H98" i="51"/>
  <c r="E98" i="51" s="1"/>
  <c r="H104" i="51"/>
  <c r="E104" i="51" s="1"/>
  <c r="H97" i="51"/>
  <c r="E97" i="51" s="1"/>
  <c r="H99" i="51"/>
  <c r="E99" i="51" s="1"/>
  <c r="H95" i="51"/>
  <c r="E95" i="51" s="1"/>
  <c r="H103" i="51"/>
  <c r="E103" i="51" s="1"/>
  <c r="H94" i="51"/>
  <c r="E94" i="51" s="1"/>
  <c r="H101" i="51"/>
  <c r="E101" i="51" s="1"/>
  <c r="H100" i="51"/>
  <c r="E100" i="51" s="1"/>
  <c r="H80" i="51"/>
  <c r="E80" i="51" s="1"/>
  <c r="H81" i="51"/>
  <c r="E81" i="51" s="1"/>
  <c r="H79" i="51"/>
  <c r="E79" i="51" s="1"/>
  <c r="H38" i="51"/>
  <c r="E38" i="51" s="1"/>
  <c r="H35" i="51"/>
  <c r="E35" i="51" s="1"/>
  <c r="H31" i="51"/>
  <c r="E31" i="51" s="1"/>
  <c r="H74" i="51"/>
  <c r="E74" i="51" s="1"/>
  <c r="H29" i="51"/>
  <c r="E29" i="51" s="1"/>
  <c r="H77" i="51"/>
  <c r="E77" i="51" s="1"/>
  <c r="H37" i="51"/>
  <c r="E37" i="51" s="1"/>
  <c r="H72" i="51"/>
  <c r="E72" i="51" s="1"/>
  <c r="H30" i="51"/>
  <c r="E30" i="51" s="1"/>
  <c r="H120" i="51"/>
  <c r="E120" i="51" s="1"/>
  <c r="H33" i="51"/>
  <c r="E33" i="51" s="1"/>
  <c r="H121" i="51"/>
  <c r="E121" i="51" s="1"/>
  <c r="H32" i="51"/>
  <c r="E32" i="51" s="1"/>
  <c r="H28" i="51"/>
  <c r="E28" i="51" s="1"/>
  <c r="H116" i="51"/>
  <c r="E116" i="51" s="1"/>
  <c r="H76" i="51"/>
  <c r="E76" i="51" s="1"/>
  <c r="H34" i="51"/>
  <c r="E34" i="51" s="1"/>
  <c r="H14" i="51"/>
  <c r="E14" i="51" s="1"/>
  <c r="H7" i="51"/>
  <c r="E7" i="51" s="1"/>
  <c r="H9" i="51"/>
  <c r="E9" i="51" s="1"/>
  <c r="H11" i="51"/>
  <c r="E11" i="51" s="1"/>
  <c r="E6" i="51"/>
  <c r="H13" i="51"/>
  <c r="E13" i="51" s="1"/>
  <c r="H8" i="51"/>
  <c r="E8" i="51" s="1"/>
  <c r="H15" i="51"/>
  <c r="E15" i="51" s="1"/>
  <c r="H10" i="51"/>
  <c r="E10" i="51" s="1"/>
  <c r="H124" i="51"/>
  <c r="E124" i="51" s="1"/>
  <c r="H117" i="51"/>
  <c r="E117" i="51" s="1"/>
  <c r="H119" i="51"/>
  <c r="E119" i="51" s="1"/>
  <c r="H82" i="51"/>
  <c r="E82" i="51" s="1"/>
  <c r="H123" i="51"/>
  <c r="E123" i="51" s="1"/>
  <c r="H75" i="51"/>
  <c r="E75" i="51" s="1"/>
  <c r="H118" i="51"/>
  <c r="E118" i="51" s="1"/>
  <c r="H78" i="51"/>
  <c r="E78" i="51" s="1"/>
  <c r="H126" i="51"/>
  <c r="E126" i="51" s="1"/>
  <c r="H59" i="51"/>
  <c r="E59" i="51" s="1"/>
  <c r="H51" i="51"/>
  <c r="E51" i="51" s="1"/>
  <c r="H56" i="51"/>
  <c r="E56" i="51" s="1"/>
  <c r="H53" i="51"/>
  <c r="E53" i="51" s="1"/>
  <c r="H58" i="51"/>
  <c r="E58" i="51" s="1"/>
  <c r="H50" i="51"/>
  <c r="E50" i="51" s="1"/>
  <c r="H54" i="51"/>
  <c r="E54" i="51" s="1"/>
  <c r="H55" i="51"/>
  <c r="E55" i="51" s="1"/>
  <c r="H60" i="51"/>
  <c r="E60" i="51" s="1"/>
  <c r="H52" i="51"/>
  <c r="E52" i="51" s="1"/>
  <c r="H57" i="51"/>
  <c r="E57" i="51" s="1"/>
  <c r="F6" i="39"/>
  <c r="E105" i="51" l="1"/>
  <c r="E39" i="51"/>
  <c r="E17" i="51"/>
  <c r="E127" i="51"/>
  <c r="E83" i="51"/>
  <c r="E61" i="51"/>
  <c r="M36" i="34" l="1"/>
  <c r="M37" i="34"/>
  <c r="M38" i="34"/>
  <c r="M39" i="34"/>
  <c r="M40" i="34"/>
  <c r="M41" i="34"/>
  <c r="M42" i="34"/>
  <c r="M43" i="34"/>
  <c r="M44" i="34"/>
  <c r="M45" i="34"/>
  <c r="M46" i="34"/>
  <c r="M47" i="34"/>
  <c r="M48" i="34"/>
  <c r="M49" i="34"/>
  <c r="M50" i="34"/>
  <c r="M51" i="34"/>
  <c r="M52" i="34"/>
  <c r="M53" i="34"/>
  <c r="M35" i="34"/>
  <c r="F92" i="39" l="1"/>
  <c r="B6" i="22" l="1"/>
  <c r="C6" i="22"/>
  <c r="D6" i="22"/>
  <c r="E6" i="22"/>
  <c r="F6" i="22"/>
  <c r="F7" i="39"/>
  <c r="F8" i="39"/>
  <c r="F9" i="39"/>
  <c r="F10" i="39"/>
  <c r="F11" i="39"/>
  <c r="F12" i="39"/>
  <c r="F13" i="39"/>
  <c r="F14" i="39"/>
  <c r="F15" i="39"/>
  <c r="F16" i="39"/>
  <c r="B17" i="39"/>
  <c r="C17" i="39"/>
  <c r="D17" i="39"/>
  <c r="H15" i="39" s="1"/>
  <c r="E15" i="39" s="1"/>
  <c r="D27" i="39"/>
  <c r="F27" i="39" s="1"/>
  <c r="D28" i="39"/>
  <c r="F28" i="39" s="1"/>
  <c r="D29" i="39"/>
  <c r="D30" i="39"/>
  <c r="F30" i="39" s="1"/>
  <c r="D31" i="39"/>
  <c r="F31" i="39" s="1"/>
  <c r="D32" i="39"/>
  <c r="F32" i="39" s="1"/>
  <c r="D33" i="39"/>
  <c r="D34" i="39"/>
  <c r="F34" i="39" s="1"/>
  <c r="D35" i="39"/>
  <c r="F35" i="39" s="1"/>
  <c r="D36" i="39"/>
  <c r="F36" i="39" s="1"/>
  <c r="F37" i="39"/>
  <c r="B38" i="39"/>
  <c r="C38" i="39"/>
  <c r="D47" i="39"/>
  <c r="F47" i="39" s="1"/>
  <c r="D48" i="39"/>
  <c r="F48" i="39" s="1"/>
  <c r="D49" i="39"/>
  <c r="F49" i="39" s="1"/>
  <c r="D50" i="39"/>
  <c r="D51" i="39"/>
  <c r="F51" i="39" s="1"/>
  <c r="D52" i="39"/>
  <c r="F52" i="39" s="1"/>
  <c r="D53" i="39"/>
  <c r="F53" i="39" s="1"/>
  <c r="D54" i="39"/>
  <c r="F54" i="39" s="1"/>
  <c r="D55" i="39"/>
  <c r="F55" i="39" s="1"/>
  <c r="D56" i="39"/>
  <c r="F56" i="39" s="1"/>
  <c r="F57" i="39"/>
  <c r="B58" i="39"/>
  <c r="D68" i="39"/>
  <c r="F68" i="39" s="1"/>
  <c r="D69" i="39"/>
  <c r="F69" i="39" s="1"/>
  <c r="D70" i="39"/>
  <c r="F70" i="39" s="1"/>
  <c r="D71" i="39"/>
  <c r="F71" i="39" s="1"/>
  <c r="D72" i="39"/>
  <c r="F72" i="39" s="1"/>
  <c r="D73" i="39"/>
  <c r="F73" i="39" s="1"/>
  <c r="D74" i="39"/>
  <c r="F74" i="39" s="1"/>
  <c r="D75" i="39"/>
  <c r="D76" i="39"/>
  <c r="F76" i="39" s="1"/>
  <c r="D77" i="39"/>
  <c r="F77" i="39" s="1"/>
  <c r="F78" i="39"/>
  <c r="B79" i="39"/>
  <c r="C79" i="39"/>
  <c r="F88" i="39"/>
  <c r="F89" i="39"/>
  <c r="F90" i="39"/>
  <c r="F91" i="39"/>
  <c r="F93" i="39"/>
  <c r="F94" i="39"/>
  <c r="F95" i="39"/>
  <c r="F96" i="39"/>
  <c r="F97" i="39"/>
  <c r="F98" i="39"/>
  <c r="B99" i="39"/>
  <c r="C99" i="39"/>
  <c r="D99" i="39"/>
  <c r="H92" i="39" s="1"/>
  <c r="E92" i="39" s="1"/>
  <c r="F127" i="39"/>
  <c r="F128" i="39"/>
  <c r="F129" i="39"/>
  <c r="F130" i="39"/>
  <c r="F131" i="39"/>
  <c r="F132" i="39"/>
  <c r="F133" i="39"/>
  <c r="F134" i="39"/>
  <c r="F135" i="39"/>
  <c r="F136" i="39"/>
  <c r="F137" i="39"/>
  <c r="B138" i="39"/>
  <c r="C138" i="39"/>
  <c r="D138" i="39"/>
  <c r="H135" i="39" s="1"/>
  <c r="E135" i="39" s="1"/>
  <c r="F148" i="39"/>
  <c r="F149" i="39"/>
  <c r="F150" i="39"/>
  <c r="F151" i="39"/>
  <c r="F152" i="39"/>
  <c r="F153" i="39"/>
  <c r="F154" i="39"/>
  <c r="F155" i="39"/>
  <c r="F156" i="39"/>
  <c r="F157" i="39"/>
  <c r="F158" i="39"/>
  <c r="B159" i="39"/>
  <c r="C159" i="39"/>
  <c r="D159" i="39"/>
  <c r="H158" i="39" s="1"/>
  <c r="E158" i="39" s="1"/>
  <c r="D7" i="34"/>
  <c r="E7" i="34"/>
  <c r="F7" i="34"/>
  <c r="G7" i="34"/>
  <c r="H7" i="34"/>
  <c r="I7" i="34"/>
  <c r="J7" i="34"/>
  <c r="K7" i="34"/>
  <c r="L7" i="34"/>
  <c r="B8" i="15"/>
  <c r="B9" i="15"/>
  <c r="B11" i="15"/>
  <c r="B12" i="15"/>
  <c r="B14" i="15"/>
  <c r="B15" i="15"/>
  <c r="B17" i="15"/>
  <c r="B18" i="15"/>
  <c r="D20" i="15"/>
  <c r="E20" i="15"/>
  <c r="F20" i="15"/>
  <c r="G20" i="15"/>
  <c r="H20" i="15"/>
  <c r="I20" i="15"/>
  <c r="J20" i="15"/>
  <c r="K20" i="15"/>
  <c r="L20" i="15"/>
  <c r="M20" i="15"/>
  <c r="N20" i="15"/>
  <c r="B22" i="15"/>
  <c r="B23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B27" i="15"/>
  <c r="B28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B32" i="15"/>
  <c r="B33" i="15"/>
  <c r="C8" i="13"/>
  <c r="D8" i="13"/>
  <c r="E8" i="13"/>
  <c r="F8" i="13"/>
  <c r="G8" i="13"/>
  <c r="H8" i="13"/>
  <c r="I8" i="13"/>
  <c r="J8" i="13"/>
  <c r="K8" i="13"/>
  <c r="L8" i="13"/>
  <c r="M8" i="13"/>
  <c r="B9" i="13"/>
  <c r="B10" i="13"/>
  <c r="B11" i="13"/>
  <c r="D12" i="13"/>
  <c r="E12" i="13"/>
  <c r="F12" i="13"/>
  <c r="G12" i="13"/>
  <c r="H12" i="13"/>
  <c r="I12" i="13"/>
  <c r="J12" i="13"/>
  <c r="K12" i="13"/>
  <c r="L12" i="13"/>
  <c r="M12" i="13"/>
  <c r="B13" i="13"/>
  <c r="B14" i="13"/>
  <c r="B15" i="13"/>
  <c r="C19" i="13"/>
  <c r="D19" i="13"/>
  <c r="E19" i="13"/>
  <c r="F19" i="13"/>
  <c r="G19" i="13"/>
  <c r="H19" i="13"/>
  <c r="I19" i="13"/>
  <c r="J19" i="13"/>
  <c r="K19" i="13"/>
  <c r="L19" i="13"/>
  <c r="M19" i="13"/>
  <c r="B20" i="13"/>
  <c r="B21" i="13"/>
  <c r="B22" i="13"/>
  <c r="B24" i="13"/>
  <c r="B26" i="13"/>
  <c r="C6" i="3"/>
  <c r="D6" i="3"/>
  <c r="E6" i="3"/>
  <c r="B7" i="3"/>
  <c r="B8" i="3"/>
  <c r="B9" i="3"/>
  <c r="B10" i="3"/>
  <c r="B11" i="3"/>
  <c r="B12" i="3"/>
  <c r="B13" i="3"/>
  <c r="B14" i="3"/>
  <c r="B15" i="3"/>
  <c r="B16" i="3"/>
  <c r="B17" i="3"/>
  <c r="C20" i="3"/>
  <c r="D20" i="3"/>
  <c r="E20" i="3"/>
  <c r="B21" i="3"/>
  <c r="B22" i="3"/>
  <c r="B23" i="3"/>
  <c r="B24" i="3"/>
  <c r="B25" i="3"/>
  <c r="B26" i="3"/>
  <c r="B27" i="3"/>
  <c r="B28" i="3"/>
  <c r="B29" i="3"/>
  <c r="B30" i="3"/>
  <c r="C34" i="3"/>
  <c r="D34" i="3"/>
  <c r="E34" i="3"/>
  <c r="B35" i="3"/>
  <c r="B36" i="3"/>
  <c r="B37" i="3"/>
  <c r="B38" i="3"/>
  <c r="B39" i="3"/>
  <c r="B40" i="3"/>
  <c r="B41" i="3"/>
  <c r="B42" i="3"/>
  <c r="B43" i="3"/>
  <c r="B44" i="3"/>
  <c r="B45" i="3"/>
  <c r="C48" i="3"/>
  <c r="D48" i="3"/>
  <c r="E48" i="3"/>
  <c r="B49" i="3"/>
  <c r="B50" i="3"/>
  <c r="B51" i="3"/>
  <c r="B52" i="3"/>
  <c r="B53" i="3"/>
  <c r="B54" i="3"/>
  <c r="B55" i="3"/>
  <c r="B56" i="3"/>
  <c r="B57" i="3"/>
  <c r="B58" i="3"/>
  <c r="B59" i="3"/>
  <c r="B70" i="3"/>
  <c r="B71" i="3"/>
  <c r="B72" i="3"/>
  <c r="B74" i="3"/>
  <c r="B75" i="3"/>
  <c r="B76" i="3"/>
  <c r="B77" i="3"/>
  <c r="B78" i="3"/>
  <c r="H151" i="39" l="1"/>
  <c r="E151" i="39" s="1"/>
  <c r="B12" i="13"/>
  <c r="B68" i="3"/>
  <c r="H136" i="39"/>
  <c r="E136" i="39" s="1"/>
  <c r="H128" i="39"/>
  <c r="E128" i="39" s="1"/>
  <c r="C18" i="13"/>
  <c r="E7" i="13"/>
  <c r="G7" i="13"/>
  <c r="K18" i="13"/>
  <c r="H18" i="13"/>
  <c r="D18" i="13"/>
  <c r="L7" i="13"/>
  <c r="J7" i="13"/>
  <c r="F7" i="13"/>
  <c r="H96" i="39"/>
  <c r="E96" i="39" s="1"/>
  <c r="H16" i="39"/>
  <c r="E16" i="39" s="1"/>
  <c r="L18" i="13"/>
  <c r="M7" i="13"/>
  <c r="I7" i="13"/>
  <c r="H7" i="39"/>
  <c r="E7" i="39" s="1"/>
  <c r="B23" i="13"/>
  <c r="H149" i="39"/>
  <c r="E149" i="39" s="1"/>
  <c r="H155" i="39"/>
  <c r="E155" i="39" s="1"/>
  <c r="H152" i="39"/>
  <c r="E152" i="39" s="1"/>
  <c r="H154" i="39"/>
  <c r="E154" i="39" s="1"/>
  <c r="H150" i="39"/>
  <c r="E150" i="39" s="1"/>
  <c r="H157" i="39"/>
  <c r="E157" i="39" s="1"/>
  <c r="C7" i="13"/>
  <c r="J18" i="13"/>
  <c r="H7" i="13"/>
  <c r="M18" i="13"/>
  <c r="C7" i="34"/>
  <c r="H133" i="39"/>
  <c r="E133" i="39" s="1"/>
  <c r="D7" i="13"/>
  <c r="B25" i="15"/>
  <c r="B20" i="3"/>
  <c r="B19" i="13"/>
  <c r="H98" i="39"/>
  <c r="E98" i="39" s="1"/>
  <c r="H130" i="39"/>
  <c r="E130" i="39" s="1"/>
  <c r="H90" i="39"/>
  <c r="E90" i="39" s="1"/>
  <c r="H137" i="39"/>
  <c r="E137" i="39" s="1"/>
  <c r="H156" i="39"/>
  <c r="E156" i="39" s="1"/>
  <c r="H12" i="39"/>
  <c r="E12" i="39" s="1"/>
  <c r="F18" i="13"/>
  <c r="B6" i="3"/>
  <c r="B20" i="15"/>
  <c r="H94" i="39"/>
  <c r="E94" i="39" s="1"/>
  <c r="H93" i="39"/>
  <c r="E93" i="39" s="1"/>
  <c r="G18" i="13"/>
  <c r="B30" i="15"/>
  <c r="H129" i="39"/>
  <c r="E129" i="39" s="1"/>
  <c r="H153" i="39"/>
  <c r="E153" i="39" s="1"/>
  <c r="H148" i="39"/>
  <c r="E148" i="39" s="1"/>
  <c r="H97" i="39"/>
  <c r="E97" i="39" s="1"/>
  <c r="H11" i="39"/>
  <c r="E11" i="39" s="1"/>
  <c r="I18" i="13"/>
  <c r="H95" i="39"/>
  <c r="E95" i="39" s="1"/>
  <c r="B48" i="3"/>
  <c r="B8" i="13"/>
  <c r="H89" i="39"/>
  <c r="E89" i="39" s="1"/>
  <c r="H10" i="39"/>
  <c r="E10" i="39" s="1"/>
  <c r="K7" i="13"/>
  <c r="F75" i="39"/>
  <c r="B34" i="3"/>
  <c r="D79" i="39"/>
  <c r="E18" i="13"/>
  <c r="F29" i="39"/>
  <c r="D38" i="39"/>
  <c r="F33" i="39"/>
  <c r="F50" i="39"/>
  <c r="H132" i="39"/>
  <c r="E132" i="39" s="1"/>
  <c r="H13" i="39"/>
  <c r="E13" i="39" s="1"/>
  <c r="H14" i="39"/>
  <c r="E14" i="39" s="1"/>
  <c r="H131" i="39"/>
  <c r="E131" i="39" s="1"/>
  <c r="H9" i="39"/>
  <c r="E9" i="39" s="1"/>
  <c r="H6" i="39"/>
  <c r="E6" i="39" s="1"/>
  <c r="D58" i="39"/>
  <c r="H134" i="39"/>
  <c r="E134" i="39" s="1"/>
  <c r="H8" i="39"/>
  <c r="E8" i="39" s="1"/>
  <c r="H127" i="39"/>
  <c r="E127" i="39" s="1"/>
  <c r="H91" i="39"/>
  <c r="E91" i="39" s="1"/>
  <c r="H88" i="39"/>
  <c r="E88" i="39" s="1"/>
  <c r="B18" i="13" l="1"/>
  <c r="E159" i="39"/>
  <c r="B7" i="13"/>
  <c r="E17" i="39"/>
  <c r="E99" i="39"/>
  <c r="H74" i="39"/>
  <c r="E74" i="39" s="1"/>
  <c r="H78" i="39"/>
  <c r="E78" i="39" s="1"/>
  <c r="H71" i="39"/>
  <c r="E71" i="39" s="1"/>
  <c r="H75" i="39"/>
  <c r="E75" i="39" s="1"/>
  <c r="H72" i="39"/>
  <c r="E72" i="39" s="1"/>
  <c r="H77" i="39"/>
  <c r="E77" i="39" s="1"/>
  <c r="H68" i="39"/>
  <c r="E68" i="39" s="1"/>
  <c r="H73" i="39"/>
  <c r="E73" i="39" s="1"/>
  <c r="H70" i="39"/>
  <c r="E70" i="39" s="1"/>
  <c r="H76" i="39"/>
  <c r="E76" i="39" s="1"/>
  <c r="H69" i="39"/>
  <c r="E69" i="39" s="1"/>
  <c r="H48" i="39"/>
  <c r="E48" i="39" s="1"/>
  <c r="H56" i="39"/>
  <c r="E56" i="39" s="1"/>
  <c r="H51" i="39"/>
  <c r="E51" i="39" s="1"/>
  <c r="H50" i="39"/>
  <c r="E50" i="39" s="1"/>
  <c r="H47" i="39"/>
  <c r="E47" i="39" s="1"/>
  <c r="H53" i="39"/>
  <c r="E53" i="39" s="1"/>
  <c r="H52" i="39"/>
  <c r="E52" i="39" s="1"/>
  <c r="H49" i="39"/>
  <c r="E49" i="39" s="1"/>
  <c r="H57" i="39"/>
  <c r="E57" i="39" s="1"/>
  <c r="H55" i="39"/>
  <c r="E55" i="39" s="1"/>
  <c r="H54" i="39"/>
  <c r="E54" i="39" s="1"/>
  <c r="E138" i="39"/>
  <c r="H28" i="39"/>
  <c r="E28" i="39" s="1"/>
  <c r="H30" i="39"/>
  <c r="E30" i="39" s="1"/>
  <c r="H34" i="39"/>
  <c r="E34" i="39" s="1"/>
  <c r="H32" i="39"/>
  <c r="E32" i="39" s="1"/>
  <c r="H27" i="39"/>
  <c r="E27" i="39" s="1"/>
  <c r="H29" i="39"/>
  <c r="E29" i="39" s="1"/>
  <c r="H31" i="39"/>
  <c r="E31" i="39" s="1"/>
  <c r="H33" i="39"/>
  <c r="E33" i="39" s="1"/>
  <c r="H36" i="39"/>
  <c r="E36" i="39" s="1"/>
  <c r="H35" i="39"/>
  <c r="E35" i="39" s="1"/>
  <c r="H37" i="39"/>
  <c r="E37" i="39" s="1"/>
  <c r="E38" i="39" l="1"/>
  <c r="E58" i="39"/>
  <c r="E79" i="39"/>
</calcChain>
</file>

<file path=xl/sharedStrings.xml><?xml version="1.0" encoding="utf-8"?>
<sst xmlns="http://schemas.openxmlformats.org/spreadsheetml/2006/main" count="3686" uniqueCount="863">
  <si>
    <t xml:space="preserve"> Total</t>
  </si>
  <si>
    <t>DIU</t>
  </si>
  <si>
    <t>Antipoliomelítica</t>
  </si>
  <si>
    <t>DPT (triple)</t>
  </si>
  <si>
    <t xml:space="preserve">  Recién nacido</t>
  </si>
  <si>
    <t>Unidad territorial de establecimientos de salud</t>
  </si>
  <si>
    <t>De 15 a
19 años</t>
  </si>
  <si>
    <t>De 10 a
14 años</t>
  </si>
  <si>
    <t>De 20 a
49 años</t>
  </si>
  <si>
    <t>De 29 días a
11 meses</t>
  </si>
  <si>
    <t>De 1 a
4 años</t>
  </si>
  <si>
    <t>De 5 a
9 años</t>
  </si>
  <si>
    <t>De 0 días
28 días</t>
  </si>
  <si>
    <t>-</t>
  </si>
  <si>
    <t>Total</t>
  </si>
  <si>
    <t>Puno</t>
  </si>
  <si>
    <t>Chucuito</t>
  </si>
  <si>
    <t>Lampa</t>
  </si>
  <si>
    <t>Macusani</t>
  </si>
  <si>
    <t>Melgar</t>
  </si>
  <si>
    <t>Sandia</t>
  </si>
  <si>
    <t>Yunguyo</t>
  </si>
  <si>
    <t>Hospital</t>
  </si>
  <si>
    <t>Centro  de
Salud</t>
  </si>
  <si>
    <t>Puesto de
Salud</t>
  </si>
  <si>
    <t>Obstetriz</t>
  </si>
  <si>
    <t>Otros</t>
  </si>
  <si>
    <t xml:space="preserve">Auxiliar </t>
  </si>
  <si>
    <t>Antisarampionosa</t>
  </si>
  <si>
    <t xml:space="preserve">T o t a l </t>
  </si>
  <si>
    <t xml:space="preserve"> Menor de 1 año</t>
  </si>
  <si>
    <t xml:space="preserve">  1ra. Dosis</t>
  </si>
  <si>
    <t xml:space="preserve">  2da. Dosis</t>
  </si>
  <si>
    <t xml:space="preserve">  3ra. Dosis</t>
  </si>
  <si>
    <t xml:space="preserve">  Dosis adicional</t>
  </si>
  <si>
    <t xml:space="preserve"> De 1 a 4 años</t>
  </si>
  <si>
    <t>Carabaya</t>
  </si>
  <si>
    <t>El Collao</t>
  </si>
  <si>
    <t>Grupos de edad</t>
  </si>
  <si>
    <t>Menor de 1 año</t>
  </si>
  <si>
    <t>Azángaro</t>
  </si>
  <si>
    <t>Huancané</t>
  </si>
  <si>
    <t>T o t a l</t>
  </si>
  <si>
    <t>Inyectable</t>
  </si>
  <si>
    <t>Abstinencia periódica</t>
  </si>
  <si>
    <t>Continúa...</t>
  </si>
  <si>
    <t>...Conclusión</t>
  </si>
  <si>
    <t>Enfermedad</t>
  </si>
  <si>
    <t>San Román</t>
  </si>
  <si>
    <t>Enfermería</t>
  </si>
  <si>
    <t xml:space="preserve">Técnico </t>
  </si>
  <si>
    <t>Nuevas</t>
  </si>
  <si>
    <t>Casos</t>
  </si>
  <si>
    <t>Continúa ...</t>
  </si>
  <si>
    <t>Enfermera</t>
  </si>
  <si>
    <t>Médico</t>
  </si>
  <si>
    <t>Continuadas</t>
  </si>
  <si>
    <t>De 60 a
más años</t>
  </si>
  <si>
    <t>De 50 a
59 años</t>
  </si>
  <si>
    <t>%</t>
  </si>
  <si>
    <t xml:space="preserve">Total </t>
  </si>
  <si>
    <t>Odontólogo</t>
  </si>
  <si>
    <t>Método anticonceptivo</t>
  </si>
  <si>
    <t>Fuente: Dirección Regional de Salud Puno - Oficina de Estadística.</t>
  </si>
  <si>
    <t>BCG (antituberculosis)</t>
  </si>
  <si>
    <t>…</t>
  </si>
  <si>
    <t>GENERAL</t>
  </si>
  <si>
    <t>M</t>
  </si>
  <si>
    <t>F</t>
  </si>
  <si>
    <t>POB.</t>
  </si>
  <si>
    <t>POB. 0-11a</t>
  </si>
  <si>
    <t>ADOLESCENTE</t>
  </si>
  <si>
    <t>POB. 12-17a</t>
  </si>
  <si>
    <t>POB. 18-29a</t>
  </si>
  <si>
    <t>POB. 30-59a</t>
  </si>
  <si>
    <t>POB. 60 a +</t>
  </si>
  <si>
    <t xml:space="preserve">Fuente: Dirección Regional de Salud Puno - Oficina de Remuneraciones y Presupuesto </t>
  </si>
  <si>
    <t>Unidad Territorial de Establecimientos de Salud</t>
  </si>
  <si>
    <t>Pentavalente</t>
  </si>
  <si>
    <t>6.24  PUNO: DIEZ PRIMEROS CAUSAS DE MORBILIDAD  ADULTOS DE 30 - 59 AÑOS,  DE 30 - 59 AÑOS, 2013</t>
  </si>
  <si>
    <t>6.25  PUNO: DIEZ PRIMEROS CAUSAS DE MORBILIDAD EN EL ADULTO MAYOR A  60 AÑOS, 2013</t>
  </si>
  <si>
    <t>6.19   PUNO: DIEZ PRIMERAS CAUSAS DE MORBILIDAD  GENERAL, 2013</t>
  </si>
  <si>
    <t>6.20   PUNO: DIEZ PRIMERAS CAUSAS DE MORBILIDAD, EN MENORES DE 1 AÑO, 2013</t>
  </si>
  <si>
    <t>6.21   PUNO: DIEZ PRIMERAS CAUSAS DE MORBILIDAD NIÑOS DE 0 - 11 AÑOS, 2013</t>
  </si>
  <si>
    <t>6.22   PUNO: DIEZ  PRIMEROS CAUSAS DE MORBILIDAD EN ADOLESCENTES DE 12 - 17 AÑOS, 2013</t>
  </si>
  <si>
    <t>6.23   PUNO: DIEZ PRIMEROS CAUSAS DE MORBILIDAD  EN PERSONAS DE 18 - 29 AÑOS, 2013</t>
  </si>
  <si>
    <t>Otras Causas</t>
  </si>
  <si>
    <t>Dermatitis Y Eczema (L20 - L30)</t>
  </si>
  <si>
    <t>Helmintiasis (B65 - B83)</t>
  </si>
  <si>
    <t>Trastornos De La Personalidad Y Del Comportamiento En Adultos (F60 - F69)</t>
  </si>
  <si>
    <t xml:space="preserve">Helmintiasis (B65 - B83)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</si>
  <si>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Micosis (B35 - B49)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</si>
  <si>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Tuberculosis (A15-A19)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</si>
  <si>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Hernia (K40 - K46)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</si>
  <si>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Glaucoma (H40 - H42)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</si>
  <si>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Rickettsiosis (A75 - A79)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</si>
  <si>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Congelamiento (T33 - T35)                                                                                                                                                                                                                                     </t>
  </si>
  <si>
    <t>SEGÚN UNIDAD TERRITORIAL, 2009 - 2013</t>
  </si>
  <si>
    <t>6.3   PUNO: PROFESIONALES DE LA SALUD EN LA DIRECCIÓN REGIONAL DE SALUD, POR ESPECIALIDAD,</t>
  </si>
  <si>
    <t>Hospital Regional Manuel Núnez Butrón</t>
  </si>
  <si>
    <t>REDESS Puno</t>
  </si>
  <si>
    <t>REDESS Azángaro</t>
  </si>
  <si>
    <t>REDESS Carabaya</t>
  </si>
  <si>
    <t>REDESS Chucuito</t>
  </si>
  <si>
    <t>REDESS El Collao</t>
  </si>
  <si>
    <t>REDESS Huancané</t>
  </si>
  <si>
    <t>REDESS Lampa</t>
  </si>
  <si>
    <t>REDESS Melgar</t>
  </si>
  <si>
    <t>REDESS San Román</t>
  </si>
  <si>
    <t>REDESS Sandia</t>
  </si>
  <si>
    <t>REDESS Yunguyo</t>
  </si>
  <si>
    <t>Otras causas</t>
  </si>
  <si>
    <t>Hormonal oral</t>
  </si>
  <si>
    <t>Barrera condón</t>
  </si>
  <si>
    <t xml:space="preserve">Desnutrición (E40 - E46)                                                                                                                                                                                                                                      </t>
  </si>
  <si>
    <t xml:space="preserve">Dorsopatías (M40 - M54)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</si>
  <si>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Artropatías (M00 - M25)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</si>
  <si>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</t>
  </si>
  <si>
    <t xml:space="preserve">Infecciones agudas de las vías respiratorias superiores (J00 - J06)                                                                                                                                                                                           </t>
  </si>
  <si>
    <t xml:space="preserve">Enfermedades de la cavidad bucal, de las glándulas salivales y de los maxilares (K00 - K14)                                                                                                                                                                   </t>
  </si>
  <si>
    <t xml:space="preserve">Enfermedades del esófago, del estómago y del duodeno (K20 - K31)                                                                                                                                                                                               </t>
  </si>
  <si>
    <t xml:space="preserve">Enfermedades crónicas de las vías respiratorias inferiores (J40 - J47)                                                                                                                                                                                        </t>
  </si>
  <si>
    <t xml:space="preserve">Otras infecciones agudas de las vías respiratorias inferiores (J20 - J22)                                                                                                                                                                                     </t>
  </si>
  <si>
    <t xml:space="preserve">Enfermedades infecciosas intestinales (A00 - A09)                                                                                                                                                                                                             </t>
  </si>
  <si>
    <t xml:space="preserve">Otras enfermedades del sistema urinario (N30 - N39)                                                                                                                                                                                                           </t>
  </si>
  <si>
    <t xml:space="preserve">Dermatitis y eczema (L20 - L30)                                                                                                                                                                                                                               </t>
  </si>
  <si>
    <t xml:space="preserve">Otros trastornos maternos relacionados principalmente con el embarazo (O20 - O29)                                                                                                                                                                             </t>
  </si>
  <si>
    <t xml:space="preserve">Infecciones c/modo de transmisión predominantemente sexual (A50 - A64)                                                                                                                                                                                        </t>
  </si>
  <si>
    <t xml:space="preserve">Trastornos de la conjuntiva (H10 - H13)                                                                                                                                                                                                                       </t>
  </si>
  <si>
    <t xml:space="preserve">Obesidad y otros de hiperalimentación (E65 - E68)                                                                                                                                                                                                             </t>
  </si>
  <si>
    <t xml:space="preserve">Trastornos episódicos y paroxísticos (G40 - G47)                                                                                                                                                                                                              </t>
  </si>
  <si>
    <t xml:space="preserve">Síntomas y signos generales (R50 - R69)                                                     </t>
  </si>
  <si>
    <t xml:space="preserve">Trastornos de la personalidad y del comportamiento en adultos (F60 - F69)                                                                                                                                                                                     </t>
  </si>
  <si>
    <t xml:space="preserve">Anemias nutricionales (D50 - D53)                                                                                                                                                                                                                             </t>
  </si>
  <si>
    <t xml:space="preserve">Traumatismos de la cabeza (S00 - S09)                                                                                                                                                                                                                         </t>
  </si>
  <si>
    <t xml:space="preserve">Enfermedades hipertensivas (I10 - I15)                                                                                                                                                                                                                        </t>
  </si>
  <si>
    <t xml:space="preserve">Traumatismos de la rodilla y de la pierna (S80 - S89)                                                                                                                                                                                                         </t>
  </si>
  <si>
    <t xml:space="preserve">Infecciones de la piel y del tejido subcutáneo (L00 - L08)                                                                                                                                                                                                    </t>
  </si>
  <si>
    <t xml:space="preserve">Enfermedades inflamatorias de los órganos pélvicos femeninos (N70 - N77)                                                                                                                                                                                      </t>
  </si>
  <si>
    <t xml:space="preserve">Alteraciones de la visión y ceguera (H53 - H54)                                                                                                                                                                                                               </t>
  </si>
  <si>
    <t xml:space="preserve">Traumatismos de la muñeca y de la mano (S60 - S69)                                                                                                                                                                                                           </t>
  </si>
  <si>
    <t xml:space="preserve">Trastornos del humor (afectivos)  (F30 - F39)                                                                                                                                                                                                                 </t>
  </si>
  <si>
    <t xml:space="preserve">Otros trastornos del oído (H90 - H95)                                                                                                                                                                                                                         </t>
  </si>
  <si>
    <t xml:space="preserve">Trastornos de la vesícula biliar, de las vías biliares y del páncreas (K80 - K87)                                                                                                                                                                             </t>
  </si>
  <si>
    <t xml:space="preserve">Traumatismos del tobillo y del pie (S90 - S99)                                                                                                                                                                                                               </t>
  </si>
  <si>
    <t xml:space="preserve">Trastornos no inflamatorios de los órganos genitales femeninos (N80 - N98)                                                                                                                                                                                    </t>
  </si>
  <si>
    <t xml:space="preserve">Pediculosis, acariasis y otras infestaciones (B85 - B89)                                                                                                                                                                                                      </t>
  </si>
  <si>
    <t xml:space="preserve">Enfermedades del oído medio y de la mastoides (H65 - H75)                                                                                                                                                                                                     </t>
  </si>
  <si>
    <t xml:space="preserve">Trastornos de los tejidos blandos (M60 - M79)                                                                                                                                                                                                                 </t>
  </si>
  <si>
    <t xml:space="preserve">Enfermedades de los órganos genitales masculinos (N40 - N51)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</si>
  <si>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Traumatismos del tórax (S20 - S29)                                                                                                                                                                                                                            </t>
  </si>
  <si>
    <t xml:space="preserve">Síntomas y signos que involucran el sistema digestivo y el abdomen (R10 - R19)                                                                                                                                                                                </t>
  </si>
  <si>
    <t xml:space="preserve">Traumatismos del antebrazo y del codo (S50 - S59)                                                                                                                                                                                                             </t>
  </si>
  <si>
    <t xml:space="preserve">Traumatismos del hombro y del brazo (S40 - S49)                                                                                                                                                                                                               </t>
  </si>
  <si>
    <t xml:space="preserve">Otros efectos y los no especificados de causas externas (T66 - T78)                                                                                                                                                                                           </t>
  </si>
  <si>
    <t xml:space="preserve">Infecciones virales por lesiones de la piel y de las membranas mucosas (B00 - B09)                                                                                                                                                                            </t>
  </si>
  <si>
    <t xml:space="preserve">Traumatismos de la cadera y del muslo (S70 - S79)                                                                                                                                                                                                             </t>
  </si>
  <si>
    <t xml:space="preserve">Síntomas y signos que involucran el conocimiento, percepción, estado emocional y la conducta (R40-R46)                                                                                                                                                          </t>
  </si>
  <si>
    <t xml:space="preserve">Otras enfermedades de los intestinos (K55 - K63)                                                                                                                                                                                                              </t>
  </si>
  <si>
    <t xml:space="preserve">Trastornos neuróticos, trastornos relacionados con el estrés y trastornos somatomórfos (F40 - F48)                                                                                                                                                             </t>
  </si>
  <si>
    <t xml:space="preserve">Urticaria y eritema (L50 - L54)                                                                                                                                                                                                                               </t>
  </si>
  <si>
    <t xml:space="preserve">Traumatismos de parte no especificada del tronco, miembro o región del cuerpo (T08 - T14)                                                                                                                                                                     </t>
  </si>
  <si>
    <t xml:space="preserve">Influenza (gripe) y neumonía (J10 - J18)                                                                                                                                                                                                                      </t>
  </si>
  <si>
    <t xml:space="preserve">Tumores (neoplasias) benignos (D10 - D36)                                                                                                                                                                                                                     </t>
  </si>
  <si>
    <t xml:space="preserve">Traumatismos que afectan múltiples regiones del cuerpo (T00 - T07)                                                                                                                                                                                            </t>
  </si>
  <si>
    <t xml:space="preserve">Otras enfermedades de las vías respiratorias superiores (J30 - J39)                                                                                                                                                                                           </t>
  </si>
  <si>
    <t xml:space="preserve">Trastornos del cristalino (H25 - H28)                                                                                                                                                                                                                         </t>
  </si>
  <si>
    <t xml:space="preserve">Malformaciones y deformidades congénitas del sistema osteomuscular (Q65 - Q79)               </t>
  </si>
  <si>
    <t xml:space="preserve">Síntomas y signos que involucran los sistemas circulatorio y respiratorio (R00 - R09)                                                                                                                                                                         </t>
  </si>
  <si>
    <t xml:space="preserve">Traumatismos del abdomen, de la región lumbosacra, de la columna lumbar y de la pelvis (S30 - S39)                                                                                                                                                            </t>
  </si>
  <si>
    <t xml:space="preserve">Edema, proteinuria y trastornos hipertensivos en el embarazo, el parto y el puerperio (O10 - O16)                                                                                                                                                             </t>
  </si>
  <si>
    <t xml:space="preserve">Diabetes mellitus (E10 - E14)                                                                                                                                                                                                                                 </t>
  </si>
  <si>
    <t xml:space="preserve">Trastornos de las fáneras (L60 - L75)                                                                                                                                                                                                                         </t>
  </si>
  <si>
    <t xml:space="preserve">Trastornos metabólicos (E70 - E90)                                                                                                                                                                                                                            </t>
  </si>
  <si>
    <t xml:space="preserve">Otras formas de enfermedad del corazón (I30 - I52)                                                                                                                                                                                                            </t>
  </si>
  <si>
    <t xml:space="preserve">Trastornos de músculos oculares, del movimiento binocular, la acomodación y la refracción (H49-H52)                                                                                                                                                           </t>
  </si>
  <si>
    <t xml:space="preserve">Atención materna relacionada con el feto y cavidad amniótica y con posibles problemas de parto (O30-O48)                                                                                                                                                          </t>
  </si>
  <si>
    <t xml:space="preserve">Trastornos del parpado, aparato lagrimal y orbita (H00 - H06)                                                                                                                                                                                                 </t>
  </si>
  <si>
    <t xml:space="preserve">Enfermedades de las venas y de vasos y ganglios linfáticos, no clasificadas en otra parte(I80 - I89)                                                                                                                                                           </t>
  </si>
  <si>
    <t xml:space="preserve">Quemaduras y corrosiones (T20 - T32)                                                                                                                                                                                                                          </t>
  </si>
  <si>
    <t xml:space="preserve">Tumores (neoplasias) malignos (C00 - C97)                                                                                                                                                                                                                     </t>
  </si>
  <si>
    <t xml:space="preserve">Enfermedades debidas a protozoarios (B50 - B64)                                                                                                                                                                                                               </t>
  </si>
  <si>
    <t xml:space="preserve">Osteopatías y condropatías (M80 - M94)                                                                                                                                                                                                                        </t>
  </si>
  <si>
    <t xml:space="preserve">Otras enfermedades virales (B25 - B34)                                                                                                                                                                                                                        </t>
  </si>
  <si>
    <t xml:space="preserve">Trastornos relacionados con la duración de la gestación y el crecimiento fetal (P05 - P08)                                                                                                                                                                    </t>
  </si>
  <si>
    <t xml:space="preserve">Anemias aplásticas y otras anemias (D60 - D64)                                                                                                                                                                                                                </t>
  </si>
  <si>
    <t xml:space="preserve">Enfermedades del oído externo (H60 - H62)                                                                                                                                                                                                                     </t>
  </si>
  <si>
    <t xml:space="preserve">Trastornos de la esclerótica, cornea, iris y cuerpo ciliar (H15 - H22)                                                                                                                                                                                        </t>
  </si>
  <si>
    <t xml:space="preserve">Enfermedades del oído interno (H80 - H83)                                                                                                                                                                                                                     </t>
  </si>
  <si>
    <t xml:space="preserve">Otros trastornos de la piel y del tejido subcutáneo (L80 - L99)                                                                                                                                                                                               </t>
  </si>
  <si>
    <t xml:space="preserve">Enteritis y colitis no infecciosas (K50 - K52)                                                                                                                                                                                                                </t>
  </si>
  <si>
    <t xml:space="preserve">Enfermedad renal tubulointersticial (N10 - N16)                                                                                                                                                                                                               </t>
  </si>
  <si>
    <t xml:space="preserve">Otras afecciones obstétricas no clasificadas en otra parte (O95 - O99)                                                                                                                                                                                        </t>
  </si>
  <si>
    <t xml:space="preserve">Tumores (neoplasias) de comportamiento incierto o desconocido (D37 - D48)                                                                                                                                                                                      </t>
  </si>
  <si>
    <t xml:space="preserve">Trastornos de los nervios, de las raíces y de los plexos nerviosos (G50 - G59)                                                                                                                                                                                </t>
  </si>
  <si>
    <t xml:space="preserve">Embarazo terminado en aborto (O00 - O08)                                                                                                                                                                                                                      </t>
  </si>
  <si>
    <t xml:space="preserve">Complicaciones principalmente relacionadas con el puerperio (O85 -O92)                                                                                                                                                                                        </t>
  </si>
  <si>
    <t xml:space="preserve">Trastornos hemorrágicos y hematológicos del feto y del recién nacido (P50 - P61)                                                                                                                                                                              </t>
  </si>
  <si>
    <t xml:space="preserve">Infecciones específicas del periodo perinatal (P35 - P39)                                                                                                                                                                                                     </t>
  </si>
  <si>
    <t xml:space="preserve">Algunas complicaciones precoces de traumatismos (T79)                                                                                                                                                                                                         </t>
  </si>
  <si>
    <t xml:space="preserve">Trastornos de otras glándulas endocrinas (E20 - E35)                                                                                                                                                                                                          </t>
  </si>
  <si>
    <t xml:space="preserve">Insuficiencia renal (N17 - N19)                                                                                                                                                                                                                               </t>
  </si>
  <si>
    <t xml:space="preserve">Efectos de cuerpos extraños que penetran por orificios naturales (T15-T19)                                                                                                                                                                                    </t>
  </si>
  <si>
    <t xml:space="preserve">Tumores (neoplasias) in situ (D00 - D09)                                                                                                                                                                                                                      </t>
  </si>
  <si>
    <t xml:space="preserve">Trastornos mentales y del comportamiento debidos al uso de sustancias psicoactivas (F10 - F19)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</si>
  <si>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Complicaciones del trabajo de parto y del parto (O60 - O75)                                                                                                                                                                                                   </t>
  </si>
  <si>
    <t xml:space="preserve">Trastornos mentes orgánicos, incluidos los trastornos sintomáticos (F00 - F09)                                                                                                                                                                                </t>
  </si>
  <si>
    <t xml:space="preserve">Trastornos de la mama (N60 - N64)                                                                                                                                                                                                                              </t>
  </si>
  <si>
    <t xml:space="preserve">Síntomas y signos que involucran el sistema urinario (R30 - R39)                                                                                                                                                                                              </t>
  </si>
  <si>
    <t xml:space="preserve">Esquizofrenia, trastornos esquizotípicos y trastornos delirantes (F20 - F29)                                                                                                                                                                                  </t>
  </si>
  <si>
    <t xml:space="preserve">Litiasis urinaria (N20 - N23)                                                                                                                                                                                                                                 </t>
  </si>
  <si>
    <t xml:space="preserve">Otras enfermedades bacterianas (A30 - A49)                                                                                                                                                                                                                    </t>
  </si>
  <si>
    <t xml:space="preserve">Otras deficiencias nutricionales (E50 - E64)                                                                                                                                                                                                                  </t>
  </si>
  <si>
    <t xml:space="preserve">Trastornos emocionales y del comportamiento aparecen habitual en niñez y en a adolescencia (F90-F98)                                                                                                                                                             </t>
  </si>
  <si>
    <t xml:space="preserve">Otras enfermedades del sistema digestivo (K90 - K93)                                                                                                                                                                                                          </t>
  </si>
  <si>
    <t xml:space="preserve">Otras enfermedades del sistema respiratorio (J95 - J99)                                                                                                                                                                                                       </t>
  </si>
  <si>
    <t xml:space="preserve">Traumatismos del cuello (S10 - S19)                                                                                                                                                                                                                           </t>
  </si>
  <si>
    <t xml:space="preserve">Enfermedades del hígado (K70 - K77)                                                                                                                                                                                                                           </t>
  </si>
  <si>
    <t xml:space="preserve">Trastornos de la glándula tiroides (E00 - E07)                                                                                                                                                                                                                </t>
  </si>
  <si>
    <t xml:space="preserve">Secuelas de traumatismos, de envenenamientos y de otras consecuencias de causas externas (T90 - T98)                                                                                                                                                          </t>
  </si>
  <si>
    <t xml:space="preserve">Trastornos de la coroides y de la retina (H30 - H36)                                                                                                                                                                                                          </t>
  </si>
  <si>
    <t xml:space="preserve">Trastornos del desarrollo psicológico (F80 - F89)                                                                                                                                                                                                             </t>
  </si>
  <si>
    <t xml:space="preserve">Otras enfermedades de la sangre y de los órganos  hematopoyéticos (D70 - D77)                                                                                                                                                                                  </t>
  </si>
  <si>
    <t xml:space="preserve">Enfermedades glomerulares (N00 - N08)                                                </t>
  </si>
  <si>
    <t xml:space="preserve">Polineuropatías y otros trastornos del sistema nervioso periférico (G60 - G64)                                                                                                                                                                                </t>
  </si>
  <si>
    <t xml:space="preserve">Enfermedades del apéndice (K35 - K38)                                                                                                                                                                                                                         </t>
  </si>
  <si>
    <t xml:space="preserve">Retraso mental (F70 - F79)                                                                                                                                                                                                                                    </t>
  </si>
  <si>
    <t xml:space="preserve">Trastornos de la piel y del tejido subcutáneo relacionados con radiación (L55 - L59)                                                                                                                                                                          </t>
  </si>
  <si>
    <t xml:space="preserve">Malformaciones congénitas de los órganos genitales (Q50 - Q56)                                                                                                                                                                                                </t>
  </si>
  <si>
    <t xml:space="preserve">Enfermedades cerebrovasculares (I60 - I69)                                                                                                                                                                                                                    </t>
  </si>
  <si>
    <t xml:space="preserve">Parálisis cerebral y otros síndromes paralíticos (G80 - G83)                                                                                                                                                                                                  </t>
  </si>
  <si>
    <t xml:space="preserve">Efectos tóxicos de sustancias de procedencia principalmente no medicinal (T51 - T65)                                                                                                                                                                          </t>
  </si>
  <si>
    <t xml:space="preserve">Trastornos extrapiramidales y del movimiento (G20 - G26)                                                                                                                                                                                                      </t>
  </si>
  <si>
    <t xml:space="preserve">Otros trastornos del riñón y del uréter (N25 - N29)                                                                                                                                                                                                           </t>
  </si>
  <si>
    <t xml:space="preserve">Otras enfermedades respiratorias que afectan principalmente al intersticio (J80 - J84)                                                                                                                                                                        </t>
  </si>
  <si>
    <t xml:space="preserve">Trastornos sistémicos del tejido conjuntivo (M30 - M36)                                                                                                                                                                                                       </t>
  </si>
  <si>
    <t xml:space="preserve">Envenenamiento por drogas, medicamentos y sustancias biológicas (T36 - T50)                                                                                                                                                                                   </t>
  </si>
  <si>
    <t xml:space="preserve">Síndromes del comportamiento asociados con alteraciones fisiológicas y factores físicos (F50  - F59)                                                                                                                                                          </t>
  </si>
  <si>
    <t xml:space="preserve">Enfermedades del pulmón debidas a agentes externos (J60 - J70)                                                                                                                                                                                                </t>
  </si>
  <si>
    <t xml:space="preserve">Complicaciones de la atención médica y quirúrgica, no clasificadas en otra parte (T80 - T88)                                                                                                                                                                  </t>
  </si>
  <si>
    <t xml:space="preserve">Enfermedades isquémicas del corazón (I20 - I25)                                                                                                                                                                                                               </t>
  </si>
  <si>
    <t xml:space="preserve">Trastornos del sistema digestivo del feto y del recién nacido (P75 - P78)                                                                                                                                                                                     </t>
  </si>
  <si>
    <t xml:space="preserve">Otros trastornos del sistema nervioso (G90 - G99)                              </t>
  </si>
  <si>
    <t xml:space="preserve">Otras enfermedades debidas a espiroquetas (A65 - A69)                                                                                                                                                                                                         </t>
  </si>
  <si>
    <t xml:space="preserve">Hepatitis viral (B15 - B19)                                                                                                                                                                                                                                   </t>
  </si>
  <si>
    <t xml:space="preserve">Enfermedades del peritoneo (K65 - K67)                                                                                                                                                                                                                         </t>
  </si>
  <si>
    <t xml:space="preserve">Otros trastornos del ojo y sus anexos (H55 - H59)                                                                                                                                                                                                             </t>
  </si>
  <si>
    <t xml:space="preserve">Enfermedad cardiopulmonar y enfermedades de la circulación pulmonar (I26 - I28)                                                                                                                                                                               </t>
  </si>
  <si>
    <t xml:space="preserve">Trastornos del cuerpo vítreo y del globo ocular (H43 - H45)                                                                                                                                                                                                   </t>
  </si>
  <si>
    <t xml:space="preserve">Traumatismo del nacimiento (P10 - P15)                                                                                                                                                                                                                        </t>
  </si>
  <si>
    <t xml:space="preserve">Fiebre reumática aguda (I00 - I02)                                                                                                                                                                                                                            </t>
  </si>
  <si>
    <t xml:space="preserve">Hallazgos anormales en diagnóstico por imágenes y en estudios funcionales, sin diagnostico(R90 - R94)                                                                                                                                                          </t>
  </si>
  <si>
    <t xml:space="preserve">Trastornos papuloescamosos (L40 - L45)                                                                                                                                                                                                                        </t>
  </si>
  <si>
    <t xml:space="preserve">Malformaciones congénitas del ojo, del oído, de la cara y del cuello (Q10 - Q18)                                                                                                                                                                              </t>
  </si>
  <si>
    <t xml:space="preserve">Otras enfermedades de la pleura (J90 - J94)                                                                                                                                                                                                                   </t>
  </si>
  <si>
    <t xml:space="preserve">Causas de mortalidad mal definidas y desconocidas (R95 - R99)                                                                                                                                                                                                 </t>
  </si>
  <si>
    <t xml:space="preserve">Trastornos del nervio óptico y de las vías ópticas (H46 - H48)                                                                                                                                                                                                </t>
  </si>
  <si>
    <t xml:space="preserve">Enfermedades de las arterias, de las arteriolas y de los vasos capilares (I70 - I79)                                                                                                                                                                          </t>
  </si>
  <si>
    <t xml:space="preserve">Otras malformaciones congénitas del sistema digestivo (Q38 - Q45)                                                                                                                                                                                             </t>
  </si>
  <si>
    <t xml:space="preserve">Síntomas y signos que involucran los sistemas nerviosos y osteomuscular (R25 - R29)                                                                                                                                                                           </t>
  </si>
  <si>
    <t xml:space="preserve">Hallazgos anormales en el examen de sangre, sin diagnostico (R70 - R79)                                                                                                                                                                                       </t>
  </si>
  <si>
    <t xml:space="preserve">Trastornos flictenulares (L10 - L14)                                                                                                                                                                                                                          </t>
  </si>
  <si>
    <t xml:space="preserve">Malformaciones congénitas del sistema circulatorio (Q20 - Q28)                                                                                                                                                                                                </t>
  </si>
  <si>
    <t xml:space="preserve">Anemias hemolíticas (D55 - D59)                                                                                                                                                                                                                               </t>
  </si>
  <si>
    <t xml:space="preserve">Malformaciones congénitas del sistema urinario (Q60 - Q64)                                                                                                                                                                                                    </t>
  </si>
  <si>
    <t xml:space="preserve">Enfermedades cardiacas reumáticas crónicas (I05 - I09)                                                                                                                                                                                                        </t>
  </si>
  <si>
    <t xml:space="preserve">Otros trastornos y los no especificados del sistema circulatorio (I95 - I99)                                                                                                                                                                                  </t>
  </si>
  <si>
    <t xml:space="preserve">Enfermedades por virus de la inmunodeficiencia humana (VIH) (B20 - B24)                                                                                                                                                                                       </t>
  </si>
  <si>
    <t xml:space="preserve">Anomalías cromosómicas, no clasificadas en otra parte (Q90 - Q99)                                                                                                                                                                                             </t>
  </si>
  <si>
    <t xml:space="preserve">Otros trastornos originados en el periodo perinatal (P90 - P96)                                                                                                                                                                                               </t>
  </si>
  <si>
    <t xml:space="preserve">Otros trastornos de la regulación de la glucosa y de la secreción interna del páncreas (E15 - E16)                                                                                                                                                            </t>
  </si>
  <si>
    <t xml:space="preserve">Enfermedades inflamatorias del sistema nervioso central (G00 - G09)                                                                                                                                                                                           </t>
  </si>
  <si>
    <t xml:space="preserve">Malformaciones congénitas del sistema nervioso (Q00 - Q07)                                                                                                                                                                                                    </t>
  </si>
  <si>
    <t xml:space="preserve">Fisura del paladar y labio lepórico (Q35 - Q37)                                                                                                                                                                                                               </t>
  </si>
  <si>
    <t xml:space="preserve">Ciertas zoonosis bacterianas (A20 - A28)                                                                                                                                                                                                                      </t>
  </si>
  <si>
    <t xml:space="preserve">Infecciones virales del sistema nervioso central (A80 - A89)                                                                                                                                                                                                   </t>
  </si>
  <si>
    <t xml:space="preserve">Síntomas y signos que involucran el habla y la voz (R47 - R49)                                                                                                                                                                                                </t>
  </si>
  <si>
    <t xml:space="preserve">Fiebres virales transmitidas por artrópodos y fiebres virales hemorrágicas (A90 - A99)                                                                                                                                                                        </t>
  </si>
  <si>
    <t xml:space="preserve">Hallazgos anormales en el examen de orina, sin diagnostico (R80 - R82)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</si>
  <si>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Trastornos respiratorios y cardiovasculares específicos del periodo perinatal (P20 - P29)                                                                                                                                                                     </t>
  </si>
  <si>
    <t xml:space="preserve">Secuelas de enfermedades infecciosas y parasitarias (B90 - B94)                                                                                                                                                                                               </t>
  </si>
  <si>
    <t xml:space="preserve">Defectos de la coagulación, purpura y otras afecciones hemorragias (D65 - D69)                                                                                                                                                                                </t>
  </si>
  <si>
    <t xml:space="preserve">Otras enfermedades causadas por clamidias (A70 - A74)                                                                                                                                                                                                         </t>
  </si>
  <si>
    <t xml:space="preserve">Ciertos trastornos que afectan el mecanismo de la inmunidad (D80 - D89)                                                                                                                                                                                       </t>
  </si>
  <si>
    <t xml:space="preserve">Enfermedades musculares y de la unión neuromuscular (G70 - G73)                                                                                                                                                                                               </t>
  </si>
  <si>
    <t xml:space="preserve">Trastornos endocrinos y metabólicos transitorios específicos del feto y  recién nacido (P70 - P74)                                                                                                                                                            </t>
  </si>
  <si>
    <t xml:space="preserve">Otras malformaciones congénitas (Q80 - Q89)                                                                                                                                                                                                                   </t>
  </si>
  <si>
    <t xml:space="preserve">Otros trastornos del sistema osteomuscular y del tejido conjuntivo (M95 - M99)                                                                                                                                                                                </t>
  </si>
  <si>
    <t xml:space="preserve">Afecciones asociadas con la regulación tegumentaria y temperatura del feto y del RN(P80-P83)                                                                                                                                                                  </t>
  </si>
  <si>
    <t xml:space="preserve">Otras enfermedades infecciosas (B99)                                                                                                                                                                                                                          </t>
  </si>
  <si>
    <t xml:space="preserve">Malformaciones congénitas del sistema respiratorio (Q30 - Q34)                                                                                                                                                                                                </t>
  </si>
  <si>
    <t xml:space="preserve">Otras enfermedades degenerativas del sistema nervioso (G30 - G32)                                                                                                                                                                                             </t>
  </si>
  <si>
    <t xml:space="preserve">Bacterias, virus y otros agentes infecciosos (B95 - B97)                                                                                                                                                                                                      </t>
  </si>
  <si>
    <t xml:space="preserve">Afecciones supurativas y necróticas de las vías respiratorias inferiores (J85 - J86)                                                                                                                                                                          </t>
  </si>
  <si>
    <t xml:space="preserve">Otros trastornos del sistema genitourinario (N99)                                                                                                                                                                                                             </t>
  </si>
  <si>
    <t xml:space="preserve">Trastorno  mental  no especificado (F99)                                                                                                                                                                                                                       </t>
  </si>
  <si>
    <t xml:space="preserve">Atrofias sistémicas que afectan principalmente el sistema nervioso central (G10 - G13)                                                                                                                                                                        </t>
  </si>
  <si>
    <t xml:space="preserve">Enfermedades desmielinizantes del sistema nervioso central (G35  - G37)                                                                                                                                                                                       </t>
  </si>
  <si>
    <t xml:space="preserve">Hallazgos anormales en examen de otros líquidos, sustancias y tejidos corporales, sin diagnostico(R83-R89)                                                                                                             </t>
  </si>
  <si>
    <t xml:space="preserve">Síntomas y signos generales (R50 - R69)                                                                                                                                                                                                                       </t>
  </si>
  <si>
    <t>Hospital Regional Manuel Núñez Butrón</t>
  </si>
  <si>
    <t>Sexo</t>
  </si>
  <si>
    <t>Incidencia (1000)</t>
  </si>
  <si>
    <t>Infecciones agudas de las vías respiratorias superiores (J00 - J06)</t>
  </si>
  <si>
    <t>Enfermedades de la cavidad bucal, de las glándulas salivales y de los maxilares (K00 - K14)</t>
  </si>
  <si>
    <t>Enfermedades del esófago, del estómago y del duodeno (K20 - K31)</t>
  </si>
  <si>
    <t>Otras infecciones agudas de las vías respiratorias inferiores (J20 - J22)</t>
  </si>
  <si>
    <t>Enfermedades crónicas de las vías respiratorias inferiores (J40 - J47)</t>
  </si>
  <si>
    <t>Desnutrición (E40 - E46)</t>
  </si>
  <si>
    <t>Dorsopatías (M40 - M54)</t>
  </si>
  <si>
    <t>Enfermedades infecciosas intestinales (A00 - A09)</t>
  </si>
  <si>
    <t>Otras enfermedades del sistema urinario (N30 - N39)</t>
  </si>
  <si>
    <t>Artropatías (M00 - M25)</t>
  </si>
  <si>
    <t>Anemias nutricionales (D50 - D53)</t>
  </si>
  <si>
    <t>Dermatitis y eczema (L20 - L30)</t>
  </si>
  <si>
    <t>Trastornos de la conjuntiva (H10 - H13)</t>
  </si>
  <si>
    <t>Síntomas y signos generales (R50 - R69)</t>
  </si>
  <si>
    <t>Trastornos de la personalidad y del comportamiento en adultos (F60 - F69)</t>
  </si>
  <si>
    <t>Obesidad y otros de hiperalimentación (E65 - E68)</t>
  </si>
  <si>
    <t>Otros trastornos del oído (H90 - H95)</t>
  </si>
  <si>
    <t>Otros trastornos maternos relacionados principalmente con el embarazo (O20 - O29)</t>
  </si>
  <si>
    <t>Infecciones c/modo de transmisión predominantemente sexual (A50 - A64)</t>
  </si>
  <si>
    <t>Enfermedades inflamatorias de los órganos pélvicos femeninos (N70 - N77)</t>
  </si>
  <si>
    <t>Trastornos episódicos y paroxísticos (G40 - G47)</t>
  </si>
  <si>
    <t>Alteraciones de la visión y ceguera (H53 - H54)</t>
  </si>
  <si>
    <t>Enfermedades hipertensivas (I10 - I15)</t>
  </si>
  <si>
    <t>Nº de casos</t>
  </si>
  <si>
    <t>Unidad territorial de salud</t>
  </si>
  <si>
    <t xml:space="preserve">Feto y RN afectados por factores maternos por complicación de embarazo, trabajo de parto y del parto (P00-P04)                                                                                                                                                          </t>
  </si>
  <si>
    <t>Causas / grupo</t>
  </si>
  <si>
    <t>Demas causas</t>
  </si>
  <si>
    <t>Anemias Nutricionales (D50 - D53)</t>
  </si>
  <si>
    <t>Otras infecciones agudas de la vías respiratorias inferiores (J20 - J22)</t>
  </si>
  <si>
    <t>Dermatitis y Eczema (L20 - L30)</t>
  </si>
  <si>
    <t xml:space="preserve">Dorsopatias (M40 - M54)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</si>
  <si>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Otros trastornos maternos relacionados principalmente con el embarazo (O20 - O29)                                                                                                                                                   </t>
  </si>
  <si>
    <t xml:space="preserve">Otros trastornos maternos relacionados principalmente con el embarazo (O20 - O29)                                                                                                                               </t>
  </si>
  <si>
    <t>Especialidad</t>
  </si>
  <si>
    <t>azangaro</t>
  </si>
  <si>
    <t>carabaya</t>
  </si>
  <si>
    <t>chucuito</t>
  </si>
  <si>
    <t>el collao</t>
  </si>
  <si>
    <t>Huancane</t>
  </si>
  <si>
    <t>San roman</t>
  </si>
  <si>
    <t>HOSPITAL</t>
  </si>
  <si>
    <t>Medico</t>
  </si>
  <si>
    <t>odontologo</t>
  </si>
  <si>
    <t>obstetriz</t>
  </si>
  <si>
    <t>enfermera</t>
  </si>
  <si>
    <t>otros</t>
  </si>
  <si>
    <t>tecnico enfermedia</t>
  </si>
  <si>
    <t>auxiliar enfermeria</t>
  </si>
  <si>
    <t>SEGÚN UNIDAD TERRITORIAL, 2009 - 2014</t>
  </si>
  <si>
    <t>Continúa…</t>
  </si>
  <si>
    <t>Obesidad y otros de hiperalimentación</t>
  </si>
  <si>
    <t>Trastornos del desarrollo psicológico (F80 - F89)</t>
  </si>
  <si>
    <t xml:space="preserve">Enfermedades del esófago, del estomago y del duodeno (K20 - K31)                                                                                                                                                                                               </t>
  </si>
  <si>
    <t xml:space="preserve">Enfermedades del esófago, del estomago y del duodeno(K20 - K31)                                                                                                                                                                                               </t>
  </si>
  <si>
    <t xml:space="preserve">Alteraciones de la visión y ceguera (h53 - h54)                                                                                                                                                                                                               </t>
  </si>
  <si>
    <t xml:space="preserve">6.19   PUNO: DIEZ PRIMERAS CAUSAS DE MORBILIDAD GENERAL - 2015
</t>
  </si>
  <si>
    <t>6.24   PUNO: DIEZ PRIMERAS CAUSAS DE MORBILIDAD EN ADULTOS MAYORES -  2015</t>
  </si>
  <si>
    <t>6.23   PUNO: DIEZ PRIMERAS CAUSAS DE MORBILIDAD EN ADULTOS -  2015</t>
  </si>
  <si>
    <t>6.22   PUNO: DIEZ PRIMERAS CAUSAS DE MORBILIDAD EN JOVENES -  2015</t>
  </si>
  <si>
    <t>6.21   PUNO: DIEZ PRIMERAS CAUSAS DE MORBILIDAD EN ADOLESCENTES -  2015</t>
  </si>
  <si>
    <t>6.20   PUNO: DIEZ PRIMERAS CAUSAS DE MORBILIDAD EN NIÑOS -  2015</t>
  </si>
  <si>
    <t xml:space="preserve">TOTAL </t>
  </si>
  <si>
    <t>niños</t>
  </si>
  <si>
    <t>adolescentes</t>
  </si>
  <si>
    <t>jovenes</t>
  </si>
  <si>
    <t>adultos</t>
  </si>
  <si>
    <t>adultos mayores</t>
  </si>
  <si>
    <t>POB</t>
  </si>
  <si>
    <t>Enfermedades de la cavidad bucal, de las glándulas salivales (K00 - K14)</t>
  </si>
  <si>
    <t xml:space="preserve">Enfermedades de la cavidad bucal, de las glándulas salivales (K00 - K14)                                                                                                                                        </t>
  </si>
  <si>
    <t xml:space="preserve">Enfermedades de la cavidad bucal, de las glándulas salivales (K00 - K14)                                                                                                                                </t>
  </si>
  <si>
    <t xml:space="preserve">Enfermedades de la cavidad bucal, de las glándulas salivales  (K00 - K14)                                                                                </t>
  </si>
  <si>
    <t xml:space="preserve">Nota: Información al mes de Junio </t>
  </si>
  <si>
    <t>Enfermedades De La Cavidad Bucal, De Las Glándulas Salivales Y De Los Maxilares (K00 - K14)</t>
  </si>
  <si>
    <t>Infecciones Agudas De Las Vías Respiratorias Superiores (J00 - J06)</t>
  </si>
  <si>
    <t>Otras Infecciones Agudas De Las Vías Respiratorias Inferiores (J20 - J22)</t>
  </si>
  <si>
    <t>Enfermedades Crónicas De Las Vías Respiratorias Inferiores (J40 - J47)</t>
  </si>
  <si>
    <t>Enfermedades Del Esófago, Del Estomago Y Del Duodeno(K20 - K31)</t>
  </si>
  <si>
    <t>Obesidad Y Otros De Hiperalimentación (E65 - E68)</t>
  </si>
  <si>
    <t>Otros Trastornos Del Oído (H90 - H95)</t>
  </si>
  <si>
    <t xml:space="preserve">Otras infecciones agudas de las vías respiratorias inferiores (J20 - J22)                                                                                                                                                                      </t>
  </si>
  <si>
    <t>6.17   PUNO: MORBILIDAD GENERAL POR GRUPOS DE EDAD, SEGÚN ENFERMEDADES, 2012  - 2014</t>
  </si>
  <si>
    <t>6. SALUD</t>
  </si>
  <si>
    <t>REDESS       El Collao</t>
  </si>
  <si>
    <t>REDESS    San Román</t>
  </si>
  <si>
    <t>Fuente:  Hospital Manuel Nuñez Butron Puno - Unidad de Estadística e Informática.</t>
  </si>
  <si>
    <t>2017 a/</t>
  </si>
  <si>
    <t xml:space="preserve"> </t>
  </si>
  <si>
    <t>24 horas</t>
  </si>
  <si>
    <t>28 dias</t>
  </si>
  <si>
    <t>REDESS Puno 1/</t>
  </si>
  <si>
    <t>a/ Información comprendida hasta el 30 de agosto del 2017.</t>
  </si>
  <si>
    <t>UNIDAD TERRITORIAL, 2017</t>
  </si>
  <si>
    <t>De 1 a 4 años</t>
  </si>
  <si>
    <t>REDESS         Lampa</t>
  </si>
  <si>
    <t>REDESS       Melgar</t>
  </si>
  <si>
    <t>REDESS      Sandia</t>
  </si>
  <si>
    <t>REDESS          San Román</t>
  </si>
  <si>
    <t>REDESS        El Collao</t>
  </si>
  <si>
    <t>Provincia / Distrito</t>
  </si>
  <si>
    <t>Soló Seguro Integral de Salud (SIS)</t>
  </si>
  <si>
    <t>Soló ESSALUD</t>
  </si>
  <si>
    <t>Seguro Integral de Salud (SIS) y ESSALUD</t>
  </si>
  <si>
    <t>ESSALUD y Seguro privado de salud</t>
  </si>
  <si>
    <t>ESSALUD y Otro seguro</t>
  </si>
  <si>
    <t>ESSALUD, Seguro de fuerzas armadas o policiales y Seguro privado de salud</t>
  </si>
  <si>
    <t>ESSALUD, Seguro privado de salud y Otro seguro</t>
  </si>
  <si>
    <t>Seguro de fuerzas armadas o policiales y Seguro privado de salud</t>
  </si>
  <si>
    <t>No tiene ningun seguro</t>
  </si>
  <si>
    <t>PUNO</t>
  </si>
  <si>
    <t>Acora</t>
  </si>
  <si>
    <t>Amantani</t>
  </si>
  <si>
    <t>Atuncolla</t>
  </si>
  <si>
    <t>Capachica</t>
  </si>
  <si>
    <t>Coata</t>
  </si>
  <si>
    <t>Huata</t>
  </si>
  <si>
    <t>Mañazo</t>
  </si>
  <si>
    <t>Paucarcolla</t>
  </si>
  <si>
    <t>Pichacani</t>
  </si>
  <si>
    <t>Plateria</t>
  </si>
  <si>
    <t>San Antonio</t>
  </si>
  <si>
    <t>Tiquillaca</t>
  </si>
  <si>
    <t>Vilque</t>
  </si>
  <si>
    <t>AZÁNGARO</t>
  </si>
  <si>
    <t>Achaya</t>
  </si>
  <si>
    <t>Arapa</t>
  </si>
  <si>
    <t>Asillo</t>
  </si>
  <si>
    <t>Caminaca</t>
  </si>
  <si>
    <t>Chupa</t>
  </si>
  <si>
    <t>Muñani</t>
  </si>
  <si>
    <t>Potoni</t>
  </si>
  <si>
    <t>Saman</t>
  </si>
  <si>
    <t>San Anton</t>
  </si>
  <si>
    <t>San José</t>
  </si>
  <si>
    <t>San Juan de Salinas</t>
  </si>
  <si>
    <t>Santiago de Pupuja</t>
  </si>
  <si>
    <t>Tirapata</t>
  </si>
  <si>
    <t>CARABAYA</t>
  </si>
  <si>
    <t>Ajoyani</t>
  </si>
  <si>
    <t>Ayapata</t>
  </si>
  <si>
    <t>Coasa</t>
  </si>
  <si>
    <t>Corani</t>
  </si>
  <si>
    <t>Crucero</t>
  </si>
  <si>
    <t>Ituata</t>
  </si>
  <si>
    <t>Ollachea</t>
  </si>
  <si>
    <t>San Gaban</t>
  </si>
  <si>
    <t>Usicayos</t>
  </si>
  <si>
    <t>CHUCUITO</t>
  </si>
  <si>
    <t>Juli</t>
  </si>
  <si>
    <t>Desaguadero</t>
  </si>
  <si>
    <t>Huacullani</t>
  </si>
  <si>
    <t>Kelluyo</t>
  </si>
  <si>
    <t>Pisacoma</t>
  </si>
  <si>
    <t>Pomata</t>
  </si>
  <si>
    <t>Zepita</t>
  </si>
  <si>
    <t>EL COLLAO</t>
  </si>
  <si>
    <t>Ilave</t>
  </si>
  <si>
    <t>Capazo</t>
  </si>
  <si>
    <t>Pilcuyo</t>
  </si>
  <si>
    <t>Santa Rosa</t>
  </si>
  <si>
    <t>Conduriri</t>
  </si>
  <si>
    <t>HUANCANÉ</t>
  </si>
  <si>
    <t>Cojata</t>
  </si>
  <si>
    <t>Huatasani</t>
  </si>
  <si>
    <t>Inchupalla</t>
  </si>
  <si>
    <t>Pusi</t>
  </si>
  <si>
    <t>Rosaspata</t>
  </si>
  <si>
    <t>Taraco</t>
  </si>
  <si>
    <t>Vilque Chico</t>
  </si>
  <si>
    <t>LAMPA</t>
  </si>
  <si>
    <t>Cabanilla</t>
  </si>
  <si>
    <t>Calapuja</t>
  </si>
  <si>
    <t>Nicasio</t>
  </si>
  <si>
    <t>Ocuviri</t>
  </si>
  <si>
    <t>Palca</t>
  </si>
  <si>
    <t>Paratia</t>
  </si>
  <si>
    <t>Pucara</t>
  </si>
  <si>
    <t>Santa Lucia</t>
  </si>
  <si>
    <t>Vilavila</t>
  </si>
  <si>
    <t>MELGAR</t>
  </si>
  <si>
    <t>Ayaviri</t>
  </si>
  <si>
    <t>Antauta</t>
  </si>
  <si>
    <t>Cupi</t>
  </si>
  <si>
    <t>Llalli</t>
  </si>
  <si>
    <t>Macari</t>
  </si>
  <si>
    <t>Nuñoa</t>
  </si>
  <si>
    <t>Orurillo</t>
  </si>
  <si>
    <t>Umachiri</t>
  </si>
  <si>
    <t xml:space="preserve">MOHO  </t>
  </si>
  <si>
    <t>Moho</t>
  </si>
  <si>
    <t>Conima</t>
  </si>
  <si>
    <t>Huayrapata</t>
  </si>
  <si>
    <t>Tilali</t>
  </si>
  <si>
    <t>SAN ANTONIO DE PUTINA</t>
  </si>
  <si>
    <t>Putina</t>
  </si>
  <si>
    <t>Ananea</t>
  </si>
  <si>
    <t>Quilcapuncu</t>
  </si>
  <si>
    <t>Sina</t>
  </si>
  <si>
    <t>SAN ROMÁN</t>
  </si>
  <si>
    <t>Juliaca</t>
  </si>
  <si>
    <t>Cabana</t>
  </si>
  <si>
    <t>Cabanillas</t>
  </si>
  <si>
    <t>Caracoto</t>
  </si>
  <si>
    <t>San Miguel</t>
  </si>
  <si>
    <t>SANDIA</t>
  </si>
  <si>
    <t>Cuyocuyo</t>
  </si>
  <si>
    <t>Limbani</t>
  </si>
  <si>
    <t>Patambuco</t>
  </si>
  <si>
    <t>Phara</t>
  </si>
  <si>
    <t>Quiaca</t>
  </si>
  <si>
    <t>San Juan del Oro</t>
  </si>
  <si>
    <t>Yanahuaya</t>
  </si>
  <si>
    <t>Alto Inambari</t>
  </si>
  <si>
    <t>San Pedro de Putina Punco</t>
  </si>
  <si>
    <t>YUNGUYO</t>
  </si>
  <si>
    <t>Anapia</t>
  </si>
  <si>
    <t>Copani</t>
  </si>
  <si>
    <t>Cuturapi</t>
  </si>
  <si>
    <t>Ollaraya</t>
  </si>
  <si>
    <t>Tinicachi</t>
  </si>
  <si>
    <t>Unicachi</t>
  </si>
  <si>
    <t>1/ Incluye Seguro Universitario, Empresa Prestadora de Salud, Seguro Escolar, entre otros.</t>
  </si>
  <si>
    <r>
      <rPr>
        <b/>
        <sz val="7"/>
        <rFont val="Arial Narrow"/>
        <family val="2"/>
      </rPr>
      <t>Nota 1:</t>
    </r>
    <r>
      <rPr>
        <sz val="7"/>
        <rFont val="Arial Narrow"/>
        <family val="2"/>
      </rPr>
      <t xml:space="preserve"> Incluye Médicos, Médicos Altamente Especializados, Médicos Serums y Médicos Residentes.</t>
    </r>
  </si>
  <si>
    <t>Red Asistencial Juliaca</t>
  </si>
  <si>
    <t xml:space="preserve">Red Asistencial </t>
  </si>
  <si>
    <t>Departamento</t>
  </si>
  <si>
    <t>2007 a/</t>
  </si>
  <si>
    <t>Amazonas</t>
  </si>
  <si>
    <t>Áncash</t>
  </si>
  <si>
    <t>Apurímac</t>
  </si>
  <si>
    <t>Arequipa</t>
  </si>
  <si>
    <t>Ayacucho</t>
  </si>
  <si>
    <t>Cajamarca</t>
  </si>
  <si>
    <t>Prov. Const, Del Callao</t>
  </si>
  <si>
    <t>Cusco</t>
  </si>
  <si>
    <t>Huancavelica</t>
  </si>
  <si>
    <t>Huánuco</t>
  </si>
  <si>
    <t>Ica</t>
  </si>
  <si>
    <t>Junín</t>
  </si>
  <si>
    <t>La Libertad</t>
  </si>
  <si>
    <t>Lambayeque</t>
  </si>
  <si>
    <t>Loreto</t>
  </si>
  <si>
    <t>Madre de Dios</t>
  </si>
  <si>
    <t>Moquegua</t>
  </si>
  <si>
    <t>Pasco</t>
  </si>
  <si>
    <t>Piura</t>
  </si>
  <si>
    <t>San Martín</t>
  </si>
  <si>
    <t>Tacna</t>
  </si>
  <si>
    <t>Tumbes</t>
  </si>
  <si>
    <t>Ucayali</t>
  </si>
  <si>
    <t>1/ Comprende los 43 distritos que conforman la provincia de Lima.</t>
  </si>
  <si>
    <t>2/ Comprende las provincias: Barranca, Cajatambo, Canta, Cañete, Huaral, Huarochirí, Huaura, Oyón y Yauyos.</t>
  </si>
  <si>
    <t xml:space="preserve">Fuente: Instituto Nacional de Estadística e Informática - Encuesta Demográfica y de Salud Familiar.   </t>
  </si>
  <si>
    <t>Ámbito Geográfico</t>
  </si>
  <si>
    <t>Área de residencia</t>
  </si>
  <si>
    <t>Urbana</t>
  </si>
  <si>
    <t>Rural</t>
  </si>
  <si>
    <t>Lima Metropolitana 1/</t>
  </si>
  <si>
    <t>Callao</t>
  </si>
  <si>
    <t xml:space="preserve">Ica </t>
  </si>
  <si>
    <t xml:space="preserve">San Martín </t>
  </si>
  <si>
    <t>Fuente: Instituto Nacional de Estadística e Informática - Encuesta Demográfica y de Salud Familiar (ENDES).</t>
  </si>
  <si>
    <t>Síndrome  de inmunodeficiencia adquirida (SIDA)</t>
  </si>
  <si>
    <t>Virus Inmunodeficiencia Humana (VIH)</t>
  </si>
  <si>
    <t>Tuberculosis /a</t>
  </si>
  <si>
    <t>Tuberculosis pulmonar /a</t>
  </si>
  <si>
    <t>Dengue clásico</t>
  </si>
  <si>
    <t xml:space="preserve"> -</t>
  </si>
  <si>
    <t>Hepatitis aguda tipo B</t>
  </si>
  <si>
    <t>Registrados con diagnóstico de cancer</t>
  </si>
  <si>
    <t xml:space="preserve">  Enfermera /o</t>
  </si>
  <si>
    <t xml:space="preserve">  Médico</t>
  </si>
  <si>
    <t xml:space="preserve">  Obstetra</t>
  </si>
  <si>
    <t>(Distribución porcentual)</t>
  </si>
  <si>
    <t>Profesional de la salud</t>
  </si>
  <si>
    <r>
      <t>Nota:</t>
    </r>
    <r>
      <rPr>
        <sz val="7"/>
        <rFont val="Arial Narrow"/>
        <family val="2"/>
      </rPr>
      <t xml:space="preserve"> Se incluyen todos los nacimientos en el periodo de 0-59 meses antes de la entrevista. Solamente se ha considerado el último nacimiento. </t>
    </r>
  </si>
  <si>
    <t>Fuente: Instituto Nacional de Estadística e Informática - Encuesta Demográfica y de Salud Familiar.</t>
  </si>
  <si>
    <t xml:space="preserve">   Hospitales Nacionales</t>
  </si>
  <si>
    <t xml:space="preserve">   Hospitales Regionales/ Locales</t>
  </si>
  <si>
    <t xml:space="preserve">   Centros de Salud</t>
  </si>
  <si>
    <t xml:space="preserve">   Puestos de Salud</t>
  </si>
  <si>
    <t xml:space="preserve">   Equipos Itinerantes</t>
  </si>
  <si>
    <t>Fuente: Seguro Integral de Salud (SIS) - Base de Datos - Central.</t>
  </si>
  <si>
    <t>Red Asistencial</t>
  </si>
  <si>
    <t xml:space="preserve">   Regulares 1/</t>
  </si>
  <si>
    <t xml:space="preserve">   Seguro de salud agrario 2/ </t>
  </si>
  <si>
    <t xml:space="preserve">   Seguro potestativos</t>
  </si>
  <si>
    <t xml:space="preserve">   Otras coberturas</t>
  </si>
  <si>
    <t xml:space="preserve">    Otras coberturas</t>
  </si>
  <si>
    <t>2/ Incluye a los dependientes e independientes.</t>
  </si>
  <si>
    <t>Titular</t>
  </si>
  <si>
    <t>Derechohabientes</t>
  </si>
  <si>
    <t xml:space="preserve">  Trabajadores activos</t>
  </si>
  <si>
    <t xml:space="preserve">   Pensionistas  </t>
  </si>
  <si>
    <t xml:space="preserve">   Otros</t>
  </si>
  <si>
    <t xml:space="preserve">6.2 PUNO: PROFESIONALES DE LA SALUD EN LA DIRECCIÓN REGIONAL DE SALUD, POR ESPECIALIDAD, SEGÚN </t>
  </si>
  <si>
    <t>6.6 PUNO: DOSIS APLICADA DE VACUNA PENTAVALENTE, POR UNIDAD TERRITORIAL DE ESTABLECIMIENTOS DE SALUD, 2012 - 2015</t>
  </si>
  <si>
    <t>6.14   PUNO: USUARIOS DEL PROGRAMA DE PLANIFICACIÓN FAMILIAR POR TIPO DE MÉTODO ANTICONCEPTIVO,</t>
  </si>
  <si>
    <t xml:space="preserve">Puno </t>
  </si>
  <si>
    <t>Conclusión.</t>
  </si>
  <si>
    <t xml:space="preserve">        SEGÚN UNIDAD TERRITORIAL DE ESTABLECIMIENTOS DE SALUD, 2016 - 2019</t>
  </si>
  <si>
    <t>6.11 PUNO: PARTOS ATENDIDOS SEGÚN PROFESIONALES DE LA SALUD, 2009 - 2018</t>
  </si>
  <si>
    <t>6.6   PUNO: DOSIS APLICADA DE VACUNA PENTAVALENTE POR UNIDAD TERRITORIAL DE ESTABLECIMIENTOS DE SALUD, 2016 - 2019</t>
  </si>
  <si>
    <t>Red Asistencial Puno</t>
  </si>
  <si>
    <t>12,2</t>
  </si>
  <si>
    <t>(6,0)</t>
  </si>
  <si>
    <t>17,3</t>
  </si>
  <si>
    <t>25,6</t>
  </si>
  <si>
    <t>3,8</t>
  </si>
  <si>
    <t>14,0</t>
  </si>
  <si>
    <t>30,7</t>
  </si>
  <si>
    <t>19,4</t>
  </si>
  <si>
    <t>5,5</t>
  </si>
  <si>
    <t>18,7</t>
  </si>
  <si>
    <t>12,7</t>
  </si>
  <si>
    <t>11,2</t>
  </si>
  <si>
    <t>5,0</t>
  </si>
  <si>
    <t>9,5</t>
  </si>
  <si>
    <t>23,7</t>
  </si>
  <si>
    <t>8,4</t>
  </si>
  <si>
    <t>(8,5)</t>
  </si>
  <si>
    <t>2,5</t>
  </si>
  <si>
    <t>(2,2)</t>
  </si>
  <si>
    <t>16,0</t>
  </si>
  <si>
    <t>13,0</t>
  </si>
  <si>
    <t>12,6</t>
  </si>
  <si>
    <t>11,5</t>
  </si>
  <si>
    <t>2,4</t>
  </si>
  <si>
    <t>(1,9)</t>
  </si>
  <si>
    <t>7,5</t>
  </si>
  <si>
    <t>17,7</t>
  </si>
  <si>
    <t xml:space="preserve">Lima 2/ </t>
  </si>
  <si>
    <r>
      <rPr>
        <b/>
        <sz val="7"/>
        <rFont val="Arial Narrow"/>
        <family val="2"/>
      </rPr>
      <t>Nota: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</rPr>
      <t>Las estimaciones se refieren a niñas y niños nacidos en el periodo 0-59 meses anteriores a la encuesta. Cada índice se expresa en términos del número de desviaciones estándar (DE) de la media del patrón internacional utilizado por la NCHS/CDC/OMS. Las niñas y niños se clasifican como desnutridos si están por debajo de -2 desviaciones estándar (DE) por debajo de la media de la población de referencia. El cuadro se basa en niñas y niños con fechas completas de nacimiento y mediciones tanto de talla como de peso.</t>
    </r>
  </si>
  <si>
    <t xml:space="preserve">
Puno</t>
  </si>
  <si>
    <t xml:space="preserve"> Azángaro</t>
  </si>
  <si>
    <t xml:space="preserve"> Carabaya</t>
  </si>
  <si>
    <t xml:space="preserve"> Chucuito</t>
  </si>
  <si>
    <t xml:space="preserve">
Lampa</t>
  </si>
  <si>
    <t xml:space="preserve">
Melgar</t>
  </si>
  <si>
    <t>El 
Collao</t>
  </si>
  <si>
    <t>Hospital Regional MNB</t>
  </si>
  <si>
    <t>REDES</t>
  </si>
  <si>
    <t>Obstetra</t>
  </si>
  <si>
    <t>2/ Comprende las provincias: Barranca, Cajatambo, Canta, Cañete, Huaral, Huarochiri, Huaura, Oyón y Yauyos.</t>
  </si>
  <si>
    <t>Lima 2/</t>
  </si>
  <si>
    <t>José Domingo Choquehuanca</t>
  </si>
  <si>
    <t>Pedro V. Apaza</t>
  </si>
  <si>
    <t xml:space="preserve">       Patrón de referencia OMS</t>
  </si>
  <si>
    <t xml:space="preserve">       (Porcentaje)</t>
  </si>
  <si>
    <r>
      <rPr>
        <b/>
        <sz val="7"/>
        <rFont val="Arial Narrow"/>
        <family val="2"/>
      </rPr>
      <t>Nota 2:</t>
    </r>
    <r>
      <rPr>
        <sz val="7"/>
        <rFont val="Arial Narrow"/>
        <family val="2"/>
      </rPr>
      <t xml:space="preserve"> Las cifras para el año 2016 han sido modificados por el sector, por lo que el total ha variado.</t>
    </r>
  </si>
  <si>
    <t>Fuente: Dirección Regional de Salud Puno - Dirección Ejecutiva de Epidemiología.</t>
  </si>
  <si>
    <t>Otras deformidades congenitas de la cadera</t>
  </si>
  <si>
    <t>1.</t>
  </si>
  <si>
    <t>10.</t>
  </si>
  <si>
    <t>6.</t>
  </si>
  <si>
    <t>2.</t>
  </si>
  <si>
    <t>3.</t>
  </si>
  <si>
    <t>4.</t>
  </si>
  <si>
    <t>5.</t>
  </si>
  <si>
    <t>7.</t>
  </si>
  <si>
    <t>8.</t>
  </si>
  <si>
    <t>9.</t>
  </si>
  <si>
    <t>Abuso psicologico</t>
  </si>
  <si>
    <t>Caries dental, no especificada</t>
  </si>
  <si>
    <t>Depositos (acreciones) en los dientes</t>
  </si>
  <si>
    <t>Caries de la dentina</t>
  </si>
  <si>
    <t>Pulpitis</t>
  </si>
  <si>
    <t>Otros sindromes de maltrato por conocido o amigo</t>
  </si>
  <si>
    <t>Necrosis de la pulpa</t>
  </si>
  <si>
    <t>Luxacion congenita de la cadera, unilateral</t>
  </si>
  <si>
    <t>Bronquitis aguda, no especificada</t>
  </si>
  <si>
    <t>Feto y Recien Nacido Afectados por Parto por Cesarea</t>
  </si>
  <si>
    <t>Sepsis Bacteriana del Rn, no Especificada</t>
  </si>
  <si>
    <t>Rn Pre Termino</t>
  </si>
  <si>
    <t>Ictericia Neonatal, no Especificada</t>
  </si>
  <si>
    <t>Covid19, Virus identificado</t>
  </si>
  <si>
    <t>Deshidratacion / Deplecion del Volumen</t>
  </si>
  <si>
    <t>Otras gastroenteritis y colitis no especificadas de origen infeccioso</t>
  </si>
  <si>
    <t>Dificultad Respiratoria del Rn, no Especificada</t>
  </si>
  <si>
    <t>Taquipnea Transitoria del Recien Nacido</t>
  </si>
  <si>
    <t>Deshidratacion del Recien Nacido</t>
  </si>
  <si>
    <t>Otros dolores Abdominales y los no Especificados</t>
  </si>
  <si>
    <t>Faringitis Aguda, no Especificada</t>
  </si>
  <si>
    <t>Abdomen Agudo</t>
  </si>
  <si>
    <t>Rinofaringitis Aguda, Rinitis Aguda</t>
  </si>
  <si>
    <t>A Termino (Producto Unico Nacido en Hospital)</t>
  </si>
  <si>
    <t>Infecciones Intestinales debidas a otros Organismos sin Especificar</t>
  </si>
  <si>
    <t>Nacido Vivo, Unico</t>
  </si>
  <si>
    <t>Fiebre, no Especificada</t>
  </si>
  <si>
    <t>Infeccion Aguda de las Vias Respiratorias Superiores, no Especificada</t>
  </si>
  <si>
    <t>Feto y RN Afectados por Complicaciones no Especificadas del Trabajo de Parto y del Parto</t>
  </si>
  <si>
    <t>6.14 PERÚ: TASA DE DESNUTRICIÓN CRÓNICA DE NIÑOS/AS MENORES DE 5 AÑOS, SEGÚN DEPARTAMENTO, 2015 - 2021</t>
  </si>
  <si>
    <t>1/ Comprende las Provincias de Huancané, Moho y San Antonio de Putina.</t>
  </si>
  <si>
    <t>Fuente: Seguro Social de Salud (EsSalud) - Gerencia de Gestión de la Informacón - Sub Gerencia de  Estadística.</t>
  </si>
  <si>
    <r>
      <rPr>
        <b/>
        <sz val="7"/>
        <rFont val="Arial Narrow"/>
        <family val="2"/>
      </rPr>
      <t xml:space="preserve">Nota: </t>
    </r>
    <r>
      <rPr>
        <sz val="7"/>
        <rFont val="Arial Narrow"/>
        <family val="2"/>
      </rPr>
      <t>Comprende edades desde 1 dia a menores de 11 años.</t>
    </r>
  </si>
  <si>
    <r>
      <t xml:space="preserve">Nota: </t>
    </r>
    <r>
      <rPr>
        <sz val="7"/>
        <rFont val="Arial Narrow"/>
        <family val="2"/>
      </rPr>
      <t>La prevalencia está ajustada por la altura siguiendo el procedimiento recomendado en CDC, 1998.</t>
    </r>
  </si>
  <si>
    <t>Testiculo no descendido, sin otra especificacion</t>
  </si>
  <si>
    <t>Rinofaringitis aguda, rinitis aguda</t>
  </si>
  <si>
    <t>Rn pre termino</t>
  </si>
  <si>
    <t>otras deformidades congenitas de la cadera</t>
  </si>
  <si>
    <t>Prepucio redundante, fimosis y parafimosis</t>
  </si>
  <si>
    <t>Epilepsia, tipo no especificado</t>
  </si>
  <si>
    <t>Infecciones intestinales debidas a otros organismos sin especificar</t>
  </si>
  <si>
    <t>Verrugas viricas</t>
  </si>
  <si>
    <t>Trastorno especifico de la lectura</t>
  </si>
  <si>
    <t>Astigmatismo</t>
  </si>
  <si>
    <t>Trastorno del lenguaje expresivo</t>
  </si>
  <si>
    <t>COVID 19, Virus No Identificado</t>
  </si>
  <si>
    <t>Tos</t>
  </si>
  <si>
    <t>Traumatismos Superficiales Multiples, no Especificados</t>
  </si>
  <si>
    <t>Bronquitis Aguda, no Especificada</t>
  </si>
  <si>
    <t>Infeccion de Vias Urinarias, Sitio no Especificado</t>
  </si>
  <si>
    <t>Sepsis del Recien Nacido debida a Estreptococo del Grupo B</t>
  </si>
  <si>
    <t>Otras Hipoglicemias Neonatales</t>
  </si>
  <si>
    <t>Sindrome de dificultad Respiratoria del Rn</t>
  </si>
  <si>
    <t>Septicemia, no Especificada</t>
  </si>
  <si>
    <t>Anemia de Tipo no Especificado</t>
  </si>
  <si>
    <t>Neumonia, no Especificada</t>
  </si>
  <si>
    <t>Nota: Se valifo información.</t>
  </si>
  <si>
    <t>Huancané 1/</t>
  </si>
  <si>
    <t>Causas de morbilidad infantil</t>
  </si>
  <si>
    <t>Total país</t>
  </si>
  <si>
    <t xml:space="preserve"> (N° de casos)</t>
  </si>
  <si>
    <t xml:space="preserve">  (N° de casos)</t>
  </si>
  <si>
    <t xml:space="preserve">    (Porcentaje)</t>
  </si>
  <si>
    <t xml:space="preserve">         Patrón de referencia OMS</t>
  </si>
  <si>
    <t>Total País</t>
  </si>
  <si>
    <t xml:space="preserve">         (Miles de personas)</t>
  </si>
  <si>
    <t xml:space="preserve">        (Miles de personas)</t>
  </si>
  <si>
    <t>Seguro de fuerzas armadas o policiales, Seguro privado de salud y Otro seguro 1/</t>
  </si>
  <si>
    <t>Seguro privado de salud y Otro seguro 1/</t>
  </si>
  <si>
    <t>Seguro de fuerzas armadas o policiales y Otro seguro 1/</t>
  </si>
  <si>
    <t>Total departamento</t>
  </si>
  <si>
    <t>Provincia / 
Distrito</t>
  </si>
  <si>
    <t>Fuente: Seguro Social de Salud - Gerencia Central de Aseguramiento -Sub  Gerencia de Control de la Información de Seguros.</t>
  </si>
  <si>
    <t>Fuente: Seguro Social de Salud - Gerencia Central de Aseguramiento - Sub  Gerencia de Control de la Información de Seguros.</t>
  </si>
  <si>
    <t xml:space="preserve">        (N° casos)</t>
  </si>
  <si>
    <t>Atención Niños/as menores de 5 años afectados 
con enfermedades diarreicas agudas</t>
  </si>
  <si>
    <t>2023 a/</t>
  </si>
  <si>
    <t>Subluxación congenita de la cadera, bilateral</t>
  </si>
  <si>
    <t>Depositos (Acreciones) en los dientes</t>
  </si>
  <si>
    <t>Hernia inguinal unilateral o no especificada</t>
  </si>
  <si>
    <t>Infección aguda de las vías respiratorias Superiores, no especificada</t>
  </si>
  <si>
    <t>tos</t>
  </si>
  <si>
    <t>Traumatismos superficiales múltiples, no especificada</t>
  </si>
  <si>
    <t>COVID 19, VIRUS IDENTIFICADO</t>
  </si>
  <si>
    <t>Otros Trastornos Neonatales Transitorios de la Coagulacion</t>
  </si>
  <si>
    <t>Gastroenteritis y colitis de origen no especificada</t>
  </si>
  <si>
    <t>Otras Neumonias, de Microorganismo no Especificado</t>
  </si>
  <si>
    <t>a/ No incluye establecimientos MINSA.</t>
  </si>
  <si>
    <t>2024 a/</t>
  </si>
  <si>
    <t>a/ Informacion comprendida hasta el 31 de agosto del 2024.</t>
  </si>
  <si>
    <t>a/ Informacion comprendida del I Semestre del 2024.</t>
  </si>
  <si>
    <t xml:space="preserve">Otras Deformidades Congenitas De La Cadera </t>
  </si>
  <si>
    <t xml:space="preserve">Prepucio Redundante, Fimosis Y Parafimosis </t>
  </si>
  <si>
    <t xml:space="preserve">Caries De La Dentina </t>
  </si>
  <si>
    <t xml:space="preserve">Retardo Del Desarrollo </t>
  </si>
  <si>
    <t xml:space="preserve">Trastorno Del Lenguaje Expresivo </t>
  </si>
  <si>
    <t xml:space="preserve">Astigmatismo </t>
  </si>
  <si>
    <t xml:space="preserve">Testiculo No Descendido, Sin Otra Especificacion </t>
  </si>
  <si>
    <t xml:space="preserve">Hernia Inguinal Unilateral O No Especificada, Sin Obstruccion Ni Gangrena </t>
  </si>
  <si>
    <t xml:space="preserve">Faringitis Aguda, No Especificada </t>
  </si>
  <si>
    <t xml:space="preserve">Absceso Periapical Con Fistula </t>
  </si>
  <si>
    <t>Otras Deformidades Congenitas De La Cadera</t>
  </si>
  <si>
    <t>Caries De La Dentina</t>
  </si>
  <si>
    <t>Prepucio Redundante Fimosis Y Parafimosis</t>
  </si>
  <si>
    <t>Faringitis Aguda No Especificada</t>
  </si>
  <si>
    <t>Retardo Del Desarrollo</t>
  </si>
  <si>
    <t>Rinofaringitis Aguda Rinitis Aguda</t>
  </si>
  <si>
    <t>Faringo Amigdalitis Aguda</t>
  </si>
  <si>
    <t>Caries Limitada Al Esmalte</t>
  </si>
  <si>
    <t>Hernia Inguinal Unilateral O No Especificada Sin Obstruccion Ni Gangrena</t>
  </si>
  <si>
    <t xml:space="preserve">Fiebre, no Especificada </t>
  </si>
  <si>
    <t xml:space="preserve">Faringitis Aguda, no Especificada </t>
  </si>
  <si>
    <t xml:space="preserve">Abdomen Agudo </t>
  </si>
  <si>
    <t xml:space="preserve">Infecciones Intestinales debidas a otros Organismos sin Especificar </t>
  </si>
  <si>
    <t xml:space="preserve">Deshidratacion / Deplecion del Volumen </t>
  </si>
  <si>
    <t xml:space="preserve">Nausea y Vomito </t>
  </si>
  <si>
    <t xml:space="preserve">Infeccion de Vias Urinarias, Sitio no Especificado </t>
  </si>
  <si>
    <t xml:space="preserve">Rinofaringitis Aguda, Rinitis Aguda </t>
  </si>
  <si>
    <t xml:space="preserve">Herida de otras partes de la Cabeza </t>
  </si>
  <si>
    <t xml:space="preserve">Traumatismos Superficiales Multiples, no Especificados </t>
  </si>
  <si>
    <t>Infecciones Intestinales Debidas A Otros Organismos Sin Especificar</t>
  </si>
  <si>
    <t>Neumonia No Especificada</t>
  </si>
  <si>
    <t>Nausea Y Vomito</t>
  </si>
  <si>
    <t>Amigdalitis Aguda No Especificada</t>
  </si>
  <si>
    <t>Sepsis Bacteriana Del Rn No Especificada</t>
  </si>
  <si>
    <t>Taquipnea Transitoria Del Recien Nacido</t>
  </si>
  <si>
    <t>a/ Informacion comprendida hasta la semana epidemiológica 39 del 2024.</t>
  </si>
  <si>
    <t>a/ Informacion comprendida hasta el 31 de mayo del 2024.</t>
  </si>
  <si>
    <t>Obstetras</t>
  </si>
  <si>
    <t>Enfermeras/os</t>
  </si>
  <si>
    <t>Psicólogos/as</t>
  </si>
  <si>
    <t>Profesional</t>
  </si>
  <si>
    <t>Fuente: Colegios profesionales del Perú.</t>
  </si>
  <si>
    <t xml:space="preserve">6.5  PUNO: DOSIS APLICADA DE VACUNA ANTIPOLIOMIELÍTICA POR UNIDAD TERRITORIAL DE ESTABLECIMIENTOS DE </t>
  </si>
  <si>
    <t xml:space="preserve">       SALUD, SEGÚN GRUPOS DE EDAD, 2020 - 2024</t>
  </si>
  <si>
    <t xml:space="preserve">6.6  PUNO: DOSIS APLICADA DE VACUNA PENTAVALENTE POR UNIDAD TERRITORIAL DE ESTABLECIMIENTOS DE SALUD,  </t>
  </si>
  <si>
    <t xml:space="preserve">6.7  PUNO: DOSIS APLICADA DE VACUNAS BCG (ANTITUBERCULOSIS) POR UNIDAD TERRITORIAL DE ESTABLECIMIENTOS </t>
  </si>
  <si>
    <t>6.1  PUNO: ESTABLECIMIENTOS DE SALUD, SEGÚN UNIDAD TERRITORIAL, 2020 - 2024</t>
  </si>
  <si>
    <t>6.2  PUNO: PROFESIONAL DE LA SALUD COLEGIADA/DO POR ESPECIALIDAD, 2017 - 2023</t>
  </si>
  <si>
    <t xml:space="preserve">       DE SALUD, SEGÚN GRUPOS DE EDAD, 2016 - 2024</t>
  </si>
  <si>
    <t>6.20  PUNO: POBLACIÓN ASEGURADA EN EL SEGURO SOCIAL DE SALUD, SEGÚN RED ASISTENCIAL, 2017 - 2023</t>
  </si>
  <si>
    <t>Unidad Territorial</t>
  </si>
  <si>
    <t>Tipo de Vacuna</t>
  </si>
  <si>
    <t>6.3  PUNO: MÉDICOS DEL SEGURO SOCIAL DE SALUD, SEGÚN RED ASISTENCIAL, 2015 - 2023</t>
  </si>
  <si>
    <t>6.4  PUNO: DOSIS APLICADA DE INMUNIZACIÓN, SEGÚN TIPO DE VACUNA, 2016 - 2024</t>
  </si>
  <si>
    <t>Grupos de Edad</t>
  </si>
  <si>
    <t>SEGÚN GRUPOS DE EDAD, 2020 - 2024</t>
  </si>
  <si>
    <t>6.8 PUNO: ATENCIONES DE PRIMERAS CAUSAS DE MORBILIDAD INFANTIL EN CONSULTORIO EXTERNO, 2022 - 2024</t>
  </si>
  <si>
    <t>Causas de Morbilidad Infantil</t>
  </si>
  <si>
    <t>Atenciones de niños/as menores de 5 años afectados con infecciones respiratorias agudas</t>
  </si>
  <si>
    <t>Tipo de Enfermedad</t>
  </si>
  <si>
    <t>6.13  PUNO: PARTOS ATENDIDOS POR PERSONAL DE LA SALUD, SEGÚN ÁMBITO GEOGRÁFICO, 2018 - 2023</t>
  </si>
  <si>
    <t>6.11  PUNO: MORTALIDAD MATERNA, SEGÚN REDES DE LA DIRECCIÓN REGIONAL DE SALUD PUNO, 2017 - 2024</t>
  </si>
  <si>
    <t>6.12  PUNO: CASOS NOTIFICADOS, SEGÚN TIPO DE ENFERMEDAD, 2016 - 2023</t>
  </si>
  <si>
    <t>Técnico en Enfermería/
Promotor 
de salud</t>
  </si>
  <si>
    <r>
      <rPr>
        <b/>
        <sz val="7"/>
        <rFont val="Arial Narrow"/>
        <family val="2"/>
      </rPr>
      <t>Nota: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</rPr>
      <t>Las estimaciones se refieren a niñas y niños nacidos en el periodo 0-59 meses anteriores a la encuesta. Cada índice se expresa en 
         términos del número de desviaciones estándar (DE) de la media del patrón internacional utilizado por la NCHS/CDC/OMS. Las niñas 
         y niños se clasifican como desnutridos si están por debajo de -2 desviaciones estándar (DE) por debajo de la media de la población
         de referencia. El cuadro se basa en niñas y niños con fechas completas de nacimiento y mediciones tanto de talla como de peso.</t>
    </r>
  </si>
  <si>
    <t xml:space="preserve">         (Porcentaje)</t>
  </si>
  <si>
    <t>6.14  PUNO: TASA DE DESNUTRICIÓN CRÓNICA DE NIÑOS/AS MENORES DE 5 AÑOS, SEGÚN ÁMBITO GEOGRÁFICO, 2017 - 2023</t>
  </si>
  <si>
    <t>6.15  PUNO: PREVALENCIA DE ANEMIA EN NIÑAS Y NIÑOS DE 6 A 59 MESES DE EDAD, SEGÚN ÁMBITO GEOGRÁFICO,
        2017 - 2023</t>
  </si>
  <si>
    <t>Método Anticonceptivo</t>
  </si>
  <si>
    <t>Barrera Condón</t>
  </si>
  <si>
    <t>Abstinencia Periódica</t>
  </si>
  <si>
    <t>Hormonal Oral</t>
  </si>
  <si>
    <t>Hospital Regional
Manuel Núñez Butrón</t>
  </si>
  <si>
    <t>6.16   PUNO: USUARIOS DEL PROGRAMA DE PLANIFICACIÓN FAMILIAR POR TIPO DE MÉTODO ANTICONCEPTIVO,</t>
  </si>
  <si>
    <t xml:space="preserve">         SEGÚN UNIDAD TERRITORIAL DE ESTABLECIMIENTOS DE SALUD, 2021 - 2024</t>
  </si>
  <si>
    <t>6.17  PUNO: POBLACIÓN CENSADA POR AFILIACIÓN A SEGURO DE SALUD, SEGÚN PROVINCIA Y DISTRITO, 2017</t>
  </si>
  <si>
    <t>Soló Seguro de Fuerzas Armadas o Policiales</t>
  </si>
  <si>
    <t>Soló Seguro Privado de Salud</t>
  </si>
  <si>
    <t>Soló Otro Seguro</t>
  </si>
  <si>
    <t>Seguro Integral de Salud (SIS) y  Seguro Privado de Salud</t>
  </si>
  <si>
    <t>Seguro Integral de Salud (SIS) y Otro Seguro</t>
  </si>
  <si>
    <t>Seguro Integral de Salud (SIS), Seguro Privado de Salud y Otro Seguro</t>
  </si>
  <si>
    <t>ESSALUD y Seguro de Fuerzas Armadas o Policiales</t>
  </si>
  <si>
    <t>ESSALUD y Seguro Privado de Salud</t>
  </si>
  <si>
    <t>ESSALUD y Otro Seguro</t>
  </si>
  <si>
    <t>ESSALUD, Seguro de Fuerzas Armadas o Policiales y Seguro Privado de Salud</t>
  </si>
  <si>
    <t>ESSALUD, Seguro Privado de Salud y Otro Seguro</t>
  </si>
  <si>
    <t>Seguro de Fuerzas Armadas o Policiales y Seguro Privado de Salud</t>
  </si>
  <si>
    <t>Seguro de fuerzas Armadas o Policiales y Otro Seguro /1</t>
  </si>
  <si>
    <t>Seguro de Fuerzas Armadas o Policiales, Seguro Privado de Salud y Otro Seguro 1/</t>
  </si>
  <si>
    <t>Seguro Privado de Salud y Otro Seguro 1/</t>
  </si>
  <si>
    <t>6.19  PUNO: POBLACIÓN ASEGURADA EN EL SEGURO SOCIAL DE SALUD, SEGÚN RED ASISTENCIAL, 2017 - 2023</t>
  </si>
  <si>
    <t>6.18  PUNO: POBLACIÓN ASEGURADA EN EL SEGURO INTEGRAL DE SALUD SUBSIDIADO, SEGÚN NIVEL DEL
         ESTABLECIMIENTO DE  SALUD, 2017 - 2023</t>
  </si>
  <si>
    <t>Nivel del Establecimiento de Salud</t>
  </si>
  <si>
    <t>6.9 PUNO: ATENCIONES DE PRIMERAS CAUSAS DE MORBILIDAD INFANTIL EN EMERGENCIA, 2022 - 2024</t>
  </si>
  <si>
    <t>6.10 PUNO: ATENCIONES DE PRIMERAS CAUSAS DE MORBILIDAD INFANTIL EN HOSPITALIZACIÓN, 2022 - 2024</t>
  </si>
  <si>
    <t xml:space="preserve">   (N° de casos)</t>
  </si>
  <si>
    <t>Redes</t>
  </si>
  <si>
    <t xml:space="preserve">Fuente: Ministerio de Salud (MINSA) - Centro Nacional de Epidemiología, Prevención y Control de Enfermedades,
              Dirección General de Intervenciones Estratégicas en Salud Pública, Oficina General de Tecnologías de la
              Información. Intituto Nacional de Enfermedades Neoplásicas (INEN) -Departamento de Epidemiología y
             </t>
  </si>
  <si>
    <t xml:space="preserve">              Estadística del Cáncer.</t>
  </si>
  <si>
    <r>
      <t>Nota:</t>
    </r>
    <r>
      <rPr>
        <sz val="7"/>
        <rFont val="Arial Narrow"/>
        <family val="2"/>
      </rPr>
      <t xml:space="preserve"> Se incluyen todos los nacimientos en el período de 0 - 59 meses antes de la entrevista. Si se mencionó más de una persona en la 
            </t>
    </r>
  </si>
  <si>
    <t xml:space="preserve">           atención de parto,  se considera la participación de cada personal independientemente de su calificación.</t>
  </si>
  <si>
    <t xml:space="preserve">Fuente:  Instituto Nacional de Estadística e Informática - Censos Nacionales 2017: XII de Población, VII de Vivienda y 
              </t>
  </si>
  <si>
    <t xml:space="preserve">               III de Comunidades indígenas.</t>
  </si>
  <si>
    <t xml:space="preserve">1/ Incluye a los trabajadores activos, pescador y procesador artesanal independiente, trabajador del hogar, trabajador de la CBSSP, solicitantes
    </t>
  </si>
  <si>
    <t xml:space="preserve">      de pensión, pensionistas y pensionistas de la CBSSP.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</si>
</sst>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 * #,##0_ ;_ * \-#,##0_ ;_ * &quot;-&quot;_ ;_ @_ "/>
    <numFmt numFmtId="167" formatCode="_ * #,##0.00_ ;_ * \-#,##0.00_ ;_ * &quot;-&quot;??_ ;_ @_ "/>
    <numFmt numFmtId="168" formatCode="0&quot;   &quot;"/>
    <numFmt numFmtId="169" formatCode="0&quot;     &quot;"/>
    <numFmt numFmtId="170" formatCode="0&quot;  &quot;"/>
    <numFmt numFmtId="171" formatCode="#\ ##0&quot;  &quot;"/>
    <numFmt numFmtId="172" formatCode="#\ ##0&quot;     &quot;"/>
    <numFmt numFmtId="173" formatCode="#\ ##0&quot;   &quot;"/>
    <numFmt numFmtId="174" formatCode="0&quot;      &quot;"/>
    <numFmt numFmtId="175" formatCode="0&quot;       &quot;"/>
    <numFmt numFmtId="176" formatCode="0&quot;    &quot;"/>
    <numFmt numFmtId="177" formatCode="0&quot;          &quot;"/>
    <numFmt numFmtId="178" formatCode="0.0"/>
    <numFmt numFmtId="179" formatCode="#\ ##0"/>
    <numFmt numFmtId="180" formatCode="#\ ###"/>
    <numFmt numFmtId="181" formatCode="##\ ###"/>
    <numFmt numFmtId="182" formatCode="###\ ###\ ##0"/>
    <numFmt numFmtId="183" formatCode="#\ ###\ ###"/>
    <numFmt numFmtId="184" formatCode="#\ ###\ ##0;;&quot;-&quot;"/>
    <numFmt numFmtId="185" formatCode="General_)"/>
    <numFmt numFmtId="186" formatCode="\$#.00"/>
    <numFmt numFmtId="187" formatCode="_-[$€-2]* #,##0.00_-;\-[$€-2]* #,##0.00_-;_-[$€-2]* &quot;-&quot;??_-"/>
    <numFmt numFmtId="188" formatCode="#.00"/>
    <numFmt numFmtId="189" formatCode="_ #,##0.0__\ ;_ \-#,##0.0__\ ;_ \ &quot;-.-&quot;__\ ;_ @__"/>
    <numFmt numFmtId="190" formatCode="_ #,##0.0__\ ;_ \-#,##0.0__\ ;_ \ &quot;-.-&quot;__\ ;_ @\ __"/>
    <numFmt numFmtId="191" formatCode="_ * #,##0_ ;_ * \-#,##0_ ;_ * &quot;-&quot;_ ;_ @_ \l"/>
    <numFmt numFmtId="192" formatCode="%#.00"/>
    <numFmt numFmtId="193" formatCode="_(* #.##0.00_);_(* \(#.##0.00\);_(* &quot;-&quot;??_);_(@_)"/>
    <numFmt numFmtId="194" formatCode="&quot; &quot;#,##0.00&quot; &quot;;&quot; -&quot;#,##0.00&quot; &quot;;&quot; -&quot;00&quot; &quot;;&quot; &quot;@&quot; &quot;"/>
    <numFmt numFmtId="195" formatCode="&quot; &quot;General"/>
    <numFmt numFmtId="196" formatCode="&quot;$&quot;#.00"/>
    <numFmt numFmtId="197" formatCode="&quot; &quot;[$€-402]#,##0.00&quot; &quot;;&quot;-&quot;[$€-402]#,##0.00&quot; &quot;;&quot; &quot;[$€-402]&quot;-&quot;00&quot; &quot;"/>
    <numFmt numFmtId="198" formatCode="&quot; &quot;#,##0.00&quot; &quot;;&quot; (&quot;#,##0.00&quot;)&quot;;&quot; -&quot;00&quot; &quot;;&quot; &quot;@&quot; &quot;"/>
    <numFmt numFmtId="199" formatCode="&quot; &quot;#.000&quot; &quot;;&quot; (&quot;#.000&quot;)&quot;;&quot; -&quot;00&quot; &quot;;&quot; &quot;@&quot; &quot;"/>
    <numFmt numFmtId="200" formatCode="&quot; &quot;#,##0.0&quot;  &quot;;&quot; -&quot;#,##0.0&quot;  &quot;;&quot;  -.-  &quot;;&quot; &quot;@&quot; &quot;"/>
    <numFmt numFmtId="201" formatCode="&quot; &quot;#,##0.0&quot;  &quot;;&quot; -&quot;#,##0.0&quot;  &quot;;&quot;  -.-  &quot;;&quot; &quot;@&quot;  &quot;"/>
    <numFmt numFmtId="202" formatCode="&quot; &quot;#,##0&quot; &quot;;&quot; -&quot;#,##0&quot; &quot;;&quot; - &quot;;&quot; &quot;@&quot; l&quot;"/>
    <numFmt numFmtId="203" formatCode="&quot; &quot;#,##0.00&quot;   &quot;;&quot;-&quot;#,##0.00&quot;   &quot;;&quot; -&quot;00&quot;   &quot;;&quot; &quot;@&quot; &quot;"/>
    <numFmt numFmtId="204" formatCode="_([$€]\ * #,##0.00_);_([$€]\ * \(#,##0.00\);_([$€]\ * &quot;-&quot;??_);_(@_)"/>
    <numFmt numFmtId="205" formatCode="##\ ###\ ###\ ###\ ##0"/>
    <numFmt numFmtId="206" formatCode="#\ ##0.0"/>
    <numFmt numFmtId="207" formatCode="#\ ###\ \ ##0"/>
    <numFmt numFmtId="208" formatCode="#\ ###\ ##0;\-#\ ###\ ##0;&quot;-&quot;"/>
    <numFmt numFmtId="209" formatCode="###0.0"/>
    <numFmt numFmtId="210" formatCode="#,##0.0"/>
    <numFmt numFmtId="211" formatCode="\ \ \ \ \ \ @"/>
    <numFmt numFmtId="212" formatCode="\ \ \ \ \ \ \ @"/>
  </numFmts>
  <fonts count="13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color indexed="8"/>
      <name val="Arial Narrow"/>
      <family val="2"/>
    </font>
    <font>
      <b/>
      <sz val="8"/>
      <color indexed="8"/>
      <name val="Arial Narrow"/>
      <family val="2"/>
    </font>
    <font>
      <b/>
      <sz val="7"/>
      <color indexed="8"/>
      <name val="Arial Narrow"/>
      <family val="2"/>
    </font>
    <font>
      <sz val="7"/>
      <color indexed="8"/>
      <name val="Arial Narrow"/>
      <family val="2"/>
    </font>
    <font>
      <sz val="8"/>
      <color indexed="8"/>
      <name val="Arial Narrow"/>
      <family val="2"/>
    </font>
    <font>
      <b/>
      <sz val="6"/>
      <name val="Arial Narrow"/>
      <family val="2"/>
    </font>
    <font>
      <b/>
      <sz val="10"/>
      <name val="Arial Narrow"/>
      <family val="2"/>
    </font>
    <font>
      <sz val="6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b/>
      <sz val="7"/>
      <color indexed="18"/>
      <name val="Arial Narrow"/>
      <family val="2"/>
    </font>
    <font>
      <b/>
      <sz val="10"/>
      <color indexed="18"/>
      <name val="Arial Narrow"/>
      <family val="2"/>
    </font>
    <font>
      <b/>
      <sz val="5"/>
      <name val="Arial"/>
      <family val="2"/>
    </font>
    <font>
      <b/>
      <sz val="12"/>
      <name val="Tahoma"/>
      <family val="2"/>
    </font>
    <font>
      <sz val="11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rgb="FFFF0000"/>
      <name val="Arial Narrow"/>
      <family val="2"/>
    </font>
    <font>
      <sz val="8"/>
      <color theme="1"/>
      <name val="Arial Narrow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8"/>
      <color rgb="FFFF0000"/>
      <name val="Arial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0"/>
      <color theme="0"/>
      <name val="Arial"/>
      <family val="2"/>
    </font>
    <font>
      <sz val="7"/>
      <color theme="0"/>
      <name val="Arial Narrow"/>
      <family val="2"/>
    </font>
    <font>
      <sz val="8"/>
      <color theme="0"/>
      <name val="Arial Narrow"/>
      <family val="2"/>
    </font>
    <font>
      <sz val="9"/>
      <color theme="0"/>
      <name val="Arial"/>
      <family val="2"/>
    </font>
    <font>
      <u/>
      <sz val="10"/>
      <color theme="10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color indexed="10"/>
      <name val="Geneva"/>
    </font>
    <font>
      <sz val="12"/>
      <color indexed="8"/>
      <name val="Courier"/>
      <family val="3"/>
    </font>
    <font>
      <b/>
      <u/>
      <sz val="8"/>
      <name val="Tms Rmn"/>
    </font>
    <font>
      <sz val="8"/>
      <name val="Helv"/>
    </font>
    <font>
      <sz val="12"/>
      <color indexed="24"/>
      <name val="Arial"/>
      <family val="2"/>
    </font>
    <font>
      <b/>
      <sz val="12"/>
      <name val="Helv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0"/>
      <name val="Times New Roman"/>
      <family val="1"/>
    </font>
    <font>
      <b/>
      <i/>
      <sz val="8"/>
      <name val="Tms Rmn"/>
    </font>
    <font>
      <sz val="12"/>
      <name val="Times New Roman"/>
      <family val="1"/>
    </font>
    <font>
      <sz val="6"/>
      <name val="Helv"/>
    </font>
    <font>
      <i/>
      <sz val="6"/>
      <name val="Helv"/>
    </font>
    <font>
      <b/>
      <i/>
      <sz val="8"/>
      <name val="Helv"/>
    </font>
    <font>
      <b/>
      <sz val="8"/>
      <name val="Tms Rmn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9900"/>
      <name val="Calibri"/>
      <family val="2"/>
    </font>
    <font>
      <sz val="9"/>
      <color rgb="FFFF0000"/>
      <name val="Geneva"/>
    </font>
    <font>
      <b/>
      <sz val="11"/>
      <color rgb="FFFFFFFF"/>
      <name val="Calibri"/>
      <family val="2"/>
    </font>
    <font>
      <sz val="12"/>
      <color rgb="FF000000"/>
      <name val="Courier"/>
      <family val="3"/>
    </font>
    <font>
      <b/>
      <u/>
      <sz val="8"/>
      <color rgb="FF000000"/>
      <name val="Tms Rmn"/>
    </font>
    <font>
      <sz val="8"/>
      <color rgb="FF000000"/>
      <name val="Helv"/>
    </font>
    <font>
      <i/>
      <sz val="11"/>
      <color rgb="FF808080"/>
      <name val="Calibri"/>
      <family val="2"/>
    </font>
    <font>
      <sz val="12"/>
      <color rgb="FF9999FF"/>
      <name val="Arial"/>
      <family val="2"/>
    </font>
    <font>
      <sz val="11"/>
      <color rgb="FF008000"/>
      <name val="Calibri"/>
      <family val="2"/>
    </font>
    <font>
      <b/>
      <sz val="12"/>
      <color rgb="FF000000"/>
      <name val="Helv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0000"/>
      <name val="Courier"/>
      <family val="3"/>
    </font>
    <font>
      <b/>
      <sz val="12"/>
      <color rgb="FF000000"/>
      <name val="Courier"/>
      <family val="3"/>
    </font>
    <font>
      <sz val="11"/>
      <color rgb="FF333399"/>
      <name val="Calibri"/>
      <family val="2"/>
    </font>
    <font>
      <sz val="11"/>
      <color rgb="FFFF9900"/>
      <name val="Calibri"/>
      <family val="2"/>
    </font>
    <font>
      <sz val="10"/>
      <color rgb="FF000000"/>
      <name val="Times New Roman"/>
      <family val="1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i/>
      <sz val="8"/>
      <color rgb="FF000000"/>
      <name val="Tms Rmn"/>
    </font>
    <font>
      <b/>
      <sz val="11"/>
      <color rgb="FF333333"/>
      <name val="Calibri"/>
      <family val="2"/>
    </font>
    <font>
      <sz val="6"/>
      <color rgb="FF000000"/>
      <name val="Helv"/>
    </font>
    <font>
      <i/>
      <sz val="6"/>
      <color rgb="FF000000"/>
      <name val="Helv"/>
    </font>
    <font>
      <b/>
      <i/>
      <sz val="8"/>
      <color rgb="FF000000"/>
      <name val="Helv"/>
    </font>
    <font>
      <b/>
      <sz val="8"/>
      <color rgb="FF000000"/>
      <name val="Tms Rmn"/>
    </font>
    <font>
      <b/>
      <sz val="18"/>
      <color rgb="FF003366"/>
      <name val="Cambria"/>
      <family val="1"/>
    </font>
    <font>
      <sz val="11"/>
      <color rgb="FFFF0000"/>
      <name val="Calibri"/>
      <family val="2"/>
    </font>
    <font>
      <sz val="10"/>
      <color rgb="FF000000"/>
      <name val="Courier"/>
      <family val="3"/>
    </font>
    <font>
      <sz val="9"/>
      <color theme="1"/>
      <name val="Calibri"/>
      <family val="2"/>
      <scheme val="minor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0"/>
      <name val="Cambria"/>
      <family val="1"/>
    </font>
    <font>
      <sz val="7"/>
      <color theme="0" tint="-0.14999847407452621"/>
      <name val="Arial Narrow"/>
      <family val="2"/>
    </font>
    <font>
      <sz val="7"/>
      <name val="Cambria"/>
      <family val="1"/>
    </font>
    <font>
      <sz val="7"/>
      <color indexed="9"/>
      <name val="Arial Narrow"/>
      <family val="2"/>
    </font>
    <font>
      <b/>
      <sz val="6"/>
      <color indexed="8"/>
      <name val="Arial Narrow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9"/>
      <color rgb="FFFF0000"/>
      <name val="Arial Narrow"/>
      <family val="2"/>
    </font>
    <font>
      <sz val="7"/>
      <color rgb="FFFF0000"/>
      <name val="Arial Narrow"/>
      <family val="2"/>
    </font>
    <font>
      <sz val="9"/>
      <color rgb="FFFF0000"/>
      <name val="Arial Narrow"/>
      <family val="2"/>
    </font>
    <font>
      <sz val="12"/>
      <color rgb="FFFF0000"/>
      <name val="Arial Narrow"/>
      <family val="2"/>
    </font>
    <font>
      <sz val="10"/>
      <color theme="0" tint="-0.249977111117893"/>
      <name val="Cambria"/>
      <family val="1"/>
    </font>
    <font>
      <u/>
      <sz val="11"/>
      <color theme="10"/>
      <name val="Arial Narrow"/>
      <family val="2"/>
    </font>
    <font>
      <sz val="11"/>
      <name val="Arial Narrow"/>
      <family val="2"/>
    </font>
    <font>
      <b/>
      <u/>
      <sz val="12"/>
      <color theme="0"/>
      <name val="Arial Narrow"/>
      <family val="2"/>
    </font>
    <font>
      <b/>
      <sz val="7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125">
        <fgColor indexed="8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CC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43"/>
      </patternFill>
    </fill>
    <fill>
      <patternFill patternType="solid">
        <fgColor theme="0" tint="-0.14999847407452621"/>
        <bgColor indexed="64"/>
      </patternFill>
    </fill>
  </fills>
  <borders count="83">
    <border>
      <left/>
      <right/>
      <top/>
      <bottom/>
      <diagonal/>
    </border>
    <border>
      <left/>
      <right style="thick">
        <color indexed="49"/>
      </right>
      <top/>
      <bottom/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/>
      <top/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/>
      <top style="thin">
        <color indexed="49"/>
      </top>
      <bottom/>
      <diagonal/>
    </border>
    <border>
      <left style="thick">
        <color indexed="49"/>
      </left>
      <right/>
      <top/>
      <bottom style="thin">
        <color indexed="49"/>
      </bottom>
      <diagonal/>
    </border>
    <border>
      <left style="thick">
        <color indexed="49"/>
      </left>
      <right/>
      <top style="thin">
        <color indexed="49"/>
      </top>
      <bottom style="thin">
        <color indexed="49"/>
      </bottom>
      <diagonal/>
    </border>
    <border>
      <left style="thick">
        <color indexed="49"/>
      </left>
      <right/>
      <top/>
      <bottom/>
      <diagonal/>
    </border>
    <border>
      <left style="medium">
        <color indexed="49"/>
      </left>
      <right/>
      <top/>
      <bottom style="thin">
        <color indexed="49"/>
      </bottom>
      <diagonal/>
    </border>
    <border>
      <left style="medium">
        <color indexed="49"/>
      </left>
      <right/>
      <top/>
      <bottom/>
      <diagonal/>
    </border>
    <border>
      <left/>
      <right style="thick">
        <color indexed="49"/>
      </right>
      <top style="thin">
        <color indexed="49"/>
      </top>
      <bottom/>
      <diagonal/>
    </border>
    <border>
      <left style="medium">
        <color indexed="49"/>
      </left>
      <right/>
      <top style="thin">
        <color indexed="49"/>
      </top>
      <bottom/>
      <diagonal/>
    </border>
    <border>
      <left style="thick">
        <color indexed="49"/>
      </left>
      <right/>
      <top style="thin">
        <color indexed="49"/>
      </top>
      <bottom/>
      <diagonal/>
    </border>
    <border>
      <left style="medium">
        <color indexed="49"/>
      </left>
      <right/>
      <top style="thin">
        <color indexed="49"/>
      </top>
      <bottom style="thin">
        <color indexed="49"/>
      </bottom>
      <diagonal/>
    </border>
    <border>
      <left/>
      <right/>
      <top/>
      <bottom style="thin">
        <color rgb="FF33CCCC"/>
      </bottom>
      <diagonal/>
    </border>
    <border>
      <left/>
      <right style="medium">
        <color rgb="FF3FA5C1"/>
      </right>
      <top/>
      <bottom/>
      <diagonal/>
    </border>
    <border>
      <left style="medium">
        <color rgb="FF3FA5C1"/>
      </left>
      <right/>
      <top/>
      <bottom style="thin">
        <color rgb="FF3FA5C1"/>
      </bottom>
      <diagonal/>
    </border>
    <border>
      <left/>
      <right/>
      <top/>
      <bottom style="thin">
        <color rgb="FF3FA5C1"/>
      </bottom>
      <diagonal/>
    </border>
    <border>
      <left/>
      <right style="medium">
        <color rgb="FF3FA5C1"/>
      </right>
      <top/>
      <bottom style="thin">
        <color rgb="FF3FA5C1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medium">
        <color rgb="FF3FA5C1"/>
      </right>
      <top style="thin">
        <color rgb="FF3FA5C1"/>
      </top>
      <bottom/>
      <diagonal/>
    </border>
    <border>
      <left/>
      <right/>
      <top style="thin">
        <color rgb="FF33CCCC"/>
      </top>
      <bottom/>
      <diagonal/>
    </border>
    <border>
      <left/>
      <right/>
      <top style="thin">
        <color rgb="FF33CCCC"/>
      </top>
      <bottom style="thin">
        <color rgb="FF33CCCC"/>
      </bottom>
      <diagonal/>
    </border>
    <border>
      <left style="medium">
        <color rgb="FF3FA5C1"/>
      </left>
      <right/>
      <top style="thin">
        <color rgb="FF3FA5C1"/>
      </top>
      <bottom style="thin">
        <color rgb="FF3FA5C1"/>
      </bottom>
      <diagonal/>
    </border>
    <border>
      <left/>
      <right/>
      <top style="thin">
        <color rgb="FF3FA5C1"/>
      </top>
      <bottom style="thin">
        <color rgb="FF3FA5C1"/>
      </bottom>
      <diagonal/>
    </border>
    <border>
      <left/>
      <right style="thick">
        <color rgb="FF33CCCC"/>
      </right>
      <top style="thin">
        <color rgb="FF33CCCC"/>
      </top>
      <bottom/>
      <diagonal/>
    </border>
    <border>
      <left/>
      <right style="thick">
        <color rgb="FF33CCCC"/>
      </right>
      <top/>
      <bottom/>
      <diagonal/>
    </border>
    <border>
      <left style="thick">
        <color rgb="FF33CCCC"/>
      </left>
      <right/>
      <top style="thin">
        <color rgb="FF33CCCC"/>
      </top>
      <bottom style="thin">
        <color rgb="FF33CCCC"/>
      </bottom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 style="thick">
        <color rgb="FF33CCCC"/>
      </left>
      <right/>
      <top/>
      <bottom/>
      <diagonal/>
    </border>
    <border>
      <left/>
      <right/>
      <top style="thin">
        <color rgb="FF33CCCC"/>
      </top>
      <bottom style="thin">
        <color rgb="FF3FA5C1"/>
      </bottom>
      <diagonal/>
    </border>
    <border>
      <left/>
      <right/>
      <top style="thin">
        <color rgb="FF3FA5C1"/>
      </top>
      <bottom style="thin">
        <color rgb="FF33CCCC"/>
      </bottom>
      <diagonal/>
    </border>
    <border>
      <left style="thick">
        <color rgb="FF33CCCC"/>
      </left>
      <right/>
      <top style="thin">
        <color rgb="FF33CCCC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9"/>
      </bottom>
      <diagonal/>
    </border>
    <border>
      <left style="thick">
        <color indexed="49"/>
      </left>
      <right/>
      <top style="thin">
        <color rgb="FF33CCCC"/>
      </top>
      <bottom/>
      <diagonal/>
    </border>
    <border>
      <left/>
      <right style="thick">
        <color indexed="49"/>
      </right>
      <top/>
      <bottom style="thin">
        <color rgb="FF33CCCC"/>
      </bottom>
      <diagonal/>
    </border>
    <border>
      <left style="thick">
        <color indexed="49"/>
      </left>
      <right/>
      <top/>
      <bottom style="thin">
        <color rgb="FF33CCCC"/>
      </bottom>
      <diagonal/>
    </border>
    <border>
      <left/>
      <right style="medium">
        <color rgb="FF33CCCC"/>
      </right>
      <top style="thin">
        <color rgb="FF33CCCC"/>
      </top>
      <bottom/>
      <diagonal/>
    </border>
    <border>
      <left/>
      <right style="medium">
        <color rgb="FF33CCCC"/>
      </right>
      <top/>
      <bottom/>
      <diagonal/>
    </border>
    <border>
      <left/>
      <right style="medium">
        <color rgb="FF33CCCC"/>
      </right>
      <top/>
      <bottom style="thin">
        <color rgb="FF33CCCC"/>
      </bottom>
      <diagonal/>
    </border>
    <border>
      <left style="medium">
        <color rgb="FF33CCCC"/>
      </left>
      <right/>
      <top style="thin">
        <color rgb="FF33CCCC"/>
      </top>
      <bottom style="thin">
        <color rgb="FF33CCCC"/>
      </bottom>
      <diagonal/>
    </border>
    <border>
      <left style="medium">
        <color rgb="FF33CCCC"/>
      </left>
      <right/>
      <top/>
      <bottom style="thin">
        <color rgb="FF33CCCC"/>
      </bottom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/>
      <top style="thin">
        <color rgb="FF00FFCC"/>
      </top>
      <bottom/>
      <diagonal/>
    </border>
    <border>
      <left/>
      <right/>
      <top style="thin">
        <color indexed="49"/>
      </top>
      <bottom style="thin">
        <color rgb="FF33CCCC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33CCCC"/>
      </left>
      <right/>
      <top/>
      <bottom style="thin">
        <color rgb="FF33CCCC"/>
      </bottom>
      <diagonal/>
    </border>
    <border>
      <left style="thick">
        <color rgb="FF33CCCC"/>
      </left>
      <right/>
      <top style="thin">
        <color indexed="49"/>
      </top>
      <bottom style="thin">
        <color indexed="49"/>
      </bottom>
      <diagonal/>
    </border>
    <border>
      <left style="thin">
        <color rgb="FF33CCCC"/>
      </left>
      <right/>
      <top style="thin">
        <color rgb="FF33CCCC"/>
      </top>
      <bottom style="thin">
        <color rgb="FF33CCCC"/>
      </bottom>
      <diagonal/>
    </border>
    <border>
      <left style="thin">
        <color rgb="FF33CCCC"/>
      </left>
      <right/>
      <top/>
      <bottom/>
      <diagonal/>
    </border>
    <border>
      <left style="thick">
        <color rgb="FF33CCCC"/>
      </left>
      <right/>
      <top style="thin">
        <color rgb="FF33CCCC"/>
      </top>
      <bottom style="thin">
        <color indexed="49"/>
      </bottom>
      <diagonal/>
    </border>
    <border>
      <left/>
      <right/>
      <top style="thin">
        <color rgb="FF33CCCC"/>
      </top>
      <bottom style="thin">
        <color indexed="49"/>
      </bottom>
      <diagonal/>
    </border>
    <border>
      <left style="thick">
        <color rgb="FF33CCCC"/>
      </left>
      <right/>
      <top/>
      <bottom style="thin">
        <color indexed="49"/>
      </bottom>
      <diagonal/>
    </border>
    <border>
      <left style="thick">
        <color indexed="49"/>
      </left>
      <right/>
      <top/>
      <bottom style="thin">
        <color indexed="49"/>
      </bottom>
      <diagonal/>
    </border>
    <border>
      <left/>
      <right/>
      <top/>
      <bottom style="thin">
        <color indexed="64"/>
      </bottom>
      <diagonal/>
    </border>
    <border>
      <left style="thin">
        <color indexed="49"/>
      </left>
      <right/>
      <top style="thin">
        <color indexed="49"/>
      </top>
      <bottom style="thin">
        <color indexed="49"/>
      </bottom>
      <diagonal/>
    </border>
    <border>
      <left style="thin">
        <color indexed="49"/>
      </left>
      <right/>
      <top style="thin">
        <color indexed="49"/>
      </top>
      <bottom/>
      <diagonal/>
    </border>
    <border>
      <left style="thin">
        <color indexed="49"/>
      </left>
      <right/>
      <top/>
      <bottom style="thin">
        <color indexed="49"/>
      </bottom>
      <diagonal/>
    </border>
  </borders>
  <cellStyleXfs count="6131">
    <xf numFmtId="0" fontId="0" fillId="0" borderId="0"/>
    <xf numFmtId="0" fontId="8" fillId="0" borderId="0"/>
    <xf numFmtId="0" fontId="8" fillId="0" borderId="0"/>
    <xf numFmtId="0" fontId="30" fillId="0" borderId="0"/>
    <xf numFmtId="0" fontId="8" fillId="0" borderId="0"/>
    <xf numFmtId="0" fontId="7" fillId="0" borderId="0"/>
    <xf numFmtId="0" fontId="44" fillId="0" borderId="0" applyNumberFormat="0" applyFill="0" applyBorder="0" applyAlignment="0" applyProtection="0"/>
    <xf numFmtId="184" fontId="12" fillId="0" borderId="0">
      <alignment horizontal="right" vertical="center"/>
    </xf>
    <xf numFmtId="0" fontId="8" fillId="0" borderId="0"/>
    <xf numFmtId="0" fontId="6" fillId="0" borderId="0"/>
    <xf numFmtId="39" fontId="45" fillId="0" borderId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167" fontId="8" fillId="0" borderId="0" applyFont="0" applyFill="0" applyBorder="0" applyAlignment="0" applyProtection="0"/>
    <xf numFmtId="194" fontId="77" fillId="0" borderId="0" applyFont="0" applyFill="0" applyBorder="0" applyAlignment="0" applyProtection="0"/>
    <xf numFmtId="167" fontId="8" fillId="0" borderId="0" applyFont="0" applyFill="0" applyBorder="0" applyAlignment="0" applyProtection="0"/>
    <xf numFmtId="194" fontId="77" fillId="0" borderId="0" applyFont="0" applyFill="0" applyBorder="0" applyAlignment="0" applyProtection="0"/>
    <xf numFmtId="167" fontId="8" fillId="0" borderId="0" applyFont="0" applyFill="0" applyBorder="0" applyAlignment="0" applyProtection="0"/>
    <xf numFmtId="194" fontId="77" fillId="0" borderId="0" applyFont="0" applyFill="0" applyBorder="0" applyAlignment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167" fontId="8" fillId="0" borderId="0" applyFont="0" applyFill="0" applyBorder="0" applyAlignment="0" applyProtection="0"/>
    <xf numFmtId="194" fontId="7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8" fillId="0" borderId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94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94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78" fillId="27" borderId="0" applyNumberFormat="0" applyBorder="0" applyAlignment="0" applyProtection="0"/>
    <xf numFmtId="0" fontId="78" fillId="27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78" fillId="28" borderId="0" applyNumberFormat="0" applyBorder="0" applyAlignment="0" applyProtection="0"/>
    <xf numFmtId="0" fontId="78" fillId="28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78" fillId="29" borderId="0" applyNumberFormat="0" applyBorder="0" applyAlignment="0" applyProtection="0"/>
    <xf numFmtId="0" fontId="78" fillId="29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47" fillId="10" borderId="0" applyNumberFormat="0" applyBorder="0" applyAlignment="0" applyProtection="0"/>
    <xf numFmtId="0" fontId="47" fillId="10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48" fillId="15" borderId="0" applyNumberFormat="0" applyBorder="0" applyAlignment="0" applyProtection="0"/>
    <xf numFmtId="0" fontId="79" fillId="37" borderId="0" applyNumberFormat="0" applyBorder="0" applyAlignment="0" applyProtection="0"/>
    <xf numFmtId="0" fontId="48" fillId="12" borderId="0" applyNumberFormat="0" applyBorder="0" applyAlignment="0" applyProtection="0"/>
    <xf numFmtId="0" fontId="79" fillId="34" borderId="0" applyNumberFormat="0" applyBorder="0" applyAlignment="0" applyProtection="0"/>
    <xf numFmtId="0" fontId="48" fillId="13" borderId="0" applyNumberFormat="0" applyBorder="0" applyAlignment="0" applyProtection="0"/>
    <xf numFmtId="0" fontId="79" fillId="35" borderId="0" applyNumberFormat="0" applyBorder="0" applyAlignment="0" applyProtection="0"/>
    <xf numFmtId="0" fontId="48" fillId="16" borderId="0" applyNumberFormat="0" applyBorder="0" applyAlignment="0" applyProtection="0"/>
    <xf numFmtId="0" fontId="79" fillId="38" borderId="0" applyNumberFormat="0" applyBorder="0" applyAlignment="0" applyProtection="0"/>
    <xf numFmtId="0" fontId="48" fillId="17" borderId="0" applyNumberFormat="0" applyBorder="0" applyAlignment="0" applyProtection="0"/>
    <xf numFmtId="0" fontId="79" fillId="39" borderId="0" applyNumberFormat="0" applyBorder="0" applyAlignment="0" applyProtection="0"/>
    <xf numFmtId="0" fontId="48" fillId="18" borderId="0" applyNumberFormat="0" applyBorder="0" applyAlignment="0" applyProtection="0"/>
    <xf numFmtId="0" fontId="79" fillId="40" borderId="0" applyNumberFormat="0" applyBorder="0" applyAlignment="0" applyProtection="0"/>
    <xf numFmtId="0" fontId="48" fillId="19" borderId="0" applyNumberFormat="0" applyBorder="0" applyAlignment="0" applyProtection="0"/>
    <xf numFmtId="0" fontId="79" fillId="41" borderId="0" applyNumberFormat="0" applyBorder="0" applyAlignment="0" applyProtection="0"/>
    <xf numFmtId="0" fontId="48" fillId="20" borderId="0" applyNumberFormat="0" applyBorder="0" applyAlignment="0" applyProtection="0"/>
    <xf numFmtId="0" fontId="79" fillId="42" borderId="0" applyNumberFormat="0" applyBorder="0" applyAlignment="0" applyProtection="0"/>
    <xf numFmtId="0" fontId="48" fillId="21" borderId="0" applyNumberFormat="0" applyBorder="0" applyAlignment="0" applyProtection="0"/>
    <xf numFmtId="0" fontId="79" fillId="43" borderId="0" applyNumberFormat="0" applyBorder="0" applyAlignment="0" applyProtection="0"/>
    <xf numFmtId="0" fontId="48" fillId="16" borderId="0" applyNumberFormat="0" applyBorder="0" applyAlignment="0" applyProtection="0"/>
    <xf numFmtId="0" fontId="79" fillId="38" borderId="0" applyNumberFormat="0" applyBorder="0" applyAlignment="0" applyProtection="0"/>
    <xf numFmtId="0" fontId="48" fillId="17" borderId="0" applyNumberFormat="0" applyBorder="0" applyAlignment="0" applyProtection="0"/>
    <xf numFmtId="0" fontId="79" fillId="39" borderId="0" applyNumberFormat="0" applyBorder="0" applyAlignment="0" applyProtection="0"/>
    <xf numFmtId="0" fontId="48" fillId="22" borderId="0" applyNumberFormat="0" applyBorder="0" applyAlignment="0" applyProtection="0"/>
    <xf numFmtId="0" fontId="79" fillId="44" borderId="0" applyNumberFormat="0" applyBorder="0" applyAlignment="0" applyProtection="0"/>
    <xf numFmtId="0" fontId="55" fillId="6" borderId="0" applyNumberFormat="0" applyBorder="0" applyAlignment="0" applyProtection="0"/>
    <xf numFmtId="0" fontId="80" fillId="28" borderId="0" applyNumberFormat="0" applyBorder="0" applyAlignment="0" applyProtection="0"/>
    <xf numFmtId="0" fontId="50" fillId="23" borderId="35" applyNumberFormat="0" applyAlignment="0" applyProtection="0"/>
    <xf numFmtId="0" fontId="81" fillId="45" borderId="45" applyNumberFormat="0" applyAlignment="0" applyProtection="0"/>
    <xf numFmtId="0" fontId="62" fillId="0" borderId="0"/>
    <xf numFmtId="0" fontId="82" fillId="0" borderId="0" applyNumberFormat="0" applyBorder="0" applyProtection="0"/>
    <xf numFmtId="0" fontId="51" fillId="24" borderId="36" applyNumberFormat="0" applyAlignment="0" applyProtection="0"/>
    <xf numFmtId="0" fontId="83" fillId="46" borderId="46" applyNumberFormat="0" applyAlignment="0" applyProtection="0"/>
    <xf numFmtId="4" fontId="63" fillId="0" borderId="0">
      <protection locked="0"/>
    </xf>
    <xf numFmtId="4" fontId="84" fillId="0" borderId="0" applyBorder="0">
      <protection locked="0"/>
    </xf>
    <xf numFmtId="185" fontId="64" fillId="0" borderId="0"/>
    <xf numFmtId="195" fontId="85" fillId="0" borderId="0" applyBorder="0" applyProtection="0"/>
    <xf numFmtId="185" fontId="65" fillId="0" borderId="0"/>
    <xf numFmtId="195" fontId="86" fillId="0" borderId="0" applyBorder="0" applyProtection="0"/>
    <xf numFmtId="186" fontId="63" fillId="0" borderId="0">
      <protection locked="0"/>
    </xf>
    <xf numFmtId="196" fontId="84" fillId="0" borderId="0" applyBorder="0">
      <protection locked="0"/>
    </xf>
    <xf numFmtId="0" fontId="63" fillId="0" borderId="0">
      <protection locked="0"/>
    </xf>
    <xf numFmtId="0" fontId="84" fillId="0" borderId="0" applyNumberFormat="0" applyBorder="0">
      <protection locked="0"/>
    </xf>
    <xf numFmtId="0" fontId="8" fillId="0" borderId="0"/>
    <xf numFmtId="0" fontId="77" fillId="0" borderId="0" applyNumberFormat="0" applyFont="0" applyBorder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94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97" fontId="77" fillId="0" borderId="0" applyFont="0" applyFill="0" applyBorder="0" applyAlignment="0" applyProtection="0"/>
    <xf numFmtId="197" fontId="77" fillId="0" borderId="0" applyFont="0" applyFill="0" applyBorder="0" applyAlignment="0" applyProtection="0"/>
    <xf numFmtId="197" fontId="77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5" fontId="8" fillId="0" borderId="38" applyFill="0" applyBorder="0" applyProtection="0">
      <alignment horizontal="center" wrapText="1" shrinkToFit="1"/>
    </xf>
    <xf numFmtId="15" fontId="8" fillId="0" borderId="38" applyFill="0" applyBorder="0" applyProtection="0">
      <alignment horizontal="center" wrapText="1" shrinkToFit="1"/>
    </xf>
    <xf numFmtId="15" fontId="77" fillId="0" borderId="0" applyFont="0" applyFill="0" applyBorder="0" applyProtection="0">
      <alignment horizontal="center" wrapText="1" shrinkToFit="1"/>
    </xf>
    <xf numFmtId="15" fontId="77" fillId="0" borderId="0" applyFont="0" applyFill="0" applyBorder="0" applyProtection="0">
      <alignment horizontal="center" wrapText="1" shrinkToFit="1"/>
    </xf>
    <xf numFmtId="2" fontId="66" fillId="0" borderId="0" applyFill="0" applyBorder="0" applyAlignment="0" applyProtection="0"/>
    <xf numFmtId="2" fontId="88" fillId="0" borderId="0" applyFill="0" applyBorder="0" applyAlignment="0" applyProtection="0"/>
    <xf numFmtId="188" fontId="63" fillId="0" borderId="0">
      <protection locked="0"/>
    </xf>
    <xf numFmtId="188" fontId="84" fillId="0" borderId="0" applyBorder="0">
      <protection locked="0"/>
    </xf>
    <xf numFmtId="0" fontId="49" fillId="7" borderId="0" applyNumberFormat="0" applyBorder="0" applyAlignment="0" applyProtection="0"/>
    <xf numFmtId="0" fontId="89" fillId="29" borderId="0" applyNumberFormat="0" applyBorder="0" applyAlignment="0" applyProtection="0"/>
    <xf numFmtId="0" fontId="67" fillId="0" borderId="0"/>
    <xf numFmtId="0" fontId="90" fillId="0" borderId="0" applyNumberFormat="0" applyBorder="0" applyProtection="0"/>
    <xf numFmtId="0" fontId="60" fillId="0" borderId="39" applyNumberFormat="0" applyFill="0" applyAlignment="0" applyProtection="0"/>
    <xf numFmtId="0" fontId="91" fillId="0" borderId="47" applyNumberFormat="0" applyFill="0" applyAlignment="0" applyProtection="0"/>
    <xf numFmtId="0" fontId="61" fillId="0" borderId="40" applyNumberFormat="0" applyFill="0" applyAlignment="0" applyProtection="0"/>
    <xf numFmtId="0" fontId="92" fillId="0" borderId="48" applyNumberFormat="0" applyFill="0" applyAlignment="0" applyProtection="0"/>
    <xf numFmtId="0" fontId="53" fillId="0" borderId="41" applyNumberFormat="0" applyFill="0" applyAlignment="0" applyProtection="0"/>
    <xf numFmtId="0" fontId="93" fillId="0" borderId="49" applyNumberFormat="0" applyFill="0" applyAlignment="0" applyProtection="0"/>
    <xf numFmtId="0" fontId="5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68" fillId="0" borderId="0">
      <protection locked="0"/>
    </xf>
    <xf numFmtId="0" fontId="94" fillId="0" borderId="0" applyNumberFormat="0" applyBorder="0">
      <protection locked="0"/>
    </xf>
    <xf numFmtId="0" fontId="69" fillId="0" borderId="0">
      <protection locked="0"/>
    </xf>
    <xf numFmtId="0" fontId="95" fillId="0" borderId="0" applyNumberFormat="0" applyBorder="0">
      <protection locked="0"/>
    </xf>
    <xf numFmtId="0" fontId="54" fillId="10" borderId="35" applyNumberFormat="0" applyAlignment="0" applyProtection="0"/>
    <xf numFmtId="0" fontId="96" fillId="32" borderId="45" applyNumberFormat="0" applyAlignment="0" applyProtection="0"/>
    <xf numFmtId="0" fontId="52" fillId="0" borderId="37" applyNumberFormat="0" applyFill="0" applyAlignment="0" applyProtection="0"/>
    <xf numFmtId="0" fontId="97" fillId="0" borderId="50" applyNumberFormat="0" applyFill="0" applyAlignment="0" applyProtection="0"/>
    <xf numFmtId="167" fontId="8" fillId="0" borderId="0" applyFont="0" applyFill="0" applyBorder="0" applyAlignment="0" applyProtection="0"/>
    <xf numFmtId="167" fontId="47" fillId="0" borderId="0" applyFont="0" applyFill="0" applyBorder="0" applyAlignment="0" applyProtection="0"/>
    <xf numFmtId="193" fontId="8" fillId="0" borderId="0" applyFont="0" applyFill="0" applyBorder="0" applyAlignment="0" applyProtection="0"/>
    <xf numFmtId="199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167" fontId="47" fillId="0" borderId="0" applyFont="0" applyFill="0" applyBorder="0" applyAlignment="0" applyProtection="0"/>
    <xf numFmtId="193" fontId="8" fillId="0" borderId="0" applyFont="0" applyFill="0" applyBorder="0" applyAlignment="0" applyProtection="0"/>
    <xf numFmtId="199" fontId="77" fillId="0" borderId="0" applyFont="0" applyFill="0" applyBorder="0" applyAlignment="0" applyProtection="0"/>
    <xf numFmtId="167" fontId="8" fillId="0" borderId="0" applyFont="0" applyFill="0" applyBorder="0" applyAlignment="0" applyProtection="0"/>
    <xf numFmtId="198" fontId="77" fillId="0" borderId="0" applyFont="0" applyFill="0" applyBorder="0" applyAlignment="0" applyProtection="0"/>
    <xf numFmtId="198" fontId="77" fillId="0" borderId="0" applyFont="0" applyFill="0" applyBorder="0" applyAlignment="0" applyProtection="0"/>
    <xf numFmtId="165" fontId="8" fillId="0" borderId="0" applyFont="0" applyFill="0" applyBorder="0" applyAlignment="0" applyProtection="0"/>
    <xf numFmtId="189" fontId="70" fillId="0" borderId="0" applyFont="0" applyFill="0" applyBorder="0" applyAlignment="0" applyProtection="0"/>
    <xf numFmtId="190" fontId="70" fillId="0" borderId="0" applyFill="0" applyBorder="0" applyAlignment="0" applyProtection="0"/>
    <xf numFmtId="201" fontId="98" fillId="0" borderId="0" applyFill="0" applyBorder="0" applyAlignment="0" applyProtection="0"/>
    <xf numFmtId="200" fontId="77" fillId="0" borderId="0" applyFont="0" applyFill="0" applyBorder="0" applyAlignment="0" applyProtection="0"/>
    <xf numFmtId="0" fontId="5" fillId="0" borderId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78" fillId="0" borderId="0" applyNumberFormat="0" applyBorder="0" applyProtection="0"/>
    <xf numFmtId="0" fontId="47" fillId="0" borderId="0"/>
    <xf numFmtId="0" fontId="99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7" fillId="0" borderId="0" applyNumberFormat="0" applyFont="0" applyFill="0" applyBorder="0" applyAlignment="0" applyProtection="0"/>
    <xf numFmtId="0" fontId="77" fillId="0" borderId="0" applyNumberFormat="0" applyFont="0" applyFill="0" applyBorder="0" applyAlignment="0" applyProtection="0"/>
    <xf numFmtId="0" fontId="8" fillId="0" borderId="0" applyNumberFormat="0" applyFill="0" applyBorder="0" applyAlignment="0" applyProtection="0"/>
    <xf numFmtId="0" fontId="77" fillId="0" borderId="0" applyNumberFormat="0" applyFont="0" applyFill="0" applyBorder="0" applyAlignment="0" applyProtection="0"/>
    <xf numFmtId="0" fontId="77" fillId="0" borderId="0" applyNumberFormat="0" applyFont="0" applyBorder="0" applyProtection="0"/>
    <xf numFmtId="0" fontId="45" fillId="0" borderId="0"/>
    <xf numFmtId="0" fontId="5" fillId="0" borderId="0"/>
    <xf numFmtId="0" fontId="78" fillId="0" borderId="0" applyNumberFormat="0" applyBorder="0" applyProtection="0"/>
    <xf numFmtId="0" fontId="8" fillId="0" borderId="0"/>
    <xf numFmtId="0" fontId="77" fillId="0" borderId="0" applyNumberFormat="0" applyFont="0" applyBorder="0" applyProtection="0"/>
    <xf numFmtId="0" fontId="77" fillId="0" borderId="0" applyNumberFormat="0" applyFont="0" applyBorder="0" applyProtection="0"/>
    <xf numFmtId="0" fontId="100" fillId="0" borderId="0"/>
    <xf numFmtId="0" fontId="8" fillId="0" borderId="0" applyNumberFormat="0" applyFill="0" applyBorder="0" applyAlignment="0" applyProtection="0"/>
    <xf numFmtId="0" fontId="77" fillId="0" borderId="0" applyNumberFormat="0" applyFont="0" applyFill="0" applyBorder="0" applyAlignment="0" applyProtection="0"/>
    <xf numFmtId="0" fontId="101" fillId="0" borderId="0" applyNumberFormat="0" applyBorder="0" applyProtection="0"/>
    <xf numFmtId="0" fontId="8" fillId="0" borderId="0"/>
    <xf numFmtId="0" fontId="77" fillId="0" borderId="0" applyNumberFormat="0" applyFont="0" applyBorder="0" applyProtection="0"/>
    <xf numFmtId="0" fontId="8" fillId="0" borderId="0"/>
    <xf numFmtId="0" fontId="77" fillId="0" borderId="0" applyNumberFormat="0" applyFont="0" applyBorder="0" applyProtection="0"/>
    <xf numFmtId="0" fontId="102" fillId="0" borderId="0"/>
    <xf numFmtId="0" fontId="103" fillId="0" borderId="0"/>
    <xf numFmtId="185" fontId="71" fillId="0" borderId="0"/>
    <xf numFmtId="195" fontId="104" fillId="0" borderId="0" applyBorder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8" fillId="25" borderId="42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0" fontId="77" fillId="47" borderId="51" applyNumberFormat="0" applyFont="0" applyAlignment="0" applyProtection="0"/>
    <xf numFmtId="191" fontId="72" fillId="0" borderId="0" applyFont="0" applyFill="0" applyBorder="0" applyAlignment="0" applyProtection="0"/>
    <xf numFmtId="202" fontId="77" fillId="0" borderId="0" applyFont="0" applyFill="0" applyBorder="0" applyAlignment="0" applyProtection="0"/>
    <xf numFmtId="0" fontId="56" fillId="23" borderId="43" applyNumberFormat="0" applyAlignment="0" applyProtection="0"/>
    <xf numFmtId="0" fontId="105" fillId="45" borderId="52" applyNumberFormat="0" applyAlignment="0" applyProtection="0"/>
    <xf numFmtId="4" fontId="73" fillId="0" borderId="44" applyBorder="0"/>
    <xf numFmtId="4" fontId="106" fillId="0" borderId="0" applyBorder="0" applyProtection="0"/>
    <xf numFmtId="3" fontId="73" fillId="0" borderId="44" applyBorder="0"/>
    <xf numFmtId="3" fontId="106" fillId="0" borderId="0" applyBorder="0" applyProtection="0"/>
    <xf numFmtId="0" fontId="74" fillId="0" borderId="44" applyBorder="0">
      <alignment horizontal="center"/>
    </xf>
    <xf numFmtId="0" fontId="107" fillId="0" borderId="0" applyNumberFormat="0" applyBorder="0" applyProtection="0">
      <alignment horizontal="center"/>
    </xf>
    <xf numFmtId="0" fontId="74" fillId="0" borderId="0"/>
    <xf numFmtId="0" fontId="107" fillId="0" borderId="0" applyNumberFormat="0" applyBorder="0" applyProtection="0"/>
    <xf numFmtId="0" fontId="75" fillId="0" borderId="44" applyBorder="0"/>
    <xf numFmtId="0" fontId="108" fillId="0" borderId="0" applyNumberFormat="0" applyBorder="0" applyProtection="0"/>
    <xf numFmtId="192" fontId="63" fillId="0" borderId="0">
      <protection locked="0"/>
    </xf>
    <xf numFmtId="192" fontId="84" fillId="0" borderId="0" applyBorder="0">
      <protection locked="0"/>
    </xf>
    <xf numFmtId="9" fontId="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8" fillId="0" borderId="0" applyFont="0" applyFill="0" applyBorder="0" applyAlignment="0" applyProtection="0"/>
    <xf numFmtId="185" fontId="76" fillId="26" borderId="0"/>
    <xf numFmtId="195" fontId="109" fillId="0" borderId="0" applyFill="0" applyBorder="0" applyProtection="0"/>
    <xf numFmtId="167" fontId="8" fillId="0" borderId="0" applyFont="0" applyFill="0" applyBorder="0" applyAlignment="0" applyProtection="0"/>
    <xf numFmtId="194" fontId="77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185" fontId="76" fillId="0" borderId="0"/>
    <xf numFmtId="195" fontId="109" fillId="0" borderId="0" applyBorder="0" applyProtection="0"/>
    <xf numFmtId="0" fontId="57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8" fillId="0" borderId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7" fontId="102" fillId="0" borderId="0" applyFont="0" applyFill="0" applyBorder="0" applyAlignment="0" applyProtection="0"/>
    <xf numFmtId="197" fontId="102" fillId="0" borderId="0" applyFont="0" applyFill="0" applyBorder="0" applyAlignment="0" applyProtection="0"/>
    <xf numFmtId="197" fontId="102" fillId="0" borderId="0" applyFont="0" applyFill="0" applyBorder="0" applyAlignment="0" applyProtection="0"/>
    <xf numFmtId="197" fontId="102" fillId="0" borderId="0" applyFont="0" applyFill="0" applyBorder="0" applyAlignment="0" applyProtection="0"/>
    <xf numFmtId="197" fontId="102" fillId="0" borderId="0" applyFont="0" applyFill="0" applyBorder="0" applyAlignment="0" applyProtection="0"/>
    <xf numFmtId="197" fontId="102" fillId="0" borderId="0" applyFont="0" applyFill="0" applyBorder="0" applyAlignment="0" applyProtection="0"/>
    <xf numFmtId="15" fontId="102" fillId="0" borderId="0" applyFont="0" applyFill="0" applyBorder="0" applyProtection="0">
      <alignment horizontal="center" wrapText="1" shrinkToFit="1"/>
    </xf>
    <xf numFmtId="15" fontId="102" fillId="0" borderId="0" applyFont="0" applyFill="0" applyBorder="0" applyProtection="0">
      <alignment horizontal="center" wrapText="1" shrinkToFit="1"/>
    </xf>
    <xf numFmtId="15" fontId="102" fillId="0" borderId="0" applyFont="0" applyFill="0" applyBorder="0" applyProtection="0">
      <alignment horizontal="center" wrapText="1" shrinkToFit="1"/>
    </xf>
    <xf numFmtId="15" fontId="102" fillId="0" borderId="0" applyFont="0" applyFill="0" applyBorder="0" applyProtection="0">
      <alignment horizontal="center" wrapText="1" shrinkToFit="1"/>
    </xf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194" fontId="102" fillId="0" borderId="0" applyFont="0" applyFill="0" applyBorder="0" applyAlignment="0" applyProtection="0"/>
    <xf numFmtId="199" fontId="102" fillId="0" borderId="0" applyFont="0" applyFill="0" applyBorder="0" applyAlignment="0" applyProtection="0"/>
    <xf numFmtId="199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9" fontId="102" fillId="0" borderId="0" applyFont="0" applyFill="0" applyBorder="0" applyAlignment="0" applyProtection="0"/>
    <xf numFmtId="199" fontId="102" fillId="0" borderId="0" applyFont="0" applyFill="0" applyBorder="0" applyAlignment="0" applyProtection="0"/>
    <xf numFmtId="198" fontId="102" fillId="0" borderId="0" applyFont="0" applyFill="0" applyBorder="0" applyAlignment="0" applyProtection="0"/>
    <xf numFmtId="198" fontId="102" fillId="0" borderId="0" applyFont="0" applyFill="0" applyBorder="0" applyAlignment="0" applyProtection="0"/>
    <xf numFmtId="198" fontId="102" fillId="0" borderId="0" applyFont="0" applyFill="0" applyBorder="0" applyAlignment="0" applyProtection="0"/>
    <xf numFmtId="203" fontId="102" fillId="0" borderId="0" applyFont="0" applyFill="0" applyBorder="0" applyAlignment="0" applyProtection="0"/>
    <xf numFmtId="200" fontId="102" fillId="0" borderId="0" applyFont="0" applyFill="0" applyBorder="0" applyAlignment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200" fontId="102" fillId="0" borderId="0" applyFont="0" applyFill="0" applyBorder="0" applyAlignment="0" applyProtection="0"/>
    <xf numFmtId="0" fontId="102" fillId="0" borderId="0" applyNumberFormat="0" applyFont="0" applyBorder="0" applyProtection="0"/>
    <xf numFmtId="0" fontId="78" fillId="0" borderId="0" applyNumberForma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78" fillId="0" borderId="0" applyNumberFormat="0" applyBorder="0" applyProtection="0"/>
    <xf numFmtId="0" fontId="101" fillId="0" borderId="0" applyNumberFormat="0" applyBorder="0" applyProtection="0"/>
    <xf numFmtId="0" fontId="102" fillId="0" borderId="0" applyNumberFormat="0" applyFont="0" applyBorder="0" applyProtection="0"/>
    <xf numFmtId="0" fontId="102" fillId="0" borderId="0" applyNumberFormat="0" applyFont="0" applyFill="0" applyBorder="0" applyAlignment="0" applyProtection="0"/>
    <xf numFmtId="0" fontId="102" fillId="0" borderId="0" applyNumberFormat="0" applyFont="0" applyFill="0" applyBorder="0" applyAlignment="0" applyProtection="0"/>
    <xf numFmtId="0" fontId="102" fillId="0" borderId="0" applyNumberFormat="0" applyFont="0" applyFill="0" applyBorder="0" applyAlignment="0" applyProtection="0"/>
    <xf numFmtId="0" fontId="102" fillId="0" borderId="0" applyNumberFormat="0" applyFont="0" applyFill="0" applyBorder="0" applyAlignment="0" applyProtection="0"/>
    <xf numFmtId="0" fontId="102" fillId="0" borderId="0" applyNumberFormat="0" applyFont="0" applyFill="0" applyBorder="0" applyAlignment="0" applyProtection="0"/>
    <xf numFmtId="0" fontId="102" fillId="0" borderId="0" applyNumberFormat="0" applyFont="0" applyFill="0" applyBorder="0" applyAlignment="0" applyProtection="0"/>
    <xf numFmtId="0" fontId="102" fillId="0" borderId="0" applyNumberFormat="0" applyFont="0" applyBorder="0" applyProtection="0"/>
    <xf numFmtId="0" fontId="112" fillId="0" borderId="0" applyNumberForma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Fill="0" applyBorder="0" applyAlignment="0" applyProtection="0"/>
    <xf numFmtId="0" fontId="102" fillId="0" borderId="0" applyNumberFormat="0" applyFont="0" applyFill="0" applyBorder="0" applyAlignment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78" fillId="0" borderId="0" applyNumberForma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0" fontId="102" fillId="47" borderId="51" applyNumberFormat="0" applyFont="0" applyAlignment="0" applyProtection="0"/>
    <xf numFmtId="202" fontId="102" fillId="0" borderId="0" applyFont="0" applyFill="0" applyBorder="0" applyAlignment="0" applyProtection="0"/>
    <xf numFmtId="202" fontId="102" fillId="0" borderId="0" applyFont="0" applyFill="0" applyBorder="0" applyAlignment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194" fontId="102" fillId="0" borderId="0" applyFont="0" applyFill="0" applyBorder="0" applyAlignment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102" fillId="0" borderId="0" applyNumberFormat="0" applyFont="0" applyBorder="0" applyProtection="0"/>
    <xf numFmtId="0" fontId="5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7" fillId="0" borderId="0"/>
    <xf numFmtId="0" fontId="47" fillId="0" borderId="0"/>
    <xf numFmtId="0" fontId="4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7" fontId="8" fillId="0" borderId="0" applyFont="0" applyFill="0" applyBorder="0" applyAlignment="0" applyProtection="0"/>
    <xf numFmtId="0" fontId="8" fillId="25" borderId="56" applyNumberFormat="0" applyFont="0" applyAlignment="0" applyProtection="0"/>
    <xf numFmtId="167" fontId="8" fillId="0" borderId="0" applyFont="0" applyFill="0" applyBorder="0" applyAlignment="0" applyProtection="0"/>
    <xf numFmtId="0" fontId="8" fillId="25" borderId="56" applyNumberFormat="0" applyFont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23" borderId="57" applyNumberForma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4" fillId="10" borderId="55" applyNumberForma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5" fontId="8" fillId="0" borderId="54" applyFill="0" applyBorder="0" applyProtection="0">
      <alignment horizontal="center" wrapText="1" shrinkToFi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23" borderId="57" applyNumberForma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0" fillId="23" borderId="55" applyNumberForma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50" fillId="23" borderId="55" applyNumberFormat="0" applyAlignment="0" applyProtection="0"/>
    <xf numFmtId="0" fontId="8" fillId="0" borderId="0"/>
    <xf numFmtId="0" fontId="50" fillId="23" borderId="55" applyNumberFormat="0" applyAlignment="0" applyProtection="0"/>
    <xf numFmtId="15" fontId="8" fillId="0" borderId="54" applyFill="0" applyBorder="0" applyProtection="0">
      <alignment horizontal="center" wrapText="1" shrinkToFit="1"/>
    </xf>
    <xf numFmtId="0" fontId="8" fillId="0" borderId="0"/>
    <xf numFmtId="0" fontId="8" fillId="0" borderId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25" borderId="56" applyNumberFormat="0" applyFont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8" fillId="0" borderId="0"/>
    <xf numFmtId="15" fontId="8" fillId="0" borderId="54" applyFill="0" applyBorder="0" applyProtection="0">
      <alignment horizontal="center" wrapText="1" shrinkToFit="1"/>
    </xf>
    <xf numFmtId="15" fontId="8" fillId="0" borderId="54" applyFill="0" applyBorder="0" applyProtection="0">
      <alignment horizontal="center" wrapText="1" shrinkToFit="1"/>
    </xf>
    <xf numFmtId="0" fontId="8" fillId="25" borderId="56" applyNumberFormat="0" applyFont="0" applyAlignment="0" applyProtection="0"/>
    <xf numFmtId="0" fontId="8" fillId="0" borderId="0"/>
    <xf numFmtId="0" fontId="54" fillId="10" borderId="55" applyNumberFormat="0" applyAlignment="0" applyProtection="0"/>
    <xf numFmtId="0" fontId="8" fillId="0" borderId="0"/>
    <xf numFmtId="19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5" fillId="0" borderId="0"/>
    <xf numFmtId="0" fontId="54" fillId="10" borderId="55" applyNumberFormat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56" fillId="23" borderId="57" applyNumberFormat="0" applyAlignment="0" applyProtection="0"/>
    <xf numFmtId="4" fontId="73" fillId="0" borderId="53" applyBorder="0"/>
    <xf numFmtId="0" fontId="8" fillId="0" borderId="0"/>
    <xf numFmtId="3" fontId="73" fillId="0" borderId="53" applyBorder="0"/>
    <xf numFmtId="0" fontId="8" fillId="0" borderId="0"/>
    <xf numFmtId="0" fontId="74" fillId="0" borderId="53" applyBorder="0">
      <alignment horizontal="center"/>
    </xf>
    <xf numFmtId="0" fontId="75" fillId="0" borderId="53" applyBorder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0" fillId="23" borderId="55" applyNumberForma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15" fontId="8" fillId="0" borderId="54" applyFill="0" applyBorder="0" applyProtection="0">
      <alignment horizontal="center" wrapText="1" shrinkToFi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23" borderId="57" applyNumberForma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15" fontId="8" fillId="0" borderId="54" applyFill="0" applyBorder="0" applyProtection="0">
      <alignment horizontal="center" wrapText="1" shrinkToFit="1"/>
    </xf>
    <xf numFmtId="0" fontId="8" fillId="0" borderId="0"/>
    <xf numFmtId="3" fontId="73" fillId="0" borderId="44" applyBorder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15" fontId="8" fillId="0" borderId="54" applyFill="0" applyBorder="0" applyProtection="0">
      <alignment horizontal="center" wrapText="1" shrinkToFit="1"/>
    </xf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23" borderId="57" applyNumberForma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54" fillId="10" borderId="55" applyNumberFormat="0" applyAlignment="0" applyProtection="0"/>
    <xf numFmtId="0" fontId="8" fillId="0" borderId="0"/>
    <xf numFmtId="15" fontId="8" fillId="0" borderId="54" applyFill="0" applyBorder="0" applyProtection="0">
      <alignment horizontal="center" wrapText="1" shrinkToFit="1"/>
    </xf>
    <xf numFmtId="0" fontId="8" fillId="0" borderId="0"/>
    <xf numFmtId="0" fontId="56" fillId="23" borderId="57" applyNumberFormat="0" applyAlignment="0" applyProtection="0"/>
    <xf numFmtId="0" fontId="50" fillId="23" borderId="55" applyNumberForma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4" fillId="10" borderId="55" applyNumberForma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56" fillId="23" borderId="57" applyNumberForma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15" fontId="8" fillId="0" borderId="54" applyFill="0" applyBorder="0" applyProtection="0">
      <alignment horizontal="center" wrapText="1" shrinkToFit="1"/>
    </xf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5" fontId="8" fillId="0" borderId="54" applyFill="0" applyBorder="0" applyProtection="0">
      <alignment horizontal="center" wrapText="1" shrinkToFit="1"/>
    </xf>
    <xf numFmtId="0" fontId="8" fillId="0" borderId="0"/>
    <xf numFmtId="0" fontId="8" fillId="0" borderId="0"/>
    <xf numFmtId="4" fontId="73" fillId="0" borderId="44" applyBorder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5" fontId="8" fillId="0" borderId="54" applyFill="0" applyBorder="0" applyProtection="0">
      <alignment horizontal="center" wrapText="1" shrinkToFit="1"/>
    </xf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75" fillId="0" borderId="44" applyBorder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5" fontId="8" fillId="0" borderId="54" applyFill="0" applyBorder="0" applyProtection="0">
      <alignment horizontal="center" wrapText="1" shrinkToFi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54" fillId="10" borderId="55" applyNumberForma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74" fillId="0" borderId="44" applyBorder="0">
      <alignment horizont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23" borderId="57" applyNumberFormat="0" applyAlignment="0" applyProtection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54" fillId="10" borderId="55" applyNumberForma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50" fillId="23" borderId="55" applyNumberForma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0" fillId="23" borderId="55" applyNumberFormat="0" applyAlignment="0" applyProtection="0"/>
    <xf numFmtId="0" fontId="8" fillId="25" borderId="56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204" fontId="8" fillId="0" borderId="0" applyFont="0" applyFill="0" applyBorder="0" applyAlignment="0" applyProtection="0"/>
    <xf numFmtId="0" fontId="5" fillId="0" borderId="0"/>
    <xf numFmtId="0" fontId="46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6" fillId="0" borderId="0"/>
    <xf numFmtId="0" fontId="8" fillId="0" borderId="0"/>
    <xf numFmtId="0" fontId="3" fillId="0" borderId="0"/>
    <xf numFmtId="0" fontId="8" fillId="0" borderId="0"/>
    <xf numFmtId="0" fontId="59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47" fillId="8" borderId="0" applyNumberFormat="0" applyBorder="0" applyAlignment="0" applyProtection="0"/>
    <xf numFmtId="0" fontId="47" fillId="11" borderId="0" applyNumberFormat="0" applyBorder="0" applyAlignment="0" applyProtection="0"/>
    <xf numFmtId="0" fontId="47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18" borderId="0" applyNumberFormat="0" applyBorder="0" applyAlignment="0" applyProtection="0"/>
    <xf numFmtId="0" fontId="50" fillId="23" borderId="55" applyNumberFormat="0" applyAlignment="0" applyProtection="0"/>
    <xf numFmtId="0" fontId="51" fillId="24" borderId="36" applyNumberFormat="0" applyAlignment="0" applyProtection="0"/>
    <xf numFmtId="0" fontId="52" fillId="0" borderId="37" applyNumberFormat="0" applyFill="0" applyAlignment="0" applyProtection="0"/>
    <xf numFmtId="0" fontId="53" fillId="0" borderId="0" applyNumberFormat="0" applyFill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22" borderId="0" applyNumberFormat="0" applyBorder="0" applyAlignment="0" applyProtection="0"/>
    <xf numFmtId="0" fontId="54" fillId="10" borderId="55" applyNumberFormat="0" applyAlignment="0" applyProtection="0"/>
    <xf numFmtId="164" fontId="121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55" fillId="6" borderId="0" applyNumberFormat="0" applyBorder="0" applyAlignment="0" applyProtection="0"/>
    <xf numFmtId="0" fontId="122" fillId="50" borderId="0" applyNumberFormat="0" applyBorder="0" applyAlignment="0" applyProtection="0"/>
    <xf numFmtId="0" fontId="8" fillId="0" borderId="0"/>
    <xf numFmtId="0" fontId="8" fillId="25" borderId="56" applyNumberFormat="0" applyFont="0" applyAlignment="0" applyProtection="0"/>
    <xf numFmtId="0" fontId="56" fillId="23" borderId="57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40" applyNumberFormat="0" applyFill="0" applyAlignment="0" applyProtection="0"/>
    <xf numFmtId="0" fontId="53" fillId="0" borderId="41" applyNumberFormat="0" applyFill="0" applyAlignment="0" applyProtection="0"/>
    <xf numFmtId="0" fontId="123" fillId="0" borderId="70" applyNumberFormat="0" applyFill="0" applyAlignment="0" applyProtection="0"/>
    <xf numFmtId="0" fontId="59" fillId="0" borderId="0" applyNumberFormat="0" applyFill="0" applyBorder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8" fillId="25" borderId="56" applyNumberFormat="0" applyFont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73" fillId="0" borderId="79" applyBorder="0"/>
    <xf numFmtId="3" fontId="73" fillId="0" borderId="79" applyBorder="0"/>
    <xf numFmtId="0" fontId="74" fillId="0" borderId="79" applyBorder="0">
      <alignment horizontal="center"/>
    </xf>
    <xf numFmtId="0" fontId="75" fillId="0" borderId="79" applyBorder="0"/>
    <xf numFmtId="0" fontId="1" fillId="0" borderId="0"/>
    <xf numFmtId="0" fontId="1" fillId="0" borderId="0"/>
    <xf numFmtId="0" fontId="1" fillId="0" borderId="0"/>
    <xf numFmtId="4" fontId="73" fillId="0" borderId="79" applyBorder="0"/>
    <xf numFmtId="3" fontId="73" fillId="0" borderId="79" applyBorder="0"/>
    <xf numFmtId="0" fontId="74" fillId="0" borderId="79" applyBorder="0">
      <alignment horizontal="center"/>
    </xf>
    <xf numFmtId="0" fontId="75" fillId="0" borderId="79" applyBorder="0"/>
    <xf numFmtId="3" fontId="73" fillId="0" borderId="79" applyBorder="0"/>
    <xf numFmtId="4" fontId="73" fillId="0" borderId="79" applyBorder="0"/>
    <xf numFmtId="0" fontId="1" fillId="0" borderId="0"/>
    <xf numFmtId="0" fontId="75" fillId="0" borderId="79" applyBorder="0"/>
    <xf numFmtId="0" fontId="74" fillId="0" borderId="79" applyBorder="0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8">
    <xf numFmtId="0" fontId="0" fillId="0" borderId="0" xfId="0"/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horizontal="left" vertical="center" indent="1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5" fillId="0" borderId="0" xfId="0" applyFont="1"/>
    <xf numFmtId="0" fontId="13" fillId="0" borderId="0" xfId="0" applyFont="1" applyAlignment="1">
      <alignment vertical="center"/>
    </xf>
    <xf numFmtId="0" fontId="12" fillId="0" borderId="0" xfId="0" applyFont="1"/>
    <xf numFmtId="0" fontId="15" fillId="0" borderId="0" xfId="0" applyFont="1" applyAlignment="1">
      <alignment vertical="center"/>
    </xf>
    <xf numFmtId="0" fontId="23" fillId="0" borderId="0" xfId="0" applyFont="1"/>
    <xf numFmtId="0" fontId="15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1" fillId="0" borderId="0" xfId="0" applyFont="1"/>
    <xf numFmtId="171" fontId="23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indent="1"/>
    </xf>
    <xf numFmtId="0" fontId="17" fillId="0" borderId="0" xfId="0" quotePrefix="1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2" fillId="0" borderId="1" xfId="0" applyFont="1" applyBorder="1"/>
    <xf numFmtId="0" fontId="12" fillId="0" borderId="0" xfId="0" applyFont="1" applyAlignment="1">
      <alignment horizontal="right"/>
    </xf>
    <xf numFmtId="0" fontId="13" fillId="0" borderId="1" xfId="0" applyFont="1" applyBorder="1"/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26" fillId="0" borderId="0" xfId="4" applyFont="1" applyAlignment="1">
      <alignment horizontal="left" vertical="center"/>
    </xf>
    <xf numFmtId="0" fontId="13" fillId="0" borderId="0" xfId="0" applyFont="1" applyAlignment="1">
      <alignment horizontal="left" indent="2"/>
    </xf>
    <xf numFmtId="0" fontId="26" fillId="0" borderId="0" xfId="4" applyFont="1"/>
    <xf numFmtId="169" fontId="18" fillId="0" borderId="0" xfId="0" applyNumberFormat="1" applyFont="1" applyAlignment="1">
      <alignment vertical="center"/>
    </xf>
    <xf numFmtId="169" fontId="15" fillId="0" borderId="0" xfId="0" applyNumberFormat="1" applyFont="1" applyAlignment="1">
      <alignment vertical="center"/>
    </xf>
    <xf numFmtId="176" fontId="15" fillId="0" borderId="0" xfId="0" applyNumberFormat="1" applyFont="1" applyAlignment="1">
      <alignment vertical="center"/>
    </xf>
    <xf numFmtId="176" fontId="18" fillId="0" borderId="0" xfId="0" applyNumberFormat="1" applyFont="1" applyAlignment="1">
      <alignment vertical="center"/>
    </xf>
    <xf numFmtId="168" fontId="21" fillId="0" borderId="0" xfId="0" applyNumberFormat="1" applyFont="1" applyAlignment="1">
      <alignment horizontal="center"/>
    </xf>
    <xf numFmtId="170" fontId="23" fillId="0" borderId="0" xfId="0" applyNumberFormat="1" applyFont="1"/>
    <xf numFmtId="168" fontId="23" fillId="0" borderId="0" xfId="0" applyNumberFormat="1" applyFont="1"/>
    <xf numFmtId="176" fontId="23" fillId="0" borderId="0" xfId="0" applyNumberFormat="1" applyFont="1"/>
    <xf numFmtId="0" fontId="8" fillId="0" borderId="0" xfId="0" applyFont="1"/>
    <xf numFmtId="0" fontId="12" fillId="0" borderId="2" xfId="0" applyFont="1" applyBorder="1" applyAlignment="1">
      <alignment horizontal="left" vertical="center"/>
    </xf>
    <xf numFmtId="0" fontId="13" fillId="0" borderId="0" xfId="0" applyFont="1" applyAlignment="1">
      <alignment horizontal="right" vertical="center" wrapText="1"/>
    </xf>
    <xf numFmtId="0" fontId="13" fillId="0" borderId="7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175" fontId="12" fillId="0" borderId="8" xfId="0" applyNumberFormat="1" applyFont="1" applyBorder="1" applyAlignment="1">
      <alignment horizontal="right" vertical="center" wrapText="1"/>
    </xf>
    <xf numFmtId="174" fontId="13" fillId="0" borderId="0" xfId="0" applyNumberFormat="1" applyFont="1" applyAlignment="1">
      <alignment horizontal="right" vertical="center" wrapText="1"/>
    </xf>
    <xf numFmtId="177" fontId="13" fillId="0" borderId="0" xfId="0" applyNumberFormat="1" applyFont="1" applyAlignment="1">
      <alignment horizontal="right" vertical="center" wrapText="1"/>
    </xf>
    <xf numFmtId="175" fontId="13" fillId="0" borderId="0" xfId="0" applyNumberFormat="1" applyFont="1" applyAlignment="1">
      <alignment horizontal="right" vertical="center" wrapText="1"/>
    </xf>
    <xf numFmtId="175" fontId="12" fillId="0" borderId="0" xfId="0" applyNumberFormat="1" applyFont="1" applyAlignment="1">
      <alignment horizontal="right" vertical="center" wrapText="1"/>
    </xf>
    <xf numFmtId="174" fontId="12" fillId="0" borderId="0" xfId="0" applyNumberFormat="1" applyFont="1" applyAlignment="1">
      <alignment horizontal="right" vertical="center" wrapText="1"/>
    </xf>
    <xf numFmtId="177" fontId="12" fillId="0" borderId="0" xfId="0" applyNumberFormat="1" applyFont="1" applyAlignment="1">
      <alignment horizontal="right" vertical="center" wrapText="1"/>
    </xf>
    <xf numFmtId="168" fontId="13" fillId="0" borderId="8" xfId="0" applyNumberFormat="1" applyFont="1" applyBorder="1" applyAlignment="1">
      <alignment horizontal="right" wrapText="1"/>
    </xf>
    <xf numFmtId="169" fontId="13" fillId="0" borderId="0" xfId="0" applyNumberFormat="1" applyFont="1" applyAlignment="1">
      <alignment horizontal="right" wrapText="1"/>
    </xf>
    <xf numFmtId="174" fontId="13" fillId="0" borderId="0" xfId="0" applyNumberFormat="1" applyFont="1" applyAlignment="1">
      <alignment horizontal="right" wrapText="1"/>
    </xf>
    <xf numFmtId="168" fontId="13" fillId="0" borderId="0" xfId="0" applyNumberFormat="1" applyFont="1" applyAlignment="1">
      <alignment horizontal="right" wrapText="1"/>
    </xf>
    <xf numFmtId="168" fontId="12" fillId="0" borderId="0" xfId="0" applyNumberFormat="1" applyFont="1" applyAlignment="1">
      <alignment horizontal="right" wrapText="1"/>
    </xf>
    <xf numFmtId="169" fontId="12" fillId="0" borderId="0" xfId="4" applyNumberFormat="1" applyFont="1" applyAlignment="1">
      <alignment horizontal="right" wrapText="1"/>
    </xf>
    <xf numFmtId="174" fontId="12" fillId="0" borderId="0" xfId="4" applyNumberFormat="1" applyFont="1" applyAlignment="1">
      <alignment horizontal="right" wrapText="1"/>
    </xf>
    <xf numFmtId="168" fontId="12" fillId="0" borderId="0" xfId="4" applyNumberFormat="1" applyFont="1" applyAlignment="1">
      <alignment horizontal="right" wrapText="1"/>
    </xf>
    <xf numFmtId="168" fontId="12" fillId="0" borderId="8" xfId="0" applyNumberFormat="1" applyFont="1" applyBorder="1" applyAlignment="1">
      <alignment horizontal="right" wrapText="1"/>
    </xf>
    <xf numFmtId="180" fontId="13" fillId="0" borderId="0" xfId="0" applyNumberFormat="1" applyFont="1" applyAlignment="1">
      <alignment horizontal="right" wrapText="1"/>
    </xf>
    <xf numFmtId="180" fontId="12" fillId="0" borderId="0" xfId="0" applyNumberFormat="1" applyFont="1" applyAlignment="1">
      <alignment horizontal="right" wrapText="1"/>
    </xf>
    <xf numFmtId="180" fontId="12" fillId="0" borderId="0" xfId="4" applyNumberFormat="1" applyFont="1" applyAlignment="1">
      <alignment horizontal="right" wrapText="1"/>
    </xf>
    <xf numFmtId="180" fontId="12" fillId="0" borderId="0" xfId="0" applyNumberFormat="1" applyFont="1" applyAlignment="1">
      <alignment horizontal="right" vertical="center" wrapText="1"/>
    </xf>
    <xf numFmtId="180" fontId="12" fillId="0" borderId="3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15" fillId="0" borderId="4" xfId="0" applyFont="1" applyBorder="1" applyAlignment="1">
      <alignment horizontal="right" vertical="center" wrapText="1"/>
    </xf>
    <xf numFmtId="180" fontId="15" fillId="0" borderId="0" xfId="0" applyNumberFormat="1" applyFont="1" applyAlignment="1">
      <alignment horizontal="right" vertical="center" wrapText="1"/>
    </xf>
    <xf numFmtId="180" fontId="18" fillId="0" borderId="0" xfId="0" applyNumberFormat="1" applyFont="1" applyAlignment="1">
      <alignment horizontal="right" vertical="center" wrapText="1"/>
    </xf>
    <xf numFmtId="180" fontId="12" fillId="0" borderId="0" xfId="0" applyNumberFormat="1" applyFont="1" applyAlignment="1" applyProtection="1">
      <alignment horizontal="right" wrapText="1"/>
      <protection locked="0"/>
    </xf>
    <xf numFmtId="180" fontId="18" fillId="0" borderId="6" xfId="0" applyNumberFormat="1" applyFont="1" applyBorder="1" applyAlignment="1">
      <alignment horizontal="right" vertical="center" wrapText="1"/>
    </xf>
    <xf numFmtId="180" fontId="18" fillId="0" borderId="3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179" fontId="12" fillId="0" borderId="9" xfId="0" applyNumberFormat="1" applyFont="1" applyBorder="1" applyAlignment="1">
      <alignment horizontal="right" wrapText="1"/>
    </xf>
    <xf numFmtId="179" fontId="12" fillId="0" borderId="3" xfId="0" applyNumberFormat="1" applyFont="1" applyBorder="1" applyAlignment="1">
      <alignment horizontal="right" wrapText="1"/>
    </xf>
    <xf numFmtId="0" fontId="9" fillId="0" borderId="0" xfId="0" applyFont="1"/>
    <xf numFmtId="179" fontId="12" fillId="0" borderId="10" xfId="0" applyNumberFormat="1" applyFont="1" applyBorder="1" applyAlignment="1">
      <alignment horizontal="right" wrapText="1"/>
    </xf>
    <xf numFmtId="0" fontId="12" fillId="0" borderId="3" xfId="0" applyFont="1" applyBorder="1"/>
    <xf numFmtId="169" fontId="12" fillId="0" borderId="0" xfId="0" applyNumberFormat="1" applyFont="1" applyAlignment="1">
      <alignment horizontal="right"/>
    </xf>
    <xf numFmtId="172" fontId="12" fillId="0" borderId="1" xfId="0" applyNumberFormat="1" applyFont="1" applyBorder="1" applyAlignment="1">
      <alignment vertical="center"/>
    </xf>
    <xf numFmtId="179" fontId="13" fillId="0" borderId="0" xfId="0" applyNumberFormat="1" applyFont="1" applyAlignment="1">
      <alignment vertical="center"/>
    </xf>
    <xf numFmtId="169" fontId="26" fillId="0" borderId="0" xfId="4" applyNumberFormat="1" applyFont="1" applyAlignment="1">
      <alignment horizontal="left" vertical="center"/>
    </xf>
    <xf numFmtId="180" fontId="12" fillId="0" borderId="0" xfId="0" applyNumberFormat="1" applyFont="1" applyAlignment="1">
      <alignment vertical="center" wrapText="1"/>
    </xf>
    <xf numFmtId="1" fontId="12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2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27" fillId="0" borderId="0" xfId="4" applyFont="1" applyAlignment="1">
      <alignment horizontal="left" vertical="center"/>
    </xf>
    <xf numFmtId="0" fontId="25" fillId="0" borderId="0" xfId="4" applyFont="1"/>
    <xf numFmtId="0" fontId="23" fillId="0" borderId="0" xfId="0" applyFont="1" applyAlignment="1">
      <alignment horizontal="right"/>
    </xf>
    <xf numFmtId="177" fontId="12" fillId="0" borderId="0" xfId="0" applyNumberFormat="1" applyFont="1" applyAlignment="1">
      <alignment vertical="center"/>
    </xf>
    <xf numFmtId="1" fontId="20" fillId="0" borderId="0" xfId="0" applyNumberFormat="1" applyFont="1"/>
    <xf numFmtId="1" fontId="25" fillId="0" borderId="0" xfId="0" applyNumberFormat="1" applyFont="1"/>
    <xf numFmtId="0" fontId="11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0" fontId="21" fillId="0" borderId="0" xfId="0" applyFont="1" applyAlignment="1">
      <alignment vertical="top"/>
    </xf>
    <xf numFmtId="0" fontId="19" fillId="0" borderId="0" xfId="0" quotePrefix="1" applyFont="1" applyAlignment="1">
      <alignment horizontal="left" vertical="top"/>
    </xf>
    <xf numFmtId="0" fontId="25" fillId="0" borderId="0" xfId="0" applyFont="1" applyAlignment="1">
      <alignment vertical="top"/>
    </xf>
    <xf numFmtId="0" fontId="13" fillId="0" borderId="10" xfId="0" applyFont="1" applyBorder="1" applyAlignment="1">
      <alignment horizontal="right" vertical="center" wrapText="1"/>
    </xf>
    <xf numFmtId="0" fontId="31" fillId="0" borderId="0" xfId="0" applyFont="1" applyAlignment="1">
      <alignment vertical="center"/>
    </xf>
    <xf numFmtId="180" fontId="31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177" fontId="32" fillId="0" borderId="0" xfId="0" applyNumberFormat="1" applyFont="1" applyAlignment="1">
      <alignment horizontal="right" vertical="center" wrapText="1"/>
    </xf>
    <xf numFmtId="0" fontId="13" fillId="0" borderId="0" xfId="0" applyFont="1"/>
    <xf numFmtId="180" fontId="15" fillId="2" borderId="0" xfId="0" applyNumberFormat="1" applyFont="1" applyFill="1" applyAlignment="1">
      <alignment horizontal="right" vertical="center" wrapText="1"/>
    </xf>
    <xf numFmtId="180" fontId="13" fillId="0" borderId="0" xfId="2" applyNumberFormat="1" applyFont="1" applyAlignment="1">
      <alignment horizontal="right" vertical="center" wrapText="1"/>
    </xf>
    <xf numFmtId="180" fontId="12" fillId="0" borderId="0" xfId="2" applyNumberFormat="1" applyFont="1" applyAlignment="1">
      <alignment horizontal="right" vertical="center" wrapText="1"/>
    </xf>
    <xf numFmtId="0" fontId="15" fillId="0" borderId="1" xfId="2" applyFont="1" applyBorder="1" applyAlignment="1">
      <alignment horizontal="left" vertical="center"/>
    </xf>
    <xf numFmtId="0" fontId="18" fillId="0" borderId="1" xfId="2" applyFont="1" applyBorder="1" applyAlignment="1">
      <alignment horizontal="left" vertical="center"/>
    </xf>
    <xf numFmtId="180" fontId="12" fillId="0" borderId="8" xfId="2" applyNumberFormat="1" applyFont="1" applyBorder="1" applyAlignment="1">
      <alignment horizontal="right" vertical="center" wrapText="1"/>
    </xf>
    <xf numFmtId="176" fontId="18" fillId="0" borderId="0" xfId="2" applyNumberFormat="1" applyFont="1" applyAlignment="1">
      <alignment horizontal="right" vertical="center" wrapText="1"/>
    </xf>
    <xf numFmtId="0" fontId="18" fillId="0" borderId="0" xfId="2" applyFont="1" applyAlignment="1">
      <alignment horizontal="right" vertical="center" wrapText="1"/>
    </xf>
    <xf numFmtId="0" fontId="12" fillId="0" borderId="0" xfId="2" applyFont="1" applyAlignment="1">
      <alignment horizontal="right" vertical="center" wrapText="1"/>
    </xf>
    <xf numFmtId="0" fontId="18" fillId="0" borderId="2" xfId="2" applyFont="1" applyBorder="1" applyAlignment="1">
      <alignment horizontal="left" vertical="center"/>
    </xf>
    <xf numFmtId="180" fontId="12" fillId="0" borderId="3" xfId="2" applyNumberFormat="1" applyFont="1" applyBorder="1" applyAlignment="1">
      <alignment horizontal="right" vertical="center" wrapText="1"/>
    </xf>
    <xf numFmtId="173" fontId="13" fillId="0" borderId="0" xfId="2" applyNumberFormat="1" applyFont="1" applyAlignment="1">
      <alignment horizontal="right" vertical="center" wrapText="1"/>
    </xf>
    <xf numFmtId="173" fontId="12" fillId="0" borderId="0" xfId="2" applyNumberFormat="1" applyFont="1" applyAlignment="1">
      <alignment horizontal="right" vertical="center" wrapText="1"/>
    </xf>
    <xf numFmtId="174" fontId="13" fillId="0" borderId="0" xfId="2" applyNumberFormat="1" applyFont="1" applyAlignment="1">
      <alignment horizontal="right" vertical="center" wrapText="1"/>
    </xf>
    <xf numFmtId="0" fontId="22" fillId="0" borderId="0" xfId="2" applyFont="1" applyAlignment="1">
      <alignment horizontal="left" vertical="center"/>
    </xf>
    <xf numFmtId="0" fontId="8" fillId="0" borderId="0" xfId="2"/>
    <xf numFmtId="0" fontId="16" fillId="0" borderId="0" xfId="2" quotePrefix="1" applyFont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180" fontId="12" fillId="0" borderId="3" xfId="1" applyNumberFormat="1" applyFont="1" applyBorder="1" applyAlignment="1">
      <alignment horizontal="right" vertical="center" wrapText="1"/>
    </xf>
    <xf numFmtId="0" fontId="33" fillId="0" borderId="0" xfId="0" applyFont="1"/>
    <xf numFmtId="0" fontId="10" fillId="0" borderId="0" xfId="0" applyFont="1"/>
    <xf numFmtId="0" fontId="34" fillId="0" borderId="0" xfId="0" applyFont="1"/>
    <xf numFmtId="0" fontId="35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/>
    </xf>
    <xf numFmtId="0" fontId="35" fillId="0" borderId="0" xfId="0" applyFont="1"/>
    <xf numFmtId="0" fontId="37" fillId="0" borderId="0" xfId="0" applyFont="1"/>
    <xf numFmtId="0" fontId="14" fillId="0" borderId="0" xfId="2" applyFont="1" applyAlignment="1">
      <alignment horizontal="left" vertical="top"/>
    </xf>
    <xf numFmtId="0" fontId="15" fillId="0" borderId="3" xfId="2" applyFont="1" applyBorder="1" applyAlignment="1">
      <alignment horizontal="right" vertical="center" wrapText="1"/>
    </xf>
    <xf numFmtId="180" fontId="13" fillId="0" borderId="8" xfId="2" applyNumberFormat="1" applyFont="1" applyBorder="1" applyAlignment="1">
      <alignment horizontal="right" vertical="center" wrapText="1"/>
    </xf>
    <xf numFmtId="0" fontId="15" fillId="0" borderId="0" xfId="2" applyFont="1" applyAlignment="1">
      <alignment horizontal="right" vertical="center" wrapText="1"/>
    </xf>
    <xf numFmtId="0" fontId="12" fillId="2" borderId="0" xfId="0" applyFont="1" applyFill="1" applyAlignment="1">
      <alignment vertical="center"/>
    </xf>
    <xf numFmtId="175" fontId="13" fillId="0" borderId="8" xfId="0" applyNumberFormat="1" applyFont="1" applyBorder="1" applyAlignment="1">
      <alignment horizontal="right" vertical="center" wrapText="1"/>
    </xf>
    <xf numFmtId="166" fontId="36" fillId="0" borderId="0" xfId="3" applyNumberFormat="1" applyFont="1"/>
    <xf numFmtId="0" fontId="11" fillId="0" borderId="0" xfId="0" applyFont="1" applyAlignment="1">
      <alignment horizontal="left" indent="2"/>
    </xf>
    <xf numFmtId="0" fontId="24" fillId="0" borderId="0" xfId="0" quotePrefix="1" applyFont="1" applyAlignment="1">
      <alignment horizontal="right" vertical="center"/>
    </xf>
    <xf numFmtId="0" fontId="13" fillId="0" borderId="5" xfId="0" applyFont="1" applyBorder="1" applyAlignment="1">
      <alignment horizontal="right" wrapText="1"/>
    </xf>
    <xf numFmtId="0" fontId="13" fillId="0" borderId="3" xfId="0" applyFont="1" applyBorder="1" applyAlignment="1">
      <alignment horizontal="right" wrapText="1"/>
    </xf>
    <xf numFmtId="0" fontId="13" fillId="0" borderId="8" xfId="0" applyFont="1" applyBorder="1" applyAlignment="1">
      <alignment horizontal="right" vertical="center" wrapText="1"/>
    </xf>
    <xf numFmtId="0" fontId="13" fillId="0" borderId="0" xfId="0" applyFont="1" applyAlignment="1">
      <alignment horizontal="right" wrapText="1"/>
    </xf>
    <xf numFmtId="0" fontId="15" fillId="0" borderId="8" xfId="0" applyFont="1" applyBorder="1" applyAlignment="1">
      <alignment horizontal="right" vertical="center" wrapText="1"/>
    </xf>
    <xf numFmtId="0" fontId="18" fillId="0" borderId="3" xfId="0" applyFont="1" applyBorder="1" applyAlignment="1">
      <alignment horizontal="right" vertical="center"/>
    </xf>
    <xf numFmtId="169" fontId="23" fillId="0" borderId="0" xfId="0" applyNumberFormat="1" applyFont="1" applyAlignment="1">
      <alignment horizontal="right"/>
    </xf>
    <xf numFmtId="176" fontId="23" fillId="0" borderId="0" xfId="0" applyNumberFormat="1" applyFont="1" applyAlignment="1">
      <alignment horizontal="right"/>
    </xf>
    <xf numFmtId="0" fontId="11" fillId="0" borderId="3" xfId="0" quotePrefix="1" applyFont="1" applyBorder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0" fillId="2" borderId="0" xfId="0" applyFill="1"/>
    <xf numFmtId="0" fontId="9" fillId="2" borderId="0" xfId="0" applyFont="1" applyFill="1"/>
    <xf numFmtId="0" fontId="12" fillId="0" borderId="0" xfId="0" quotePrefix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179" fontId="13" fillId="0" borderId="10" xfId="0" applyNumberFormat="1" applyFont="1" applyBorder="1" applyAlignment="1">
      <alignment horizontal="right" vertical="center" wrapText="1"/>
    </xf>
    <xf numFmtId="179" fontId="13" fillId="0" borderId="0" xfId="0" applyNumberFormat="1" applyFont="1" applyAlignment="1">
      <alignment horizontal="right" vertical="center" wrapText="1"/>
    </xf>
    <xf numFmtId="179" fontId="12" fillId="0" borderId="10" xfId="0" applyNumberFormat="1" applyFont="1" applyBorder="1" applyAlignment="1">
      <alignment horizontal="right" vertical="center" wrapText="1"/>
    </xf>
    <xf numFmtId="179" fontId="12" fillId="0" borderId="0" xfId="0" applyNumberFormat="1" applyFont="1" applyAlignment="1">
      <alignment horizontal="right" vertical="center" wrapText="1"/>
    </xf>
    <xf numFmtId="0" fontId="18" fillId="0" borderId="0" xfId="0" quotePrefix="1" applyFont="1" applyAlignment="1">
      <alignment horizontal="right" vertical="center"/>
    </xf>
    <xf numFmtId="180" fontId="12" fillId="2" borderId="0" xfId="0" applyNumberFormat="1" applyFont="1" applyFill="1" applyAlignment="1" applyProtection="1">
      <alignment horizontal="right" vertical="center" wrapText="1"/>
      <protection locked="0"/>
    </xf>
    <xf numFmtId="0" fontId="22" fillId="2" borderId="0" xfId="0" applyFont="1" applyFill="1" applyAlignment="1">
      <alignment horizontal="left" vertical="center"/>
    </xf>
    <xf numFmtId="0" fontId="13" fillId="2" borderId="16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 wrapText="1"/>
    </xf>
    <xf numFmtId="0" fontId="33" fillId="2" borderId="16" xfId="0" applyFont="1" applyFill="1" applyBorder="1" applyAlignment="1">
      <alignment vertical="center" wrapText="1"/>
    </xf>
    <xf numFmtId="2" fontId="12" fillId="2" borderId="0" xfId="0" applyNumberFormat="1" applyFont="1" applyFill="1" applyAlignment="1">
      <alignment vertical="center"/>
    </xf>
    <xf numFmtId="1" fontId="12" fillId="2" borderId="0" xfId="0" applyNumberFormat="1" applyFont="1" applyFill="1" applyAlignment="1">
      <alignment vertical="center"/>
    </xf>
    <xf numFmtId="0" fontId="12" fillId="2" borderId="0" xfId="0" applyFont="1" applyFill="1"/>
    <xf numFmtId="0" fontId="12" fillId="2" borderId="16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1" fontId="13" fillId="2" borderId="0" xfId="0" applyNumberFormat="1" applyFont="1" applyFill="1" applyAlignment="1">
      <alignment vertical="center"/>
    </xf>
    <xf numFmtId="0" fontId="13" fillId="2" borderId="19" xfId="0" applyFont="1" applyFill="1" applyBorder="1"/>
    <xf numFmtId="0" fontId="13" fillId="2" borderId="17" xfId="0" applyFont="1" applyFill="1" applyBorder="1" applyAlignment="1">
      <alignment vertical="center"/>
    </xf>
    <xf numFmtId="0" fontId="13" fillId="2" borderId="18" xfId="0" applyFont="1" applyFill="1" applyBorder="1" applyAlignment="1">
      <alignment vertical="center"/>
    </xf>
    <xf numFmtId="1" fontId="13" fillId="2" borderId="18" xfId="0" applyNumberFormat="1" applyFont="1" applyFill="1" applyBorder="1" applyAlignment="1">
      <alignment vertical="center"/>
    </xf>
    <xf numFmtId="0" fontId="10" fillId="2" borderId="0" xfId="0" applyFont="1" applyFill="1"/>
    <xf numFmtId="0" fontId="13" fillId="2" borderId="0" xfId="0" applyFont="1" applyFill="1"/>
    <xf numFmtId="1" fontId="13" fillId="2" borderId="0" xfId="0" applyNumberFormat="1" applyFont="1" applyFill="1"/>
    <xf numFmtId="0" fontId="22" fillId="2" borderId="0" xfId="0" applyFont="1" applyFill="1"/>
    <xf numFmtId="0" fontId="29" fillId="2" borderId="0" xfId="0" applyFont="1" applyFill="1" applyAlignment="1">
      <alignment horizontal="center" vertical="center"/>
    </xf>
    <xf numFmtId="0" fontId="28" fillId="2" borderId="0" xfId="0" applyFont="1" applyFill="1"/>
    <xf numFmtId="0" fontId="22" fillId="2" borderId="0" xfId="2" applyFont="1" applyFill="1" applyAlignment="1">
      <alignment horizontal="left" vertical="center"/>
    </xf>
    <xf numFmtId="0" fontId="11" fillId="0" borderId="0" xfId="0" applyFont="1" applyAlignment="1">
      <alignment horizontal="left" vertical="top" indent="2"/>
    </xf>
    <xf numFmtId="0" fontId="11" fillId="0" borderId="0" xfId="0" applyFont="1"/>
    <xf numFmtId="180" fontId="13" fillId="2" borderId="0" xfId="0" applyNumberFormat="1" applyFont="1" applyFill="1" applyAlignment="1" applyProtection="1">
      <alignment horizontal="right" vertical="center" wrapText="1"/>
      <protection locked="0"/>
    </xf>
    <xf numFmtId="1" fontId="12" fillId="2" borderId="0" xfId="0" applyNumberFormat="1" applyFont="1" applyFill="1" applyAlignment="1" applyProtection="1">
      <alignment horizontal="right"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33" fillId="2" borderId="16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40" fillId="0" borderId="0" xfId="0" applyFont="1"/>
    <xf numFmtId="0" fontId="42" fillId="0" borderId="0" xfId="0" applyFont="1"/>
    <xf numFmtId="0" fontId="43" fillId="0" borderId="0" xfId="0" applyFont="1"/>
    <xf numFmtId="179" fontId="12" fillId="0" borderId="0" xfId="0" applyNumberFormat="1" applyFont="1"/>
    <xf numFmtId="180" fontId="10" fillId="2" borderId="0" xfId="0" applyNumberFormat="1" applyFont="1" applyFill="1"/>
    <xf numFmtId="180" fontId="12" fillId="2" borderId="0" xfId="0" applyNumberFormat="1" applyFont="1" applyFill="1"/>
    <xf numFmtId="166" fontId="36" fillId="0" borderId="0" xfId="0" applyNumberFormat="1" applyFont="1"/>
    <xf numFmtId="166" fontId="0" fillId="0" borderId="0" xfId="0" applyNumberFormat="1"/>
    <xf numFmtId="180" fontId="36" fillId="0" borderId="0" xfId="0" applyNumberFormat="1" applyFont="1"/>
    <xf numFmtId="180" fontId="33" fillId="0" borderId="0" xfId="0" applyNumberFormat="1" applyFont="1" applyAlignment="1">
      <alignment horizontal="right" vertical="center" wrapText="1"/>
    </xf>
    <xf numFmtId="180" fontId="38" fillId="0" borderId="0" xfId="0" applyNumberFormat="1" applyFont="1" applyAlignment="1">
      <alignment horizontal="right" vertical="center" wrapText="1"/>
    </xf>
    <xf numFmtId="0" fontId="18" fillId="0" borderId="5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1" fontId="13" fillId="0" borderId="0" xfId="0" applyNumberFormat="1" applyFont="1" applyAlignment="1">
      <alignment vertical="center"/>
    </xf>
    <xf numFmtId="0" fontId="33" fillId="2" borderId="27" xfId="0" applyFont="1" applyFill="1" applyBorder="1" applyAlignment="1">
      <alignment vertical="center"/>
    </xf>
    <xf numFmtId="0" fontId="23" fillId="0" borderId="13" xfId="0" applyFont="1" applyBorder="1"/>
    <xf numFmtId="0" fontId="17" fillId="0" borderId="3" xfId="0" applyFont="1" applyBorder="1" applyAlignment="1">
      <alignment horizontal="right" vertical="center"/>
    </xf>
    <xf numFmtId="0" fontId="41" fillId="0" borderId="0" xfId="0" applyFont="1" applyAlignment="1">
      <alignment vertical="center" wrapText="1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182" fontId="25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182" fontId="13" fillId="0" borderId="0" xfId="0" applyNumberFormat="1" applyFont="1" applyAlignment="1">
      <alignment horizontal="right" vertical="center"/>
    </xf>
    <xf numFmtId="182" fontId="12" fillId="0" borderId="0" xfId="0" applyNumberFormat="1" applyFont="1" applyAlignment="1">
      <alignment horizontal="right" vertical="center"/>
    </xf>
    <xf numFmtId="180" fontId="13" fillId="2" borderId="0" xfId="0" applyNumberFormat="1" applyFont="1" applyFill="1" applyAlignment="1">
      <alignment vertical="center"/>
    </xf>
    <xf numFmtId="0" fontId="13" fillId="2" borderId="27" xfId="0" applyFont="1" applyFill="1" applyBorder="1" applyAlignment="1">
      <alignment horizontal="center" vertical="center" wrapText="1"/>
    </xf>
    <xf numFmtId="0" fontId="33" fillId="2" borderId="27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vertical="center" wrapText="1"/>
    </xf>
    <xf numFmtId="0" fontId="13" fillId="2" borderId="27" xfId="0" applyFont="1" applyFill="1" applyBorder="1" applyAlignment="1">
      <alignment vertical="center" wrapText="1"/>
    </xf>
    <xf numFmtId="0" fontId="13" fillId="2" borderId="29" xfId="0" applyFont="1" applyFill="1" applyBorder="1"/>
    <xf numFmtId="0" fontId="13" fillId="2" borderId="30" xfId="0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0" fontId="13" fillId="2" borderId="30" xfId="0" applyFont="1" applyFill="1" applyBorder="1" applyAlignment="1">
      <alignment vertical="center"/>
    </xf>
    <xf numFmtId="0" fontId="13" fillId="2" borderId="15" xfId="0" applyFont="1" applyFill="1" applyBorder="1" applyAlignment="1">
      <alignment vertical="center"/>
    </xf>
    <xf numFmtId="180" fontId="13" fillId="2" borderId="15" xfId="0" applyNumberFormat="1" applyFont="1" applyFill="1" applyBorder="1" applyAlignment="1">
      <alignment vertical="center"/>
    </xf>
    <xf numFmtId="1" fontId="13" fillId="2" borderId="15" xfId="0" applyNumberFormat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23" fillId="0" borderId="0" xfId="0" applyFont="1" applyAlignment="1">
      <alignment horizontal="left"/>
    </xf>
    <xf numFmtId="172" fontId="12" fillId="0" borderId="1" xfId="0" applyNumberFormat="1" applyFont="1" applyBorder="1" applyAlignment="1">
      <alignment horizontal="left" vertical="center"/>
    </xf>
    <xf numFmtId="0" fontId="25" fillId="0" borderId="0" xfId="0" applyFont="1" applyAlignment="1">
      <alignment horizontal="left"/>
    </xf>
    <xf numFmtId="0" fontId="1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5" fillId="0" borderId="1" xfId="2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79" fontId="13" fillId="0" borderId="0" xfId="0" applyNumberFormat="1" applyFont="1"/>
    <xf numFmtId="0" fontId="15" fillId="0" borderId="1" xfId="0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" fontId="18" fillId="0" borderId="0" xfId="0" applyNumberFormat="1" applyFont="1" applyAlignment="1">
      <alignment vertical="center"/>
    </xf>
    <xf numFmtId="1" fontId="15" fillId="0" borderId="0" xfId="0" applyNumberFormat="1" applyFont="1" applyAlignment="1">
      <alignment vertical="center"/>
    </xf>
    <xf numFmtId="0" fontId="15" fillId="0" borderId="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1" fillId="0" borderId="0" xfId="1" applyFont="1" applyAlignment="1">
      <alignment vertical="top"/>
    </xf>
    <xf numFmtId="0" fontId="12" fillId="0" borderId="0" xfId="1" applyFont="1" applyAlignment="1">
      <alignment vertical="top"/>
    </xf>
    <xf numFmtId="172" fontId="23" fillId="0" borderId="0" xfId="1" applyNumberFormat="1" applyFont="1" applyAlignment="1">
      <alignment horizontal="left" vertical="center"/>
    </xf>
    <xf numFmtId="172" fontId="23" fillId="0" borderId="0" xfId="1" applyNumberFormat="1" applyFont="1" applyAlignment="1">
      <alignment vertical="center"/>
    </xf>
    <xf numFmtId="172" fontId="23" fillId="0" borderId="0" xfId="1" applyNumberFormat="1" applyFont="1"/>
    <xf numFmtId="0" fontId="13" fillId="0" borderId="4" xfId="1" applyFont="1" applyBorder="1" applyAlignment="1">
      <alignment horizontal="right" vertical="center"/>
    </xf>
    <xf numFmtId="0" fontId="13" fillId="0" borderId="4" xfId="1" applyFont="1" applyBorder="1" applyAlignment="1">
      <alignment horizontal="right" vertical="center" wrapText="1"/>
    </xf>
    <xf numFmtId="0" fontId="12" fillId="0" borderId="1" xfId="1" applyFont="1" applyBorder="1" applyAlignment="1">
      <alignment horizontal="left" vertical="center" wrapText="1"/>
    </xf>
    <xf numFmtId="0" fontId="13" fillId="0" borderId="0" xfId="1" applyFont="1" applyAlignment="1">
      <alignment horizontal="right" vertical="center"/>
    </xf>
    <xf numFmtId="0" fontId="13" fillId="0" borderId="0" xfId="1" applyFont="1" applyAlignment="1">
      <alignment horizontal="right" vertical="center" wrapText="1"/>
    </xf>
    <xf numFmtId="0" fontId="13" fillId="0" borderId="1" xfId="1" applyFont="1" applyBorder="1" applyAlignment="1">
      <alignment horizontal="left" vertical="center"/>
    </xf>
    <xf numFmtId="180" fontId="12" fillId="0" borderId="0" xfId="1" applyNumberFormat="1" applyFont="1" applyAlignment="1">
      <alignment horizontal="right" vertical="center" wrapText="1"/>
    </xf>
    <xf numFmtId="180" fontId="13" fillId="0" borderId="0" xfId="1" applyNumberFormat="1" applyFont="1" applyAlignment="1">
      <alignment horizontal="right" vertical="center" wrapText="1"/>
    </xf>
    <xf numFmtId="180" fontId="13" fillId="0" borderId="0" xfId="1" applyNumberFormat="1" applyFont="1" applyAlignment="1">
      <alignment vertical="center"/>
    </xf>
    <xf numFmtId="180" fontId="12" fillId="0" borderId="0" xfId="1" applyNumberFormat="1" applyFont="1" applyAlignment="1">
      <alignment vertical="center"/>
    </xf>
    <xf numFmtId="172" fontId="12" fillId="0" borderId="1" xfId="1" applyNumberFormat="1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179" fontId="13" fillId="0" borderId="0" xfId="1" applyNumberFormat="1" applyFont="1" applyAlignment="1">
      <alignment vertical="center"/>
    </xf>
    <xf numFmtId="180" fontId="12" fillId="0" borderId="0" xfId="1" applyNumberFormat="1" applyFont="1" applyAlignment="1">
      <alignment horizontal="right" vertical="center"/>
    </xf>
    <xf numFmtId="172" fontId="12" fillId="0" borderId="2" xfId="1" applyNumberFormat="1" applyFont="1" applyBorder="1" applyAlignment="1">
      <alignment horizontal="left" vertical="center"/>
    </xf>
    <xf numFmtId="180" fontId="12" fillId="0" borderId="6" xfId="1" applyNumberFormat="1" applyFont="1" applyBorder="1" applyAlignment="1">
      <alignment horizontal="right" vertical="center" wrapText="1"/>
    </xf>
    <xf numFmtId="180" fontId="12" fillId="0" borderId="3" xfId="1" applyNumberFormat="1" applyFont="1" applyBorder="1"/>
    <xf numFmtId="0" fontId="12" fillId="0" borderId="0" xfId="1" applyFont="1" applyAlignment="1">
      <alignment horizontal="left" vertical="center"/>
    </xf>
    <xf numFmtId="0" fontId="22" fillId="0" borderId="0" xfId="1" applyFont="1" applyAlignment="1">
      <alignment horizontal="left" vertical="center"/>
    </xf>
    <xf numFmtId="0" fontId="12" fillId="3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0" borderId="1" xfId="1" applyFont="1" applyBorder="1" applyAlignment="1">
      <alignment horizontal="center" vertical="center"/>
    </xf>
    <xf numFmtId="39" fontId="23" fillId="0" borderId="0" xfId="10" applyFont="1" applyAlignment="1">
      <alignment vertical="center" wrapText="1"/>
    </xf>
    <xf numFmtId="39" fontId="12" fillId="0" borderId="0" xfId="10" applyFont="1" applyAlignment="1">
      <alignment vertical="center" wrapText="1"/>
    </xf>
    <xf numFmtId="168" fontId="13" fillId="0" borderId="0" xfId="0" applyNumberFormat="1" applyFont="1" applyAlignment="1">
      <alignment horizontal="right" vertical="center" wrapText="1"/>
    </xf>
    <xf numFmtId="169" fontId="13" fillId="0" borderId="0" xfId="0" applyNumberFormat="1" applyFont="1" applyAlignment="1">
      <alignment horizontal="right" vertical="center" wrapText="1"/>
    </xf>
    <xf numFmtId="168" fontId="13" fillId="0" borderId="8" xfId="0" applyNumberFormat="1" applyFont="1" applyBorder="1" applyAlignment="1">
      <alignment horizontal="right" vertical="center" wrapText="1"/>
    </xf>
    <xf numFmtId="169" fontId="23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80" fontId="13" fillId="0" borderId="0" xfId="0" applyNumberFormat="1" applyFont="1" applyAlignment="1">
      <alignment vertical="center"/>
    </xf>
    <xf numFmtId="180" fontId="1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7" fillId="2" borderId="3" xfId="0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right" vertical="center" wrapText="1"/>
    </xf>
    <xf numFmtId="0" fontId="13" fillId="2" borderId="4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center" wrapText="1" indent="1"/>
    </xf>
    <xf numFmtId="205" fontId="114" fillId="2" borderId="0" xfId="0" applyNumberFormat="1" applyFont="1" applyFill="1" applyAlignment="1">
      <alignment horizontal="right" vertical="top" wrapText="1"/>
    </xf>
    <xf numFmtId="205" fontId="115" fillId="2" borderId="0" xfId="0" applyNumberFormat="1" applyFont="1" applyFill="1" applyAlignment="1">
      <alignment horizontal="right" vertical="top" wrapText="1"/>
    </xf>
    <xf numFmtId="0" fontId="18" fillId="2" borderId="1" xfId="0" applyFont="1" applyFill="1" applyBorder="1" applyAlignment="1">
      <alignment horizontal="left" vertical="center" indent="1"/>
    </xf>
    <xf numFmtId="0" fontId="15" fillId="2" borderId="1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right" vertical="center" wrapText="1"/>
    </xf>
    <xf numFmtId="0" fontId="13" fillId="2" borderId="5" xfId="0" applyFont="1" applyFill="1" applyBorder="1" applyAlignment="1">
      <alignment horizontal="right" vertical="center" wrapText="1"/>
    </xf>
    <xf numFmtId="205" fontId="114" fillId="2" borderId="0" xfId="0" applyNumberFormat="1" applyFont="1" applyFill="1" applyAlignment="1">
      <alignment horizontal="right" vertical="center" wrapText="1"/>
    </xf>
    <xf numFmtId="0" fontId="18" fillId="2" borderId="60" xfId="0" applyFont="1" applyFill="1" applyBorder="1" applyAlignment="1">
      <alignment horizontal="left" vertical="center" indent="1"/>
    </xf>
    <xf numFmtId="205" fontId="114" fillId="2" borderId="61" xfId="0" applyNumberFormat="1" applyFont="1" applyFill="1" applyBorder="1" applyAlignment="1">
      <alignment horizontal="right" vertical="top" wrapText="1"/>
    </xf>
    <xf numFmtId="205" fontId="114" fillId="2" borderId="15" xfId="0" applyNumberFormat="1" applyFont="1" applyFill="1" applyBorder="1" applyAlignment="1">
      <alignment horizontal="right" vertical="top" wrapText="1"/>
    </xf>
    <xf numFmtId="205" fontId="115" fillId="2" borderId="15" xfId="0" applyNumberFormat="1" applyFont="1" applyFill="1" applyBorder="1" applyAlignment="1">
      <alignment horizontal="right" vertical="top" wrapText="1"/>
    </xf>
    <xf numFmtId="0" fontId="0" fillId="2" borderId="0" xfId="0" applyFill="1" applyAlignment="1">
      <alignment vertical="top"/>
    </xf>
    <xf numFmtId="0" fontId="23" fillId="2" borderId="0" xfId="0" applyFont="1" applyFill="1" applyAlignment="1">
      <alignment vertical="top"/>
    </xf>
    <xf numFmtId="0" fontId="23" fillId="2" borderId="0" xfId="0" applyFont="1" applyFill="1" applyAlignment="1">
      <alignment horizontal="left" vertical="top"/>
    </xf>
    <xf numFmtId="0" fontId="18" fillId="2" borderId="0" xfId="0" applyFont="1" applyFill="1" applyAlignment="1">
      <alignment horizontal="left" vertical="center" wrapText="1" indent="1"/>
    </xf>
    <xf numFmtId="0" fontId="23" fillId="0" borderId="0" xfId="5568" applyFont="1" applyAlignment="1">
      <alignment vertical="center"/>
    </xf>
    <xf numFmtId="0" fontId="12" fillId="0" borderId="0" xfId="5568" applyFont="1" applyAlignment="1">
      <alignment vertical="center"/>
    </xf>
    <xf numFmtId="179" fontId="12" fillId="0" borderId="0" xfId="5568" applyNumberFormat="1" applyFont="1" applyAlignment="1">
      <alignment horizontal="right" vertical="center"/>
    </xf>
    <xf numFmtId="179" fontId="13" fillId="0" borderId="0" xfId="5568" applyNumberFormat="1" applyFont="1" applyAlignment="1">
      <alignment horizontal="right" vertical="center"/>
    </xf>
    <xf numFmtId="0" fontId="24" fillId="0" borderId="0" xfId="5568" applyFont="1" applyAlignment="1">
      <alignment vertical="center"/>
    </xf>
    <xf numFmtId="0" fontId="22" fillId="0" borderId="0" xfId="5568" applyFont="1" applyAlignment="1">
      <alignment horizontal="left" vertical="center"/>
    </xf>
    <xf numFmtId="0" fontId="13" fillId="0" borderId="62" xfId="5568" applyFont="1" applyBorder="1" applyAlignment="1">
      <alignment horizontal="center" vertical="center" wrapText="1"/>
    </xf>
    <xf numFmtId="0" fontId="12" fillId="0" borderId="63" xfId="5568" applyFont="1" applyBorder="1" applyAlignment="1">
      <alignment horizontal="left" vertical="center"/>
    </xf>
    <xf numFmtId="0" fontId="13" fillId="0" borderId="63" xfId="5568" applyFont="1" applyBorder="1" applyAlignment="1">
      <alignment horizontal="left" vertical="center"/>
    </xf>
    <xf numFmtId="0" fontId="23" fillId="0" borderId="64" xfId="5568" applyFont="1" applyBorder="1" applyAlignment="1">
      <alignment vertical="center"/>
    </xf>
    <xf numFmtId="0" fontId="13" fillId="0" borderId="65" xfId="5568" applyFont="1" applyBorder="1" applyAlignment="1">
      <alignment horizontal="right" vertical="center" wrapText="1"/>
    </xf>
    <xf numFmtId="0" fontId="13" fillId="0" borderId="23" xfId="5568" applyFont="1" applyBorder="1" applyAlignment="1">
      <alignment horizontal="right" vertical="center" wrapText="1"/>
    </xf>
    <xf numFmtId="0" fontId="117" fillId="0" borderId="0" xfId="5568" applyFont="1" applyAlignment="1">
      <alignment vertical="center"/>
    </xf>
    <xf numFmtId="0" fontId="23" fillId="0" borderId="66" xfId="5568" applyFont="1" applyBorder="1" applyAlignment="1">
      <alignment vertical="center"/>
    </xf>
    <xf numFmtId="0" fontId="23" fillId="0" borderId="15" xfId="5568" applyFont="1" applyBorder="1" applyAlignment="1">
      <alignment vertical="center"/>
    </xf>
    <xf numFmtId="0" fontId="8" fillId="0" borderId="0" xfId="5568"/>
    <xf numFmtId="0" fontId="23" fillId="0" borderId="0" xfId="5568" applyFont="1" applyAlignment="1">
      <alignment horizontal="left" vertical="center"/>
    </xf>
    <xf numFmtId="0" fontId="23" fillId="0" borderId="0" xfId="5568" applyFont="1" applyAlignment="1">
      <alignment horizontal="right" vertical="center"/>
    </xf>
    <xf numFmtId="0" fontId="116" fillId="0" borderId="0" xfId="5819" applyFont="1" applyAlignment="1">
      <alignment vertical="center"/>
    </xf>
    <xf numFmtId="178" fontId="37" fillId="2" borderId="0" xfId="5568" applyNumberFormat="1" applyFont="1" applyFill="1" applyAlignment="1">
      <alignment horizontal="left" vertical="center"/>
    </xf>
    <xf numFmtId="0" fontId="118" fillId="2" borderId="0" xfId="5823" applyFont="1" applyFill="1" applyAlignment="1">
      <alignment vertical="center"/>
    </xf>
    <xf numFmtId="0" fontId="22" fillId="0" borderId="0" xfId="5820" applyFont="1" applyAlignment="1">
      <alignment vertical="center"/>
    </xf>
    <xf numFmtId="0" fontId="23" fillId="2" borderId="0" xfId="0" applyFont="1" applyFill="1" applyAlignment="1">
      <alignment vertical="center"/>
    </xf>
    <xf numFmtId="0" fontId="13" fillId="2" borderId="23" xfId="0" applyFont="1" applyFill="1" applyBorder="1" applyAlignment="1">
      <alignment horizontal="right" vertical="center" wrapText="1"/>
    </xf>
    <xf numFmtId="183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12" fillId="2" borderId="29" xfId="0" applyFont="1" applyFill="1" applyBorder="1"/>
    <xf numFmtId="0" fontId="12" fillId="2" borderId="30" xfId="0" applyFont="1" applyFill="1" applyBorder="1"/>
    <xf numFmtId="0" fontId="12" fillId="2" borderId="15" xfId="0" applyFont="1" applyFill="1" applyBorder="1"/>
    <xf numFmtId="0" fontId="12" fillId="2" borderId="27" xfId="0" applyFont="1" applyFill="1" applyBorder="1" applyAlignment="1">
      <alignment vertical="center"/>
    </xf>
    <xf numFmtId="0" fontId="33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13" fillId="2" borderId="28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2" fillId="2" borderId="34" xfId="0" applyFont="1" applyFill="1" applyBorder="1" applyAlignment="1">
      <alignment horizontal="center"/>
    </xf>
    <xf numFmtId="178" fontId="12" fillId="2" borderId="22" xfId="0" applyNumberFormat="1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0" fillId="2" borderId="22" xfId="0" applyFill="1" applyBorder="1"/>
    <xf numFmtId="178" fontId="12" fillId="2" borderId="31" xfId="0" applyNumberFormat="1" applyFont="1" applyFill="1" applyBorder="1" applyAlignment="1">
      <alignment horizontal="center"/>
    </xf>
    <xf numFmtId="178" fontId="12" fillId="2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31" xfId="0" applyFont="1" applyFill="1" applyBorder="1" applyAlignment="1">
      <alignment horizontal="center"/>
    </xf>
    <xf numFmtId="0" fontId="12" fillId="2" borderId="30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178" fontId="12" fillId="2" borderId="15" xfId="0" applyNumberFormat="1" applyFont="1" applyFill="1" applyBorder="1" applyAlignment="1">
      <alignment horizontal="center"/>
    </xf>
    <xf numFmtId="0" fontId="12" fillId="48" borderId="27" xfId="5568" applyFont="1" applyFill="1" applyBorder="1" applyAlignment="1">
      <alignment vertical="center"/>
    </xf>
    <xf numFmtId="0" fontId="12" fillId="48" borderId="29" xfId="5568" applyFont="1" applyFill="1" applyBorder="1" applyAlignment="1">
      <alignment vertical="center"/>
    </xf>
    <xf numFmtId="0" fontId="8" fillId="0" borderId="15" xfId="5568" applyBorder="1"/>
    <xf numFmtId="206" fontId="12" fillId="0" borderId="0" xfId="5568" applyNumberFormat="1" applyFont="1" applyAlignment="1">
      <alignment horizontal="center" vertical="center"/>
    </xf>
    <xf numFmtId="0" fontId="18" fillId="0" borderId="27" xfId="5568" applyFont="1" applyBorder="1" applyAlignment="1">
      <alignment vertical="center"/>
    </xf>
    <xf numFmtId="207" fontId="15" fillId="0" borderId="29" xfId="5568" applyNumberFormat="1" applyFont="1" applyBorder="1" applyAlignment="1">
      <alignment horizontal="left" vertical="center" wrapText="1"/>
    </xf>
    <xf numFmtId="179" fontId="15" fillId="0" borderId="15" xfId="5827" applyNumberFormat="1" applyFont="1" applyBorder="1" applyAlignment="1">
      <alignment horizontal="right" vertical="center" wrapText="1"/>
    </xf>
    <xf numFmtId="0" fontId="13" fillId="0" borderId="27" xfId="5568" applyFont="1" applyBorder="1" applyAlignment="1">
      <alignment horizontal="center" vertical="center" wrapText="1"/>
    </xf>
    <xf numFmtId="0" fontId="13" fillId="0" borderId="27" xfId="5568" applyFont="1" applyBorder="1" applyAlignment="1">
      <alignment horizontal="left" vertical="center"/>
    </xf>
    <xf numFmtId="0" fontId="12" fillId="0" borderId="27" xfId="5568" applyFont="1" applyBorder="1" applyAlignment="1">
      <alignment vertical="center"/>
    </xf>
    <xf numFmtId="0" fontId="13" fillId="0" borderId="23" xfId="5568" applyFont="1" applyBorder="1" applyAlignment="1">
      <alignment horizontal="center" vertical="center"/>
    </xf>
    <xf numFmtId="178" fontId="12" fillId="0" borderId="15" xfId="5568" applyNumberFormat="1" applyFont="1" applyBorder="1" applyAlignment="1">
      <alignment horizontal="center"/>
    </xf>
    <xf numFmtId="0" fontId="13" fillId="0" borderId="26" xfId="5821" applyFont="1" applyBorder="1" applyAlignment="1">
      <alignment horizontal="center" vertical="center" wrapText="1"/>
    </xf>
    <xf numFmtId="0" fontId="13" fillId="0" borderId="27" xfId="5820" applyFont="1" applyBorder="1" applyAlignment="1">
      <alignment horizontal="center" vertical="center" wrapText="1"/>
    </xf>
    <xf numFmtId="0" fontId="13" fillId="49" borderId="27" xfId="5822" applyFont="1" applyFill="1" applyBorder="1" applyAlignment="1">
      <alignment horizontal="left" vertical="center"/>
    </xf>
    <xf numFmtId="0" fontId="12" fillId="49" borderId="27" xfId="5822" applyFont="1" applyFill="1" applyBorder="1" applyAlignment="1">
      <alignment horizontal="left" vertical="center"/>
    </xf>
    <xf numFmtId="208" fontId="13" fillId="2" borderId="59" xfId="0" applyNumberFormat="1" applyFont="1" applyFill="1" applyBorder="1" applyAlignment="1">
      <alignment horizontal="right" vertical="center" wrapText="1"/>
    </xf>
    <xf numFmtId="208" fontId="13" fillId="2" borderId="22" xfId="0" applyNumberFormat="1" applyFont="1" applyFill="1" applyBorder="1" applyAlignment="1">
      <alignment horizontal="right" vertical="center" wrapText="1"/>
    </xf>
    <xf numFmtId="208" fontId="115" fillId="2" borderId="8" xfId="0" applyNumberFormat="1" applyFont="1" applyFill="1" applyBorder="1" applyAlignment="1">
      <alignment horizontal="right" vertical="top" wrapText="1"/>
    </xf>
    <xf numFmtId="208" fontId="115" fillId="2" borderId="0" xfId="0" applyNumberFormat="1" applyFont="1" applyFill="1" applyAlignment="1">
      <alignment horizontal="right" vertical="top" wrapText="1"/>
    </xf>
    <xf numFmtId="208" fontId="114" fillId="2" borderId="8" xfId="0" applyNumberFormat="1" applyFont="1" applyFill="1" applyBorder="1" applyAlignment="1">
      <alignment horizontal="right" vertical="top" wrapText="1"/>
    </xf>
    <xf numFmtId="208" fontId="114" fillId="2" borderId="0" xfId="0" applyNumberFormat="1" applyFont="1" applyFill="1" applyAlignment="1">
      <alignment horizontal="right" vertical="top" wrapText="1"/>
    </xf>
    <xf numFmtId="208" fontId="114" fillId="2" borderId="61" xfId="0" applyNumberFormat="1" applyFont="1" applyFill="1" applyBorder="1" applyAlignment="1">
      <alignment horizontal="right" vertical="top" wrapText="1"/>
    </xf>
    <xf numFmtId="208" fontId="114" fillId="2" borderId="15" xfId="0" applyNumberFormat="1" applyFont="1" applyFill="1" applyBorder="1" applyAlignment="1">
      <alignment horizontal="right" vertical="top" wrapText="1"/>
    </xf>
    <xf numFmtId="208" fontId="115" fillId="2" borderId="15" xfId="0" applyNumberFormat="1" applyFont="1" applyFill="1" applyBorder="1" applyAlignment="1">
      <alignment horizontal="right" vertical="top" wrapText="1"/>
    </xf>
    <xf numFmtId="208" fontId="114" fillId="2" borderId="0" xfId="0" applyNumberFormat="1" applyFont="1" applyFill="1" applyAlignment="1">
      <alignment horizontal="right" vertical="center" wrapText="1"/>
    </xf>
    <xf numFmtId="208" fontId="114" fillId="2" borderId="8" xfId="0" applyNumberFormat="1" applyFont="1" applyFill="1" applyBorder="1" applyAlignment="1">
      <alignment horizontal="right" vertical="center" wrapText="1"/>
    </xf>
    <xf numFmtId="208" fontId="115" fillId="2" borderId="0" xfId="0" applyNumberFormat="1" applyFont="1" applyFill="1" applyAlignment="1">
      <alignment horizontal="right" vertical="center" wrapText="1"/>
    </xf>
    <xf numFmtId="208" fontId="115" fillId="2" borderId="8" xfId="0" applyNumberFormat="1" applyFont="1" applyFill="1" applyBorder="1" applyAlignment="1">
      <alignment horizontal="right" vertical="center" wrapText="1"/>
    </xf>
    <xf numFmtId="0" fontId="12" fillId="0" borderId="67" xfId="0" applyFont="1" applyBorder="1" applyAlignment="1">
      <alignment horizontal="left" vertical="center"/>
    </xf>
    <xf numFmtId="180" fontId="12" fillId="0" borderId="58" xfId="0" applyNumberFormat="1" applyFont="1" applyBorder="1" applyAlignment="1">
      <alignment horizontal="right" vertical="center" wrapText="1"/>
    </xf>
    <xf numFmtId="180" fontId="12" fillId="0" borderId="58" xfId="0" applyNumberFormat="1" applyFont="1" applyBorder="1" applyAlignment="1">
      <alignment vertical="center" wrapText="1"/>
    </xf>
    <xf numFmtId="209" fontId="18" fillId="2" borderId="0" xfId="1" applyNumberFormat="1" applyFont="1" applyFill="1" applyAlignment="1">
      <alignment horizontal="right" vertical="center" wrapText="1"/>
    </xf>
    <xf numFmtId="0" fontId="13" fillId="2" borderId="1" xfId="0" applyFont="1" applyFill="1" applyBorder="1" applyAlignment="1">
      <alignment horizontal="left" vertical="center" wrapText="1"/>
    </xf>
    <xf numFmtId="209" fontId="15" fillId="2" borderId="0" xfId="1" applyNumberFormat="1" applyFont="1" applyFill="1" applyAlignment="1">
      <alignment horizontal="right" vertical="center" wrapText="1"/>
    </xf>
    <xf numFmtId="0" fontId="12" fillId="2" borderId="27" xfId="5828" applyFont="1" applyFill="1" applyBorder="1" applyAlignment="1">
      <alignment horizontal="left" vertical="center"/>
    </xf>
    <xf numFmtId="0" fontId="12" fillId="2" borderId="29" xfId="5828" applyFont="1" applyFill="1" applyBorder="1" applyAlignment="1">
      <alignment horizontal="left" vertical="center"/>
    </xf>
    <xf numFmtId="39" fontId="23" fillId="0" borderId="5" xfId="10" applyFont="1" applyBorder="1" applyAlignment="1">
      <alignment vertical="center" wrapText="1"/>
    </xf>
    <xf numFmtId="39" fontId="23" fillId="0" borderId="0" xfId="10" applyFont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9" fontId="23" fillId="0" borderId="0" xfId="10" applyFont="1" applyAlignment="1">
      <alignment vertical="center"/>
    </xf>
    <xf numFmtId="0" fontId="12" fillId="2" borderId="15" xfId="0" applyFont="1" applyFill="1" applyBorder="1" applyAlignment="1">
      <alignment horizontal="left" vertical="center" indent="1"/>
    </xf>
    <xf numFmtId="0" fontId="12" fillId="2" borderId="29" xfId="0" applyFont="1" applyFill="1" applyBorder="1" applyAlignment="1">
      <alignment horizontal="left" vertical="center"/>
    </xf>
    <xf numFmtId="0" fontId="13" fillId="48" borderId="27" xfId="5568" applyFont="1" applyFill="1" applyBorder="1" applyAlignment="1">
      <alignment vertical="center"/>
    </xf>
    <xf numFmtId="183" fontId="12" fillId="0" borderId="0" xfId="0" applyNumberFormat="1" applyFont="1" applyAlignment="1">
      <alignment horizontal="right" vertical="center"/>
    </xf>
    <xf numFmtId="0" fontId="33" fillId="2" borderId="0" xfId="5568" applyFont="1" applyFill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180" fontId="0" fillId="0" borderId="0" xfId="0" applyNumberFormat="1"/>
    <xf numFmtId="0" fontId="13" fillId="2" borderId="0" xfId="0" applyFont="1" applyFill="1" applyAlignment="1">
      <alignment horizontal="left" vertical="center"/>
    </xf>
    <xf numFmtId="0" fontId="0" fillId="2" borderId="15" xfId="0" applyFill="1" applyBorder="1"/>
    <xf numFmtId="0" fontId="0" fillId="0" borderId="15" xfId="0" applyBorder="1"/>
    <xf numFmtId="180" fontId="12" fillId="0" borderId="68" xfId="0" applyNumberFormat="1" applyFont="1" applyBorder="1" applyAlignment="1">
      <alignment horizontal="right" vertical="center" wrapText="1"/>
    </xf>
    <xf numFmtId="0" fontId="18" fillId="0" borderId="22" xfId="0" applyFont="1" applyBorder="1" applyAlignment="1">
      <alignment horizontal="right" vertical="center" wrapText="1"/>
    </xf>
    <xf numFmtId="0" fontId="15" fillId="0" borderId="69" xfId="0" applyFont="1" applyBorder="1" applyAlignment="1">
      <alignment horizontal="right" vertical="center" wrapText="1"/>
    </xf>
    <xf numFmtId="180" fontId="12" fillId="0" borderId="22" xfId="0" applyNumberFormat="1" applyFont="1" applyBorder="1" applyAlignment="1">
      <alignment horizontal="right" vertical="center" wrapText="1"/>
    </xf>
    <xf numFmtId="0" fontId="15" fillId="0" borderId="69" xfId="0" applyFont="1" applyBorder="1" applyAlignment="1">
      <alignment horizontal="right" vertical="center"/>
    </xf>
    <xf numFmtId="0" fontId="15" fillId="0" borderId="22" xfId="0" applyFont="1" applyBorder="1" applyAlignment="1">
      <alignment horizontal="right" vertical="center"/>
    </xf>
    <xf numFmtId="0" fontId="13" fillId="0" borderId="34" xfId="5568" applyFont="1" applyBorder="1" applyAlignment="1">
      <alignment horizontal="right" vertical="center"/>
    </xf>
    <xf numFmtId="0" fontId="9" fillId="0" borderId="34" xfId="5568" applyFont="1" applyBorder="1" applyAlignment="1">
      <alignment horizontal="right"/>
    </xf>
    <xf numFmtId="0" fontId="13" fillId="0" borderId="0" xfId="5568" applyFont="1" applyAlignment="1">
      <alignment horizontal="right" vertical="center"/>
    </xf>
    <xf numFmtId="178" fontId="12" fillId="0" borderId="0" xfId="5568" applyNumberFormat="1" applyFont="1" applyAlignment="1">
      <alignment horizontal="right"/>
    </xf>
    <xf numFmtId="178" fontId="13" fillId="0" borderId="0" xfId="5568" applyNumberFormat="1" applyFont="1" applyAlignment="1">
      <alignment horizontal="right"/>
    </xf>
    <xf numFmtId="0" fontId="13" fillId="2" borderId="23" xfId="5821" applyFont="1" applyFill="1" applyBorder="1" applyAlignment="1">
      <alignment horizontal="right" vertical="center" wrapText="1"/>
    </xf>
    <xf numFmtId="178" fontId="13" fillId="2" borderId="0" xfId="5822" applyNumberFormat="1" applyFont="1" applyFill="1" applyAlignment="1">
      <alignment horizontal="right" vertical="center"/>
    </xf>
    <xf numFmtId="178" fontId="12" fillId="2" borderId="0" xfId="5822" applyNumberFormat="1" applyFont="1" applyFill="1" applyAlignment="1">
      <alignment horizontal="right" vertical="center"/>
    </xf>
    <xf numFmtId="210" fontId="12" fillId="2" borderId="0" xfId="0" applyNumberFormat="1" applyFont="1" applyFill="1" applyAlignment="1">
      <alignment horizontal="right" vertical="center" wrapText="1"/>
    </xf>
    <xf numFmtId="210" fontId="12" fillId="2" borderId="0" xfId="5568" applyNumberFormat="1" applyFont="1" applyFill="1" applyAlignment="1">
      <alignment horizontal="right" vertical="center" wrapText="1"/>
    </xf>
    <xf numFmtId="0" fontId="34" fillId="0" borderId="0" xfId="5568" applyFont="1"/>
    <xf numFmtId="0" fontId="22" fillId="2" borderId="0" xfId="0" applyFont="1" applyFill="1" applyAlignment="1">
      <alignment vertical="center"/>
    </xf>
    <xf numFmtId="180" fontId="18" fillId="0" borderId="0" xfId="0" applyNumberFormat="1" applyFont="1" applyAlignment="1">
      <alignment vertical="center"/>
    </xf>
    <xf numFmtId="210" fontId="8" fillId="0" borderId="0" xfId="5568" applyNumberFormat="1"/>
    <xf numFmtId="208" fontId="0" fillId="0" borderId="0" xfId="0" applyNumberFormat="1"/>
    <xf numFmtId="0" fontId="127" fillId="0" borderId="0" xfId="0" applyFont="1" applyAlignment="1">
      <alignment vertical="center"/>
    </xf>
    <xf numFmtId="0" fontId="126" fillId="0" borderId="0" xfId="5568" applyFont="1" applyAlignment="1">
      <alignment vertical="center"/>
    </xf>
    <xf numFmtId="180" fontId="12" fillId="0" borderId="6" xfId="0" applyNumberFormat="1" applyFont="1" applyBorder="1" applyAlignment="1">
      <alignment horizontal="right" vertical="center" wrapText="1"/>
    </xf>
    <xf numFmtId="178" fontId="13" fillId="2" borderId="31" xfId="0" applyNumberFormat="1" applyFont="1" applyFill="1" applyBorder="1" applyAlignment="1">
      <alignment horizontal="right" vertical="center"/>
    </xf>
    <xf numFmtId="178" fontId="13" fillId="2" borderId="0" xfId="0" applyNumberFormat="1" applyFont="1" applyFill="1" applyAlignment="1">
      <alignment horizontal="right" vertical="center"/>
    </xf>
    <xf numFmtId="178" fontId="12" fillId="2" borderId="0" xfId="0" applyNumberFormat="1" applyFont="1" applyFill="1" applyAlignment="1">
      <alignment horizontal="right" vertical="center"/>
    </xf>
    <xf numFmtId="209" fontId="15" fillId="2" borderId="0" xfId="5830" applyNumberFormat="1" applyFont="1" applyFill="1" applyAlignment="1">
      <alignment horizontal="right" vertical="center" wrapText="1"/>
    </xf>
    <xf numFmtId="209" fontId="18" fillId="2" borderId="0" xfId="5830" applyNumberFormat="1" applyFont="1" applyFill="1" applyAlignment="1">
      <alignment horizontal="right" vertical="center" wrapText="1"/>
    </xf>
    <xf numFmtId="0" fontId="24" fillId="2" borderId="0" xfId="5568" applyFont="1" applyFill="1" applyAlignment="1">
      <alignment vertical="center"/>
    </xf>
    <xf numFmtId="0" fontId="23" fillId="2" borderId="0" xfId="5568" applyFont="1" applyFill="1" applyAlignment="1">
      <alignment vertical="center"/>
    </xf>
    <xf numFmtId="0" fontId="13" fillId="2" borderId="23" xfId="5568" applyFont="1" applyFill="1" applyBorder="1" applyAlignment="1">
      <alignment horizontal="right" vertical="center" wrapText="1"/>
    </xf>
    <xf numFmtId="179" fontId="13" fillId="2" borderId="0" xfId="5568" applyNumberFormat="1" applyFont="1" applyFill="1" applyAlignment="1">
      <alignment horizontal="right" vertical="center"/>
    </xf>
    <xf numFmtId="0" fontId="12" fillId="2" borderId="0" xfId="5568" applyFont="1" applyFill="1" applyAlignment="1">
      <alignment vertical="center"/>
    </xf>
    <xf numFmtId="179" fontId="12" fillId="2" borderId="0" xfId="5568" applyNumberFormat="1" applyFont="1" applyFill="1" applyAlignment="1">
      <alignment horizontal="right" vertical="center"/>
    </xf>
    <xf numFmtId="0" fontId="12" fillId="2" borderId="0" xfId="5568" applyFont="1" applyFill="1" applyAlignment="1">
      <alignment horizontal="right" vertical="center"/>
    </xf>
    <xf numFmtId="0" fontId="23" fillId="2" borderId="15" xfId="5568" applyFont="1" applyFill="1" applyBorder="1" applyAlignment="1">
      <alignment vertical="center"/>
    </xf>
    <xf numFmtId="0" fontId="8" fillId="2" borderId="0" xfId="0" applyFont="1" applyFill="1" applyAlignment="1">
      <alignment vertical="top"/>
    </xf>
    <xf numFmtId="211" fontId="12" fillId="2" borderId="0" xfId="0" applyNumberFormat="1" applyFont="1" applyFill="1" applyAlignment="1">
      <alignment horizontal="left" vertical="top"/>
    </xf>
    <xf numFmtId="0" fontId="13" fillId="2" borderId="4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/>
    </xf>
    <xf numFmtId="0" fontId="8" fillId="2" borderId="0" xfId="0" applyFont="1" applyFill="1"/>
    <xf numFmtId="180" fontId="13" fillId="2" borderId="0" xfId="0" applyNumberFormat="1" applyFont="1" applyFill="1" applyAlignment="1">
      <alignment horizontal="right" vertical="center" wrapText="1"/>
    </xf>
    <xf numFmtId="2" fontId="13" fillId="2" borderId="0" xfId="0" applyNumberFormat="1" applyFont="1" applyFill="1" applyAlignment="1">
      <alignment horizontal="right" vertical="center" wrapText="1"/>
    </xf>
    <xf numFmtId="0" fontId="12" fillId="2" borderId="1" xfId="0" applyFont="1" applyFill="1" applyBorder="1" applyAlignment="1">
      <alignment horizontal="left" vertical="center" wrapText="1"/>
    </xf>
    <xf numFmtId="180" fontId="12" fillId="2" borderId="0" xfId="0" applyNumberFormat="1" applyFont="1" applyFill="1" applyAlignment="1">
      <alignment horizontal="right" vertical="center" wrapText="1"/>
    </xf>
    <xf numFmtId="2" fontId="12" fillId="2" borderId="0" xfId="0" applyNumberFormat="1" applyFont="1" applyFill="1" applyAlignment="1">
      <alignment horizontal="right" vertical="center" wrapText="1"/>
    </xf>
    <xf numFmtId="181" fontId="12" fillId="2" borderId="0" xfId="0" applyNumberFormat="1" applyFont="1" applyFill="1" applyAlignment="1">
      <alignment horizontal="right" vertical="center" wrapText="1"/>
    </xf>
    <xf numFmtId="178" fontId="12" fillId="2" borderId="0" xfId="0" applyNumberFormat="1" applyFont="1" applyFill="1" applyAlignment="1">
      <alignment horizontal="right" vertical="center" wrapText="1"/>
    </xf>
    <xf numFmtId="0" fontId="12" fillId="2" borderId="0" xfId="0" applyFont="1" applyFill="1" applyAlignment="1">
      <alignment horizontal="right" vertical="center" wrapText="1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horizontal="left" vertical="center"/>
    </xf>
    <xf numFmtId="39" fontId="23" fillId="2" borderId="0" xfId="10" applyFont="1" applyFill="1" applyAlignment="1">
      <alignment vertical="center"/>
    </xf>
    <xf numFmtId="0" fontId="12" fillId="2" borderId="0" xfId="0" applyFont="1" applyFill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top" wrapText="1"/>
    </xf>
    <xf numFmtId="0" fontId="0" fillId="0" borderId="0" xfId="0" applyAlignment="1">
      <alignment vertical="center"/>
    </xf>
    <xf numFmtId="0" fontId="33" fillId="2" borderId="0" xfId="5824" applyFont="1" applyFill="1" applyAlignment="1">
      <alignment horizontal="right" vertical="center"/>
    </xf>
    <xf numFmtId="0" fontId="33" fillId="2" borderId="0" xfId="5825" applyFont="1" applyFill="1" applyAlignment="1">
      <alignment horizontal="right" vertical="center"/>
    </xf>
    <xf numFmtId="0" fontId="33" fillId="2" borderId="0" xfId="5829" applyFont="1" applyFill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5568" applyFill="1"/>
    <xf numFmtId="0" fontId="13" fillId="2" borderId="23" xfId="5568" applyFont="1" applyFill="1" applyBorder="1" applyAlignment="1">
      <alignment horizontal="right" vertical="center"/>
    </xf>
    <xf numFmtId="0" fontId="9" fillId="2" borderId="0" xfId="5568" applyFont="1" applyFill="1" applyAlignment="1">
      <alignment horizontal="right"/>
    </xf>
    <xf numFmtId="210" fontId="13" fillId="2" borderId="0" xfId="5568" applyNumberFormat="1" applyFont="1" applyFill="1" applyAlignment="1">
      <alignment horizontal="right" vertical="center" wrapText="1"/>
    </xf>
    <xf numFmtId="178" fontId="12" fillId="2" borderId="0" xfId="0" applyNumberFormat="1" applyFont="1" applyFill="1" applyAlignment="1">
      <alignment horizontal="right"/>
    </xf>
    <xf numFmtId="0" fontId="8" fillId="2" borderId="15" xfId="5568" applyFill="1" applyBorder="1"/>
    <xf numFmtId="0" fontId="116" fillId="2" borderId="0" xfId="5819" applyFont="1" applyFill="1" applyAlignment="1">
      <alignment vertical="center"/>
    </xf>
    <xf numFmtId="0" fontId="12" fillId="2" borderId="15" xfId="5819" applyFont="1" applyFill="1" applyBorder="1" applyAlignment="1">
      <alignment vertical="center"/>
    </xf>
    <xf numFmtId="0" fontId="12" fillId="2" borderId="0" xfId="5819" applyFont="1" applyFill="1" applyAlignment="1">
      <alignment horizontal="right" vertical="center"/>
    </xf>
    <xf numFmtId="210" fontId="13" fillId="2" borderId="0" xfId="0" applyNumberFormat="1" applyFont="1" applyFill="1" applyAlignment="1">
      <alignment horizontal="right" vertical="center" wrapText="1"/>
    </xf>
    <xf numFmtId="0" fontId="116" fillId="2" borderId="0" xfId="5819" applyFont="1" applyFill="1" applyAlignment="1">
      <alignment horizontal="right" vertical="center"/>
    </xf>
    <xf numFmtId="0" fontId="12" fillId="2" borderId="0" xfId="5568" applyFont="1" applyFill="1"/>
    <xf numFmtId="0" fontId="12" fillId="2" borderId="0" xfId="5819" applyFont="1" applyFill="1" applyAlignment="1">
      <alignment vertical="center"/>
    </xf>
    <xf numFmtId="0" fontId="12" fillId="0" borderId="0" xfId="5819" applyFont="1" applyAlignment="1">
      <alignment vertical="center"/>
    </xf>
    <xf numFmtId="0" fontId="11" fillId="2" borderId="0" xfId="5568" applyFont="1" applyFill="1" applyAlignment="1">
      <alignment horizontal="left" vertical="center"/>
    </xf>
    <xf numFmtId="0" fontId="12" fillId="2" borderId="27" xfId="5568" applyFont="1" applyFill="1" applyBorder="1" applyAlignment="1">
      <alignment vertical="center"/>
    </xf>
    <xf numFmtId="183" fontId="12" fillId="2" borderId="0" xfId="5568" applyNumberFormat="1" applyFont="1" applyFill="1" applyAlignment="1">
      <alignment horizontal="right" vertical="center"/>
    </xf>
    <xf numFmtId="0" fontId="12" fillId="2" borderId="29" xfId="5568" applyFont="1" applyFill="1" applyBorder="1" applyAlignment="1">
      <alignment vertical="center"/>
    </xf>
    <xf numFmtId="0" fontId="22" fillId="2" borderId="0" xfId="5568" applyFont="1" applyFill="1" applyAlignment="1">
      <alignment vertical="center"/>
    </xf>
    <xf numFmtId="0" fontId="124" fillId="2" borderId="0" xfId="5568" applyFont="1" applyFill="1" applyAlignment="1">
      <alignment horizontal="left" vertical="center"/>
    </xf>
    <xf numFmtId="0" fontId="125" fillId="2" borderId="0" xfId="5568" applyFont="1" applyFill="1" applyAlignment="1">
      <alignment vertical="center"/>
    </xf>
    <xf numFmtId="0" fontId="13" fillId="2" borderId="0" xfId="5568" applyFont="1" applyFill="1" applyAlignment="1">
      <alignment horizontal="center" vertical="center" wrapText="1"/>
    </xf>
    <xf numFmtId="0" fontId="8" fillId="2" borderId="0" xfId="5568" applyFill="1" applyAlignment="1">
      <alignment horizontal="center" vertical="center" wrapText="1"/>
    </xf>
    <xf numFmtId="0" fontId="31" fillId="2" borderId="0" xfId="5568" applyFont="1" applyFill="1" applyAlignment="1">
      <alignment vertical="center"/>
    </xf>
    <xf numFmtId="0" fontId="32" fillId="2" borderId="0" xfId="5568" applyFont="1" applyFill="1" applyAlignment="1">
      <alignment vertical="center"/>
    </xf>
    <xf numFmtId="0" fontId="13" fillId="2" borderId="0" xfId="5568" applyFont="1" applyFill="1" applyAlignment="1">
      <alignment vertical="center"/>
    </xf>
    <xf numFmtId="0" fontId="11" fillId="2" borderId="0" xfId="5568" applyFont="1" applyFill="1" applyAlignment="1">
      <alignment vertical="center"/>
    </xf>
    <xf numFmtId="206" fontId="12" fillId="2" borderId="0" xfId="5568" applyNumberFormat="1" applyFont="1" applyFill="1" applyAlignment="1">
      <alignment horizontal="right" vertical="center"/>
    </xf>
    <xf numFmtId="206" fontId="12" fillId="2" borderId="0" xfId="5717" applyNumberFormat="1" applyFont="1" applyFill="1" applyAlignment="1">
      <alignment horizontal="right" vertical="center"/>
    </xf>
    <xf numFmtId="0" fontId="9" fillId="2" borderId="15" xfId="5568" applyFont="1" applyFill="1" applyBorder="1"/>
    <xf numFmtId="206" fontId="23" fillId="2" borderId="0" xfId="5568" applyNumberFormat="1" applyFont="1" applyFill="1" applyAlignment="1">
      <alignment horizontal="center" vertical="center"/>
    </xf>
    <xf numFmtId="206" fontId="23" fillId="2" borderId="0" xfId="5568" applyNumberFormat="1" applyFont="1" applyFill="1" applyAlignment="1">
      <alignment horizontal="right" vertical="center"/>
    </xf>
    <xf numFmtId="183" fontId="12" fillId="2" borderId="0" xfId="5568" applyNumberFormat="1" applyFont="1" applyFill="1" applyAlignment="1">
      <alignment horizontal="center" vertical="center"/>
    </xf>
    <xf numFmtId="179" fontId="18" fillId="2" borderId="0" xfId="5827" applyNumberFormat="1" applyFont="1" applyFill="1" applyAlignment="1">
      <alignment horizontal="center" vertical="center" wrapText="1"/>
    </xf>
    <xf numFmtId="207" fontId="120" fillId="2" borderId="29" xfId="5568" applyNumberFormat="1" applyFont="1" applyFill="1" applyBorder="1" applyAlignment="1">
      <alignment horizontal="left" vertical="center" wrapText="1"/>
    </xf>
    <xf numFmtId="179" fontId="120" fillId="2" borderId="15" xfId="5827" applyNumberFormat="1" applyFont="1" applyFill="1" applyBorder="1" applyAlignment="1">
      <alignment horizontal="right" vertical="center" wrapText="1"/>
    </xf>
    <xf numFmtId="0" fontId="34" fillId="2" borderId="0" xfId="5568" applyFont="1" applyFill="1"/>
    <xf numFmtId="0" fontId="22" fillId="0" borderId="0" xfId="0" applyFont="1"/>
    <xf numFmtId="0" fontId="13" fillId="0" borderId="0" xfId="5568" applyFont="1" applyAlignment="1">
      <alignment vertical="center"/>
    </xf>
    <xf numFmtId="0" fontId="18" fillId="0" borderId="0" xfId="5568" applyFont="1" applyAlignment="1">
      <alignment vertical="center"/>
    </xf>
    <xf numFmtId="207" fontId="15" fillId="0" borderId="0" xfId="5568" applyNumberFormat="1" applyFont="1" applyAlignment="1">
      <alignment horizontal="left" vertical="center"/>
    </xf>
    <xf numFmtId="0" fontId="13" fillId="2" borderId="73" xfId="5568" applyFont="1" applyFill="1" applyBorder="1" applyAlignment="1">
      <alignment horizontal="right" vertical="center" wrapText="1"/>
    </xf>
    <xf numFmtId="206" fontId="12" fillId="2" borderId="74" xfId="5568" applyNumberFormat="1" applyFont="1" applyFill="1" applyBorder="1" applyAlignment="1">
      <alignment horizontal="right" vertical="center"/>
    </xf>
    <xf numFmtId="0" fontId="9" fillId="2" borderId="71" xfId="5568" applyFont="1" applyFill="1" applyBorder="1"/>
    <xf numFmtId="0" fontId="8" fillId="0" borderId="27" xfId="5568" applyBorder="1"/>
    <xf numFmtId="0" fontId="119" fillId="0" borderId="15" xfId="5568" applyFont="1" applyBorder="1" applyAlignment="1">
      <alignment horizontal="center" vertical="center"/>
    </xf>
    <xf numFmtId="0" fontId="22" fillId="2" borderId="23" xfId="5568" applyFont="1" applyFill="1" applyBorder="1" applyAlignment="1">
      <alignment horizontal="center" vertical="center"/>
    </xf>
    <xf numFmtId="0" fontId="18" fillId="2" borderId="0" xfId="5568" applyFont="1" applyFill="1" applyAlignment="1">
      <alignment vertical="center"/>
    </xf>
    <xf numFmtId="0" fontId="22" fillId="0" borderId="22" xfId="0" applyFont="1" applyBorder="1"/>
    <xf numFmtId="206" fontId="23" fillId="2" borderId="74" xfId="5568" applyNumberFormat="1" applyFont="1" applyFill="1" applyBorder="1" applyAlignment="1">
      <alignment horizontal="right" vertical="center"/>
    </xf>
    <xf numFmtId="0" fontId="8" fillId="2" borderId="71" xfId="5568" applyFill="1" applyBorder="1"/>
    <xf numFmtId="0" fontId="8" fillId="2" borderId="27" xfId="5568" applyFill="1" applyBorder="1"/>
    <xf numFmtId="180" fontId="12" fillId="2" borderId="58" xfId="0" applyNumberFormat="1" applyFont="1" applyFill="1" applyBorder="1" applyAlignment="1">
      <alignment horizontal="right" vertical="center" wrapText="1"/>
    </xf>
    <xf numFmtId="0" fontId="11" fillId="2" borderId="22" xfId="0" applyFont="1" applyFill="1" applyBorder="1" applyAlignment="1">
      <alignment horizontal="left" vertical="top"/>
    </xf>
    <xf numFmtId="0" fontId="8" fillId="2" borderId="22" xfId="0" applyFont="1" applyFill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13" fillId="2" borderId="72" xfId="0" applyFont="1" applyFill="1" applyBorder="1" applyAlignment="1">
      <alignment horizontal="right" vertical="center"/>
    </xf>
    <xf numFmtId="0" fontId="8" fillId="2" borderId="31" xfId="0" applyFont="1" applyFill="1" applyBorder="1"/>
    <xf numFmtId="180" fontId="13" fillId="2" borderId="31" xfId="0" applyNumberFormat="1" applyFont="1" applyFill="1" applyBorder="1" applyAlignment="1">
      <alignment horizontal="right" vertical="center" wrapText="1"/>
    </xf>
    <xf numFmtId="10" fontId="13" fillId="2" borderId="0" xfId="1656" applyNumberFormat="1" applyFont="1" applyFill="1" applyBorder="1" applyAlignment="1">
      <alignment horizontal="right" vertical="center" wrapText="1"/>
    </xf>
    <xf numFmtId="180" fontId="12" fillId="2" borderId="31" xfId="0" applyNumberFormat="1" applyFont="1" applyFill="1" applyBorder="1" applyAlignment="1">
      <alignment horizontal="right" vertical="center" wrapText="1"/>
    </xf>
    <xf numFmtId="10" fontId="12" fillId="2" borderId="0" xfId="1656" applyNumberFormat="1" applyFont="1" applyFill="1" applyBorder="1" applyAlignment="1" applyProtection="1">
      <alignment horizontal="right" vertical="center" wrapText="1"/>
    </xf>
    <xf numFmtId="0" fontId="12" fillId="2" borderId="67" xfId="0" applyFont="1" applyFill="1" applyBorder="1" applyAlignment="1">
      <alignment horizontal="left" vertical="center"/>
    </xf>
    <xf numFmtId="2" fontId="12" fillId="2" borderId="58" xfId="0" applyNumberFormat="1" applyFont="1" applyFill="1" applyBorder="1" applyAlignment="1">
      <alignment horizontal="right" vertical="center" wrapText="1"/>
    </xf>
    <xf numFmtId="180" fontId="12" fillId="2" borderId="77" xfId="0" applyNumberFormat="1" applyFont="1" applyFill="1" applyBorder="1" applyAlignment="1">
      <alignment horizontal="right" vertical="center" wrapText="1"/>
    </xf>
    <xf numFmtId="10" fontId="12" fillId="2" borderId="0" xfId="1656" applyNumberFormat="1" applyFont="1" applyFill="1" applyAlignment="1" applyProtection="1">
      <alignment horizontal="right" vertical="center" wrapText="1"/>
    </xf>
    <xf numFmtId="0" fontId="22" fillId="2" borderId="0" xfId="0" applyFont="1" applyFill="1" applyAlignment="1">
      <alignment horizontal="left" vertical="justify"/>
    </xf>
    <xf numFmtId="183" fontId="13" fillId="2" borderId="0" xfId="0" applyNumberFormat="1" applyFont="1" applyFill="1" applyAlignment="1">
      <alignment horizontal="right"/>
    </xf>
    <xf numFmtId="0" fontId="26" fillId="0" borderId="0" xfId="4" applyFont="1" applyAlignment="1">
      <alignment vertical="center"/>
    </xf>
    <xf numFmtId="183" fontId="12" fillId="2" borderId="0" xfId="0" applyNumberFormat="1" applyFont="1" applyFill="1" applyAlignment="1">
      <alignment horizontal="right"/>
    </xf>
    <xf numFmtId="0" fontId="18" fillId="2" borderId="0" xfId="0" applyFont="1" applyFill="1" applyAlignment="1">
      <alignment vertical="center"/>
    </xf>
    <xf numFmtId="0" fontId="18" fillId="2" borderId="0" xfId="0" applyFont="1" applyFill="1" applyAlignment="1">
      <alignment horizontal="left" vertical="center"/>
    </xf>
    <xf numFmtId="0" fontId="11" fillId="0" borderId="0" xfId="3572" applyFont="1" applyAlignment="1">
      <alignment horizontal="left" vertical="center"/>
    </xf>
    <xf numFmtId="0" fontId="13" fillId="0" borderId="26" xfId="5568" applyFont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right" vertical="center" wrapText="1"/>
    </xf>
    <xf numFmtId="0" fontId="12" fillId="2" borderId="0" xfId="0" applyFont="1" applyFill="1" applyAlignment="1">
      <alignment vertical="center" wrapText="1"/>
    </xf>
    <xf numFmtId="0" fontId="12" fillId="2" borderId="34" xfId="0" applyFont="1" applyFill="1" applyBorder="1" applyAlignment="1">
      <alignment vertical="center"/>
    </xf>
    <xf numFmtId="0" fontId="11" fillId="51" borderId="0" xfId="5568" applyFont="1" applyFill="1" applyAlignment="1">
      <alignment horizontal="left" vertical="center"/>
    </xf>
    <xf numFmtId="0" fontId="24" fillId="51" borderId="0" xfId="5568" applyFont="1" applyFill="1" applyAlignment="1">
      <alignment vertical="center"/>
    </xf>
    <xf numFmtId="0" fontId="8" fillId="51" borderId="0" xfId="5568" applyFill="1"/>
    <xf numFmtId="0" fontId="12" fillId="51" borderId="0" xfId="5568" applyFont="1" applyFill="1" applyAlignment="1">
      <alignment vertical="center"/>
    </xf>
    <xf numFmtId="0" fontId="23" fillId="51" borderId="0" xfId="5568" applyFont="1" applyFill="1" applyAlignment="1">
      <alignment horizontal="left" vertical="center"/>
    </xf>
    <xf numFmtId="0" fontId="23" fillId="51" borderId="0" xfId="5568" applyFont="1" applyFill="1" applyAlignment="1">
      <alignment vertical="center"/>
    </xf>
    <xf numFmtId="0" fontId="13" fillId="51" borderId="26" xfId="5568" applyFont="1" applyFill="1" applyBorder="1" applyAlignment="1">
      <alignment horizontal="center" vertical="center" wrapText="1"/>
    </xf>
    <xf numFmtId="0" fontId="13" fillId="51" borderId="34" xfId="5568" applyFont="1" applyFill="1" applyBorder="1" applyAlignment="1">
      <alignment horizontal="right" vertical="center"/>
    </xf>
    <xf numFmtId="0" fontId="13" fillId="51" borderId="23" xfId="5568" applyFont="1" applyFill="1" applyBorder="1" applyAlignment="1">
      <alignment horizontal="right" vertical="center"/>
    </xf>
    <xf numFmtId="0" fontId="13" fillId="51" borderId="27" xfId="5568" applyFont="1" applyFill="1" applyBorder="1" applyAlignment="1">
      <alignment horizontal="center" vertical="center" wrapText="1"/>
    </xf>
    <xf numFmtId="0" fontId="9" fillId="51" borderId="34" xfId="5568" applyFont="1" applyFill="1" applyBorder="1" applyAlignment="1">
      <alignment horizontal="right"/>
    </xf>
    <xf numFmtId="0" fontId="9" fillId="51" borderId="0" xfId="5568" applyFont="1" applyFill="1" applyAlignment="1">
      <alignment horizontal="right"/>
    </xf>
    <xf numFmtId="0" fontId="13" fillId="51" borderId="27" xfId="5568" applyFont="1" applyFill="1" applyBorder="1" applyAlignment="1">
      <alignment horizontal="left" vertical="center"/>
    </xf>
    <xf numFmtId="0" fontId="13" fillId="51" borderId="0" xfId="5568" applyFont="1" applyFill="1" applyAlignment="1">
      <alignment horizontal="right" vertical="center"/>
    </xf>
    <xf numFmtId="178" fontId="13" fillId="51" borderId="0" xfId="0" applyNumberFormat="1" applyFont="1" applyFill="1" applyAlignment="1">
      <alignment horizontal="right" vertical="center"/>
    </xf>
    <xf numFmtId="210" fontId="13" fillId="51" borderId="0" xfId="5568" applyNumberFormat="1" applyFont="1" applyFill="1" applyAlignment="1">
      <alignment horizontal="right" vertical="center" wrapText="1"/>
    </xf>
    <xf numFmtId="0" fontId="12" fillId="51" borderId="27" xfId="5568" applyFont="1" applyFill="1" applyBorder="1" applyAlignment="1">
      <alignment vertical="center"/>
    </xf>
    <xf numFmtId="178" fontId="12" fillId="51" borderId="0" xfId="5568" applyNumberFormat="1" applyFont="1" applyFill="1" applyAlignment="1">
      <alignment horizontal="right"/>
    </xf>
    <xf numFmtId="178" fontId="12" fillId="51" borderId="0" xfId="0" applyNumberFormat="1" applyFont="1" applyFill="1" applyAlignment="1">
      <alignment horizontal="right"/>
    </xf>
    <xf numFmtId="210" fontId="12" fillId="51" borderId="0" xfId="5568" applyNumberFormat="1" applyFont="1" applyFill="1" applyAlignment="1">
      <alignment horizontal="right" vertical="center" wrapText="1"/>
    </xf>
    <xf numFmtId="178" fontId="12" fillId="51" borderId="0" xfId="0" applyNumberFormat="1" applyFont="1" applyFill="1" applyAlignment="1">
      <alignment horizontal="right" vertical="center"/>
    </xf>
    <xf numFmtId="0" fontId="13" fillId="51" borderId="27" xfId="5568" applyFont="1" applyFill="1" applyBorder="1" applyAlignment="1">
      <alignment vertical="center"/>
    </xf>
    <xf numFmtId="178" fontId="13" fillId="51" borderId="0" xfId="5568" applyNumberFormat="1" applyFont="1" applyFill="1" applyAlignment="1">
      <alignment horizontal="right"/>
    </xf>
    <xf numFmtId="0" fontId="12" fillId="51" borderId="29" xfId="5568" applyFont="1" applyFill="1" applyBorder="1" applyAlignment="1">
      <alignment vertical="center"/>
    </xf>
    <xf numFmtId="178" fontId="12" fillId="51" borderId="15" xfId="5568" applyNumberFormat="1" applyFont="1" applyFill="1" applyBorder="1" applyAlignment="1">
      <alignment horizontal="center"/>
    </xf>
    <xf numFmtId="0" fontId="8" fillId="51" borderId="15" xfId="5568" applyFill="1" applyBorder="1"/>
    <xf numFmtId="0" fontId="22" fillId="51" borderId="0" xfId="5568" applyFont="1" applyFill="1" applyAlignment="1">
      <alignment horizontal="left" vertical="center"/>
    </xf>
    <xf numFmtId="0" fontId="23" fillId="51" borderId="0" xfId="5568" applyFont="1" applyFill="1" applyAlignment="1">
      <alignment horizontal="right" vertical="center"/>
    </xf>
    <xf numFmtId="207" fontId="15" fillId="2" borderId="0" xfId="5568" applyNumberFormat="1" applyFont="1" applyFill="1" applyAlignment="1">
      <alignment horizontal="left" vertical="center"/>
    </xf>
    <xf numFmtId="208" fontId="8" fillId="2" borderId="0" xfId="0" applyNumberFormat="1" applyFont="1" applyFill="1"/>
    <xf numFmtId="0" fontId="0" fillId="2" borderId="0" xfId="0" applyFill="1" applyAlignment="1">
      <alignment vertical="center"/>
    </xf>
    <xf numFmtId="208" fontId="0" fillId="0" borderId="0" xfId="0" applyNumberFormat="1" applyAlignment="1">
      <alignment vertical="center"/>
    </xf>
    <xf numFmtId="2" fontId="128" fillId="2" borderId="0" xfId="5819" applyNumberFormat="1" applyFont="1" applyFill="1" applyAlignment="1">
      <alignment vertical="center"/>
    </xf>
    <xf numFmtId="0" fontId="14" fillId="0" borderId="0" xfId="2" applyFont="1" applyAlignment="1">
      <alignment vertical="center"/>
    </xf>
    <xf numFmtId="0" fontId="14" fillId="0" borderId="58" xfId="2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1" fontId="13" fillId="2" borderId="26" xfId="0" applyNumberFormat="1" applyFont="1" applyFill="1" applyBorder="1" applyAlignment="1">
      <alignment horizontal="center" vertical="center"/>
    </xf>
    <xf numFmtId="0" fontId="22" fillId="0" borderId="0" xfId="5568" applyFont="1" applyAlignment="1">
      <alignment horizontal="left" vertical="top"/>
    </xf>
    <xf numFmtId="0" fontId="22" fillId="0" borderId="22" xfId="0" applyFont="1" applyBorder="1" applyAlignment="1">
      <alignment vertical="top"/>
    </xf>
    <xf numFmtId="0" fontId="22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2" fillId="2" borderId="0" xfId="0" applyFont="1" applyFill="1" applyAlignment="1">
      <alignment horizontal="left" vertical="top" indent="1"/>
    </xf>
    <xf numFmtId="0" fontId="129" fillId="0" borderId="0" xfId="6" applyFont="1"/>
    <xf numFmtId="0" fontId="130" fillId="0" borderId="0" xfId="0" applyFont="1"/>
    <xf numFmtId="0" fontId="129" fillId="0" borderId="0" xfId="6" applyFont="1" applyFill="1"/>
    <xf numFmtId="0" fontId="131" fillId="4" borderId="0" xfId="6" applyFont="1" applyFill="1"/>
    <xf numFmtId="209" fontId="18" fillId="2" borderId="0" xfId="5830" applyNumberFormat="1" applyFont="1" applyFill="1" applyAlignment="1">
      <alignment horizontal="center" vertical="center" wrapText="1"/>
    </xf>
    <xf numFmtId="0" fontId="18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9" fontId="12" fillId="2" borderId="0" xfId="1656" applyFont="1" applyFill="1" applyBorder="1" applyAlignment="1" applyProtection="1">
      <alignment horizontal="right" vertical="center" wrapText="1"/>
    </xf>
    <xf numFmtId="9" fontId="12" fillId="2" borderId="0" xfId="1656" applyFont="1" applyFill="1" applyAlignment="1" applyProtection="1">
      <alignment horizontal="right" vertical="center" wrapText="1"/>
    </xf>
    <xf numFmtId="180" fontId="12" fillId="0" borderId="58" xfId="1" applyNumberFormat="1" applyFont="1" applyBorder="1" applyAlignment="1">
      <alignment horizontal="right" vertical="center" wrapText="1"/>
    </xf>
    <xf numFmtId="172" fontId="12" fillId="0" borderId="67" xfId="1" applyNumberFormat="1" applyFont="1" applyBorder="1" applyAlignment="1">
      <alignment horizontal="left" vertical="center"/>
    </xf>
    <xf numFmtId="180" fontId="12" fillId="0" borderId="78" xfId="1" applyNumberFormat="1" applyFont="1" applyBorder="1" applyAlignment="1">
      <alignment horizontal="right" vertical="center" wrapText="1"/>
    </xf>
    <xf numFmtId="180" fontId="12" fillId="0" borderId="58" xfId="1" applyNumberFormat="1" applyFont="1" applyBorder="1"/>
    <xf numFmtId="0" fontId="17" fillId="0" borderId="0" xfId="5568" applyFont="1" applyAlignment="1">
      <alignment horizontal="left" vertical="center"/>
    </xf>
    <xf numFmtId="0" fontId="8" fillId="0" borderId="0" xfId="5568" applyAlignment="1">
      <alignment vertical="center"/>
    </xf>
    <xf numFmtId="183" fontId="12" fillId="0" borderId="0" xfId="5568" applyNumberFormat="1" applyFont="1" applyAlignment="1">
      <alignment horizontal="right" vertical="center"/>
    </xf>
    <xf numFmtId="0" fontId="12" fillId="0" borderId="0" xfId="5568" applyFont="1" applyAlignment="1">
      <alignment horizontal="right" vertical="center"/>
    </xf>
    <xf numFmtId="183" fontId="38" fillId="0" borderId="0" xfId="0" applyNumberFormat="1" applyFont="1" applyAlignment="1">
      <alignment horizontal="right" vertical="center"/>
    </xf>
    <xf numFmtId="183" fontId="33" fillId="0" borderId="0" xfId="0" applyNumberFormat="1" applyFont="1" applyAlignment="1">
      <alignment horizontal="right" vertical="center"/>
    </xf>
    <xf numFmtId="183" fontId="12" fillId="48" borderId="0" xfId="0" applyNumberFormat="1" applyFont="1" applyFill="1" applyAlignment="1">
      <alignment horizontal="right" vertical="center"/>
    </xf>
    <xf numFmtId="179" fontId="12" fillId="0" borderId="0" xfId="5827" applyNumberFormat="1" applyFont="1" applyAlignment="1">
      <alignment horizontal="right" vertical="center" wrapText="1"/>
    </xf>
    <xf numFmtId="183" fontId="13" fillId="0" borderId="0" xfId="0" applyNumberFormat="1" applyFont="1" applyAlignment="1">
      <alignment horizontal="right" vertical="center"/>
    </xf>
    <xf numFmtId="179" fontId="15" fillId="0" borderId="0" xfId="5827" applyNumberFormat="1" applyFont="1" applyAlignment="1">
      <alignment horizontal="right" vertical="center" wrapText="1"/>
    </xf>
    <xf numFmtId="179" fontId="13" fillId="0" borderId="0" xfId="5827" applyNumberFormat="1" applyFont="1" applyAlignment="1">
      <alignment horizontal="right" vertical="center" wrapText="1"/>
    </xf>
    <xf numFmtId="209" fontId="15" fillId="0" borderId="0" xfId="5830" applyNumberFormat="1" applyFont="1" applyAlignment="1">
      <alignment horizontal="right" vertical="center" wrapText="1"/>
    </xf>
    <xf numFmtId="209" fontId="15" fillId="0" borderId="0" xfId="1" applyNumberFormat="1" applyFont="1" applyAlignment="1">
      <alignment horizontal="right" vertical="center" wrapText="1"/>
    </xf>
    <xf numFmtId="209" fontId="18" fillId="0" borderId="0" xfId="5830" applyNumberFormat="1" applyFont="1" applyAlignment="1">
      <alignment horizontal="right" vertical="center" wrapText="1"/>
    </xf>
    <xf numFmtId="209" fontId="18" fillId="0" borderId="0" xfId="1" applyNumberFormat="1" applyFont="1" applyAlignment="1">
      <alignment horizontal="right" vertical="center" wrapText="1"/>
    </xf>
    <xf numFmtId="0" fontId="44" fillId="0" borderId="0" xfId="6"/>
    <xf numFmtId="180" fontId="15" fillId="0" borderId="15" xfId="0" applyNumberFormat="1" applyFont="1" applyBorder="1" applyAlignment="1">
      <alignment horizontal="right" vertical="center" wrapText="1"/>
    </xf>
    <xf numFmtId="0" fontId="44" fillId="0" borderId="0" xfId="6" applyFill="1"/>
    <xf numFmtId="0" fontId="22" fillId="2" borderId="0" xfId="0" applyFont="1" applyFill="1" applyAlignment="1">
      <alignment vertical="justify"/>
    </xf>
    <xf numFmtId="0" fontId="13" fillId="2" borderId="28" xfId="5568" applyFont="1" applyFill="1" applyBorder="1" applyAlignment="1">
      <alignment horizontal="right" vertical="center" wrapText="1"/>
    </xf>
    <xf numFmtId="0" fontId="23" fillId="2" borderId="31" xfId="5568" applyFont="1" applyFill="1" applyBorder="1" applyAlignment="1">
      <alignment vertical="center"/>
    </xf>
    <xf numFmtId="179" fontId="13" fillId="2" borderId="31" xfId="5568" applyNumberFormat="1" applyFont="1" applyFill="1" applyBorder="1" applyAlignment="1">
      <alignment horizontal="right" vertical="center"/>
    </xf>
    <xf numFmtId="0" fontId="12" fillId="2" borderId="31" xfId="5568" applyFont="1" applyFill="1" applyBorder="1" applyAlignment="1">
      <alignment vertical="center"/>
    </xf>
    <xf numFmtId="179" fontId="12" fillId="2" borderId="31" xfId="5568" applyNumberFormat="1" applyFont="1" applyFill="1" applyBorder="1" applyAlignment="1">
      <alignment horizontal="right" vertical="center"/>
    </xf>
    <xf numFmtId="0" fontId="23" fillId="2" borderId="30" xfId="5568" applyFont="1" applyFill="1" applyBorder="1" applyAlignment="1">
      <alignment vertical="center"/>
    </xf>
    <xf numFmtId="0" fontId="22" fillId="0" borderId="0" xfId="5568" applyFont="1" applyAlignment="1">
      <alignment vertical="center"/>
    </xf>
    <xf numFmtId="0" fontId="0" fillId="0" borderId="0" xfId="0" applyAlignment="1">
      <alignment horizontal="right" vertical="center"/>
    </xf>
    <xf numFmtId="0" fontId="0" fillId="2" borderId="0" xfId="0" applyFill="1" applyAlignment="1">
      <alignment horizontal="center" vertical="center"/>
    </xf>
    <xf numFmtId="211" fontId="12" fillId="2" borderId="0" xfId="0" applyNumberFormat="1" applyFont="1" applyFill="1" applyAlignment="1">
      <alignment horizontal="left" vertical="center"/>
    </xf>
    <xf numFmtId="180" fontId="12" fillId="2" borderId="15" xfId="0" applyNumberFormat="1" applyFont="1" applyFill="1" applyBorder="1" applyAlignment="1">
      <alignment horizontal="righ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vertical="top" wrapText="1"/>
    </xf>
    <xf numFmtId="0" fontId="12" fillId="2" borderId="31" xfId="0" applyFont="1" applyFill="1" applyBorder="1" applyAlignment="1">
      <alignment horizontal="right" vertical="center"/>
    </xf>
    <xf numFmtId="0" fontId="13" fillId="0" borderId="58" xfId="1" applyFont="1" applyBorder="1" applyAlignment="1">
      <alignment horizontal="right" vertical="center"/>
    </xf>
    <xf numFmtId="0" fontId="13" fillId="0" borderId="58" xfId="1" applyFont="1" applyBorder="1" applyAlignment="1">
      <alignment horizontal="right" vertical="center" wrapText="1"/>
    </xf>
    <xf numFmtId="0" fontId="8" fillId="0" borderId="0" xfId="5568" applyAlignment="1">
      <alignment wrapText="1"/>
    </xf>
    <xf numFmtId="172" fontId="23" fillId="0" borderId="0" xfId="1" applyNumberFormat="1" applyFont="1" applyAlignment="1">
      <alignment vertical="center" wrapText="1"/>
    </xf>
    <xf numFmtId="0" fontId="12" fillId="0" borderId="0" xfId="1" applyFont="1" applyAlignment="1">
      <alignment vertical="center" wrapText="1"/>
    </xf>
    <xf numFmtId="0" fontId="13" fillId="0" borderId="0" xfId="1" applyFont="1" applyAlignment="1">
      <alignment vertical="center" wrapText="1"/>
    </xf>
    <xf numFmtId="180" fontId="13" fillId="0" borderId="0" xfId="1" applyNumberFormat="1" applyFont="1" applyAlignment="1">
      <alignment vertical="center" wrapText="1"/>
    </xf>
    <xf numFmtId="179" fontId="13" fillId="0" borderId="0" xfId="1" applyNumberFormat="1" applyFont="1" applyAlignment="1">
      <alignment vertical="center" wrapText="1"/>
    </xf>
    <xf numFmtId="180" fontId="12" fillId="0" borderId="0" xfId="1" applyNumberFormat="1" applyFont="1" applyAlignment="1">
      <alignment vertical="center" wrapText="1"/>
    </xf>
    <xf numFmtId="0" fontId="11" fillId="0" borderId="0" xfId="1" applyFont="1" applyAlignment="1">
      <alignment vertical="top" wrapText="1"/>
    </xf>
    <xf numFmtId="0" fontId="17" fillId="0" borderId="0" xfId="5568" applyFont="1" applyAlignment="1">
      <alignment horizontal="left" vertical="center" wrapText="1"/>
    </xf>
    <xf numFmtId="180" fontId="12" fillId="0" borderId="3" xfId="1" applyNumberFormat="1" applyFont="1" applyBorder="1" applyAlignment="1">
      <alignment wrapText="1"/>
    </xf>
    <xf numFmtId="180" fontId="12" fillId="0" borderId="58" xfId="1" applyNumberFormat="1" applyFont="1" applyBorder="1" applyAlignment="1">
      <alignment wrapText="1"/>
    </xf>
    <xf numFmtId="172" fontId="23" fillId="0" borderId="0" xfId="1" applyNumberFormat="1" applyFont="1" applyAlignment="1">
      <alignment wrapText="1"/>
    </xf>
    <xf numFmtId="0" fontId="12" fillId="0" borderId="0" xfId="1" quotePrefix="1" applyFont="1" applyAlignment="1">
      <alignment horizontal="right" vertical="center" wrapText="1"/>
    </xf>
    <xf numFmtId="0" fontId="11" fillId="0" borderId="0" xfId="1" applyFont="1" applyAlignment="1">
      <alignment vertical="center" wrapText="1"/>
    </xf>
    <xf numFmtId="0" fontId="12" fillId="0" borderId="0" xfId="1" quotePrefix="1" applyFont="1" applyAlignment="1">
      <alignment horizontal="right" wrapText="1"/>
    </xf>
    <xf numFmtId="0" fontId="8" fillId="0" borderId="0" xfId="5568" applyAlignment="1">
      <alignment vertical="center" wrapText="1"/>
    </xf>
    <xf numFmtId="0" fontId="24" fillId="51" borderId="0" xfId="5568" applyFont="1" applyFill="1" applyAlignment="1">
      <alignment vertical="center" wrapText="1"/>
    </xf>
    <xf numFmtId="0" fontId="12" fillId="51" borderId="0" xfId="5568" applyFont="1" applyFill="1" applyAlignment="1">
      <alignment vertical="center" wrapText="1"/>
    </xf>
    <xf numFmtId="0" fontId="23" fillId="51" borderId="0" xfId="5568" applyFont="1" applyFill="1" applyAlignment="1">
      <alignment vertical="center" wrapText="1"/>
    </xf>
    <xf numFmtId="0" fontId="13" fillId="51" borderId="23" xfId="5568" applyFont="1" applyFill="1" applyBorder="1" applyAlignment="1">
      <alignment horizontal="right" vertical="center" wrapText="1"/>
    </xf>
    <xf numFmtId="0" fontId="9" fillId="51" borderId="0" xfId="5568" applyFont="1" applyFill="1" applyAlignment="1">
      <alignment horizontal="right" wrapText="1"/>
    </xf>
    <xf numFmtId="0" fontId="13" fillId="51" borderId="0" xfId="5568" applyFont="1" applyFill="1" applyAlignment="1">
      <alignment horizontal="right" vertical="center" wrapText="1"/>
    </xf>
    <xf numFmtId="178" fontId="12" fillId="51" borderId="0" xfId="5568" applyNumberFormat="1" applyFont="1" applyFill="1" applyAlignment="1">
      <alignment horizontal="right" wrapText="1"/>
    </xf>
    <xf numFmtId="178" fontId="13" fillId="51" borderId="0" xfId="5568" applyNumberFormat="1" applyFont="1" applyFill="1" applyAlignment="1">
      <alignment horizontal="right" wrapText="1"/>
    </xf>
    <xf numFmtId="178" fontId="12" fillId="51" borderId="15" xfId="5568" applyNumberFormat="1" applyFont="1" applyFill="1" applyBorder="1" applyAlignment="1">
      <alignment horizontal="center" wrapText="1"/>
    </xf>
    <xf numFmtId="0" fontId="23" fillId="51" borderId="0" xfId="5568" applyFont="1" applyFill="1" applyAlignment="1">
      <alignment horizontal="right" vertical="center" wrapText="1"/>
    </xf>
    <xf numFmtId="0" fontId="24" fillId="0" borderId="0" xfId="5568" applyFont="1" applyAlignment="1">
      <alignment vertical="center" wrapText="1"/>
    </xf>
    <xf numFmtId="0" fontId="12" fillId="0" borderId="0" xfId="5568" applyFont="1" applyAlignment="1">
      <alignment vertical="center" wrapText="1"/>
    </xf>
    <xf numFmtId="0" fontId="23" fillId="0" borderId="0" xfId="5568" applyFont="1" applyAlignment="1">
      <alignment vertical="center" wrapText="1"/>
    </xf>
    <xf numFmtId="0" fontId="9" fillId="0" borderId="0" xfId="5568" applyFont="1" applyAlignment="1">
      <alignment horizontal="right" wrapText="1"/>
    </xf>
    <xf numFmtId="0" fontId="13" fillId="0" borderId="0" xfId="5568" applyFont="1" applyAlignment="1">
      <alignment horizontal="right" vertical="center" wrapText="1"/>
    </xf>
    <xf numFmtId="178" fontId="12" fillId="0" borderId="0" xfId="5568" applyNumberFormat="1" applyFont="1" applyAlignment="1">
      <alignment horizontal="right" wrapText="1"/>
    </xf>
    <xf numFmtId="178" fontId="13" fillId="0" borderId="0" xfId="5568" applyNumberFormat="1" applyFont="1" applyAlignment="1">
      <alignment horizontal="right" wrapText="1"/>
    </xf>
    <xf numFmtId="178" fontId="12" fillId="0" borderId="15" xfId="5568" applyNumberFormat="1" applyFont="1" applyBorder="1" applyAlignment="1">
      <alignment horizontal="center" wrapText="1"/>
    </xf>
    <xf numFmtId="0" fontId="23" fillId="0" borderId="0" xfId="5568" applyFont="1" applyAlignment="1">
      <alignment horizontal="right" vertical="center" wrapText="1"/>
    </xf>
    <xf numFmtId="0" fontId="8" fillId="51" borderId="0" xfId="5568" applyFill="1" applyAlignment="1">
      <alignment wrapText="1"/>
    </xf>
    <xf numFmtId="178" fontId="13" fillId="51" borderId="0" xfId="0" applyNumberFormat="1" applyFont="1" applyFill="1" applyAlignment="1">
      <alignment horizontal="right" vertical="center" wrapText="1"/>
    </xf>
    <xf numFmtId="178" fontId="12" fillId="51" borderId="0" xfId="0" applyNumberFormat="1" applyFont="1" applyFill="1" applyAlignment="1">
      <alignment horizontal="right" wrapText="1"/>
    </xf>
    <xf numFmtId="0" fontId="8" fillId="51" borderId="15" xfId="5568" applyFill="1" applyBorder="1" applyAlignment="1">
      <alignment wrapText="1"/>
    </xf>
    <xf numFmtId="0" fontId="8" fillId="2" borderId="0" xfId="5568" applyFill="1" applyAlignment="1">
      <alignment wrapText="1"/>
    </xf>
    <xf numFmtId="0" fontId="9" fillId="2" borderId="0" xfId="5568" applyFont="1" applyFill="1" applyAlignment="1">
      <alignment horizontal="right" wrapText="1"/>
    </xf>
    <xf numFmtId="178" fontId="13" fillId="2" borderId="0" xfId="0" applyNumberFormat="1" applyFont="1" applyFill="1" applyAlignment="1">
      <alignment horizontal="right" vertical="center" wrapText="1"/>
    </xf>
    <xf numFmtId="178" fontId="12" fillId="2" borderId="0" xfId="0" applyNumberFormat="1" applyFont="1" applyFill="1" applyAlignment="1">
      <alignment horizontal="right" wrapText="1"/>
    </xf>
    <xf numFmtId="0" fontId="8" fillId="2" borderId="15" xfId="5568" applyFill="1" applyBorder="1" applyAlignment="1">
      <alignment wrapText="1"/>
    </xf>
    <xf numFmtId="208" fontId="115" fillId="2" borderId="22" xfId="0" applyNumberFormat="1" applyFont="1" applyFill="1" applyBorder="1" applyAlignment="1">
      <alignment horizontal="right" vertical="center" wrapText="1"/>
    </xf>
    <xf numFmtId="0" fontId="18" fillId="0" borderId="0" xfId="5568" applyFont="1" applyAlignment="1">
      <alignment horizontal="left" vertical="center"/>
    </xf>
    <xf numFmtId="0" fontId="18" fillId="2" borderId="0" xfId="5568" applyFont="1" applyFill="1" applyAlignment="1">
      <alignment horizontal="left" vertical="center"/>
    </xf>
    <xf numFmtId="0" fontId="40" fillId="0" borderId="0" xfId="5568" applyFont="1"/>
    <xf numFmtId="0" fontId="40" fillId="0" borderId="0" xfId="5568" applyFont="1" applyAlignment="1">
      <alignment wrapText="1"/>
    </xf>
    <xf numFmtId="0" fontId="40" fillId="2" borderId="0" xfId="5568" applyFont="1" applyFill="1"/>
    <xf numFmtId="0" fontId="40" fillId="2" borderId="0" xfId="5568" applyFont="1" applyFill="1" applyAlignment="1">
      <alignment wrapText="1"/>
    </xf>
    <xf numFmtId="0" fontId="40" fillId="0" borderId="0" xfId="5568" applyFont="1" applyAlignment="1">
      <alignment horizontal="left"/>
    </xf>
    <xf numFmtId="0" fontId="11" fillId="0" borderId="0" xfId="0" applyFont="1" applyAlignment="1">
      <alignment horizontal="left" vertical="center"/>
    </xf>
    <xf numFmtId="0" fontId="1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left" vertical="top"/>
    </xf>
    <xf numFmtId="0" fontId="11" fillId="0" borderId="0" xfId="0" quotePrefix="1" applyFont="1" applyAlignment="1">
      <alignment horizontal="left" vertical="top"/>
    </xf>
    <xf numFmtId="39" fontId="22" fillId="0" borderId="0" xfId="10" applyFont="1" applyAlignment="1">
      <alignment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3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39" fontId="23" fillId="2" borderId="0" xfId="10" applyFont="1" applyFill="1" applyAlignment="1">
      <alignment horizontal="left" vertical="center" wrapText="1"/>
    </xf>
    <xf numFmtId="39" fontId="12" fillId="2" borderId="0" xfId="10" applyFont="1" applyFill="1" applyAlignment="1">
      <alignment horizontal="left" vertical="center" wrapText="1"/>
    </xf>
    <xf numFmtId="39" fontId="23" fillId="0" borderId="0" xfId="10" applyFont="1" applyAlignment="1">
      <alignment horizontal="left" vertical="center" wrapText="1"/>
    </xf>
    <xf numFmtId="39" fontId="12" fillId="0" borderId="0" xfId="1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0" xfId="5568" applyFont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right" vertical="center" wrapText="1"/>
    </xf>
    <xf numFmtId="0" fontId="15" fillId="0" borderId="20" xfId="0" applyFont="1" applyBorder="1" applyAlignment="1">
      <alignment horizontal="center" vertical="center" wrapText="1"/>
    </xf>
    <xf numFmtId="212" fontId="14" fillId="0" borderId="0" xfId="0" applyNumberFormat="1" applyFont="1" applyAlignment="1">
      <alignment horizontal="left" vertical="center"/>
    </xf>
    <xf numFmtId="0" fontId="15" fillId="0" borderId="1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5" fillId="0" borderId="13" xfId="2" applyFont="1" applyBorder="1" applyAlignment="1">
      <alignment horizontal="right" vertical="center" wrapText="1"/>
    </xf>
    <xf numFmtId="0" fontId="15" fillId="0" borderId="6" xfId="2" applyFont="1" applyBorder="1" applyAlignment="1">
      <alignment horizontal="right" vertical="center" wrapText="1"/>
    </xf>
    <xf numFmtId="0" fontId="15" fillId="0" borderId="4" xfId="2" applyFont="1" applyBorder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58" xfId="2" applyFont="1" applyBorder="1" applyAlignment="1">
      <alignment horizontal="center" vertical="center" wrapText="1"/>
    </xf>
    <xf numFmtId="0" fontId="14" fillId="0" borderId="0" xfId="2" applyFont="1" applyAlignment="1">
      <alignment horizontal="left" vertical="center"/>
    </xf>
    <xf numFmtId="0" fontId="13" fillId="2" borderId="75" xfId="0" applyFont="1" applyFill="1" applyBorder="1" applyAlignment="1">
      <alignment horizontal="center" vertical="center"/>
    </xf>
    <xf numFmtId="0" fontId="13" fillId="2" borderId="76" xfId="0" applyFont="1" applyFill="1" applyBorder="1" applyAlignment="1">
      <alignment horizontal="center" vertical="center"/>
    </xf>
    <xf numFmtId="0" fontId="13" fillId="2" borderId="75" xfId="0" applyFont="1" applyFill="1" applyBorder="1" applyAlignment="1">
      <alignment horizontal="center" vertical="center" wrapText="1"/>
    </xf>
    <xf numFmtId="0" fontId="13" fillId="2" borderId="76" xfId="0" applyFont="1" applyFill="1" applyBorder="1" applyAlignment="1">
      <alignment horizontal="center" vertical="center" wrapText="1"/>
    </xf>
    <xf numFmtId="0" fontId="13" fillId="2" borderId="72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/>
    </xf>
    <xf numFmtId="39" fontId="23" fillId="2" borderId="22" xfId="1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justify" vertical="justify" wrapText="1"/>
    </xf>
    <xf numFmtId="0" fontId="12" fillId="2" borderId="0" xfId="0" applyFont="1" applyFill="1" applyAlignment="1">
      <alignment horizontal="left" vertical="center" wrapText="1"/>
    </xf>
    <xf numFmtId="0" fontId="12" fillId="2" borderId="27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distributed" vertical="justify" wrapText="1"/>
    </xf>
    <xf numFmtId="0" fontId="132" fillId="0" borderId="0" xfId="0" applyFont="1" applyAlignment="1">
      <alignment horizontal="left"/>
    </xf>
    <xf numFmtId="0" fontId="11" fillId="2" borderId="0" xfId="0" applyFont="1" applyFill="1" applyAlignment="1">
      <alignment horizontal="left" vertical="center"/>
    </xf>
    <xf numFmtId="0" fontId="22" fillId="2" borderId="22" xfId="0" applyFont="1" applyFill="1" applyBorder="1" applyAlignment="1">
      <alignment horizontal="distributed" vertical="justify" wrapText="1"/>
    </xf>
    <xf numFmtId="0" fontId="23" fillId="2" borderId="0" xfId="0" applyFont="1" applyFill="1" applyAlignment="1">
      <alignment horizontal="left" vertical="justify" wrapText="1"/>
    </xf>
    <xf numFmtId="0" fontId="23" fillId="51" borderId="22" xfId="5568" applyFont="1" applyFill="1" applyBorder="1" applyAlignment="1">
      <alignment horizontal="justify" vertical="center" wrapText="1"/>
    </xf>
    <xf numFmtId="0" fontId="23" fillId="0" borderId="22" xfId="5568" applyFont="1" applyBorder="1" applyAlignment="1">
      <alignment horizontal="distributed" vertical="justify" wrapText="1"/>
    </xf>
    <xf numFmtId="0" fontId="11" fillId="0" borderId="0" xfId="5568" applyFont="1" applyAlignment="1">
      <alignment horizontal="left" vertical="center" wrapText="1"/>
    </xf>
    <xf numFmtId="0" fontId="11" fillId="0" borderId="0" xfId="3572" applyFont="1" applyAlignment="1">
      <alignment horizontal="left" vertical="center" wrapText="1"/>
    </xf>
    <xf numFmtId="0" fontId="22" fillId="0" borderId="22" xfId="5820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13" fillId="0" borderId="7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80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5" xfId="1" quotePrefix="1" applyFont="1" applyBorder="1" applyAlignment="1">
      <alignment horizontal="center" vertical="center"/>
    </xf>
    <xf numFmtId="0" fontId="13" fillId="0" borderId="3" xfId="1" quotePrefix="1" applyFont="1" applyBorder="1" applyAlignment="1">
      <alignment horizontal="center" vertical="center"/>
    </xf>
    <xf numFmtId="0" fontId="13" fillId="0" borderId="81" xfId="1" applyFont="1" applyBorder="1" applyAlignment="1">
      <alignment horizontal="center" vertical="center"/>
    </xf>
    <xf numFmtId="0" fontId="13" fillId="0" borderId="82" xfId="1" applyFont="1" applyBorder="1" applyAlignment="1">
      <alignment horizontal="center" vertical="center"/>
    </xf>
    <xf numFmtId="0" fontId="13" fillId="0" borderId="58" xfId="1" applyFont="1" applyBorder="1" applyAlignment="1">
      <alignment horizontal="center" vertical="center"/>
    </xf>
    <xf numFmtId="0" fontId="13" fillId="0" borderId="58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left" vertical="top"/>
    </xf>
    <xf numFmtId="0" fontId="11" fillId="0" borderId="0" xfId="1" applyFont="1" applyAlignment="1">
      <alignment vertical="top"/>
    </xf>
    <xf numFmtId="0" fontId="13" fillId="0" borderId="1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23" fillId="2" borderId="58" xfId="0" applyFont="1" applyFill="1" applyBorder="1" applyAlignment="1">
      <alignment horizontal="right"/>
    </xf>
    <xf numFmtId="0" fontId="11" fillId="2" borderId="0" xfId="0" applyFont="1" applyFill="1" applyAlignment="1">
      <alignment horizontal="left"/>
    </xf>
    <xf numFmtId="0" fontId="22" fillId="2" borderId="0" xfId="0" applyFont="1" applyFill="1" applyAlignment="1">
      <alignment horizontal="left" vertical="justify"/>
    </xf>
    <xf numFmtId="0" fontId="13" fillId="2" borderId="0" xfId="5568" applyFont="1" applyFill="1" applyAlignment="1">
      <alignment horizontal="center" vertical="center" wrapText="1"/>
    </xf>
    <xf numFmtId="0" fontId="8" fillId="2" borderId="0" xfId="5568" applyFill="1" applyAlignment="1">
      <alignment horizontal="center" vertical="center" wrapText="1"/>
    </xf>
    <xf numFmtId="0" fontId="12" fillId="2" borderId="0" xfId="5568" applyFont="1" applyFill="1" applyAlignment="1">
      <alignment horizontal="center" vertical="center" wrapText="1"/>
    </xf>
    <xf numFmtId="0" fontId="11" fillId="2" borderId="0" xfId="5568" applyFont="1" applyFill="1" applyAlignment="1">
      <alignment horizontal="left" vertical="center" wrapText="1"/>
    </xf>
    <xf numFmtId="0" fontId="13" fillId="2" borderId="22" xfId="5568" applyFont="1" applyFill="1" applyBorder="1" applyAlignment="1">
      <alignment horizontal="right" vertical="center" wrapText="1"/>
    </xf>
    <xf numFmtId="0" fontId="8" fillId="2" borderId="15" xfId="5568" applyFill="1" applyBorder="1" applyAlignment="1">
      <alignment horizontal="right" vertical="center" wrapText="1"/>
    </xf>
    <xf numFmtId="0" fontId="32" fillId="2" borderId="0" xfId="5568" applyFont="1" applyFill="1" applyAlignment="1">
      <alignment horizontal="center" vertical="center" wrapText="1"/>
    </xf>
    <xf numFmtId="0" fontId="31" fillId="2" borderId="0" xfId="5568" applyFont="1" applyFill="1" applyAlignment="1">
      <alignment horizontal="center" vertical="center" wrapText="1"/>
    </xf>
    <xf numFmtId="0" fontId="13" fillId="2" borderId="26" xfId="5568" applyFont="1" applyFill="1" applyBorder="1" applyAlignment="1">
      <alignment horizontal="center" vertical="center" wrapText="1"/>
    </xf>
    <xf numFmtId="0" fontId="12" fillId="2" borderId="27" xfId="5568" applyFont="1" applyFill="1" applyBorder="1" applyAlignment="1">
      <alignment horizontal="center" vertical="center" wrapText="1"/>
    </xf>
    <xf numFmtId="0" fontId="13" fillId="0" borderId="22" xfId="5568" applyFont="1" applyBorder="1" applyAlignment="1">
      <alignment horizontal="center" vertical="center" wrapText="1"/>
    </xf>
    <xf numFmtId="0" fontId="13" fillId="0" borderId="26" xfId="5568" applyFont="1" applyBorder="1" applyAlignment="1">
      <alignment horizontal="center" vertical="center" wrapText="1"/>
    </xf>
    <xf numFmtId="0" fontId="23" fillId="0" borderId="0" xfId="5568" applyFont="1" applyAlignment="1">
      <alignment horizontal="distributed" vertical="justify" wrapText="1"/>
    </xf>
    <xf numFmtId="0" fontId="14" fillId="0" borderId="0" xfId="5568" applyFont="1" applyAlignment="1">
      <alignment horizontal="left" vertical="center"/>
    </xf>
    <xf numFmtId="0" fontId="23" fillId="0" borderId="0" xfId="5568" applyFont="1" applyAlignment="1">
      <alignment horizontal="left" vertical="justify" wrapText="1"/>
    </xf>
    <xf numFmtId="0" fontId="13" fillId="2" borderId="22" xfId="5568" applyFont="1" applyFill="1" applyBorder="1" applyAlignment="1">
      <alignment horizontal="center" vertical="center" wrapText="1"/>
    </xf>
    <xf numFmtId="0" fontId="14" fillId="2" borderId="0" xfId="5568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right" vertical="center" wrapText="1"/>
    </xf>
    <xf numFmtId="0" fontId="39" fillId="2" borderId="0" xfId="0" applyFont="1" applyFill="1" applyAlignment="1">
      <alignment horizontal="left" vertical="center"/>
    </xf>
    <xf numFmtId="0" fontId="13" fillId="2" borderId="2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0" fontId="13" fillId="2" borderId="27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32" xfId="0" applyFont="1" applyFill="1" applyBorder="1" applyAlignment="1">
      <alignment horizontal="right" vertical="center" wrapText="1"/>
    </xf>
    <xf numFmtId="0" fontId="13" fillId="2" borderId="33" xfId="0" applyFont="1" applyFill="1" applyBorder="1" applyAlignment="1">
      <alignment horizontal="right" vertical="center" wrapText="1"/>
    </xf>
    <xf numFmtId="0" fontId="35" fillId="0" borderId="0" xfId="0" applyFont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right" vertical="center" wrapText="1"/>
    </xf>
    <xf numFmtId="0" fontId="13" fillId="0" borderId="12" xfId="0" applyFont="1" applyBorder="1" applyAlignment="1">
      <alignment horizontal="right" vertical="center" wrapText="1"/>
    </xf>
    <xf numFmtId="0" fontId="13" fillId="0" borderId="9" xfId="0" applyFont="1" applyBorder="1" applyAlignment="1">
      <alignment horizontal="right" vertical="center" wrapText="1"/>
    </xf>
    <xf numFmtId="0" fontId="23" fillId="0" borderId="3" xfId="0" applyFont="1" applyBorder="1" applyAlignment="1">
      <alignment horizontal="right" vertical="center"/>
    </xf>
  </cellXfs>
  <cellStyles count="6131">
    <cellStyle name="_02_Ingresos Reales 2004-2009 (16-04-10)" xfId="11"/>
    <cellStyle name="_02_Ingresos Reales 2004-2009 (16-04-10) 2" xfId="12"/>
    <cellStyle name="_02_Ingresos Reales 2004-2009 (16-04-10) 2 2" xfId="13"/>
    <cellStyle name="_02_Ingresos Reales 2004-2009 (16-04-10) 2 2 2" xfId="14"/>
    <cellStyle name="_02_Ingresos Reales 2004-2009 (16-04-10) 2 2 2 2" xfId="1675"/>
    <cellStyle name="_02_Ingresos Reales 2004-2009 (16-04-10) 2 2 3" xfId="1674"/>
    <cellStyle name="_02_Ingresos Reales 2004-2009 (16-04-10) 2 2 4" xfId="3905"/>
    <cellStyle name="_02_Ingresos Reales 2004-2009 (16-04-10) 2 3" xfId="15"/>
    <cellStyle name="_02_Ingresos Reales 2004-2009 (16-04-10) 2 3 2" xfId="1676"/>
    <cellStyle name="_02_Ingresos Reales 2004-2009 (16-04-10) 2 4" xfId="1673"/>
    <cellStyle name="_02_Ingresos Reales 2004-2009 (16-04-10) 2 5" xfId="3904"/>
    <cellStyle name="_02_Ingresos Reales 2004-2009 (16-04-10) 3" xfId="16"/>
    <cellStyle name="_02_Ingresos Reales 2004-2009 (16-04-10) 3 2" xfId="1677"/>
    <cellStyle name="_02_Ingresos Reales 2004-2009 (16-04-10) 4" xfId="1672"/>
    <cellStyle name="_02_Ingresos Reales 2004-2009 (16-04-10) 5" xfId="3903"/>
    <cellStyle name="_02_Ingresos Reales 2004-2009 (16-04-10)_Cuadros Nor  (2)" xfId="17"/>
    <cellStyle name="_02_Ingresos Reales 2004-2009 (16-04-10)_Cuadros Nor  (2) 2" xfId="18"/>
    <cellStyle name="_02_Ingresos Reales 2004-2009 (16-04-10)_Cuadros Nor  (2) 2 2" xfId="1679"/>
    <cellStyle name="_02_Ingresos Reales 2004-2009 (16-04-10)_Cuadros Nor  (2) 3" xfId="1678"/>
    <cellStyle name="_02_Ingresos Reales 2004-2009 (16-04-10)_Cuadros Nor  (2) 4" xfId="3906"/>
    <cellStyle name="_02_Ingresos Reales 2004-2009 (16-04-10)_DEPARTAMENTAL-NUEVO FACTOR 2010" xfId="19"/>
    <cellStyle name="_02_Ingresos Reales 2004-2009 (16-04-10)_DEPARTAMENTAL-NUEVO FACTOR 2010 2" xfId="20"/>
    <cellStyle name="_02_Ingresos Reales 2004-2009 (16-04-10)_DEPARTAMENTAL-NUEVO FACTOR 2010 2 2" xfId="1681"/>
    <cellStyle name="_02_Ingresos Reales 2004-2009 (16-04-10)_DEPARTAMENTAL-NUEVO FACTOR 2010 3" xfId="1680"/>
    <cellStyle name="_02_Ingresos Reales 2004-2009 (16-04-10)_DEPARTAMENTAL-NUEVO FACTOR 2010 4" xfId="3908"/>
    <cellStyle name="_02_Ingresos Reales 2004-2009 (16-04-10)_EXCEL-DEPARTAMENTAL-Def" xfId="21"/>
    <cellStyle name="_02_Ingresos Reales 2004-2009 (16-04-10)_EXCEL-DEPARTAMENTAL-Def 2" xfId="22"/>
    <cellStyle name="_02_Ingresos Reales 2004-2009 (16-04-10)_EXCEL-DEPARTAMENTAL-Def 2 2" xfId="1683"/>
    <cellStyle name="_02_Ingresos Reales 2004-2009 (16-04-10)_EXCEL-DEPARTAMENTAL-Def 3" xfId="1682"/>
    <cellStyle name="_02_Ingresos Reales 2004-2009 (16-04-10)_EXCEL-DEPARTAMENTAL-Def 4" xfId="3909"/>
    <cellStyle name="_02_Ingresos Reales 2004-2009 (16-04-10)_EXCEL-DEPARTAMENTAL-Def2" xfId="23"/>
    <cellStyle name="_02_Ingresos Reales 2004-2009 (16-04-10)_EXCEL-DEPARTAMENTAL-Def2 2" xfId="24"/>
    <cellStyle name="_02_Ingresos Reales 2004-2009 (16-04-10)_EXCEL-DEPARTAMENTAL-Def2 2 2" xfId="1685"/>
    <cellStyle name="_02_Ingresos Reales 2004-2009 (16-04-10)_EXCEL-DEPARTAMENTAL-Def2 3" xfId="1684"/>
    <cellStyle name="_02_Ingresos Reales 2004-2009 (16-04-10)_EXCEL-DEPARTAMENTAL-Def2 4" xfId="3910"/>
    <cellStyle name="_02_Ingresos Reales 2004-2009 (16-04-10)_Libro1 (5)" xfId="25"/>
    <cellStyle name="_02_Ingresos Reales 2004-2009 (16-04-10)_Libro1 (5) 2" xfId="26"/>
    <cellStyle name="_02_Ingresos Reales 2004-2009 (16-04-10)_Libro1 (5) 2 2" xfId="1687"/>
    <cellStyle name="_02_Ingresos Reales 2004-2009 (16-04-10)_Libro1 (5) 3" xfId="1686"/>
    <cellStyle name="_02_Ingresos Reales 2004-2009 (16-04-10)_Libro1 (5) 4" xfId="3912"/>
    <cellStyle name="_02_Ingresos Reales 2004-2009 (16-04-10)_Libro2 (4)" xfId="27"/>
    <cellStyle name="_02_Ingresos Reales 2004-2009 (16-04-10)_Libro2 (4) 2" xfId="28"/>
    <cellStyle name="_02_Ingresos Reales 2004-2009 (16-04-10)_Libro2 (4) 2 2" xfId="1689"/>
    <cellStyle name="_02_Ingresos Reales 2004-2009 (16-04-10)_Libro2 (4) 3" xfId="1688"/>
    <cellStyle name="_02_Ingresos Reales 2004-2009 (16-04-10)_Libro2 (4) 4" xfId="3913"/>
    <cellStyle name="_02_Ingresos Reales 2004-2009 (16-04-10)_Salud y Pobreza" xfId="29"/>
    <cellStyle name="_02_Ingresos Reales 2004-2009 (16-04-10)_Salud y Pobreza 2" xfId="30"/>
    <cellStyle name="_02_Ingresos Reales 2004-2009 (16-04-10)_Salud y Pobreza 2 2" xfId="1691"/>
    <cellStyle name="_02_Ingresos Reales 2004-2009 (16-04-10)_Salud y Pobreza 3" xfId="1690"/>
    <cellStyle name="_02_Ingresos Reales 2004-2009 (16-04-10)_Salud y Pobreza 4" xfId="3914"/>
    <cellStyle name="_09_Ingresos Reales PANEL_2008-2009 (16-04-10)" xfId="31"/>
    <cellStyle name="_09_Ingresos Reales PANEL_2008-2009 (16-04-10) 2" xfId="32"/>
    <cellStyle name="_09_Ingresos Reales PANEL_2008-2009 (16-04-10) 2 2" xfId="33"/>
    <cellStyle name="_09_Ingresos Reales PANEL_2008-2009 (16-04-10) 2 2 2" xfId="34"/>
    <cellStyle name="_09_Ingresos Reales PANEL_2008-2009 (16-04-10) 2 2 2 2" xfId="1695"/>
    <cellStyle name="_09_Ingresos Reales PANEL_2008-2009 (16-04-10) 2 2 3" xfId="1694"/>
    <cellStyle name="_09_Ingresos Reales PANEL_2008-2009 (16-04-10) 2 2 4" xfId="3917"/>
    <cellStyle name="_09_Ingresos Reales PANEL_2008-2009 (16-04-10) 2 3" xfId="35"/>
    <cellStyle name="_09_Ingresos Reales PANEL_2008-2009 (16-04-10) 2 3 2" xfId="1696"/>
    <cellStyle name="_09_Ingresos Reales PANEL_2008-2009 (16-04-10) 2 4" xfId="1693"/>
    <cellStyle name="_09_Ingresos Reales PANEL_2008-2009 (16-04-10) 2 5" xfId="3916"/>
    <cellStyle name="_09_Ingresos Reales PANEL_2008-2009 (16-04-10) 3" xfId="36"/>
    <cellStyle name="_09_Ingresos Reales PANEL_2008-2009 (16-04-10) 3 2" xfId="1697"/>
    <cellStyle name="_09_Ingresos Reales PANEL_2008-2009 (16-04-10) 4" xfId="1692"/>
    <cellStyle name="_09_Ingresos Reales PANEL_2008-2009 (16-04-10) 5" xfId="3915"/>
    <cellStyle name="_09_Ingresos Reales PANEL_2008-2009 (16-04-10)_Cuadros Nor  (2)" xfId="37"/>
    <cellStyle name="_09_Ingresos Reales PANEL_2008-2009 (16-04-10)_Cuadros Nor  (2) 2" xfId="38"/>
    <cellStyle name="_09_Ingresos Reales PANEL_2008-2009 (16-04-10)_Cuadros Nor  (2) 2 2" xfId="1699"/>
    <cellStyle name="_09_Ingresos Reales PANEL_2008-2009 (16-04-10)_Cuadros Nor  (2) 3" xfId="1698"/>
    <cellStyle name="_09_Ingresos Reales PANEL_2008-2009 (16-04-10)_Cuadros Nor  (2) 4" xfId="3920"/>
    <cellStyle name="_09_Ingresos Reales PANEL_2008-2009 (16-04-10)_DEPARTAMENTAL-NUEVO FACTOR 2010" xfId="39"/>
    <cellStyle name="_09_Ingresos Reales PANEL_2008-2009 (16-04-10)_DEPARTAMENTAL-NUEVO FACTOR 2010 2" xfId="40"/>
    <cellStyle name="_09_Ingresos Reales PANEL_2008-2009 (16-04-10)_DEPARTAMENTAL-NUEVO FACTOR 2010 2 2" xfId="1701"/>
    <cellStyle name="_09_Ingresos Reales PANEL_2008-2009 (16-04-10)_DEPARTAMENTAL-NUEVO FACTOR 2010 3" xfId="1700"/>
    <cellStyle name="_09_Ingresos Reales PANEL_2008-2009 (16-04-10)_DEPARTAMENTAL-NUEVO FACTOR 2010 4" xfId="3921"/>
    <cellStyle name="_09_Ingresos Reales PANEL_2008-2009 (16-04-10)_EXCEL-DEPARTAMENTAL-Def" xfId="41"/>
    <cellStyle name="_09_Ingresos Reales PANEL_2008-2009 (16-04-10)_EXCEL-DEPARTAMENTAL-Def 2" xfId="42"/>
    <cellStyle name="_09_Ingresos Reales PANEL_2008-2009 (16-04-10)_EXCEL-DEPARTAMENTAL-Def 2 2" xfId="1703"/>
    <cellStyle name="_09_Ingresos Reales PANEL_2008-2009 (16-04-10)_EXCEL-DEPARTAMENTAL-Def 3" xfId="1702"/>
    <cellStyle name="_09_Ingresos Reales PANEL_2008-2009 (16-04-10)_EXCEL-DEPARTAMENTAL-Def 4" xfId="3922"/>
    <cellStyle name="_09_Ingresos Reales PANEL_2008-2009 (16-04-10)_EXCEL-DEPARTAMENTAL-Def2" xfId="43"/>
    <cellStyle name="_09_Ingresos Reales PANEL_2008-2009 (16-04-10)_EXCEL-DEPARTAMENTAL-Def2 2" xfId="44"/>
    <cellStyle name="_09_Ingresos Reales PANEL_2008-2009 (16-04-10)_EXCEL-DEPARTAMENTAL-Def2 2 2" xfId="1705"/>
    <cellStyle name="_09_Ingresos Reales PANEL_2008-2009 (16-04-10)_EXCEL-DEPARTAMENTAL-Def2 3" xfId="1704"/>
    <cellStyle name="_09_Ingresos Reales PANEL_2008-2009 (16-04-10)_EXCEL-DEPARTAMENTAL-Def2 4" xfId="3924"/>
    <cellStyle name="_09_Ingresos Reales PANEL_2008-2009 (16-04-10)_Libro1 (5)" xfId="45"/>
    <cellStyle name="_09_Ingresos Reales PANEL_2008-2009 (16-04-10)_Libro1 (5) 2" xfId="46"/>
    <cellStyle name="_09_Ingresos Reales PANEL_2008-2009 (16-04-10)_Libro1 (5) 2 2" xfId="1707"/>
    <cellStyle name="_09_Ingresos Reales PANEL_2008-2009 (16-04-10)_Libro1 (5) 3" xfId="1706"/>
    <cellStyle name="_09_Ingresos Reales PANEL_2008-2009 (16-04-10)_Libro1 (5) 4" xfId="3925"/>
    <cellStyle name="_09_Ingresos Reales PANEL_2008-2009 (16-04-10)_Libro2 (4)" xfId="47"/>
    <cellStyle name="_09_Ingresos Reales PANEL_2008-2009 (16-04-10)_Libro2 (4) 2" xfId="48"/>
    <cellStyle name="_09_Ingresos Reales PANEL_2008-2009 (16-04-10)_Libro2 (4) 2 2" xfId="1709"/>
    <cellStyle name="_09_Ingresos Reales PANEL_2008-2009 (16-04-10)_Libro2 (4) 3" xfId="1708"/>
    <cellStyle name="_09_Ingresos Reales PANEL_2008-2009 (16-04-10)_Libro2 (4) 4" xfId="3926"/>
    <cellStyle name="_09_Ingresos Reales PANEL_2008-2009 (16-04-10)_Salud y Pobreza" xfId="49"/>
    <cellStyle name="_09_Ingresos Reales PANEL_2008-2009 (16-04-10)_Salud y Pobreza 2" xfId="50"/>
    <cellStyle name="_09_Ingresos Reales PANEL_2008-2009 (16-04-10)_Salud y Pobreza 2 2" xfId="1711"/>
    <cellStyle name="_09_Ingresos Reales PANEL_2008-2009 (16-04-10)_Salud y Pobreza 3" xfId="1710"/>
    <cellStyle name="_09_Ingresos Reales PANEL_2008-2009 (16-04-10)_Salud y Pobreza 4" xfId="3927"/>
    <cellStyle name="_1" xfId="51"/>
    <cellStyle name="_1-" xfId="52"/>
    <cellStyle name="_1 10" xfId="5294"/>
    <cellStyle name="_1- 10" xfId="4417"/>
    <cellStyle name="_1 11" xfId="4957"/>
    <cellStyle name="_1- 11" xfId="5250"/>
    <cellStyle name="_1 12" xfId="5078"/>
    <cellStyle name="_1- 12" xfId="5153"/>
    <cellStyle name="_1 13" xfId="4981"/>
    <cellStyle name="_1- 13" xfId="4267"/>
    <cellStyle name="_1 14" xfId="5113"/>
    <cellStyle name="_1- 14" xfId="5320"/>
    <cellStyle name="_1 15" xfId="4833"/>
    <cellStyle name="_1- 15" xfId="4660"/>
    <cellStyle name="_1 16" xfId="5399"/>
    <cellStyle name="_1- 16" xfId="5187"/>
    <cellStyle name="_1 17" xfId="5344"/>
    <cellStyle name="_1- 17" xfId="4952"/>
    <cellStyle name="_1 18" xfId="5013"/>
    <cellStyle name="_1- 18" xfId="5188"/>
    <cellStyle name="_1 19" xfId="5214"/>
    <cellStyle name="_1- 19" xfId="5326"/>
    <cellStyle name="_1 2" xfId="53"/>
    <cellStyle name="_1- 2" xfId="54"/>
    <cellStyle name="_1 2 2" xfId="1718"/>
    <cellStyle name="_1- 2 2" xfId="1719"/>
    <cellStyle name="_1 2 3" xfId="3108"/>
    <cellStyle name="_1- 2 3" xfId="3107"/>
    <cellStyle name="_1 2 4" xfId="3360"/>
    <cellStyle name="_1- 2 4" xfId="3359"/>
    <cellStyle name="_1 2 5" xfId="3384"/>
    <cellStyle name="_1- 2 5" xfId="3383"/>
    <cellStyle name="_1 2 6" xfId="3388"/>
    <cellStyle name="_1- 2 6" xfId="3387"/>
    <cellStyle name="_1 20" xfId="5196"/>
    <cellStyle name="_1- 20" xfId="5400"/>
    <cellStyle name="_1 21" xfId="4616"/>
    <cellStyle name="_1- 21" xfId="5332"/>
    <cellStyle name="_1 22" xfId="4933"/>
    <cellStyle name="_1- 22" xfId="4731"/>
    <cellStyle name="_1 23" xfId="5459"/>
    <cellStyle name="_1- 23" xfId="5087"/>
    <cellStyle name="_1 24" xfId="5142"/>
    <cellStyle name="_1- 24" xfId="5352"/>
    <cellStyle name="_1 25" xfId="4853"/>
    <cellStyle name="_1- 25" xfId="5212"/>
    <cellStyle name="_1 26" xfId="5427"/>
    <cellStyle name="_1- 26" xfId="5512"/>
    <cellStyle name="_1 27" xfId="5025"/>
    <cellStyle name="_1- 27" xfId="4924"/>
    <cellStyle name="_1 28" xfId="4912"/>
    <cellStyle name="_1- 28" xfId="5030"/>
    <cellStyle name="_1 29" xfId="5463"/>
    <cellStyle name="_1- 29" xfId="5296"/>
    <cellStyle name="_1 3" xfId="1712"/>
    <cellStyle name="_1- 3" xfId="1713"/>
    <cellStyle name="_1 30" xfId="5170"/>
    <cellStyle name="_1- 30" xfId="4863"/>
    <cellStyle name="_1 31" xfId="5155"/>
    <cellStyle name="_1- 31" xfId="5211"/>
    <cellStyle name="_1 32" xfId="4168"/>
    <cellStyle name="_1- 32" xfId="5316"/>
    <cellStyle name="_1 33" xfId="5334"/>
    <cellStyle name="_1- 33" xfId="5233"/>
    <cellStyle name="_1 34" xfId="5603"/>
    <cellStyle name="_1- 34" xfId="5604"/>
    <cellStyle name="_1 35" xfId="5678"/>
    <cellStyle name="_1- 35" xfId="5679"/>
    <cellStyle name="_1 36" xfId="5662"/>
    <cellStyle name="_1- 36" xfId="5660"/>
    <cellStyle name="_1 37" xfId="5648"/>
    <cellStyle name="_1- 37" xfId="5668"/>
    <cellStyle name="_1 4" xfId="3110"/>
    <cellStyle name="_1- 4" xfId="3109"/>
    <cellStyle name="_1 5" xfId="3362"/>
    <cellStyle name="_1- 5" xfId="3361"/>
    <cellStyle name="_1 5 cap1 medio ambiente remitir ok" xfId="55"/>
    <cellStyle name="_1 5 cap1 medio ambiente remitir ok 2" xfId="56"/>
    <cellStyle name="_1 5 cap1 medio ambiente remitir ok 2 2" xfId="1721"/>
    <cellStyle name="_1 5 cap1 medio ambiente remitir ok 3" xfId="1720"/>
    <cellStyle name="_1 5 cap1 medio ambiente remitir ok 4" xfId="3930"/>
    <cellStyle name="_1 5 cap1 medio ambiente remitir ok_cuadros adicionales de brechas2002 y 2008 (2)" xfId="57"/>
    <cellStyle name="_1 5 cap1 medio ambiente remitir ok_cuadros adicionales de brechas2002 y 2008 (2) 2" xfId="58"/>
    <cellStyle name="_1 5 cap1 medio ambiente remitir ok_cuadros adicionales de brechas2002 y 2008 (2) 2 2" xfId="1723"/>
    <cellStyle name="_1 5 cap1 medio ambiente remitir ok_cuadros adicionales de brechas2002 y 2008 (2) 3" xfId="1722"/>
    <cellStyle name="_1 5 cap1 medio ambiente remitir ok_cuadros adicionales de brechas2002 y 2008 (2) 4" xfId="3931"/>
    <cellStyle name="_1 5 cap1 medio ambiente remitir ok_CUAD-TEXTO_" xfId="59"/>
    <cellStyle name="_1 5 cap1 medio ambiente remitir ok_CUAD-TEXTO_ 2" xfId="60"/>
    <cellStyle name="_1 5 cap1 medio ambiente remitir ok_CUAD-TEXTO_ 2 2" xfId="1725"/>
    <cellStyle name="_1 5 cap1 medio ambiente remitir ok_CUAD-TEXTO_ 3" xfId="1724"/>
    <cellStyle name="_1 5 cap1 medio ambiente remitir ok_CUAD-TEXTO_ 4" xfId="3933"/>
    <cellStyle name="_1 5 cap1 medio ambiente remitir ok_GRAFICOS ODM" xfId="61"/>
    <cellStyle name="_1 5 cap1 medio ambiente remitir ok_GRAFICOS ODM 2" xfId="62"/>
    <cellStyle name="_1 5 cap1 medio ambiente remitir ok_GRAFICOS ODM 2 2" xfId="1727"/>
    <cellStyle name="_1 5 cap1 medio ambiente remitir ok_GRAFICOS ODM 3" xfId="1726"/>
    <cellStyle name="_1 5 cap1 medio ambiente remitir ok_GRAFICOS ODM 4" xfId="3934"/>
    <cellStyle name="_1 5 cap1 medio ambiente remitir ok_Libro2" xfId="63"/>
    <cellStyle name="_1 5 cap1 medio ambiente remitir ok_Libro2 2" xfId="64"/>
    <cellStyle name="_1 5 cap1 medio ambiente remitir ok_Libro2 2 2" xfId="1729"/>
    <cellStyle name="_1 5 cap1 medio ambiente remitir ok_Libro2 3" xfId="1728"/>
    <cellStyle name="_1 5 cap1 medio ambiente remitir ok_Libro2 4" xfId="3935"/>
    <cellStyle name="_1 5 cap1 medio ambiente remitir ok_solicita datos para el 2007-minedu remitio" xfId="65"/>
    <cellStyle name="_1 5 cap1 medio ambiente remitir ok_solicita datos para el 2007-minedu remitio 2" xfId="66"/>
    <cellStyle name="_1 5 cap1 medio ambiente remitir ok_solicita datos para el 2007-minedu remitio 2 2" xfId="1731"/>
    <cellStyle name="_1 5 cap1 medio ambiente remitir ok_solicita datos para el 2007-minedu remitio 3" xfId="1730"/>
    <cellStyle name="_1 5 cap1 medio ambiente remitir ok_solicita datos para el 2007-minedu remitio 4" xfId="3936"/>
    <cellStyle name="_1 6" xfId="3386"/>
    <cellStyle name="_1- 6" xfId="3385"/>
    <cellStyle name="_1 7" xfId="3390"/>
    <cellStyle name="_1- 7" xfId="3389"/>
    <cellStyle name="_1 8" xfId="3928"/>
    <cellStyle name="_1- 8" xfId="3929"/>
    <cellStyle name="_1 9" xfId="4805"/>
    <cellStyle name="_1- 9" xfId="5122"/>
    <cellStyle name="_1-_1-UIRN-UTSIGnov-2008" xfId="67"/>
    <cellStyle name="_1-_1-UIRN-UTSIGnov-2008 2" xfId="68"/>
    <cellStyle name="_1-_1-UIRN-UTSIGnov-2008 2 2" xfId="1715"/>
    <cellStyle name="_1-_1-UIRN-UTSIGnov-2008 3" xfId="1714"/>
    <cellStyle name="_1-_1-UIRN-UTSIGnov-2008 4" xfId="3937"/>
    <cellStyle name="_1-_1-UIRN-UTSIGnov-2008_GRAFICOS ODM" xfId="69"/>
    <cellStyle name="_1-_1-UIRN-UTSIGnov-2008_GRAFICOS ODM 2" xfId="70"/>
    <cellStyle name="_1-_1-UIRN-UTSIGnov-2008_GRAFICOS ODM 2 2" xfId="1717"/>
    <cellStyle name="_1-_1-UIRN-UTSIGnov-2008_GRAFICOS ODM 3" xfId="1716"/>
    <cellStyle name="_1-_1-UIRN-UTSIGnov-2008_GRAFICOS ODM 4" xfId="3938"/>
    <cellStyle name="_1_cuadros adicionales de brechas2002 y 2008 (2)" xfId="71"/>
    <cellStyle name="_1-_cuadros adicionales de brechas2002 y 2008 (2)" xfId="72"/>
    <cellStyle name="_1_cuadros adicionales de brechas2002 y 2008 (2) 10" xfId="5289"/>
    <cellStyle name="_1-_cuadros adicionales de brechas2002 y 2008 (2) 10" xfId="5290"/>
    <cellStyle name="_1_cuadros adicionales de brechas2002 y 2008 (2) 11" xfId="4310"/>
    <cellStyle name="_1-_cuadros adicionales de brechas2002 y 2008 (2) 11" xfId="4955"/>
    <cellStyle name="_1_cuadros adicionales de brechas2002 y 2008 (2) 12" xfId="5395"/>
    <cellStyle name="_1-_cuadros adicionales de brechas2002 y 2008 (2) 12" xfId="5396"/>
    <cellStyle name="_1_cuadros adicionales de brechas2002 y 2008 (2) 13" xfId="4181"/>
    <cellStyle name="_1-_cuadros adicionales de brechas2002 y 2008 (2) 13" xfId="4906"/>
    <cellStyle name="_1_cuadros adicionales de brechas2002 y 2008 (2) 14" xfId="4960"/>
    <cellStyle name="_1-_cuadros adicionales de brechas2002 y 2008 (2) 14" xfId="4401"/>
    <cellStyle name="_1_cuadros adicionales de brechas2002 y 2008 (2) 15" xfId="4774"/>
    <cellStyle name="_1-_cuadros adicionales de brechas2002 y 2008 (2) 15" xfId="4775"/>
    <cellStyle name="_1_cuadros adicionales de brechas2002 y 2008 (2) 16" xfId="5397"/>
    <cellStyle name="_1-_cuadros adicionales de brechas2002 y 2008 (2) 16" xfId="4916"/>
    <cellStyle name="_1_cuadros adicionales de brechas2002 y 2008 (2) 17" xfId="3923"/>
    <cellStyle name="_1-_cuadros adicionales de brechas2002 y 2008 (2) 17" xfId="4885"/>
    <cellStyle name="_1_cuadros adicionales de brechas2002 y 2008 (2) 18" xfId="4674"/>
    <cellStyle name="_1-_cuadros adicionales de brechas2002 y 2008 (2) 18" xfId="4753"/>
    <cellStyle name="_1_cuadros adicionales de brechas2002 y 2008 (2) 19" xfId="3918"/>
    <cellStyle name="_1-_cuadros adicionales de brechas2002 y 2008 (2) 19" xfId="5380"/>
    <cellStyle name="_1_cuadros adicionales de brechas2002 y 2008 (2) 2" xfId="73"/>
    <cellStyle name="_1-_cuadros adicionales de brechas2002 y 2008 (2) 2" xfId="74"/>
    <cellStyle name="_1_cuadros adicionales de brechas2002 y 2008 (2) 2 2" xfId="1734"/>
    <cellStyle name="_1-_cuadros adicionales de brechas2002 y 2008 (2) 2 2" xfId="1735"/>
    <cellStyle name="_1_cuadros adicionales de brechas2002 y 2008 (2) 2 3" xfId="3086"/>
    <cellStyle name="_1-_cuadros adicionales de brechas2002 y 2008 (2) 2 3" xfId="3085"/>
    <cellStyle name="_1_cuadros adicionales de brechas2002 y 2008 (2) 2 4" xfId="3356"/>
    <cellStyle name="_1-_cuadros adicionales de brechas2002 y 2008 (2) 2 4" xfId="3355"/>
    <cellStyle name="_1_cuadros adicionales de brechas2002 y 2008 (2) 2 5" xfId="3223"/>
    <cellStyle name="_1-_cuadros adicionales de brechas2002 y 2008 (2) 2 5" xfId="3222"/>
    <cellStyle name="_1_cuadros adicionales de brechas2002 y 2008 (2) 2 6" xfId="3380"/>
    <cellStyle name="_1-_cuadros adicionales de brechas2002 y 2008 (2) 2 6" xfId="3379"/>
    <cellStyle name="_1_cuadros adicionales de brechas2002 y 2008 (2) 20" xfId="4222"/>
    <cellStyle name="_1-_cuadros adicionales de brechas2002 y 2008 (2) 20" xfId="4941"/>
    <cellStyle name="_1_cuadros adicionales de brechas2002 y 2008 (2) 21" xfId="5361"/>
    <cellStyle name="_1-_cuadros adicionales de brechas2002 y 2008 (2) 21" xfId="5394"/>
    <cellStyle name="_1_cuadros adicionales de brechas2002 y 2008 (2) 22" xfId="4866"/>
    <cellStyle name="_1-_cuadros adicionales de brechas2002 y 2008 (2) 22" xfId="5109"/>
    <cellStyle name="_1_cuadros adicionales de brechas2002 y 2008 (2) 23" xfId="4385"/>
    <cellStyle name="_1-_cuadros adicionales de brechas2002 y 2008 (2) 23" xfId="5166"/>
    <cellStyle name="_1_cuadros adicionales de brechas2002 y 2008 (2) 24" xfId="4037"/>
    <cellStyle name="_1-_cuadros adicionales de brechas2002 y 2008 (2) 24" xfId="5300"/>
    <cellStyle name="_1_cuadros adicionales de brechas2002 y 2008 (2) 25" xfId="5156"/>
    <cellStyle name="_1-_cuadros adicionales de brechas2002 y 2008 (2) 25" xfId="5307"/>
    <cellStyle name="_1_cuadros adicionales de brechas2002 y 2008 (2) 26" xfId="5357"/>
    <cellStyle name="_1-_cuadros adicionales de brechas2002 y 2008 (2) 26" xfId="5163"/>
    <cellStyle name="_1_cuadros adicionales de brechas2002 y 2008 (2) 27" xfId="5181"/>
    <cellStyle name="_1-_cuadros adicionales de brechas2002 y 2008 (2) 27" xfId="4073"/>
    <cellStyle name="_1_cuadros adicionales de brechas2002 y 2008 (2) 28" xfId="5023"/>
    <cellStyle name="_1-_cuadros adicionales de brechas2002 y 2008 (2) 28" xfId="5315"/>
    <cellStyle name="_1_cuadros adicionales de brechas2002 y 2008 (2) 29" xfId="4791"/>
    <cellStyle name="_1-_cuadros adicionales de brechas2002 y 2008 (2) 29" xfId="5199"/>
    <cellStyle name="_1_cuadros adicionales de brechas2002 y 2008 (2) 3" xfId="1732"/>
    <cellStyle name="_1-_cuadros adicionales de brechas2002 y 2008 (2) 3" xfId="1733"/>
    <cellStyle name="_1_cuadros adicionales de brechas2002 y 2008 (2) 30" xfId="4972"/>
    <cellStyle name="_1-_cuadros adicionales de brechas2002 y 2008 (2) 30" xfId="5353"/>
    <cellStyle name="_1_cuadros adicionales de brechas2002 y 2008 (2) 31" xfId="5075"/>
    <cellStyle name="_1-_cuadros adicionales de brechas2002 y 2008 (2) 31" xfId="4882"/>
    <cellStyle name="_1_cuadros adicionales de brechas2002 y 2008 (2) 32" xfId="4042"/>
    <cellStyle name="_1-_cuadros adicionales de brechas2002 y 2008 (2) 32" xfId="5236"/>
    <cellStyle name="_1_cuadros adicionales de brechas2002 y 2008 (2) 33" xfId="5426"/>
    <cellStyle name="_1-_cuadros adicionales de brechas2002 y 2008 (2) 33" xfId="5504"/>
    <cellStyle name="_1_cuadros adicionales de brechas2002 y 2008 (2) 34" xfId="5605"/>
    <cellStyle name="_1-_cuadros adicionales de brechas2002 y 2008 (2) 34" xfId="5606"/>
    <cellStyle name="_1_cuadros adicionales de brechas2002 y 2008 (2) 35" xfId="5676"/>
    <cellStyle name="_1-_cuadros adicionales de brechas2002 y 2008 (2) 35" xfId="5677"/>
    <cellStyle name="_1_cuadros adicionales de brechas2002 y 2008 (2) 36" xfId="5661"/>
    <cellStyle name="_1-_cuadros adicionales de brechas2002 y 2008 (2) 36" xfId="5627"/>
    <cellStyle name="_1_cuadros adicionales de brechas2002 y 2008 (2) 37" xfId="5693"/>
    <cellStyle name="_1-_cuadros adicionales de brechas2002 y 2008 (2) 37" xfId="5694"/>
    <cellStyle name="_1_cuadros adicionales de brechas2002 y 2008 (2) 4" xfId="3088"/>
    <cellStyle name="_1-_cuadros adicionales de brechas2002 y 2008 (2) 4" xfId="3087"/>
    <cellStyle name="_1_cuadros adicionales de brechas2002 y 2008 (2) 5" xfId="3358"/>
    <cellStyle name="_1-_cuadros adicionales de brechas2002 y 2008 (2) 5" xfId="3357"/>
    <cellStyle name="_1_cuadros adicionales de brechas2002 y 2008 (2) 6" xfId="3225"/>
    <cellStyle name="_1-_cuadros adicionales de brechas2002 y 2008 (2) 6" xfId="3224"/>
    <cellStyle name="_1_cuadros adicionales de brechas2002 y 2008 (2) 7" xfId="3382"/>
    <cellStyle name="_1-_cuadros adicionales de brechas2002 y 2008 (2) 7" xfId="3381"/>
    <cellStyle name="_1_cuadros adicionales de brechas2002 y 2008 (2) 8" xfId="3939"/>
    <cellStyle name="_1-_cuadros adicionales de brechas2002 y 2008 (2) 8" xfId="3940"/>
    <cellStyle name="_1_cuadros adicionales de brechas2002 y 2008 (2) 9" xfId="5120"/>
    <cellStyle name="_1-_cuadros adicionales de brechas2002 y 2008 (2) 9" xfId="4797"/>
    <cellStyle name="_1_CUAD-TEXTO_" xfId="75"/>
    <cellStyle name="_1-_CUAD-TEXTO_" xfId="76"/>
    <cellStyle name="_1_CUAD-TEXTO_ 10" xfId="5288"/>
    <cellStyle name="_1-_CUAD-TEXTO_ 10" xfId="4995"/>
    <cellStyle name="_1_CUAD-TEXTO_ 11" xfId="5135"/>
    <cellStyle name="_1-_CUAD-TEXTO_ 11" xfId="5248"/>
    <cellStyle name="_1_CUAD-TEXTO_ 12" xfId="5077"/>
    <cellStyle name="_1-_CUAD-TEXTO_ 12" xfId="5162"/>
    <cellStyle name="_1_CUAD-TEXTO_ 13" xfId="4980"/>
    <cellStyle name="_1-_CUAD-TEXTO_ 13" xfId="5092"/>
    <cellStyle name="_1_CUAD-TEXTO_ 14" xfId="5177"/>
    <cellStyle name="_1-_CUAD-TEXTO_ 14" xfId="4946"/>
    <cellStyle name="_1_CUAD-TEXTO_ 15" xfId="4026"/>
    <cellStyle name="_1-_CUAD-TEXTO_ 15" xfId="5134"/>
    <cellStyle name="_1_CUAD-TEXTO_ 16" xfId="4732"/>
    <cellStyle name="_1-_CUAD-TEXTO_ 16" xfId="5222"/>
    <cellStyle name="_1_CUAD-TEXTO_ 17" xfId="4869"/>
    <cellStyle name="_1-_CUAD-TEXTO_ 17" xfId="4963"/>
    <cellStyle name="_1_CUAD-TEXTO_ 18" xfId="5224"/>
    <cellStyle name="_1-_CUAD-TEXTO_ 18" xfId="5452"/>
    <cellStyle name="_1_CUAD-TEXTO_ 19" xfId="5096"/>
    <cellStyle name="_1-_CUAD-TEXTO_ 19" xfId="5026"/>
    <cellStyle name="_1_CUAD-TEXTO_ 2" xfId="77"/>
    <cellStyle name="_1-_CUAD-TEXTO_ 2" xfId="78"/>
    <cellStyle name="_1_CUAD-TEXTO_ 2 2" xfId="1738"/>
    <cellStyle name="_1-_CUAD-TEXTO_ 2 2" xfId="1739"/>
    <cellStyle name="_1_CUAD-TEXTO_ 2 3" xfId="3082"/>
    <cellStyle name="_1-_CUAD-TEXTO_ 2 3" xfId="3081"/>
    <cellStyle name="_1_CUAD-TEXTO_ 2 4" xfId="3352"/>
    <cellStyle name="_1-_CUAD-TEXTO_ 2 4" xfId="3351"/>
    <cellStyle name="_1_CUAD-TEXTO_ 2 5" xfId="3219"/>
    <cellStyle name="_1-_CUAD-TEXTO_ 2 5" xfId="3218"/>
    <cellStyle name="_1_CUAD-TEXTO_ 2 6" xfId="3376"/>
    <cellStyle name="_1-_CUAD-TEXTO_ 2 6" xfId="3375"/>
    <cellStyle name="_1_CUAD-TEXTO_ 20" xfId="4822"/>
    <cellStyle name="_1-_CUAD-TEXTO_ 20" xfId="4141"/>
    <cellStyle name="_1_CUAD-TEXTO_ 21" xfId="5210"/>
    <cellStyle name="_1-_CUAD-TEXTO_ 21" xfId="5028"/>
    <cellStyle name="_1_CUAD-TEXTO_ 22" xfId="4944"/>
    <cellStyle name="_1-_CUAD-TEXTO_ 22" xfId="4977"/>
    <cellStyle name="_1_CUAD-TEXTO_ 23" xfId="4967"/>
    <cellStyle name="_1-_CUAD-TEXTO_ 23" xfId="4116"/>
    <cellStyle name="_1_CUAD-TEXTO_ 24" xfId="4877"/>
    <cellStyle name="_1-_CUAD-TEXTO_ 24" xfId="4876"/>
    <cellStyle name="_1_CUAD-TEXTO_ 25" xfId="4968"/>
    <cellStyle name="_1-_CUAD-TEXTO_ 25" xfId="5062"/>
    <cellStyle name="_1_CUAD-TEXTO_ 26" xfId="5292"/>
    <cellStyle name="_1-_CUAD-TEXTO_ 26" xfId="5137"/>
    <cellStyle name="_1_CUAD-TEXTO_ 27" xfId="5475"/>
    <cellStyle name="_1-_CUAD-TEXTO_ 27" xfId="4784"/>
    <cellStyle name="_1_CUAD-TEXTO_ 28" xfId="4679"/>
    <cellStyle name="_1-_CUAD-TEXTO_ 28" xfId="5169"/>
    <cellStyle name="_1_CUAD-TEXTO_ 29" xfId="5012"/>
    <cellStyle name="_1-_CUAD-TEXTO_ 29" xfId="4101"/>
    <cellStyle name="_1_CUAD-TEXTO_ 3" xfId="1736"/>
    <cellStyle name="_1-_CUAD-TEXTO_ 3" xfId="1737"/>
    <cellStyle name="_1_CUAD-TEXTO_ 30" xfId="4206"/>
    <cellStyle name="_1-_CUAD-TEXTO_ 30" xfId="5237"/>
    <cellStyle name="_1_CUAD-TEXTO_ 31" xfId="4950"/>
    <cellStyle name="_1-_CUAD-TEXTO_ 31" xfId="4907"/>
    <cellStyle name="_1_CUAD-TEXTO_ 32" xfId="5530"/>
    <cellStyle name="_1-_CUAD-TEXTO_ 32" xfId="5516"/>
    <cellStyle name="_1_CUAD-TEXTO_ 33" xfId="5500"/>
    <cellStyle name="_1-_CUAD-TEXTO_ 33" xfId="5341"/>
    <cellStyle name="_1_CUAD-TEXTO_ 34" xfId="5607"/>
    <cellStyle name="_1-_CUAD-TEXTO_ 34" xfId="5608"/>
    <cellStyle name="_1_CUAD-TEXTO_ 35" xfId="5650"/>
    <cellStyle name="_1-_CUAD-TEXTO_ 35" xfId="5673"/>
    <cellStyle name="_1_CUAD-TEXTO_ 36" xfId="5640"/>
    <cellStyle name="_1-_CUAD-TEXTO_ 36" xfId="5663"/>
    <cellStyle name="_1_CUAD-TEXTO_ 37" xfId="5644"/>
    <cellStyle name="_1-_CUAD-TEXTO_ 37" xfId="5667"/>
    <cellStyle name="_1_CUAD-TEXTO_ 4" xfId="3084"/>
    <cellStyle name="_1-_CUAD-TEXTO_ 4" xfId="3083"/>
    <cellStyle name="_1_CUAD-TEXTO_ 5" xfId="3354"/>
    <cellStyle name="_1-_CUAD-TEXTO_ 5" xfId="3353"/>
    <cellStyle name="_1_CUAD-TEXTO_ 6" xfId="3221"/>
    <cellStyle name="_1-_CUAD-TEXTO_ 6" xfId="3220"/>
    <cellStyle name="_1_CUAD-TEXTO_ 7" xfId="3378"/>
    <cellStyle name="_1-_CUAD-TEXTO_ 7" xfId="3377"/>
    <cellStyle name="_1_CUAD-TEXTO_ 8" xfId="3941"/>
    <cellStyle name="_1-_CUAD-TEXTO_ 8" xfId="3942"/>
    <cellStyle name="_1_CUAD-TEXTO_ 9" xfId="4794"/>
    <cellStyle name="_1-_CUAD-TEXTO_ 9" xfId="5118"/>
    <cellStyle name="_1_GRAFICOS ODM" xfId="79"/>
    <cellStyle name="_1-_GRAFICOS ODM" xfId="80"/>
    <cellStyle name="_1_GRAFICOS ODM 10" xfId="4427"/>
    <cellStyle name="_1-_GRAFICOS ODM 10" xfId="5285"/>
    <cellStyle name="_1_GRAFICOS ODM 11" xfId="4956"/>
    <cellStyle name="_1-_GRAFICOS ODM 11" xfId="4308"/>
    <cellStyle name="_1_GRAFICOS ODM 12" xfId="5036"/>
    <cellStyle name="_1-_GRAFICOS ODM 12" xfId="5079"/>
    <cellStyle name="_1_GRAFICOS ODM 13" xfId="4457"/>
    <cellStyle name="_1-_GRAFICOS ODM 13" xfId="4813"/>
    <cellStyle name="_1_GRAFICOS ODM 14" xfId="3994"/>
    <cellStyle name="_1-_GRAFICOS ODM 14" xfId="4847"/>
    <cellStyle name="_1_GRAFICOS ODM 15" xfId="5009"/>
    <cellStyle name="_1-_GRAFICOS ODM 15" xfId="4870"/>
    <cellStyle name="_1_GRAFICOS ODM 16" xfId="4845"/>
    <cellStyle name="_1-_GRAFICOS ODM 16" xfId="4943"/>
    <cellStyle name="_1_GRAFICOS ODM 17" xfId="5358"/>
    <cellStyle name="_1-_GRAFICOS ODM 17" xfId="5382"/>
    <cellStyle name="_1_GRAFICOS ODM 18" xfId="5333"/>
    <cellStyle name="_1-_GRAFICOS ODM 18" xfId="5370"/>
    <cellStyle name="_1_GRAFICOS ODM 19" xfId="5022"/>
    <cellStyle name="_1-_GRAFICOS ODM 19" xfId="5328"/>
    <cellStyle name="_1_GRAFICOS ODM 2" xfId="81"/>
    <cellStyle name="_1-_GRAFICOS ODM 2" xfId="82"/>
    <cellStyle name="_1_GRAFICOS ODM 2 2" xfId="1742"/>
    <cellStyle name="_1-_GRAFICOS ODM 2 2" xfId="1743"/>
    <cellStyle name="_1_GRAFICOS ODM 2 3" xfId="3078"/>
    <cellStyle name="_1-_GRAFICOS ODM 2 3" xfId="3077"/>
    <cellStyle name="_1_GRAFICOS ODM 2 4" xfId="3348"/>
    <cellStyle name="_1-_GRAFICOS ODM 2 4" xfId="3347"/>
    <cellStyle name="_1_GRAFICOS ODM 2 5" xfId="3163"/>
    <cellStyle name="_1-_GRAFICOS ODM 2 5" xfId="3156"/>
    <cellStyle name="_1_GRAFICOS ODM 2 6" xfId="3372"/>
    <cellStyle name="_1-_GRAFICOS ODM 2 6" xfId="3371"/>
    <cellStyle name="_1_GRAFICOS ODM 20" xfId="4696"/>
    <cellStyle name="_1-_GRAFICOS ODM 20" xfId="4962"/>
    <cellStyle name="_1_GRAFICOS ODM 21" xfId="4717"/>
    <cellStyle name="_1-_GRAFICOS ODM 21" xfId="5159"/>
    <cellStyle name="_1_GRAFICOS ODM 22" xfId="4969"/>
    <cellStyle name="_1-_GRAFICOS ODM 22" xfId="4979"/>
    <cellStyle name="_1_GRAFICOS ODM 23" xfId="4327"/>
    <cellStyle name="_1-_GRAFICOS ODM 23" xfId="4910"/>
    <cellStyle name="_1_GRAFICOS ODM 24" xfId="4828"/>
    <cellStyle name="_1-_GRAFICOS ODM 24" xfId="4978"/>
    <cellStyle name="_1_GRAFICOS ODM 25" xfId="5377"/>
    <cellStyle name="_1-_GRAFICOS ODM 25" xfId="5281"/>
    <cellStyle name="_1_GRAFICOS ODM 26" xfId="5447"/>
    <cellStyle name="_1-_GRAFICOS ODM 26" xfId="5416"/>
    <cellStyle name="_1_GRAFICOS ODM 27" xfId="5293"/>
    <cellStyle name="_1-_GRAFICOS ODM 27" xfId="4820"/>
    <cellStyle name="_1_GRAFICOS ODM 28" xfId="4295"/>
    <cellStyle name="_1-_GRAFICOS ODM 28" xfId="4862"/>
    <cellStyle name="_1_GRAFICOS ODM 29" xfId="5242"/>
    <cellStyle name="_1-_GRAFICOS ODM 29" xfId="5171"/>
    <cellStyle name="_1_GRAFICOS ODM 3" xfId="1740"/>
    <cellStyle name="_1-_GRAFICOS ODM 3" xfId="1741"/>
    <cellStyle name="_1_GRAFICOS ODM 30" xfId="4169"/>
    <cellStyle name="_1-_GRAFICOS ODM 30" xfId="4851"/>
    <cellStyle name="_1_GRAFICOS ODM 31" xfId="4973"/>
    <cellStyle name="_1-_GRAFICOS ODM 31" xfId="5059"/>
    <cellStyle name="_1_GRAFICOS ODM 32" xfId="5144"/>
    <cellStyle name="_1-_GRAFICOS ODM 32" xfId="5119"/>
    <cellStyle name="_1_GRAFICOS ODM 33" xfId="4867"/>
    <cellStyle name="_1-_GRAFICOS ODM 33" xfId="4274"/>
    <cellStyle name="_1_GRAFICOS ODM 34" xfId="5609"/>
    <cellStyle name="_1-_GRAFICOS ODM 34" xfId="5610"/>
    <cellStyle name="_1_GRAFICOS ODM 35" xfId="5674"/>
    <cellStyle name="_1-_GRAFICOS ODM 35" xfId="5675"/>
    <cellStyle name="_1_GRAFICOS ODM 36" xfId="5664"/>
    <cellStyle name="_1-_GRAFICOS ODM 36" xfId="5628"/>
    <cellStyle name="_1_GRAFICOS ODM 37" xfId="5691"/>
    <cellStyle name="_1-_GRAFICOS ODM 37" xfId="5692"/>
    <cellStyle name="_1_GRAFICOS ODM 4" xfId="3080"/>
    <cellStyle name="_1-_GRAFICOS ODM 4" xfId="3079"/>
    <cellStyle name="_1_GRAFICOS ODM 5" xfId="3350"/>
    <cellStyle name="_1-_GRAFICOS ODM 5" xfId="3349"/>
    <cellStyle name="_1_GRAFICOS ODM 6" xfId="3217"/>
    <cellStyle name="_1-_GRAFICOS ODM 6" xfId="3164"/>
    <cellStyle name="_1_GRAFICOS ODM 7" xfId="3374"/>
    <cellStyle name="_1-_GRAFICOS ODM 7" xfId="3373"/>
    <cellStyle name="_1_GRAFICOS ODM 8" xfId="3944"/>
    <cellStyle name="_1-_GRAFICOS ODM 8" xfId="3945"/>
    <cellStyle name="_1_GRAFICOS ODM 9" xfId="5115"/>
    <cellStyle name="_1-_GRAFICOS ODM 9" xfId="5117"/>
    <cellStyle name="_1_Libro2" xfId="83"/>
    <cellStyle name="_1-_Libro2" xfId="84"/>
    <cellStyle name="_1_Libro2 10" xfId="5286"/>
    <cellStyle name="_1-_Libro2 10" xfId="5287"/>
    <cellStyle name="_1_Libro2 11" xfId="5061"/>
    <cellStyle name="_1-_Libro2 11" xfId="5247"/>
    <cellStyle name="_1_Libro2 12" xfId="5392"/>
    <cellStyle name="_1-_Libro2 12" xfId="5393"/>
    <cellStyle name="_1_Libro2 13" xfId="5190"/>
    <cellStyle name="_1-_Libro2 13" xfId="5191"/>
    <cellStyle name="_1_Libro2 14" xfId="5238"/>
    <cellStyle name="_1-_Libro2 14" xfId="5323"/>
    <cellStyle name="_1_Libro2 15" xfId="4837"/>
    <cellStyle name="_1-_Libro2 15" xfId="5200"/>
    <cellStyle name="_1_Libro2 16" xfId="4300"/>
    <cellStyle name="_1-_Libro2 16" xfId="4894"/>
    <cellStyle name="_1_Libro2 17" xfId="5148"/>
    <cellStyle name="_1-_Libro2 17" xfId="5321"/>
    <cellStyle name="_1_Libro2 18" xfId="4132"/>
    <cellStyle name="_1-_Libro2 18" xfId="5374"/>
    <cellStyle name="_1_Libro2 19" xfId="5346"/>
    <cellStyle name="_1-_Libro2 19" xfId="4936"/>
    <cellStyle name="_1_Libro2 2" xfId="85"/>
    <cellStyle name="_1-_Libro2 2" xfId="86"/>
    <cellStyle name="_1_Libro2 2 2" xfId="1746"/>
    <cellStyle name="_1-_Libro2 2 2" xfId="1747"/>
    <cellStyle name="_1_Libro2 2 3" xfId="3074"/>
    <cellStyle name="_1-_Libro2 2 3" xfId="3073"/>
    <cellStyle name="_1_Libro2 2 4" xfId="3344"/>
    <cellStyle name="_1-_Libro2 2 4" xfId="3343"/>
    <cellStyle name="_1_Libro2 2 5" xfId="3148"/>
    <cellStyle name="_1-_Libro2 2 5" xfId="3135"/>
    <cellStyle name="_1_Libro2 2 6" xfId="3368"/>
    <cellStyle name="_1-_Libro2 2 6" xfId="3367"/>
    <cellStyle name="_1_Libro2 20" xfId="4290"/>
    <cellStyle name="_1-_Libro2 20" xfId="4665"/>
    <cellStyle name="_1_Libro2 21" xfId="5249"/>
    <cellStyle name="_1-_Libro2 21" xfId="5406"/>
    <cellStyle name="_1_Libro2 22" xfId="5185"/>
    <cellStyle name="_1-_Libro2 22" xfId="4897"/>
    <cellStyle name="_1_Libro2 23" xfId="5451"/>
    <cellStyle name="_1-_Libro2 23" xfId="4597"/>
    <cellStyle name="_1_Libro2 24" xfId="4823"/>
    <cellStyle name="_1-_Libro2 24" xfId="4702"/>
    <cellStyle name="_1_Libro2 25" xfId="5404"/>
    <cellStyle name="_1-_Libro2 25" xfId="4381"/>
    <cellStyle name="_1_Libro2 26" xfId="5103"/>
    <cellStyle name="_1-_Libro2 26" xfId="5470"/>
    <cellStyle name="_1_Libro2 27" xfId="5089"/>
    <cellStyle name="_1-_Libro2 27" xfId="5128"/>
    <cellStyle name="_1_Libro2 28" xfId="5184"/>
    <cellStyle name="_1-_Libro2 28" xfId="5515"/>
    <cellStyle name="_1_Libro2 29" xfId="5182"/>
    <cellStyle name="_1-_Libro2 29" xfId="5232"/>
    <cellStyle name="_1_Libro2 3" xfId="1744"/>
    <cellStyle name="_1-_Libro2 3" xfId="1745"/>
    <cellStyle name="_1_Libro2 30" xfId="5359"/>
    <cellStyle name="_1-_Libro2 30" xfId="5291"/>
    <cellStyle name="_1_Libro2 31" xfId="5276"/>
    <cellStyle name="_1-_Libro2 31" xfId="5056"/>
    <cellStyle name="_1_Libro2 32" xfId="4078"/>
    <cellStyle name="_1-_Libro2 32" xfId="5366"/>
    <cellStyle name="_1_Libro2 33" xfId="5390"/>
    <cellStyle name="_1-_Libro2 33" xfId="5024"/>
    <cellStyle name="_1_Libro2 34" xfId="5611"/>
    <cellStyle name="_1-_Libro2 34" xfId="5612"/>
    <cellStyle name="_1_Libro2 35" xfId="5649"/>
    <cellStyle name="_1-_Libro2 35" xfId="5670"/>
    <cellStyle name="_1_Libro2 36" xfId="5641"/>
    <cellStyle name="_1-_Libro2 36" xfId="5665"/>
    <cellStyle name="_1_Libro2 37" xfId="5669"/>
    <cellStyle name="_1-_Libro2 37" xfId="5635"/>
    <cellStyle name="_1_Libro2 4" xfId="3076"/>
    <cellStyle name="_1-_Libro2 4" xfId="3075"/>
    <cellStyle name="_1_Libro2 5" xfId="3346"/>
    <cellStyle name="_1-_Libro2 5" xfId="3345"/>
    <cellStyle name="_1_Libro2 6" xfId="3153"/>
    <cellStyle name="_1-_Libro2 6" xfId="3149"/>
    <cellStyle name="_1_Libro2 7" xfId="3370"/>
    <cellStyle name="_1-_Libro2 7" xfId="3369"/>
    <cellStyle name="_1_Libro2 8" xfId="3946"/>
    <cellStyle name="_1-_Libro2 8" xfId="3947"/>
    <cellStyle name="_1_Libro2 9" xfId="5116"/>
    <cellStyle name="_1-_Libro2 9" xfId="4790"/>
    <cellStyle name="_1_solicita datos para el 2007-minedu remitio" xfId="87"/>
    <cellStyle name="_1-_solicita datos para el 2007-minedu remitio" xfId="88"/>
    <cellStyle name="_1_solicita datos para el 2007-minedu remitio 10" xfId="5284"/>
    <cellStyle name="_1-_solicita datos para el 2007-minedu remitio 10" xfId="5000"/>
    <cellStyle name="_1_solicita datos para el 2007-minedu remitio 11" xfId="4953"/>
    <cellStyle name="_1-_solicita datos para el 2007-minedu remitio 11" xfId="4954"/>
    <cellStyle name="_1_solicita datos para el 2007-minedu remitio 12" xfId="5080"/>
    <cellStyle name="_1-_solicita datos para el 2007-minedu remitio 12" xfId="4827"/>
    <cellStyle name="_1_solicita datos para el 2007-minedu remitio 13" xfId="4811"/>
    <cellStyle name="_1-_solicita datos para el 2007-minedu remitio 13" xfId="4105"/>
    <cellStyle name="_1_solicita datos para el 2007-minedu remitio 14" xfId="4479"/>
    <cellStyle name="_1-_solicita datos para el 2007-minedu remitio 14" xfId="4990"/>
    <cellStyle name="_1_solicita datos para el 2007-minedu remitio 15" xfId="5173"/>
    <cellStyle name="_1-_solicita datos para el 2007-minedu remitio 15" xfId="5015"/>
    <cellStyle name="_1_solicita datos para el 2007-minedu remitio 16" xfId="5076"/>
    <cellStyle name="_1-_solicita datos para el 2007-minedu remitio 16" xfId="5398"/>
    <cellStyle name="_1_solicita datos para el 2007-minedu remitio 17" xfId="5175"/>
    <cellStyle name="_1-_solicita datos para el 2007-minedu remitio 17" xfId="5112"/>
    <cellStyle name="_1_solicita datos para el 2007-minedu remitio 18" xfId="5106"/>
    <cellStyle name="_1-_solicita datos para el 2007-minedu remitio 18" xfId="4945"/>
    <cellStyle name="_1_solicita datos para el 2007-minedu remitio 19" xfId="4740"/>
    <cellStyle name="_1-_solicita datos para el 2007-minedu remitio 19" xfId="4927"/>
    <cellStyle name="_1_solicita datos para el 2007-minedu remitio 2" xfId="89"/>
    <cellStyle name="_1-_solicita datos para el 2007-minedu remitio 2" xfId="90"/>
    <cellStyle name="_1_solicita datos para el 2007-minedu remitio 2 2" xfId="1750"/>
    <cellStyle name="_1-_solicita datos para el 2007-minedu remitio 2 2" xfId="1751"/>
    <cellStyle name="_1_solicita datos para el 2007-minedu remitio 2 3" xfId="3070"/>
    <cellStyle name="_1-_solicita datos para el 2007-minedu remitio 2 3" xfId="3069"/>
    <cellStyle name="_1_solicita datos para el 2007-minedu remitio 2 4" xfId="3340"/>
    <cellStyle name="_1-_solicita datos para el 2007-minedu remitio 2 4" xfId="3339"/>
    <cellStyle name="_1_solicita datos para el 2007-minedu remitio 2 5" xfId="3124"/>
    <cellStyle name="_1-_solicita datos para el 2007-minedu remitio 2 5" xfId="3123"/>
    <cellStyle name="_1_solicita datos para el 2007-minedu remitio 2 6" xfId="3364"/>
    <cellStyle name="_1-_solicita datos para el 2007-minedu remitio 2 6" xfId="3363"/>
    <cellStyle name="_1_solicita datos para el 2007-minedu remitio 20" xfId="4864"/>
    <cellStyle name="_1-_solicita datos para el 2007-minedu remitio 20" xfId="5319"/>
    <cellStyle name="_1_solicita datos para el 2007-minedu remitio 21" xfId="5379"/>
    <cellStyle name="_1-_solicita datos para el 2007-minedu remitio 21" xfId="4730"/>
    <cellStyle name="_1_solicita datos para el 2007-minedu remitio 22" xfId="5422"/>
    <cellStyle name="_1-_solicita datos para el 2007-minedu remitio 22" xfId="5373"/>
    <cellStyle name="_1_solicita datos para el 2007-minedu remitio 23" xfId="5277"/>
    <cellStyle name="_1-_solicita datos para el 2007-minedu remitio 23" xfId="5450"/>
    <cellStyle name="_1_solicita datos para el 2007-minedu remitio 24" xfId="5337"/>
    <cellStyle name="_1-_solicita datos para el 2007-minedu remitio 24" xfId="5490"/>
    <cellStyle name="_1_solicita datos para el 2007-minedu remitio 25" xfId="4865"/>
    <cellStyle name="_1-_solicita datos para el 2007-minedu remitio 25" xfId="4902"/>
    <cellStyle name="_1_solicita datos para el 2007-minedu remitio 26" xfId="5349"/>
    <cellStyle name="_1-_solicita datos para el 2007-minedu remitio 26" xfId="5282"/>
    <cellStyle name="_1_solicita datos para el 2007-minedu remitio 27" xfId="5195"/>
    <cellStyle name="_1-_solicita datos para el 2007-minedu remitio 27" xfId="5378"/>
    <cellStyle name="_1_solicita datos para el 2007-minedu remitio 28" xfId="5330"/>
    <cellStyle name="_1-_solicita datos para el 2007-minedu remitio 28" xfId="4824"/>
    <cellStyle name="_1_solicita datos para el 2007-minedu remitio 29" xfId="5311"/>
    <cellStyle name="_1-_solicita datos para el 2007-minedu remitio 29" xfId="5456"/>
    <cellStyle name="_1_solicita datos para el 2007-minedu remitio 3" xfId="1748"/>
    <cellStyle name="_1-_solicita datos para el 2007-minedu remitio 3" xfId="1749"/>
    <cellStyle name="_1_solicita datos para el 2007-minedu remitio 30" xfId="4840"/>
    <cellStyle name="_1-_solicita datos para el 2007-minedu remitio 30" xfId="5060"/>
    <cellStyle name="_1_solicita datos para el 2007-minedu remitio 31" xfId="4592"/>
    <cellStyle name="_1-_solicita datos para el 2007-minedu remitio 31" xfId="4052"/>
    <cellStyle name="_1_solicita datos para el 2007-minedu remitio 32" xfId="5213"/>
    <cellStyle name="_1-_solicita datos para el 2007-minedu remitio 32" xfId="5318"/>
    <cellStyle name="_1_solicita datos para el 2007-minedu remitio 33" xfId="5441"/>
    <cellStyle name="_1-_solicita datos para el 2007-minedu remitio 33" xfId="4896"/>
    <cellStyle name="_1_solicita datos para el 2007-minedu remitio 34" xfId="5613"/>
    <cellStyle name="_1-_solicita datos para el 2007-minedu remitio 34" xfId="5614"/>
    <cellStyle name="_1_solicita datos para el 2007-minedu remitio 35" xfId="5671"/>
    <cellStyle name="_1-_solicita datos para el 2007-minedu remitio 35" xfId="5672"/>
    <cellStyle name="_1_solicita datos para el 2007-minedu remitio 36" xfId="5666"/>
    <cellStyle name="_1-_solicita datos para el 2007-minedu remitio 36" xfId="5629"/>
    <cellStyle name="_1_solicita datos para el 2007-minedu remitio 37" xfId="5689"/>
    <cellStyle name="_1-_solicita datos para el 2007-minedu remitio 37" xfId="5690"/>
    <cellStyle name="_1_solicita datos para el 2007-minedu remitio 4" xfId="3072"/>
    <cellStyle name="_1-_solicita datos para el 2007-minedu remitio 4" xfId="3071"/>
    <cellStyle name="_1_solicita datos para el 2007-minedu remitio 5" xfId="3342"/>
    <cellStyle name="_1-_solicita datos para el 2007-minedu remitio 5" xfId="3341"/>
    <cellStyle name="_1_solicita datos para el 2007-minedu remitio 6" xfId="3128"/>
    <cellStyle name="_1-_solicita datos para el 2007-minedu remitio 6" xfId="1671"/>
    <cellStyle name="_1_solicita datos para el 2007-minedu remitio 7" xfId="3366"/>
    <cellStyle name="_1-_solicita datos para el 2007-minedu remitio 7" xfId="3365"/>
    <cellStyle name="_1_solicita datos para el 2007-minedu remitio 8" xfId="3948"/>
    <cellStyle name="_1-_solicita datos para el 2007-minedu remitio 8" xfId="3949"/>
    <cellStyle name="_1_solicita datos para el 2007-minedu remitio 9" xfId="4787"/>
    <cellStyle name="_1-_solicita datos para el 2007-minedu remitio 9" xfId="5114"/>
    <cellStyle name="_10-" xfId="91"/>
    <cellStyle name="_10- 2" xfId="92"/>
    <cellStyle name="_10- 2 2" xfId="1763"/>
    <cellStyle name="_10- 3" xfId="1752"/>
    <cellStyle name="_10- 4" xfId="3951"/>
    <cellStyle name="_10.42 (omisos)" xfId="93"/>
    <cellStyle name="_10.42 (omisos) 2" xfId="94"/>
    <cellStyle name="_10.42 (omisos) 2 2" xfId="95"/>
    <cellStyle name="_10.42 (omisos) 2 2 2" xfId="96"/>
    <cellStyle name="_10.42 (omisos) 2 2 2 2" xfId="1756"/>
    <cellStyle name="_10.42 (omisos) 2 2 3" xfId="1755"/>
    <cellStyle name="_10.42 (omisos) 2 2 4" xfId="3954"/>
    <cellStyle name="_10.42 (omisos) 2 3" xfId="97"/>
    <cellStyle name="_10.42 (omisos) 2 3 2" xfId="1757"/>
    <cellStyle name="_10.42 (omisos) 2 4" xfId="1754"/>
    <cellStyle name="_10.42 (omisos) 2 5" xfId="3953"/>
    <cellStyle name="_10.42 (omisos) 3" xfId="98"/>
    <cellStyle name="_10.42 (omisos) 3 2" xfId="1758"/>
    <cellStyle name="_10.42 (omisos) 4" xfId="1753"/>
    <cellStyle name="_10.42 (omisos) 5" xfId="3952"/>
    <cellStyle name="_10-_1-UIRN-UTSIGnov-2008" xfId="99"/>
    <cellStyle name="_10-_1-UIRN-UTSIGnov-2008 2" xfId="100"/>
    <cellStyle name="_10-_1-UIRN-UTSIGnov-2008 2 2" xfId="1760"/>
    <cellStyle name="_10-_1-UIRN-UTSIGnov-2008 3" xfId="1759"/>
    <cellStyle name="_10-_1-UIRN-UTSIGnov-2008 4" xfId="3955"/>
    <cellStyle name="_10-_1-UIRN-UTSIGnov-2008_GRAFICOS ODM" xfId="101"/>
    <cellStyle name="_10-_1-UIRN-UTSIGnov-2008_GRAFICOS ODM 2" xfId="102"/>
    <cellStyle name="_10-_1-UIRN-UTSIGnov-2008_GRAFICOS ODM 2 2" xfId="1762"/>
    <cellStyle name="_10-_1-UIRN-UTSIGnov-2008_GRAFICOS ODM 3" xfId="1761"/>
    <cellStyle name="_10-_1-UIRN-UTSIGnov-2008_GRAFICOS ODM 4" xfId="3956"/>
    <cellStyle name="_10-_cuadros adicionales de brechas2002 y 2008 (2)" xfId="103"/>
    <cellStyle name="_10-_cuadros adicionales de brechas2002 y 2008 (2) 2" xfId="104"/>
    <cellStyle name="_10-_cuadros adicionales de brechas2002 y 2008 (2) 2 2" xfId="1765"/>
    <cellStyle name="_10-_cuadros adicionales de brechas2002 y 2008 (2) 3" xfId="1764"/>
    <cellStyle name="_10-_cuadros adicionales de brechas2002 y 2008 (2) 4" xfId="3957"/>
    <cellStyle name="_10-_CUAD-TEXTO_" xfId="105"/>
    <cellStyle name="_10-_CUAD-TEXTO_ 2" xfId="106"/>
    <cellStyle name="_10-_CUAD-TEXTO_ 2 2" xfId="1767"/>
    <cellStyle name="_10-_CUAD-TEXTO_ 3" xfId="1766"/>
    <cellStyle name="_10-_CUAD-TEXTO_ 4" xfId="3958"/>
    <cellStyle name="_10-_GRAFICOS ODM" xfId="107"/>
    <cellStyle name="_10-_GRAFICOS ODM 2" xfId="108"/>
    <cellStyle name="_10-_GRAFICOS ODM 2 2" xfId="1769"/>
    <cellStyle name="_10-_GRAFICOS ODM 3" xfId="1768"/>
    <cellStyle name="_10-_GRAFICOS ODM 4" xfId="3959"/>
    <cellStyle name="_10-_Libro2" xfId="109"/>
    <cellStyle name="_10-_Libro2 2" xfId="110"/>
    <cellStyle name="_10-_Libro2 2 2" xfId="1771"/>
    <cellStyle name="_10-_Libro2 3" xfId="1770"/>
    <cellStyle name="_10-_Libro2 4" xfId="3960"/>
    <cellStyle name="_10-_solicita datos para el 2007-minedu remitio" xfId="111"/>
    <cellStyle name="_10-_solicita datos para el 2007-minedu remitio 2" xfId="112"/>
    <cellStyle name="_10-_solicita datos para el 2007-minedu remitio 2 2" xfId="1773"/>
    <cellStyle name="_10-_solicita datos para el 2007-minedu remitio 3" xfId="1772"/>
    <cellStyle name="_10-_solicita datos para el 2007-minedu remitio 4" xfId="3961"/>
    <cellStyle name="_10-CALENTAMIENTOGLOBAL" xfId="113"/>
    <cellStyle name="_10-CALENTAMIENTOGLOBAL 2" xfId="114"/>
    <cellStyle name="_10-CALENTAMIENTOGLOBAL 2 2" xfId="1779"/>
    <cellStyle name="_10-CALENTAMIENTOGLOBAL 3" xfId="1774"/>
    <cellStyle name="_10-CALENTAMIENTOGLOBAL 4" xfId="3963"/>
    <cellStyle name="_10-CALENTAMIENTOGLOBAL_1-UIRN-UTSIGnov-2008" xfId="115"/>
    <cellStyle name="_10-CALENTAMIENTOGLOBAL_1-UIRN-UTSIGnov-2008 2" xfId="116"/>
    <cellStyle name="_10-CALENTAMIENTOGLOBAL_1-UIRN-UTSIGnov-2008 2 2" xfId="1776"/>
    <cellStyle name="_10-CALENTAMIENTOGLOBAL_1-UIRN-UTSIGnov-2008 3" xfId="1775"/>
    <cellStyle name="_10-CALENTAMIENTOGLOBAL_1-UIRN-UTSIGnov-2008 4" xfId="3964"/>
    <cellStyle name="_10-CALENTAMIENTOGLOBAL_1-UIRN-UTSIGnov-2008_GRAFICOS ODM" xfId="117"/>
    <cellStyle name="_10-CALENTAMIENTOGLOBAL_1-UIRN-UTSIGnov-2008_GRAFICOS ODM 2" xfId="118"/>
    <cellStyle name="_10-CALENTAMIENTOGLOBAL_1-UIRN-UTSIGnov-2008_GRAFICOS ODM 2 2" xfId="1778"/>
    <cellStyle name="_10-CALENTAMIENTOGLOBAL_1-UIRN-UTSIGnov-2008_GRAFICOS ODM 3" xfId="1777"/>
    <cellStyle name="_10-CALENTAMIENTOGLOBAL_1-UIRN-UTSIGnov-2008_GRAFICOS ODM 4" xfId="3965"/>
    <cellStyle name="_10-CALENTAMIENTOGLOBAL_cuadros adicionales de brechas2002 y 2008 (2)" xfId="119"/>
    <cellStyle name="_10-CALENTAMIENTOGLOBAL_cuadros adicionales de brechas2002 y 2008 (2) 2" xfId="120"/>
    <cellStyle name="_10-CALENTAMIENTOGLOBAL_cuadros adicionales de brechas2002 y 2008 (2) 2 2" xfId="1781"/>
    <cellStyle name="_10-CALENTAMIENTOGLOBAL_cuadros adicionales de brechas2002 y 2008 (2) 3" xfId="1780"/>
    <cellStyle name="_10-CALENTAMIENTOGLOBAL_cuadros adicionales de brechas2002 y 2008 (2) 4" xfId="3966"/>
    <cellStyle name="_10-CALENTAMIENTOGLOBAL_CUAD-TEXTO_" xfId="121"/>
    <cellStyle name="_10-CALENTAMIENTOGLOBAL_CUAD-TEXTO_ 2" xfId="122"/>
    <cellStyle name="_10-CALENTAMIENTOGLOBAL_CUAD-TEXTO_ 2 2" xfId="1783"/>
    <cellStyle name="_10-CALENTAMIENTOGLOBAL_CUAD-TEXTO_ 3" xfId="1782"/>
    <cellStyle name="_10-CALENTAMIENTOGLOBAL_CUAD-TEXTO_ 4" xfId="3967"/>
    <cellStyle name="_10-CALENTAMIENTOGLOBAL_GRAFICOS ODM" xfId="123"/>
    <cellStyle name="_10-CALENTAMIENTOGLOBAL_GRAFICOS ODM 2" xfId="124"/>
    <cellStyle name="_10-CALENTAMIENTOGLOBAL_GRAFICOS ODM 2 2" xfId="1785"/>
    <cellStyle name="_10-CALENTAMIENTOGLOBAL_GRAFICOS ODM 3" xfId="1784"/>
    <cellStyle name="_10-CALENTAMIENTOGLOBAL_GRAFICOS ODM 4" xfId="3968"/>
    <cellStyle name="_10-CALENTAMIENTOGLOBAL_Libro2" xfId="125"/>
    <cellStyle name="_10-CALENTAMIENTOGLOBAL_Libro2 2" xfId="126"/>
    <cellStyle name="_10-CALENTAMIENTOGLOBAL_Libro2 2 2" xfId="1787"/>
    <cellStyle name="_10-CALENTAMIENTOGLOBAL_Libro2 3" xfId="1786"/>
    <cellStyle name="_10-CALENTAMIENTOGLOBAL_Libro2 4" xfId="3969"/>
    <cellStyle name="_10-CALENTAMIENTOGLOBAL_solicita datos para el 2007-minedu remitio" xfId="127"/>
    <cellStyle name="_10-CALENTAMIENTOGLOBAL_solicita datos para el 2007-minedu remitio 2" xfId="128"/>
    <cellStyle name="_10-CALENTAMIENTOGLOBAL_solicita datos para el 2007-minedu remitio 2 2" xfId="1789"/>
    <cellStyle name="_10-CALENTAMIENTOGLOBAL_solicita datos para el 2007-minedu remitio 3" xfId="1788"/>
    <cellStyle name="_10-CALENTAMIENTOGLOBAL_solicita datos para el 2007-minedu remitio 4" xfId="3970"/>
    <cellStyle name="_11-12" xfId="129"/>
    <cellStyle name="_11-12 2" xfId="130"/>
    <cellStyle name="_11-12 2 2" xfId="1795"/>
    <cellStyle name="_11-12 3" xfId="1790"/>
    <cellStyle name="_11-12 4" xfId="3971"/>
    <cellStyle name="_11-12_1-UIRN-UTSIGnov-2008" xfId="131"/>
    <cellStyle name="_11-12_1-UIRN-UTSIGnov-2008 2" xfId="132"/>
    <cellStyle name="_11-12_1-UIRN-UTSIGnov-2008 2 2" xfId="1792"/>
    <cellStyle name="_11-12_1-UIRN-UTSIGnov-2008 3" xfId="1791"/>
    <cellStyle name="_11-12_1-UIRN-UTSIGnov-2008 4" xfId="3972"/>
    <cellStyle name="_11-12_1-UIRN-UTSIGnov-2008_GRAFICOS ODM" xfId="133"/>
    <cellStyle name="_11-12_1-UIRN-UTSIGnov-2008_GRAFICOS ODM 2" xfId="134"/>
    <cellStyle name="_11-12_1-UIRN-UTSIGnov-2008_GRAFICOS ODM 2 2" xfId="1794"/>
    <cellStyle name="_11-12_1-UIRN-UTSIGnov-2008_GRAFICOS ODM 3" xfId="1793"/>
    <cellStyle name="_11-12_1-UIRN-UTSIGnov-2008_GRAFICOS ODM 4" xfId="3973"/>
    <cellStyle name="_11-12_cuadros adicionales de brechas2002 y 2008 (2)" xfId="135"/>
    <cellStyle name="_11-12_cuadros adicionales de brechas2002 y 2008 (2) 2" xfId="136"/>
    <cellStyle name="_11-12_cuadros adicionales de brechas2002 y 2008 (2) 2 2" xfId="1797"/>
    <cellStyle name="_11-12_cuadros adicionales de brechas2002 y 2008 (2) 3" xfId="1796"/>
    <cellStyle name="_11-12_cuadros adicionales de brechas2002 y 2008 (2) 4" xfId="3974"/>
    <cellStyle name="_11-12_CUAD-TEXTO_" xfId="137"/>
    <cellStyle name="_11-12_CUAD-TEXTO_ 2" xfId="138"/>
    <cellStyle name="_11-12_CUAD-TEXTO_ 2 2" xfId="1799"/>
    <cellStyle name="_11-12_CUAD-TEXTO_ 3" xfId="1798"/>
    <cellStyle name="_11-12_CUAD-TEXTO_ 4" xfId="3975"/>
    <cellStyle name="_11-12_GRAFICOS ODM" xfId="139"/>
    <cellStyle name="_11-12_GRAFICOS ODM 2" xfId="140"/>
    <cellStyle name="_11-12_GRAFICOS ODM 2 2" xfId="1801"/>
    <cellStyle name="_11-12_GRAFICOS ODM 3" xfId="1800"/>
    <cellStyle name="_11-12_GRAFICOS ODM 4" xfId="3976"/>
    <cellStyle name="_11-12_Libro2" xfId="141"/>
    <cellStyle name="_11-12_Libro2 2" xfId="142"/>
    <cellStyle name="_11-12_Libro2 2 2" xfId="1803"/>
    <cellStyle name="_11-12_Libro2 3" xfId="1802"/>
    <cellStyle name="_11-12_Libro2 4" xfId="3977"/>
    <cellStyle name="_11-12_solicita datos para el 2007-minedu remitio" xfId="143"/>
    <cellStyle name="_11-12_solicita datos para el 2007-minedu remitio 2" xfId="144"/>
    <cellStyle name="_11-12_solicita datos para el 2007-minedu remitio 2 2" xfId="1805"/>
    <cellStyle name="_11-12_solicita datos para el 2007-minedu remitio 3" xfId="1804"/>
    <cellStyle name="_11-12_solicita datos para el 2007-minedu remitio 4" xfId="3978"/>
    <cellStyle name="_1-TERRITORIO Y SUELO-2008-ok" xfId="145"/>
    <cellStyle name="_1-TERRITORIO Y SUELO-2008-ok 2" xfId="146"/>
    <cellStyle name="_1-TERRITORIO Y SUELO-2008-ok 2 2" xfId="1811"/>
    <cellStyle name="_1-TERRITORIO Y SUELO-2008-ok 3" xfId="1806"/>
    <cellStyle name="_1-TERRITORIO Y SUELO-2008-ok 4" xfId="3979"/>
    <cellStyle name="_1-TERRITORIO Y SUELO-2008-ok_1-UIRN-UTSIGnov-2008" xfId="147"/>
    <cellStyle name="_1-TERRITORIO Y SUELO-2008-ok_1-UIRN-UTSIGnov-2008 2" xfId="148"/>
    <cellStyle name="_1-TERRITORIO Y SUELO-2008-ok_1-UIRN-UTSIGnov-2008 2 2" xfId="1808"/>
    <cellStyle name="_1-TERRITORIO Y SUELO-2008-ok_1-UIRN-UTSIGnov-2008 3" xfId="1807"/>
    <cellStyle name="_1-TERRITORIO Y SUELO-2008-ok_1-UIRN-UTSIGnov-2008 4" xfId="3980"/>
    <cellStyle name="_1-TERRITORIO Y SUELO-2008-ok_1-UIRN-UTSIGnov-2008_GRAFICOS ODM" xfId="149"/>
    <cellStyle name="_1-TERRITORIO Y SUELO-2008-ok_1-UIRN-UTSIGnov-2008_GRAFICOS ODM 2" xfId="150"/>
    <cellStyle name="_1-TERRITORIO Y SUELO-2008-ok_1-UIRN-UTSIGnov-2008_GRAFICOS ODM 2 2" xfId="1810"/>
    <cellStyle name="_1-TERRITORIO Y SUELO-2008-ok_1-UIRN-UTSIGnov-2008_GRAFICOS ODM 3" xfId="1809"/>
    <cellStyle name="_1-TERRITORIO Y SUELO-2008-ok_1-UIRN-UTSIGnov-2008_GRAFICOS ODM 4" xfId="3981"/>
    <cellStyle name="_1-TERRITORIO Y SUELO-2008-ok_cuadros adicionales de brechas2002 y 2008 (2)" xfId="151"/>
    <cellStyle name="_1-TERRITORIO Y SUELO-2008-ok_cuadros adicionales de brechas2002 y 2008 (2) 2" xfId="152"/>
    <cellStyle name="_1-TERRITORIO Y SUELO-2008-ok_cuadros adicionales de brechas2002 y 2008 (2) 2 2" xfId="1813"/>
    <cellStyle name="_1-TERRITORIO Y SUELO-2008-ok_cuadros adicionales de brechas2002 y 2008 (2) 3" xfId="1812"/>
    <cellStyle name="_1-TERRITORIO Y SUELO-2008-ok_cuadros adicionales de brechas2002 y 2008 (2) 4" xfId="3983"/>
    <cellStyle name="_1-TERRITORIO Y SUELO-2008-ok_CUAD-TEXTO_" xfId="153"/>
    <cellStyle name="_1-TERRITORIO Y SUELO-2008-ok_CUAD-TEXTO_ 2" xfId="154"/>
    <cellStyle name="_1-TERRITORIO Y SUELO-2008-ok_CUAD-TEXTO_ 2 2" xfId="1815"/>
    <cellStyle name="_1-TERRITORIO Y SUELO-2008-ok_CUAD-TEXTO_ 3" xfId="1814"/>
    <cellStyle name="_1-TERRITORIO Y SUELO-2008-ok_CUAD-TEXTO_ 4" xfId="3984"/>
    <cellStyle name="_1-TERRITORIO Y SUELO-2008-ok_GRAFICOS ODM" xfId="155"/>
    <cellStyle name="_1-TERRITORIO Y SUELO-2008-ok_GRAFICOS ODM 2" xfId="156"/>
    <cellStyle name="_1-TERRITORIO Y SUELO-2008-ok_GRAFICOS ODM 2 2" xfId="1817"/>
    <cellStyle name="_1-TERRITORIO Y SUELO-2008-ok_GRAFICOS ODM 3" xfId="1816"/>
    <cellStyle name="_1-TERRITORIO Y SUELO-2008-ok_GRAFICOS ODM 4" xfId="3986"/>
    <cellStyle name="_1-TERRITORIO Y SUELO-2008-ok_Libro2" xfId="157"/>
    <cellStyle name="_1-TERRITORIO Y SUELO-2008-ok_Libro2 2" xfId="158"/>
    <cellStyle name="_1-TERRITORIO Y SUELO-2008-ok_Libro2 2 2" xfId="1819"/>
    <cellStyle name="_1-TERRITORIO Y SUELO-2008-ok_Libro2 3" xfId="1818"/>
    <cellStyle name="_1-TERRITORIO Y SUELO-2008-ok_Libro2 4" xfId="3987"/>
    <cellStyle name="_1-TERRITORIO Y SUELO-2008-ok_solicita datos para el 2007-minedu remitio" xfId="159"/>
    <cellStyle name="_1-TERRITORIO Y SUELO-2008-ok_solicita datos para el 2007-minedu remitio 2" xfId="160"/>
    <cellStyle name="_1-TERRITORIO Y SUELO-2008-ok_solicita datos para el 2007-minedu remitio 2 2" xfId="1821"/>
    <cellStyle name="_1-TERRITORIO Y SUELO-2008-ok_solicita datos para el 2007-minedu remitio 3" xfId="1820"/>
    <cellStyle name="_1-TERRITORIO Y SUELO-2008-ok_solicita datos para el 2007-minedu remitio 4" xfId="3988"/>
    <cellStyle name="_2" xfId="161"/>
    <cellStyle name="_2-" xfId="162"/>
    <cellStyle name="_2 10" xfId="5424"/>
    <cellStyle name="_2- 10" xfId="5423"/>
    <cellStyle name="_2 11" xfId="5446"/>
    <cellStyle name="_2- 11" xfId="5445"/>
    <cellStyle name="_2 12" xfId="4983"/>
    <cellStyle name="_2- 12" xfId="5136"/>
    <cellStyle name="_2 13" xfId="5458"/>
    <cellStyle name="_2- 13" xfId="5457"/>
    <cellStyle name="_2 14" xfId="5469"/>
    <cellStyle name="_2- 14" xfId="5468"/>
    <cellStyle name="_2 15" xfId="5489"/>
    <cellStyle name="_2- 15" xfId="5488"/>
    <cellStyle name="_2 16" xfId="5495"/>
    <cellStyle name="_2- 16" xfId="5494"/>
    <cellStyle name="_2 17" xfId="5499"/>
    <cellStyle name="_2- 17" xfId="5498"/>
    <cellStyle name="_2 18" xfId="5502"/>
    <cellStyle name="_2- 18" xfId="5501"/>
    <cellStyle name="_2 19" xfId="5508"/>
    <cellStyle name="_2- 19" xfId="5507"/>
    <cellStyle name="_2 2" xfId="163"/>
    <cellStyle name="_2- 2" xfId="164"/>
    <cellStyle name="_2 2 2" xfId="1844"/>
    <cellStyle name="_2- 2 2" xfId="1845"/>
    <cellStyle name="_2 2 3" xfId="3253"/>
    <cellStyle name="_2- 2 3" xfId="3254"/>
    <cellStyle name="_2 2 4" xfId="3312"/>
    <cellStyle name="_2- 2 4" xfId="3311"/>
    <cellStyle name="_2 2 5" xfId="2024"/>
    <cellStyle name="_2- 2 5" xfId="2023"/>
    <cellStyle name="_2 2 6" xfId="3336"/>
    <cellStyle name="_2- 2 6" xfId="3335"/>
    <cellStyle name="_2 20" xfId="5511"/>
    <cellStyle name="_2- 20" xfId="5510"/>
    <cellStyle name="_2 21" xfId="5514"/>
    <cellStyle name="_2- 21" xfId="5513"/>
    <cellStyle name="_2 22" xfId="4852"/>
    <cellStyle name="_2- 22" xfId="5127"/>
    <cellStyle name="_2 23" xfId="5529"/>
    <cellStyle name="_2- 23" xfId="5528"/>
    <cellStyle name="_2 24" xfId="5304"/>
    <cellStyle name="_2- 24" xfId="5033"/>
    <cellStyle name="_2 25" xfId="5543"/>
    <cellStyle name="_2- 25" xfId="5542"/>
    <cellStyle name="_2 26" xfId="5546"/>
    <cellStyle name="_2- 26" xfId="5545"/>
    <cellStyle name="_2 27" xfId="5550"/>
    <cellStyle name="_2- 27" xfId="5549"/>
    <cellStyle name="_2 28" xfId="5553"/>
    <cellStyle name="_2- 28" xfId="5552"/>
    <cellStyle name="_2 29" xfId="5556"/>
    <cellStyle name="_2- 29" xfId="5555"/>
    <cellStyle name="_2 3" xfId="1822"/>
    <cellStyle name="_2- 3" xfId="1823"/>
    <cellStyle name="_2 30" xfId="5559"/>
    <cellStyle name="_2- 30" xfId="5558"/>
    <cellStyle name="_2 31" xfId="5562"/>
    <cellStyle name="_2- 31" xfId="5561"/>
    <cellStyle name="_2 32" xfId="5565"/>
    <cellStyle name="_2- 32" xfId="5564"/>
    <cellStyle name="_2 33" xfId="5567"/>
    <cellStyle name="_2- 33" xfId="5566"/>
    <cellStyle name="_2 34" xfId="5615"/>
    <cellStyle name="_2- 34" xfId="5616"/>
    <cellStyle name="_2 35" xfId="5706"/>
    <cellStyle name="_2- 35" xfId="5705"/>
    <cellStyle name="_2 36" xfId="5709"/>
    <cellStyle name="_2- 36" xfId="5708"/>
    <cellStyle name="_2 37" xfId="5711"/>
    <cellStyle name="_2- 37" xfId="5710"/>
    <cellStyle name="_2 4" xfId="3235"/>
    <cellStyle name="_2- 4" xfId="3236"/>
    <cellStyle name="_2 5" xfId="3330"/>
    <cellStyle name="_2- 5" xfId="3329"/>
    <cellStyle name="_2 6" xfId="2026"/>
    <cellStyle name="_2- 6" xfId="2025"/>
    <cellStyle name="_2 7" xfId="3338"/>
    <cellStyle name="_2- 7" xfId="3337"/>
    <cellStyle name="_2 8" xfId="3989"/>
    <cellStyle name="_2- 8" xfId="3990"/>
    <cellStyle name="_2 9" xfId="5268"/>
    <cellStyle name="_2- 9" xfId="5267"/>
    <cellStyle name="_2.4" xfId="165"/>
    <cellStyle name="_2.4 2" xfId="166"/>
    <cellStyle name="_2.4 2 2" xfId="1829"/>
    <cellStyle name="_2.4 3" xfId="1824"/>
    <cellStyle name="_2.4 4" xfId="3991"/>
    <cellStyle name="_2.4_1-UIRN-UTSIGnov-2008" xfId="167"/>
    <cellStyle name="_2.4_1-UIRN-UTSIGnov-2008 2" xfId="168"/>
    <cellStyle name="_2.4_1-UIRN-UTSIGnov-2008 2 2" xfId="1826"/>
    <cellStyle name="_2.4_1-UIRN-UTSIGnov-2008 3" xfId="1825"/>
    <cellStyle name="_2.4_1-UIRN-UTSIGnov-2008 4" xfId="3992"/>
    <cellStyle name="_2.4_1-UIRN-UTSIGnov-2008_GRAFICOS ODM" xfId="169"/>
    <cellStyle name="_2.4_1-UIRN-UTSIGnov-2008_GRAFICOS ODM 2" xfId="170"/>
    <cellStyle name="_2.4_1-UIRN-UTSIGnov-2008_GRAFICOS ODM 2 2" xfId="1828"/>
    <cellStyle name="_2.4_1-UIRN-UTSIGnov-2008_GRAFICOS ODM 3" xfId="1827"/>
    <cellStyle name="_2.4_1-UIRN-UTSIGnov-2008_GRAFICOS ODM 4" xfId="3993"/>
    <cellStyle name="_2.4_cuadros adicionales de brechas2002 y 2008 (2)" xfId="171"/>
    <cellStyle name="_2.4_cuadros adicionales de brechas2002 y 2008 (2) 2" xfId="172"/>
    <cellStyle name="_2.4_cuadros adicionales de brechas2002 y 2008 (2) 2 2" xfId="1831"/>
    <cellStyle name="_2.4_cuadros adicionales de brechas2002 y 2008 (2) 3" xfId="1830"/>
    <cellStyle name="_2.4_cuadros adicionales de brechas2002 y 2008 (2) 4" xfId="3995"/>
    <cellStyle name="_2.4_CUAD-TEXTO_" xfId="173"/>
    <cellStyle name="_2.4_CUAD-TEXTO_ 2" xfId="174"/>
    <cellStyle name="_2.4_CUAD-TEXTO_ 2 2" xfId="1833"/>
    <cellStyle name="_2.4_CUAD-TEXTO_ 3" xfId="1832"/>
    <cellStyle name="_2.4_CUAD-TEXTO_ 4" xfId="3996"/>
    <cellStyle name="_2.4_GRAFICOS ODM" xfId="175"/>
    <cellStyle name="_2.4_GRAFICOS ODM 2" xfId="176"/>
    <cellStyle name="_2.4_GRAFICOS ODM 2 2" xfId="1835"/>
    <cellStyle name="_2.4_GRAFICOS ODM 3" xfId="1834"/>
    <cellStyle name="_2.4_GRAFICOS ODM 4" xfId="3997"/>
    <cellStyle name="_2.4_Libro2" xfId="177"/>
    <cellStyle name="_2.4_Libro2 2" xfId="178"/>
    <cellStyle name="_2.4_Libro2 2 2" xfId="1837"/>
    <cellStyle name="_2.4_Libro2 3" xfId="1836"/>
    <cellStyle name="_2.4_Libro2 4" xfId="3998"/>
    <cellStyle name="_2.4_solicita datos para el 2007-minedu remitio" xfId="179"/>
    <cellStyle name="_2.4_solicita datos para el 2007-minedu remitio 2" xfId="180"/>
    <cellStyle name="_2.4_solicita datos para el 2007-minedu remitio 2 2" xfId="1839"/>
    <cellStyle name="_2.4_solicita datos para el 2007-minedu remitio 3" xfId="1838"/>
    <cellStyle name="_2.4_solicita datos para el 2007-minedu remitio 4" xfId="4000"/>
    <cellStyle name="_2-_1-UIRN-UTSIGnov-2008" xfId="181"/>
    <cellStyle name="_2-_1-UIRN-UTSIGnov-2008 2" xfId="182"/>
    <cellStyle name="_2-_1-UIRN-UTSIGnov-2008 2 2" xfId="1841"/>
    <cellStyle name="_2-_1-UIRN-UTSIGnov-2008 3" xfId="1840"/>
    <cellStyle name="_2-_1-UIRN-UTSIGnov-2008 4" xfId="4001"/>
    <cellStyle name="_2-_1-UIRN-UTSIGnov-2008_GRAFICOS ODM" xfId="183"/>
    <cellStyle name="_2-_1-UIRN-UTSIGnov-2008_GRAFICOS ODM 2" xfId="184"/>
    <cellStyle name="_2-_1-UIRN-UTSIGnov-2008_GRAFICOS ODM 2 2" xfId="1843"/>
    <cellStyle name="_2-_1-UIRN-UTSIGnov-2008_GRAFICOS ODM 3" xfId="1842"/>
    <cellStyle name="_2-_1-UIRN-UTSIGnov-2008_GRAFICOS ODM 4" xfId="4002"/>
    <cellStyle name="_2_cuadros adicionales de brechas2002 y 2008 (2)" xfId="185"/>
    <cellStyle name="_2-_cuadros adicionales de brechas2002 y 2008 (2)" xfId="186"/>
    <cellStyle name="_2_cuadros adicionales de brechas2002 y 2008 (2) 10" xfId="5420"/>
    <cellStyle name="_2-_cuadros adicionales de brechas2002 y 2008 (2) 10" xfId="5419"/>
    <cellStyle name="_2_cuadros adicionales de brechas2002 y 2008 (2) 11" xfId="5439"/>
    <cellStyle name="_2-_cuadros adicionales de brechas2002 y 2008 (2) 11" xfId="5438"/>
    <cellStyle name="_2_cuadros adicionales de brechas2002 y 2008 (2) 12" xfId="4985"/>
    <cellStyle name="_2-_cuadros adicionales de brechas2002 y 2008 (2) 12" xfId="5298"/>
    <cellStyle name="_2_cuadros adicionales de brechas2002 y 2008 (2) 13" xfId="5455"/>
    <cellStyle name="_2-_cuadros adicionales de brechas2002 y 2008 (2) 13" xfId="5454"/>
    <cellStyle name="_2_cuadros adicionales de brechas2002 y 2008 (2) 14" xfId="5201"/>
    <cellStyle name="_2-_cuadros adicionales de brechas2002 y 2008 (2) 14" xfId="4540"/>
    <cellStyle name="_2_cuadros adicionales de brechas2002 y 2008 (2) 15" xfId="5485"/>
    <cellStyle name="_2-_cuadros adicionales de brechas2002 y 2008 (2) 15" xfId="5484"/>
    <cellStyle name="_2_cuadros adicionales de brechas2002 y 2008 (2) 16" xfId="4890"/>
    <cellStyle name="_2-_cuadros adicionales de brechas2002 y 2008 (2) 16" xfId="4839"/>
    <cellStyle name="_2_cuadros adicionales de brechas2002 y 2008 (2) 17" xfId="5151"/>
    <cellStyle name="_2-_cuadros adicionales de brechas2002 y 2008 (2) 17" xfId="5246"/>
    <cellStyle name="_2_cuadros adicionales de brechas2002 y 2008 (2) 18" xfId="5256"/>
    <cellStyle name="_2-_cuadros adicionales de brechas2002 y 2008 (2) 18" xfId="5235"/>
    <cellStyle name="_2_cuadros adicionales de brechas2002 y 2008 (2) 19" xfId="5039"/>
    <cellStyle name="_2-_cuadros adicionales de brechas2002 y 2008 (2) 19" xfId="5401"/>
    <cellStyle name="_2_cuadros adicionales de brechas2002 y 2008 (2) 2" xfId="187"/>
    <cellStyle name="_2-_cuadros adicionales de brechas2002 y 2008 (2) 2" xfId="188"/>
    <cellStyle name="_2_cuadros adicionales de brechas2002 y 2008 (2) 2 2" xfId="1848"/>
    <cellStyle name="_2-_cuadros adicionales de brechas2002 y 2008 (2) 2 2" xfId="1849"/>
    <cellStyle name="_2_cuadros adicionales de brechas2002 y 2008 (2) 2 3" xfId="3257"/>
    <cellStyle name="_2-_cuadros adicionales de brechas2002 y 2008 (2) 2 3" xfId="3258"/>
    <cellStyle name="_2_cuadros adicionales de brechas2002 y 2008 (2) 2 4" xfId="3308"/>
    <cellStyle name="_2-_cuadros adicionales de brechas2002 y 2008 (2) 2 4" xfId="3307"/>
    <cellStyle name="_2_cuadros adicionales de brechas2002 y 2008 (2) 2 5" xfId="3233"/>
    <cellStyle name="_2-_cuadros adicionales de brechas2002 y 2008 (2) 2 5" xfId="3234"/>
    <cellStyle name="_2_cuadros adicionales de brechas2002 y 2008 (2) 2 6" xfId="3332"/>
    <cellStyle name="_2-_cuadros adicionales de brechas2002 y 2008 (2) 2 6" xfId="3331"/>
    <cellStyle name="_2_cuadros adicionales de brechas2002 y 2008 (2) 20" xfId="4879"/>
    <cellStyle name="_2-_cuadros adicionales de brechas2002 y 2008 (2) 20" xfId="5047"/>
    <cellStyle name="_2_cuadros adicionales de brechas2002 y 2008 (2) 21" xfId="5245"/>
    <cellStyle name="_2-_cuadros adicionales de brechas2002 y 2008 (2) 21" xfId="5389"/>
    <cellStyle name="_2_cuadros adicionales de brechas2002 y 2008 (2) 22" xfId="5460"/>
    <cellStyle name="_2-_cuadros adicionales de brechas2002 y 2008 (2) 22" xfId="5020"/>
    <cellStyle name="_2_cuadros adicionales de brechas2002 y 2008 (2) 23" xfId="5526"/>
    <cellStyle name="_2-_cuadros adicionales de brechas2002 y 2008 (2) 23" xfId="5525"/>
    <cellStyle name="_2_cuadros adicionales de brechas2002 y 2008 (2) 24" xfId="4821"/>
    <cellStyle name="_2-_cuadros adicionales de brechas2002 y 2008 (2) 24" xfId="4976"/>
    <cellStyle name="_2_cuadros adicionales de brechas2002 y 2008 (2) 25" xfId="5540"/>
    <cellStyle name="_2-_cuadros adicionales de brechas2002 y 2008 (2) 25" xfId="5539"/>
    <cellStyle name="_2_cuadros adicionales de brechas2002 y 2008 (2) 26" xfId="5354"/>
    <cellStyle name="_2-_cuadros adicionales de brechas2002 y 2008 (2) 26" xfId="5172"/>
    <cellStyle name="_2_cuadros adicionales de brechas2002 y 2008 (2) 27" xfId="4900"/>
    <cellStyle name="_2-_cuadros adicionales de brechas2002 y 2008 (2) 27" xfId="5505"/>
    <cellStyle name="_2_cuadros adicionales de brechas2002 y 2008 (2) 28" xfId="5391"/>
    <cellStyle name="_2-_cuadros adicionales de brechas2002 y 2008 (2) 28" xfId="3919"/>
    <cellStyle name="_2_cuadros adicionales de brechas2002 y 2008 (2) 29" xfId="4204"/>
    <cellStyle name="_2-_cuadros adicionales de brechas2002 y 2008 (2) 29" xfId="4948"/>
    <cellStyle name="_2_cuadros adicionales de brechas2002 y 2008 (2) 3" xfId="1846"/>
    <cellStyle name="_2-_cuadros adicionales de brechas2002 y 2008 (2) 3" xfId="1847"/>
    <cellStyle name="_2_cuadros adicionales de brechas2002 y 2008 (2) 30" xfId="5066"/>
    <cellStyle name="_2-_cuadros adicionales de brechas2002 y 2008 (2) 30" xfId="4148"/>
    <cellStyle name="_2_cuadros adicionales de brechas2002 y 2008 (2) 31" xfId="5193"/>
    <cellStyle name="_2-_cuadros adicionales de brechas2002 y 2008 (2) 31" xfId="5040"/>
    <cellStyle name="_2_cuadros adicionales de brechas2002 y 2008 (2) 32" xfId="5527"/>
    <cellStyle name="_2-_cuadros adicionales de brechas2002 y 2008 (2) 32" xfId="5405"/>
    <cellStyle name="_2_cuadros adicionales de brechas2002 y 2008 (2) 33" xfId="5255"/>
    <cellStyle name="_2-_cuadros adicionales de brechas2002 y 2008 (2) 33" xfId="4849"/>
    <cellStyle name="_2_cuadros adicionales de brechas2002 y 2008 (2) 34" xfId="5617"/>
    <cellStyle name="_2-_cuadros adicionales de brechas2002 y 2008 (2) 34" xfId="5618"/>
    <cellStyle name="_2_cuadros adicionales de brechas2002 y 2008 (2) 35" xfId="5704"/>
    <cellStyle name="_2-_cuadros adicionales de brechas2002 y 2008 (2) 35" xfId="5703"/>
    <cellStyle name="_2_cuadros adicionales de brechas2002 y 2008 (2) 36" xfId="5597"/>
    <cellStyle name="_2-_cuadros adicionales de brechas2002 y 2008 (2) 36" xfId="5598"/>
    <cellStyle name="_2_cuadros adicionales de brechas2002 y 2008 (2) 37" xfId="5637"/>
    <cellStyle name="_2-_cuadros adicionales de brechas2002 y 2008 (2) 37" xfId="5638"/>
    <cellStyle name="_2_cuadros adicionales de brechas2002 y 2008 (2) 4" xfId="3255"/>
    <cellStyle name="_2-_cuadros adicionales de brechas2002 y 2008 (2) 4" xfId="3256"/>
    <cellStyle name="_2_cuadros adicionales de brechas2002 y 2008 (2) 5" xfId="3310"/>
    <cellStyle name="_2-_cuadros adicionales de brechas2002 y 2008 (2) 5" xfId="3309"/>
    <cellStyle name="_2_cuadros adicionales de brechas2002 y 2008 (2) 6" xfId="2022"/>
    <cellStyle name="_2-_cuadros adicionales de brechas2002 y 2008 (2) 6" xfId="3232"/>
    <cellStyle name="_2_cuadros adicionales de brechas2002 y 2008 (2) 7" xfId="3334"/>
    <cellStyle name="_2-_cuadros adicionales de brechas2002 y 2008 (2) 7" xfId="3333"/>
    <cellStyle name="_2_cuadros adicionales de brechas2002 y 2008 (2) 8" xfId="4003"/>
    <cellStyle name="_2-_cuadros adicionales de brechas2002 y 2008 (2) 8" xfId="4004"/>
    <cellStyle name="_2_cuadros adicionales de brechas2002 y 2008 (2) 9" xfId="5266"/>
    <cellStyle name="_2-_cuadros adicionales de brechas2002 y 2008 (2) 9" xfId="5265"/>
    <cellStyle name="_2_CUAD-TEXTO_" xfId="189"/>
    <cellStyle name="_2-_CUAD-TEXTO_" xfId="190"/>
    <cellStyle name="_2_CUAD-TEXTO_ 10" xfId="5418"/>
    <cellStyle name="_2-_CUAD-TEXTO_ 10" xfId="5417"/>
    <cellStyle name="_2_CUAD-TEXTO_ 11" xfId="5437"/>
    <cellStyle name="_2-_CUAD-TEXTO_ 11" xfId="5436"/>
    <cellStyle name="_2_CUAD-TEXTO_ 12" xfId="5299"/>
    <cellStyle name="_2-_CUAD-TEXTO_ 12" xfId="4984"/>
    <cellStyle name="_2_CUAD-TEXTO_ 13" xfId="5313"/>
    <cellStyle name="_2-_CUAD-TEXTO_ 13" xfId="5312"/>
    <cellStyle name="_2_CUAD-TEXTO_ 14" xfId="5202"/>
    <cellStyle name="_2-_CUAD-TEXTO_ 14" xfId="5094"/>
    <cellStyle name="_2_CUAD-TEXTO_ 15" xfId="5483"/>
    <cellStyle name="_2-_CUAD-TEXTO_ 15" xfId="5482"/>
    <cellStyle name="_2_CUAD-TEXTO_ 16" xfId="5279"/>
    <cellStyle name="_2-_CUAD-TEXTO_ 16" xfId="4846"/>
    <cellStyle name="_2_CUAD-TEXTO_ 17" xfId="5157"/>
    <cellStyle name="_2-_CUAD-TEXTO_ 17" xfId="5042"/>
    <cellStyle name="_2_CUAD-TEXTO_ 18" xfId="5085"/>
    <cellStyle name="_2-_CUAD-TEXTO_ 18" xfId="4604"/>
    <cellStyle name="_2_CUAD-TEXTO_ 19" xfId="4895"/>
    <cellStyle name="_2-_CUAD-TEXTO_ 19" xfId="5072"/>
    <cellStyle name="_2_CUAD-TEXTO_ 2" xfId="191"/>
    <cellStyle name="_2-_CUAD-TEXTO_ 2" xfId="192"/>
    <cellStyle name="_2_CUAD-TEXTO_ 2 2" xfId="1852"/>
    <cellStyle name="_2-_CUAD-TEXTO_ 2 2" xfId="1853"/>
    <cellStyle name="_2_CUAD-TEXTO_ 2 3" xfId="3261"/>
    <cellStyle name="_2-_CUAD-TEXTO_ 2 3" xfId="3262"/>
    <cellStyle name="_2_CUAD-TEXTO_ 2 4" xfId="3304"/>
    <cellStyle name="_2-_CUAD-TEXTO_ 2 4" xfId="3303"/>
    <cellStyle name="_2_CUAD-TEXTO_ 2 5" xfId="3238"/>
    <cellStyle name="_2-_CUAD-TEXTO_ 2 5" xfId="3239"/>
    <cellStyle name="_2_CUAD-TEXTO_ 2 6" xfId="3327"/>
    <cellStyle name="_2-_CUAD-TEXTO_ 2 6" xfId="3326"/>
    <cellStyle name="_2_CUAD-TEXTO_ 20" xfId="5048"/>
    <cellStyle name="_2-_CUAD-TEXTO_ 20" xfId="5239"/>
    <cellStyle name="_2_CUAD-TEXTO_ 21" xfId="4121"/>
    <cellStyle name="_2-_CUAD-TEXTO_ 21" xfId="4241"/>
    <cellStyle name="_2_CUAD-TEXTO_ 22" xfId="5071"/>
    <cellStyle name="_2-_CUAD-TEXTO_ 22" xfId="5301"/>
    <cellStyle name="_2_CUAD-TEXTO_ 23" xfId="5524"/>
    <cellStyle name="_2-_CUAD-TEXTO_ 23" xfId="5523"/>
    <cellStyle name="_2_CUAD-TEXTO_ 24" xfId="5145"/>
    <cellStyle name="_2-_CUAD-TEXTO_ 24" xfId="4687"/>
    <cellStyle name="_2_CUAD-TEXTO_ 25" xfId="5538"/>
    <cellStyle name="_2-_CUAD-TEXTO_ 25" xfId="5537"/>
    <cellStyle name="_2_CUAD-TEXTO_ 26" xfId="5461"/>
    <cellStyle name="_2-_CUAD-TEXTO_ 26" xfId="4861"/>
    <cellStyle name="_2_CUAD-TEXTO_ 27" xfId="5082"/>
    <cellStyle name="_2-_CUAD-TEXTO_ 27" xfId="5021"/>
    <cellStyle name="_2_CUAD-TEXTO_ 28" xfId="4855"/>
    <cellStyle name="_2-_CUAD-TEXTO_ 28" xfId="4371"/>
    <cellStyle name="_2_CUAD-TEXTO_ 29" xfId="4451"/>
    <cellStyle name="_2-_CUAD-TEXTO_ 29" xfId="4713"/>
    <cellStyle name="_2_CUAD-TEXTO_ 3" xfId="1850"/>
    <cellStyle name="_2-_CUAD-TEXTO_ 3" xfId="1851"/>
    <cellStyle name="_2_CUAD-TEXTO_ 30" xfId="5465"/>
    <cellStyle name="_2-_CUAD-TEXTO_ 30" xfId="5074"/>
    <cellStyle name="_2_CUAD-TEXTO_ 31" xfId="5474"/>
    <cellStyle name="_2-_CUAD-TEXTO_ 31" xfId="4947"/>
    <cellStyle name="_2_CUAD-TEXTO_ 32" xfId="5280"/>
    <cellStyle name="_2-_CUAD-TEXTO_ 32" xfId="4007"/>
    <cellStyle name="_2_CUAD-TEXTO_ 33" xfId="4354"/>
    <cellStyle name="_2-_CUAD-TEXTO_ 33" xfId="5143"/>
    <cellStyle name="_2_CUAD-TEXTO_ 34" xfId="5619"/>
    <cellStyle name="_2-_CUAD-TEXTO_ 34" xfId="5620"/>
    <cellStyle name="_2_CUAD-TEXTO_ 35" xfId="5702"/>
    <cellStyle name="_2-_CUAD-TEXTO_ 35" xfId="5701"/>
    <cellStyle name="_2_CUAD-TEXTO_ 36" xfId="5655"/>
    <cellStyle name="_2-_CUAD-TEXTO_ 36" xfId="5599"/>
    <cellStyle name="_2_CUAD-TEXTO_ 37" xfId="5639"/>
    <cellStyle name="_2-_CUAD-TEXTO_ 37" xfId="5681"/>
    <cellStyle name="_2_CUAD-TEXTO_ 4" xfId="3259"/>
    <cellStyle name="_2-_CUAD-TEXTO_ 4" xfId="3260"/>
    <cellStyle name="_2_CUAD-TEXTO_ 5" xfId="3306"/>
    <cellStyle name="_2-_CUAD-TEXTO_ 5" xfId="3305"/>
    <cellStyle name="_2_CUAD-TEXTO_ 6" xfId="3237"/>
    <cellStyle name="_2-_CUAD-TEXTO_ 6" xfId="3242"/>
    <cellStyle name="_2_CUAD-TEXTO_ 7" xfId="3328"/>
    <cellStyle name="_2-_CUAD-TEXTO_ 7" xfId="3323"/>
    <cellStyle name="_2_CUAD-TEXTO_ 8" xfId="4005"/>
    <cellStyle name="_2-_CUAD-TEXTO_ 8" xfId="4006"/>
    <cellStyle name="_2_CUAD-TEXTO_ 9" xfId="5264"/>
    <cellStyle name="_2-_CUAD-TEXTO_ 9" xfId="5263"/>
    <cellStyle name="_2_GRAFICOS ODM" xfId="193"/>
    <cellStyle name="_2-_GRAFICOS ODM" xfId="194"/>
    <cellStyle name="_2_GRAFICOS ODM 10" xfId="5415"/>
    <cellStyle name="_2-_GRAFICOS ODM 10" xfId="5414"/>
    <cellStyle name="_2_GRAFICOS ODM 11" xfId="5435"/>
    <cellStyle name="_2-_GRAFICOS ODM 11" xfId="5434"/>
    <cellStyle name="_2_GRAFICOS ODM 12" xfId="4408"/>
    <cellStyle name="_2-_GRAFICOS ODM 12" xfId="4987"/>
    <cellStyle name="_2_GRAFICOS ODM 13" xfId="5063"/>
    <cellStyle name="_2-_GRAFICOS ODM 13" xfId="4538"/>
    <cellStyle name="_2_GRAFICOS ODM 14" xfId="4602"/>
    <cellStyle name="_2-_GRAFICOS ODM 14" xfId="4749"/>
    <cellStyle name="_2_GRAFICOS ODM 15" xfId="5481"/>
    <cellStyle name="_2-_GRAFICOS ODM 15" xfId="5480"/>
    <cellStyle name="_2_GRAFICOS ODM 16" xfId="4848"/>
    <cellStyle name="_2-_GRAFICOS ODM 16" xfId="4727"/>
    <cellStyle name="_2_GRAFICOS ODM 17" xfId="4567"/>
    <cellStyle name="_2-_GRAFICOS ODM 17" xfId="5121"/>
    <cellStyle name="_2_GRAFICOS ODM 18" xfId="5234"/>
    <cellStyle name="_2-_GRAFICOS ODM 18" xfId="4652"/>
    <cellStyle name="_2_GRAFICOS ODM 19" xfId="3932"/>
    <cellStyle name="_2-_GRAFICOS ODM 19" xfId="5444"/>
    <cellStyle name="_2_GRAFICOS ODM 2" xfId="195"/>
    <cellStyle name="_2-_GRAFICOS ODM 2" xfId="196"/>
    <cellStyle name="_2_GRAFICOS ODM 2 2" xfId="1856"/>
    <cellStyle name="_2-_GRAFICOS ODM 2 2" xfId="1857"/>
    <cellStyle name="_2_GRAFICOS ODM 2 3" xfId="3265"/>
    <cellStyle name="_2-_GRAFICOS ODM 2 3" xfId="3266"/>
    <cellStyle name="_2_GRAFICOS ODM 2 4" xfId="3300"/>
    <cellStyle name="_2-_GRAFICOS ODM 2 4" xfId="3299"/>
    <cellStyle name="_2_GRAFICOS ODM 2 5" xfId="3243"/>
    <cellStyle name="_2-_GRAFICOS ODM 2 5" xfId="3244"/>
    <cellStyle name="_2_GRAFICOS ODM 2 6" xfId="3322"/>
    <cellStyle name="_2-_GRAFICOS ODM 2 6" xfId="3321"/>
    <cellStyle name="_2_GRAFICOS ODM 20" xfId="5278"/>
    <cellStyle name="_2-_GRAFICOS ODM 20" xfId="5110"/>
    <cellStyle name="_2_GRAFICOS ODM 21" xfId="5219"/>
    <cellStyle name="_2-_GRAFICOS ODM 21" xfId="5046"/>
    <cellStyle name="_2_GRAFICOS ODM 22" xfId="5251"/>
    <cellStyle name="_2-_GRAFICOS ODM 22" xfId="4868"/>
    <cellStyle name="_2_GRAFICOS ODM 23" xfId="5522"/>
    <cellStyle name="_2-_GRAFICOS ODM 23" xfId="5521"/>
    <cellStyle name="_2_GRAFICOS ODM 24" xfId="5443"/>
    <cellStyle name="_2-_GRAFICOS ODM 24" xfId="3950"/>
    <cellStyle name="_2_GRAFICOS ODM 25" xfId="5536"/>
    <cellStyle name="_2-_GRAFICOS ODM 25" xfId="5535"/>
    <cellStyle name="_2_GRAFICOS ODM 26" xfId="4276"/>
    <cellStyle name="_2-_GRAFICOS ODM 26" xfId="4874"/>
    <cellStyle name="_2_GRAFICOS ODM 27" xfId="5146"/>
    <cellStyle name="_2-_GRAFICOS ODM 27" xfId="5407"/>
    <cellStyle name="_2_GRAFICOS ODM 28" xfId="5506"/>
    <cellStyle name="_2-_GRAFICOS ODM 28" xfId="5141"/>
    <cellStyle name="_2_GRAFICOS ODM 29" xfId="5350"/>
    <cellStyle name="_2-_GRAFICOS ODM 29" xfId="4342"/>
    <cellStyle name="_2_GRAFICOS ODM 3" xfId="1854"/>
    <cellStyle name="_2-_GRAFICOS ODM 3" xfId="1855"/>
    <cellStyle name="_2_GRAFICOS ODM 30" xfId="5160"/>
    <cellStyle name="_2-_GRAFICOS ODM 30" xfId="4898"/>
    <cellStyle name="_2_GRAFICOS ODM 31" xfId="4429"/>
    <cellStyle name="_2-_GRAFICOS ODM 31" xfId="5097"/>
    <cellStyle name="_2_GRAFICOS ODM 32" xfId="5129"/>
    <cellStyle name="_2-_GRAFICOS ODM 32" xfId="5493"/>
    <cellStyle name="_2_GRAFICOS ODM 33" xfId="5054"/>
    <cellStyle name="_2-_GRAFICOS ODM 33" xfId="5272"/>
    <cellStyle name="_2_GRAFICOS ODM 34" xfId="5621"/>
    <cellStyle name="_2-_GRAFICOS ODM 34" xfId="5622"/>
    <cellStyle name="_2_GRAFICOS ODM 35" xfId="5700"/>
    <cellStyle name="_2-_GRAFICOS ODM 35" xfId="5699"/>
    <cellStyle name="_2_GRAFICOS ODM 36" xfId="5600"/>
    <cellStyle name="_2-_GRAFICOS ODM 36" xfId="5656"/>
    <cellStyle name="_2_GRAFICOS ODM 37" xfId="5682"/>
    <cellStyle name="_2-_GRAFICOS ODM 37" xfId="5654"/>
    <cellStyle name="_2_GRAFICOS ODM 4" xfId="3263"/>
    <cellStyle name="_2-_GRAFICOS ODM 4" xfId="3264"/>
    <cellStyle name="_2_GRAFICOS ODM 5" xfId="3302"/>
    <cellStyle name="_2-_GRAFICOS ODM 5" xfId="3301"/>
    <cellStyle name="_2_GRAFICOS ODM 6" xfId="3240"/>
    <cellStyle name="_2-_GRAFICOS ODM 6" xfId="3241"/>
    <cellStyle name="_2_GRAFICOS ODM 7" xfId="3325"/>
    <cellStyle name="_2-_GRAFICOS ODM 7" xfId="3324"/>
    <cellStyle name="_2_GRAFICOS ODM 8" xfId="4008"/>
    <cellStyle name="_2-_GRAFICOS ODM 8" xfId="4009"/>
    <cellStyle name="_2_GRAFICOS ODM 9" xfId="5262"/>
    <cellStyle name="_2-_GRAFICOS ODM 9" xfId="5261"/>
    <cellStyle name="_2_Libro2" xfId="197"/>
    <cellStyle name="_2-_Libro2" xfId="198"/>
    <cellStyle name="_2_Libro2 10" xfId="5412"/>
    <cellStyle name="_2-_Libro2 10" xfId="5411"/>
    <cellStyle name="_2_Libro2 11" xfId="5433"/>
    <cellStyle name="_2-_Libro2 11" xfId="5432"/>
    <cellStyle name="_2_Libro2 12" xfId="4986"/>
    <cellStyle name="_2-_Libro2 12" xfId="4410"/>
    <cellStyle name="_2_Libro2 13" xfId="5124"/>
    <cellStyle name="_2-_Libro2 13" xfId="4913"/>
    <cellStyle name="_2_Libro2 14" xfId="4270"/>
    <cellStyle name="_2-_Libro2 14" xfId="5050"/>
    <cellStyle name="_2_Libro2 15" xfId="5479"/>
    <cellStyle name="_2-_Libro2 15" xfId="5478"/>
    <cellStyle name="_2_Libro2 16" xfId="5216"/>
    <cellStyle name="_2-_Libro2 16" xfId="4642"/>
    <cellStyle name="_2_Libro2 17" xfId="5371"/>
    <cellStyle name="_2-_Libro2 17" xfId="4859"/>
    <cellStyle name="_2_Libro2 18" xfId="4755"/>
    <cellStyle name="_2-_Libro2 18" xfId="5067"/>
    <cellStyle name="_2_Libro2 19" xfId="4838"/>
    <cellStyle name="_2-_Libro2 19" xfId="4966"/>
    <cellStyle name="_2_Libro2 2" xfId="199"/>
    <cellStyle name="_2-_Libro2 2" xfId="200"/>
    <cellStyle name="_2_Libro2 2 2" xfId="1860"/>
    <cellStyle name="_2-_Libro2 2 2" xfId="1861"/>
    <cellStyle name="_2_Libro2 2 3" xfId="3269"/>
    <cellStyle name="_2-_Libro2 2 3" xfId="3270"/>
    <cellStyle name="_2_Libro2 2 4" xfId="3296"/>
    <cellStyle name="_2-_Libro2 2 4" xfId="3295"/>
    <cellStyle name="_2_Libro2 2 5" xfId="3247"/>
    <cellStyle name="_2-_Libro2 2 5" xfId="3248"/>
    <cellStyle name="_2_Libro2 2 6" xfId="3318"/>
    <cellStyle name="_2-_Libro2 2 6" xfId="3317"/>
    <cellStyle name="_2_Libro2 20" xfId="5189"/>
    <cellStyle name="_2-_Libro2 20" xfId="5220"/>
    <cellStyle name="_2_Libro2 21" xfId="5069"/>
    <cellStyle name="_2-_Libro2 21" xfId="4800"/>
    <cellStyle name="_2_Libro2 22" xfId="5362"/>
    <cellStyle name="_2-_Libro2 22" xfId="5421"/>
    <cellStyle name="_2_Libro2 23" xfId="5520"/>
    <cellStyle name="_2-_Libro2 23" xfId="5519"/>
    <cellStyle name="_2_Libro2 24" xfId="5223"/>
    <cellStyle name="_2-_Libro2 24" xfId="4368"/>
    <cellStyle name="_2_Libro2 25" xfId="5534"/>
    <cellStyle name="_2-_Libro2 25" xfId="5533"/>
    <cellStyle name="_2_Libro2 26" xfId="4878"/>
    <cellStyle name="_2-_Libro2 26" xfId="5348"/>
    <cellStyle name="_2_Libro2 27" xfId="4908"/>
    <cellStyle name="_2-_Libro2 27" xfId="4637"/>
    <cellStyle name="_2_Libro2 28" xfId="4904"/>
    <cellStyle name="_2-_Libro2 28" xfId="5240"/>
    <cellStyle name="_2_Libro2 29" xfId="5308"/>
    <cellStyle name="_2-_Libro2 29" xfId="5253"/>
    <cellStyle name="_2_Libro2 3" xfId="1858"/>
    <cellStyle name="_2-_Libro2 3" xfId="1859"/>
    <cellStyle name="_2_Libro2 30" xfId="4320"/>
    <cellStyle name="_2-_Libro2 30" xfId="5340"/>
    <cellStyle name="_2_Libro2 31" xfId="4608"/>
    <cellStyle name="_2-_Libro2 31" xfId="4413"/>
    <cellStyle name="_2_Libro2 32" xfId="5164"/>
    <cellStyle name="_2-_Libro2 32" xfId="4735"/>
    <cellStyle name="_2_Libro2 33" xfId="5147"/>
    <cellStyle name="_2-_Libro2 33" xfId="5125"/>
    <cellStyle name="_2_Libro2 34" xfId="5623"/>
    <cellStyle name="_2-_Libro2 34" xfId="5624"/>
    <cellStyle name="_2_Libro2 35" xfId="5698"/>
    <cellStyle name="_2-_Libro2 35" xfId="5697"/>
    <cellStyle name="_2_Libro2 36" xfId="5601"/>
    <cellStyle name="_2-_Libro2 36" xfId="5657"/>
    <cellStyle name="_2_Libro2 37" xfId="5653"/>
    <cellStyle name="_2-_Libro2 37" xfId="5652"/>
    <cellStyle name="_2_Libro2 4" xfId="3267"/>
    <cellStyle name="_2-_Libro2 4" xfId="3268"/>
    <cellStyle name="_2_Libro2 5" xfId="3298"/>
    <cellStyle name="_2-_Libro2 5" xfId="3297"/>
    <cellStyle name="_2_Libro2 6" xfId="3245"/>
    <cellStyle name="_2-_Libro2 6" xfId="3246"/>
    <cellStyle name="_2_Libro2 7" xfId="3320"/>
    <cellStyle name="_2-_Libro2 7" xfId="3319"/>
    <cellStyle name="_2_Libro2 8" xfId="4010"/>
    <cellStyle name="_2-_Libro2 8" xfId="4011"/>
    <cellStyle name="_2_Libro2 9" xfId="5260"/>
    <cellStyle name="_2-_Libro2 9" xfId="5259"/>
    <cellStyle name="_2_solicita datos para el 2007-minedu remitio" xfId="201"/>
    <cellStyle name="_2-_solicita datos para el 2007-minedu remitio" xfId="202"/>
    <cellStyle name="_2_solicita datos para el 2007-minedu remitio 10" xfId="5409"/>
    <cellStyle name="_2-_solicita datos para el 2007-minedu remitio 10" xfId="5408"/>
    <cellStyle name="_2_solicita datos para el 2007-minedu remitio 11" xfId="5431"/>
    <cellStyle name="_2-_solicita datos para el 2007-minedu remitio 11" xfId="5430"/>
    <cellStyle name="_2_solicita datos para el 2007-minedu remitio 12" xfId="4669"/>
    <cellStyle name="_2-_solicita datos para el 2007-minedu remitio 12" xfId="5064"/>
    <cellStyle name="_2_solicita datos para el 2007-minedu remitio 13" xfId="4914"/>
    <cellStyle name="_2-_solicita datos para el 2007-minedu remitio 13" xfId="5123"/>
    <cellStyle name="_2_solicita datos para el 2007-minedu remitio 14" xfId="4109"/>
    <cellStyle name="_2-_solicita datos para el 2007-minedu remitio 14" xfId="4886"/>
    <cellStyle name="_2_solicita datos para el 2007-minedu remitio 15" xfId="5477"/>
    <cellStyle name="_2-_solicita datos para el 2007-minedu remitio 15" xfId="5476"/>
    <cellStyle name="_2_solicita datos para el 2007-minedu remitio 16" xfId="5017"/>
    <cellStyle name="_2-_solicita datos para el 2007-minedu remitio 16" xfId="5205"/>
    <cellStyle name="_2_solicita datos para el 2007-minedu remitio 17" xfId="5343"/>
    <cellStyle name="_2-_solicita datos para el 2007-minedu remitio 17" xfId="3982"/>
    <cellStyle name="_2_solicita datos para el 2007-minedu remitio 18" xfId="5183"/>
    <cellStyle name="_2-_solicita datos para el 2007-minedu remitio 18" xfId="5131"/>
    <cellStyle name="_2_solicita datos para el 2007-minedu remitio 19" xfId="5168"/>
    <cellStyle name="_2-_solicita datos para el 2007-minedu remitio 19" xfId="5347"/>
    <cellStyle name="_2_solicita datos para el 2007-minedu remitio 2" xfId="203"/>
    <cellStyle name="_2-_solicita datos para el 2007-minedu remitio 2" xfId="204"/>
    <cellStyle name="_2_solicita datos para el 2007-minedu remitio 2 2" xfId="1864"/>
    <cellStyle name="_2-_solicita datos para el 2007-minedu remitio 2 2" xfId="1865"/>
    <cellStyle name="_2_solicita datos para el 2007-minedu remitio 2 3" xfId="3273"/>
    <cellStyle name="_2-_solicita datos para el 2007-minedu remitio 2 3" xfId="3274"/>
    <cellStyle name="_2_solicita datos para el 2007-minedu remitio 2 4" xfId="3292"/>
    <cellStyle name="_2-_solicita datos para el 2007-minedu remitio 2 4" xfId="3291"/>
    <cellStyle name="_2_solicita datos para el 2007-minedu remitio 2 5" xfId="3251"/>
    <cellStyle name="_2-_solicita datos para el 2007-minedu remitio 2 5" xfId="3252"/>
    <cellStyle name="_2_solicita datos para el 2007-minedu remitio 2 6" xfId="3314"/>
    <cellStyle name="_2-_solicita datos para el 2007-minedu remitio 2 6" xfId="3313"/>
    <cellStyle name="_2_solicita datos para el 2007-minedu remitio 20" xfId="5049"/>
    <cellStyle name="_2-_solicita datos para el 2007-minedu remitio 20" xfId="5453"/>
    <cellStyle name="_2_solicita datos para el 2007-minedu remitio 21" xfId="5254"/>
    <cellStyle name="_2-_solicita datos para el 2007-minedu remitio 21" xfId="4964"/>
    <cellStyle name="_2_solicita datos para el 2007-minedu remitio 22" xfId="5369"/>
    <cellStyle name="_2-_solicita datos para el 2007-minedu remitio 22" xfId="4357"/>
    <cellStyle name="_2_solicita datos para el 2007-minedu remitio 23" xfId="5518"/>
    <cellStyle name="_2-_solicita datos para el 2007-minedu remitio 23" xfId="5517"/>
    <cellStyle name="_2_solicita datos para el 2007-minedu remitio 24" xfId="5467"/>
    <cellStyle name="_2-_solicita datos para el 2007-minedu remitio 24" xfId="5386"/>
    <cellStyle name="_2_solicita datos para el 2007-minedu remitio 25" xfId="5532"/>
    <cellStyle name="_2-_solicita datos para el 2007-minedu remitio 25" xfId="5531"/>
    <cellStyle name="_2_solicita datos para el 2007-minedu remitio 26" xfId="4858"/>
    <cellStyle name="_2-_solicita datos para el 2007-minedu remitio 26" xfId="4959"/>
    <cellStyle name="_2_solicita datos para el 2007-minedu remitio 27" xfId="4463"/>
    <cellStyle name="_2-_solicita datos para el 2007-minedu remitio 27" xfId="5487"/>
    <cellStyle name="_2_solicita datos para el 2007-minedu remitio 28" xfId="5297"/>
    <cellStyle name="_2-_solicita datos para el 2007-minedu remitio 28" xfId="3943"/>
    <cellStyle name="_2_solicita datos para el 2007-minedu remitio 29" xfId="5356"/>
    <cellStyle name="_2-_solicita datos para el 2007-minedu remitio 29" xfId="5387"/>
    <cellStyle name="_2_solicita datos para el 2007-minedu remitio 3" xfId="1862"/>
    <cellStyle name="_2-_solicita datos para el 2007-minedu remitio 3" xfId="1863"/>
    <cellStyle name="_2_solicita datos para el 2007-minedu remitio 30" xfId="4762"/>
    <cellStyle name="_2-_solicita datos para el 2007-minedu remitio 30" xfId="4891"/>
    <cellStyle name="_2_solicita datos para el 2007-minedu remitio 31" xfId="5180"/>
    <cellStyle name="_2-_solicita datos para el 2007-minedu remitio 31" xfId="5226"/>
    <cellStyle name="_2_solicita datos para el 2007-minedu remitio 32" xfId="5464"/>
    <cellStyle name="_2-_solicita datos para el 2007-minedu remitio 32" xfId="4510"/>
    <cellStyle name="_2_solicita datos para el 2007-minedu remitio 33" xfId="4189"/>
    <cellStyle name="_2-_solicita datos para el 2007-minedu remitio 33" xfId="4114"/>
    <cellStyle name="_2_solicita datos para el 2007-minedu remitio 34" xfId="5625"/>
    <cellStyle name="_2-_solicita datos para el 2007-minedu remitio 34" xfId="5626"/>
    <cellStyle name="_2_solicita datos para el 2007-minedu remitio 35" xfId="5696"/>
    <cellStyle name="_2-_solicita datos para el 2007-minedu remitio 35" xfId="5695"/>
    <cellStyle name="_2_solicita datos para el 2007-minedu remitio 36" xfId="5602"/>
    <cellStyle name="_2-_solicita datos para el 2007-minedu remitio 36" xfId="5658"/>
    <cellStyle name="_2_solicita datos para el 2007-minedu remitio 37" xfId="5651"/>
    <cellStyle name="_2-_solicita datos para el 2007-minedu remitio 37" xfId="5680"/>
    <cellStyle name="_2_solicita datos para el 2007-minedu remitio 4" xfId="3271"/>
    <cellStyle name="_2-_solicita datos para el 2007-minedu remitio 4" xfId="3272"/>
    <cellStyle name="_2_solicita datos para el 2007-minedu remitio 5" xfId="3294"/>
    <cellStyle name="_2-_solicita datos para el 2007-minedu remitio 5" xfId="3293"/>
    <cellStyle name="_2_solicita datos para el 2007-minedu remitio 6" xfId="3249"/>
    <cellStyle name="_2-_solicita datos para el 2007-minedu remitio 6" xfId="3250"/>
    <cellStyle name="_2_solicita datos para el 2007-minedu remitio 7" xfId="3316"/>
    <cellStyle name="_2-_solicita datos para el 2007-minedu remitio 7" xfId="3315"/>
    <cellStyle name="_2_solicita datos para el 2007-minedu remitio 8" xfId="4012"/>
    <cellStyle name="_2-_solicita datos para el 2007-minedu remitio 8" xfId="4013"/>
    <cellStyle name="_2_solicita datos para el 2007-minedu remitio 9" xfId="5258"/>
    <cellStyle name="_2-_solicita datos para el 2007-minedu remitio 9" xfId="5257"/>
    <cellStyle name="_2009-1-TERR-COM" xfId="205"/>
    <cellStyle name="_2009-1-TERR-COM 2" xfId="206"/>
    <cellStyle name="_2009-1-TERR-COM 2 2" xfId="1867"/>
    <cellStyle name="_2009-1-TERR-COM 3" xfId="1866"/>
    <cellStyle name="_2009-1-TERR-COM 4" xfId="4014"/>
    <cellStyle name="_2009-1-TERR-COM_cuadros adicionales de brechas2002 y 2008 (2)" xfId="207"/>
    <cellStyle name="_2009-1-TERR-COM_cuadros adicionales de brechas2002 y 2008 (2) 2" xfId="208"/>
    <cellStyle name="_2009-1-TERR-COM_cuadros adicionales de brechas2002 y 2008 (2) 2 2" xfId="1869"/>
    <cellStyle name="_2009-1-TERR-COM_cuadros adicionales de brechas2002 y 2008 (2) 3" xfId="1868"/>
    <cellStyle name="_2009-1-TERR-COM_cuadros adicionales de brechas2002 y 2008 (2) 4" xfId="4015"/>
    <cellStyle name="_2009-1-TERR-COM_CUAD-TEXTO_" xfId="209"/>
    <cellStyle name="_2009-1-TERR-COM_CUAD-TEXTO_ 2" xfId="210"/>
    <cellStyle name="_2009-1-TERR-COM_CUAD-TEXTO_ 2 2" xfId="1871"/>
    <cellStyle name="_2009-1-TERR-COM_CUAD-TEXTO_ 3" xfId="1870"/>
    <cellStyle name="_2009-1-TERR-COM_CUAD-TEXTO_ 4" xfId="4016"/>
    <cellStyle name="_2009-1-TERR-COM_GRAFICOS ODM" xfId="211"/>
    <cellStyle name="_2009-1-TERR-COM_GRAFICOS ODM 2" xfId="212"/>
    <cellStyle name="_2009-1-TERR-COM_GRAFICOS ODM 2 2" xfId="1873"/>
    <cellStyle name="_2009-1-TERR-COM_GRAFICOS ODM 3" xfId="1872"/>
    <cellStyle name="_2009-1-TERR-COM_GRAFICOS ODM 4" xfId="4017"/>
    <cellStyle name="_2009-1-TERR-COM_Libro2" xfId="213"/>
    <cellStyle name="_2009-1-TERR-COM_Libro2 2" xfId="214"/>
    <cellStyle name="_2009-1-TERR-COM_Libro2 2 2" xfId="1875"/>
    <cellStyle name="_2009-1-TERR-COM_Libro2 3" xfId="1874"/>
    <cellStyle name="_2009-1-TERR-COM_Libro2 4" xfId="4018"/>
    <cellStyle name="_2009-1-TERR-COM_solicita datos para el 2007-minedu remitio" xfId="215"/>
    <cellStyle name="_2009-1-TERR-COM_solicita datos para el 2007-minedu remitio 2" xfId="216"/>
    <cellStyle name="_2009-1-TERR-COM_solicita datos para el 2007-minedu remitio 2 2" xfId="1877"/>
    <cellStyle name="_2009-1-TERR-COM_solicita datos para el 2007-minedu remitio 3" xfId="1876"/>
    <cellStyle name="_2009-1-TERR-COM_solicita datos para el 2007-minedu remitio 4" xfId="4019"/>
    <cellStyle name="_2009-3agua-1-al-16-28.1" xfId="217"/>
    <cellStyle name="_2009-3agua-1-al-16-28.1 2" xfId="218"/>
    <cellStyle name="_2009-3agua-1-al-16-28.1 2 2" xfId="1879"/>
    <cellStyle name="_2009-3agua-1-al-16-28.1 3" xfId="1878"/>
    <cellStyle name="_2009-3agua-1-al-16-28.1 4" xfId="4020"/>
    <cellStyle name="_2009-3agua-1-al-16-28.1_cuadros adicionales de brechas2002 y 2008 (2)" xfId="219"/>
    <cellStyle name="_2009-3agua-1-al-16-28.1_cuadros adicionales de brechas2002 y 2008 (2) 2" xfId="220"/>
    <cellStyle name="_2009-3agua-1-al-16-28.1_cuadros adicionales de brechas2002 y 2008 (2) 2 2" xfId="1881"/>
    <cellStyle name="_2009-3agua-1-al-16-28.1_cuadros adicionales de brechas2002 y 2008 (2) 3" xfId="1880"/>
    <cellStyle name="_2009-3agua-1-al-16-28.1_cuadros adicionales de brechas2002 y 2008 (2) 4" xfId="4021"/>
    <cellStyle name="_2009-3agua-1-al-16-28.1_CUAD-TEXTO_" xfId="221"/>
    <cellStyle name="_2009-3agua-1-al-16-28.1_CUAD-TEXTO_ 2" xfId="222"/>
    <cellStyle name="_2009-3agua-1-al-16-28.1_CUAD-TEXTO_ 2 2" xfId="1883"/>
    <cellStyle name="_2009-3agua-1-al-16-28.1_CUAD-TEXTO_ 3" xfId="1882"/>
    <cellStyle name="_2009-3agua-1-al-16-28.1_CUAD-TEXTO_ 4" xfId="4022"/>
    <cellStyle name="_2009-3agua-1-al-16-28.1_GRAFICOS ODM" xfId="223"/>
    <cellStyle name="_2009-3agua-1-al-16-28.1_GRAFICOS ODM 2" xfId="224"/>
    <cellStyle name="_2009-3agua-1-al-16-28.1_GRAFICOS ODM 2 2" xfId="1885"/>
    <cellStyle name="_2009-3agua-1-al-16-28.1_GRAFICOS ODM 3" xfId="1884"/>
    <cellStyle name="_2009-3agua-1-al-16-28.1_GRAFICOS ODM 4" xfId="4023"/>
    <cellStyle name="_2009-3agua-1-al-16-28.1_Libro2" xfId="225"/>
    <cellStyle name="_2009-3agua-1-al-16-28.1_Libro2 2" xfId="226"/>
    <cellStyle name="_2009-3agua-1-al-16-28.1_Libro2 2 2" xfId="1887"/>
    <cellStyle name="_2009-3agua-1-al-16-28.1_Libro2 3" xfId="1886"/>
    <cellStyle name="_2009-3agua-1-al-16-28.1_Libro2 4" xfId="4024"/>
    <cellStyle name="_2009-3agua-1-al-16-28.1_solicita datos para el 2007-minedu remitio" xfId="227"/>
    <cellStyle name="_2009-3agua-1-al-16-28.1_solicita datos para el 2007-minedu remitio 2" xfId="228"/>
    <cellStyle name="_2009-3agua-1-al-16-28.1_solicita datos para el 2007-minedu remitio 2 2" xfId="1889"/>
    <cellStyle name="_2009-3agua-1-al-16-28.1_solicita datos para el 2007-minedu remitio 3" xfId="1888"/>
    <cellStyle name="_2009-3agua-1-al-16-28.1_solicita datos para el 2007-minedu remitio 4" xfId="4025"/>
    <cellStyle name="_2009-6-FENO- NAT" xfId="229"/>
    <cellStyle name="_2009-6-FENO- NAT 2" xfId="230"/>
    <cellStyle name="_2009-6-FENO- NAT 2 2" xfId="1891"/>
    <cellStyle name="_2009-6-FENO- NAT 3" xfId="1890"/>
    <cellStyle name="_2009-6-FENO- NAT 4" xfId="4027"/>
    <cellStyle name="_2009-6-FENO- NAT_cuadros adicionales de brechas2002 y 2008 (2)" xfId="231"/>
    <cellStyle name="_2009-6-FENO- NAT_cuadros adicionales de brechas2002 y 2008 (2) 2" xfId="232"/>
    <cellStyle name="_2009-6-FENO- NAT_cuadros adicionales de brechas2002 y 2008 (2) 2 2" xfId="1893"/>
    <cellStyle name="_2009-6-FENO- NAT_cuadros adicionales de brechas2002 y 2008 (2) 3" xfId="1892"/>
    <cellStyle name="_2009-6-FENO- NAT_cuadros adicionales de brechas2002 y 2008 (2) 4" xfId="4028"/>
    <cellStyle name="_2009-6-FENO- NAT_CUAD-TEXTO_" xfId="233"/>
    <cellStyle name="_2009-6-FENO- NAT_CUAD-TEXTO_ 2" xfId="234"/>
    <cellStyle name="_2009-6-FENO- NAT_CUAD-TEXTO_ 2 2" xfId="1895"/>
    <cellStyle name="_2009-6-FENO- NAT_CUAD-TEXTO_ 3" xfId="1894"/>
    <cellStyle name="_2009-6-FENO- NAT_CUAD-TEXTO_ 4" xfId="4029"/>
    <cellStyle name="_2009-6-FENO- NAT_GRAFICOS ODM" xfId="235"/>
    <cellStyle name="_2009-6-FENO- NAT_GRAFICOS ODM 2" xfId="236"/>
    <cellStyle name="_2009-6-FENO- NAT_GRAFICOS ODM 2 2" xfId="1897"/>
    <cellStyle name="_2009-6-FENO- NAT_GRAFICOS ODM 3" xfId="1896"/>
    <cellStyle name="_2009-6-FENO- NAT_GRAFICOS ODM 4" xfId="4030"/>
    <cellStyle name="_2009-6-FENO- NAT_Libro2" xfId="237"/>
    <cellStyle name="_2009-6-FENO- NAT_Libro2 2" xfId="238"/>
    <cellStyle name="_2009-6-FENO- NAT_Libro2 2 2" xfId="1899"/>
    <cellStyle name="_2009-6-FENO- NAT_Libro2 3" xfId="1898"/>
    <cellStyle name="_2009-6-FENO- NAT_Libro2 4" xfId="4031"/>
    <cellStyle name="_2009-6-FENO- NAT_solicita datos para el 2007-minedu remitio" xfId="239"/>
    <cellStyle name="_2009-6-FENO- NAT_solicita datos para el 2007-minedu remitio 2" xfId="240"/>
    <cellStyle name="_2009-6-FENO- NAT_solicita datos para el 2007-minedu remitio 2 2" xfId="1901"/>
    <cellStyle name="_2009-6-FENO- NAT_solicita datos para el 2007-minedu remitio 3" xfId="1900"/>
    <cellStyle name="_2009-6-FENO- NAT_solicita datos para el 2007-minedu remitio 4" xfId="4032"/>
    <cellStyle name="_2-biodiversidad" xfId="241"/>
    <cellStyle name="_2-biodiversidad 2" xfId="242"/>
    <cellStyle name="_2-biodiversidad 2 2" xfId="1907"/>
    <cellStyle name="_2-biodiversidad 3" xfId="1902"/>
    <cellStyle name="_2-biodiversidad 4" xfId="4033"/>
    <cellStyle name="_2-biodiversidad_1-UIRN-UTSIGnov-2008" xfId="243"/>
    <cellStyle name="_2-biodiversidad_1-UIRN-UTSIGnov-2008 2" xfId="244"/>
    <cellStyle name="_2-biodiversidad_1-UIRN-UTSIGnov-2008 2 2" xfId="1904"/>
    <cellStyle name="_2-biodiversidad_1-UIRN-UTSIGnov-2008 3" xfId="1903"/>
    <cellStyle name="_2-biodiversidad_1-UIRN-UTSIGnov-2008 4" xfId="4034"/>
    <cellStyle name="_2-biodiversidad_1-UIRN-UTSIGnov-2008_GRAFICOS ODM" xfId="245"/>
    <cellStyle name="_2-biodiversidad_1-UIRN-UTSIGnov-2008_GRAFICOS ODM 2" xfId="246"/>
    <cellStyle name="_2-biodiversidad_1-UIRN-UTSIGnov-2008_GRAFICOS ODM 2 2" xfId="1906"/>
    <cellStyle name="_2-biodiversidad_1-UIRN-UTSIGnov-2008_GRAFICOS ODM 3" xfId="1905"/>
    <cellStyle name="_2-biodiversidad_1-UIRN-UTSIGnov-2008_GRAFICOS ODM 4" xfId="4035"/>
    <cellStyle name="_2-biodiversidad_cuadros adicionales de brechas2002 y 2008 (2)" xfId="247"/>
    <cellStyle name="_2-biodiversidad_cuadros adicionales de brechas2002 y 2008 (2) 2" xfId="248"/>
    <cellStyle name="_2-biodiversidad_cuadros adicionales de brechas2002 y 2008 (2) 2 2" xfId="1909"/>
    <cellStyle name="_2-biodiversidad_cuadros adicionales de brechas2002 y 2008 (2) 3" xfId="1908"/>
    <cellStyle name="_2-biodiversidad_cuadros adicionales de brechas2002 y 2008 (2) 4" xfId="4036"/>
    <cellStyle name="_2-biodiversidad_CUAD-TEXTO_" xfId="249"/>
    <cellStyle name="_2-biodiversidad_CUAD-TEXTO_ 2" xfId="250"/>
    <cellStyle name="_2-biodiversidad_CUAD-TEXTO_ 2 2" xfId="1911"/>
    <cellStyle name="_2-biodiversidad_CUAD-TEXTO_ 3" xfId="1910"/>
    <cellStyle name="_2-biodiversidad_CUAD-TEXTO_ 4" xfId="4038"/>
    <cellStyle name="_2-biodiversidad_GRAFICOS ODM" xfId="251"/>
    <cellStyle name="_2-biodiversidad_GRAFICOS ODM 2" xfId="252"/>
    <cellStyle name="_2-biodiversidad_GRAFICOS ODM 2 2" xfId="1913"/>
    <cellStyle name="_2-biodiversidad_GRAFICOS ODM 3" xfId="1912"/>
    <cellStyle name="_2-biodiversidad_GRAFICOS ODM 4" xfId="4039"/>
    <cellStyle name="_2-biodiversidad_Libro2" xfId="253"/>
    <cellStyle name="_2-biodiversidad_Libro2 2" xfId="254"/>
    <cellStyle name="_2-biodiversidad_Libro2 2 2" xfId="1915"/>
    <cellStyle name="_2-biodiversidad_Libro2 3" xfId="1914"/>
    <cellStyle name="_2-biodiversidad_Libro2 4" xfId="4040"/>
    <cellStyle name="_2-biodiversidad_solicita datos para el 2007-minedu remitio" xfId="255"/>
    <cellStyle name="_2-biodiversidad_solicita datos para el 2007-minedu remitio 2" xfId="256"/>
    <cellStyle name="_2-biodiversidad_solicita datos para el 2007-minedu remitio 2 2" xfId="1917"/>
    <cellStyle name="_2-biodiversidad_solicita datos para el 2007-minedu remitio 3" xfId="1916"/>
    <cellStyle name="_2-biodiversidad_solicita datos para el 2007-minedu remitio 4" xfId="4041"/>
    <cellStyle name="_3.13--" xfId="257"/>
    <cellStyle name="_3.13-- 2" xfId="258"/>
    <cellStyle name="_3.13-- 2 2" xfId="1923"/>
    <cellStyle name="_3.13-- 3" xfId="1918"/>
    <cellStyle name="_3.13-- 4" xfId="4043"/>
    <cellStyle name="_3.13--_1-UIRN-UTSIGnov-2008" xfId="259"/>
    <cellStyle name="_3.13--_1-UIRN-UTSIGnov-2008 2" xfId="260"/>
    <cellStyle name="_3.13--_1-UIRN-UTSIGnov-2008 2 2" xfId="1920"/>
    <cellStyle name="_3.13--_1-UIRN-UTSIGnov-2008 3" xfId="1919"/>
    <cellStyle name="_3.13--_1-UIRN-UTSIGnov-2008 4" xfId="4044"/>
    <cellStyle name="_3.13--_1-UIRN-UTSIGnov-2008_GRAFICOS ODM" xfId="261"/>
    <cellStyle name="_3.13--_1-UIRN-UTSIGnov-2008_GRAFICOS ODM 2" xfId="262"/>
    <cellStyle name="_3.13--_1-UIRN-UTSIGnov-2008_GRAFICOS ODM 2 2" xfId="1922"/>
    <cellStyle name="_3.13--_1-UIRN-UTSIGnov-2008_GRAFICOS ODM 3" xfId="1921"/>
    <cellStyle name="_3.13--_1-UIRN-UTSIGnov-2008_GRAFICOS ODM 4" xfId="4045"/>
    <cellStyle name="_3.13--_cuadros adicionales de brechas2002 y 2008 (2)" xfId="263"/>
    <cellStyle name="_3.13--_cuadros adicionales de brechas2002 y 2008 (2) 2" xfId="264"/>
    <cellStyle name="_3.13--_cuadros adicionales de brechas2002 y 2008 (2) 2 2" xfId="1925"/>
    <cellStyle name="_3.13--_cuadros adicionales de brechas2002 y 2008 (2) 3" xfId="1924"/>
    <cellStyle name="_3.13--_cuadros adicionales de brechas2002 y 2008 (2) 4" xfId="4046"/>
    <cellStyle name="_3.13--_CUAD-TEXTO_" xfId="265"/>
    <cellStyle name="_3.13--_CUAD-TEXTO_ 2" xfId="266"/>
    <cellStyle name="_3.13--_CUAD-TEXTO_ 2 2" xfId="1927"/>
    <cellStyle name="_3.13--_CUAD-TEXTO_ 3" xfId="1926"/>
    <cellStyle name="_3.13--_CUAD-TEXTO_ 4" xfId="4047"/>
    <cellStyle name="_3.13--_GRAFICOS ODM" xfId="267"/>
    <cellStyle name="_3.13--_GRAFICOS ODM 2" xfId="268"/>
    <cellStyle name="_3.13--_GRAFICOS ODM 2 2" xfId="1929"/>
    <cellStyle name="_3.13--_GRAFICOS ODM 3" xfId="1928"/>
    <cellStyle name="_3.13--_GRAFICOS ODM 4" xfId="4048"/>
    <cellStyle name="_3.13--_Libro2" xfId="269"/>
    <cellStyle name="_3.13--_Libro2 2" xfId="270"/>
    <cellStyle name="_3.13--_Libro2 2 2" xfId="1931"/>
    <cellStyle name="_3.13--_Libro2 3" xfId="1930"/>
    <cellStyle name="_3.13--_Libro2 4" xfId="4049"/>
    <cellStyle name="_3.13--_solicita datos para el 2007-minedu remitio" xfId="271"/>
    <cellStyle name="_3.13--_solicita datos para el 2007-minedu remitio 2" xfId="272"/>
    <cellStyle name="_3.13--_solicita datos para el 2007-minedu remitio 2 2" xfId="1933"/>
    <cellStyle name="_3.13--_solicita datos para el 2007-minedu remitio 3" xfId="1932"/>
    <cellStyle name="_3.13--_solicita datos para el 2007-minedu remitio 4" xfId="4050"/>
    <cellStyle name="_3a" xfId="273"/>
    <cellStyle name="_3a 2" xfId="274"/>
    <cellStyle name="_3a 2 2" xfId="1935"/>
    <cellStyle name="_3a 3" xfId="1934"/>
    <cellStyle name="_3a 4" xfId="4051"/>
    <cellStyle name="_3a_cuadros adicionales de brechas2002 y 2008 (2)" xfId="275"/>
    <cellStyle name="_3a_cuadros adicionales de brechas2002 y 2008 (2) 2" xfId="276"/>
    <cellStyle name="_3a_cuadros adicionales de brechas2002 y 2008 (2) 2 2" xfId="1937"/>
    <cellStyle name="_3a_cuadros adicionales de brechas2002 y 2008 (2) 3" xfId="1936"/>
    <cellStyle name="_3a_cuadros adicionales de brechas2002 y 2008 (2) 4" xfId="4053"/>
    <cellStyle name="_3a_CUAD-TEXTO_" xfId="277"/>
    <cellStyle name="_3a_CUAD-TEXTO_ 2" xfId="278"/>
    <cellStyle name="_3a_CUAD-TEXTO_ 2 2" xfId="1939"/>
    <cellStyle name="_3a_CUAD-TEXTO_ 3" xfId="1938"/>
    <cellStyle name="_3a_CUAD-TEXTO_ 4" xfId="4054"/>
    <cellStyle name="_3a_GRAFICOS ODM" xfId="279"/>
    <cellStyle name="_3a_GRAFICOS ODM 2" xfId="280"/>
    <cellStyle name="_3a_GRAFICOS ODM 2 2" xfId="1941"/>
    <cellStyle name="_3a_GRAFICOS ODM 3" xfId="1940"/>
    <cellStyle name="_3a_GRAFICOS ODM 4" xfId="4055"/>
    <cellStyle name="_3a_Libro2" xfId="281"/>
    <cellStyle name="_3a_Libro2 2" xfId="282"/>
    <cellStyle name="_3a_Libro2 2 2" xfId="1943"/>
    <cellStyle name="_3a_Libro2 3" xfId="1942"/>
    <cellStyle name="_3a_Libro2 4" xfId="4056"/>
    <cellStyle name="_3a_solicita datos para el 2007-minedu remitio" xfId="283"/>
    <cellStyle name="_3a_solicita datos para el 2007-minedu remitio 2" xfId="284"/>
    <cellStyle name="_3a_solicita datos para el 2007-minedu remitio 2 2" xfId="1945"/>
    <cellStyle name="_3a_solicita datos para el 2007-minedu remitio 3" xfId="1944"/>
    <cellStyle name="_3a_solicita datos para el 2007-minedu remitio 4" xfId="4058"/>
    <cellStyle name="_3agua-18-al-59" xfId="285"/>
    <cellStyle name="_3agua-18-al-59 2" xfId="286"/>
    <cellStyle name="_3agua-18-al-59 2 2" xfId="1951"/>
    <cellStyle name="_3agua-18-al-59 3" xfId="1946"/>
    <cellStyle name="_3agua-18-al-59 4" xfId="4059"/>
    <cellStyle name="_3agua-18-al-59_1-UIRN-UTSIGnov-2008" xfId="287"/>
    <cellStyle name="_3agua-18-al-59_1-UIRN-UTSIGnov-2008 2" xfId="288"/>
    <cellStyle name="_3agua-18-al-59_1-UIRN-UTSIGnov-2008 2 2" xfId="1948"/>
    <cellStyle name="_3agua-18-al-59_1-UIRN-UTSIGnov-2008 3" xfId="1947"/>
    <cellStyle name="_3agua-18-al-59_1-UIRN-UTSIGnov-2008 4" xfId="4060"/>
    <cellStyle name="_3agua-18-al-59_1-UIRN-UTSIGnov-2008_GRAFICOS ODM" xfId="289"/>
    <cellStyle name="_3agua-18-al-59_1-UIRN-UTSIGnov-2008_GRAFICOS ODM 2" xfId="290"/>
    <cellStyle name="_3agua-18-al-59_1-UIRN-UTSIGnov-2008_GRAFICOS ODM 2 2" xfId="1950"/>
    <cellStyle name="_3agua-18-al-59_1-UIRN-UTSIGnov-2008_GRAFICOS ODM 3" xfId="1949"/>
    <cellStyle name="_3agua-18-al-59_1-UIRN-UTSIGnov-2008_GRAFICOS ODM 4" xfId="4061"/>
    <cellStyle name="_3agua-18-al-59_cuadros adicionales de brechas2002 y 2008 (2)" xfId="291"/>
    <cellStyle name="_3agua-18-al-59_cuadros adicionales de brechas2002 y 2008 (2) 2" xfId="292"/>
    <cellStyle name="_3agua-18-al-59_cuadros adicionales de brechas2002 y 2008 (2) 2 2" xfId="1953"/>
    <cellStyle name="_3agua-18-al-59_cuadros adicionales de brechas2002 y 2008 (2) 3" xfId="1952"/>
    <cellStyle name="_3agua-18-al-59_cuadros adicionales de brechas2002 y 2008 (2) 4" xfId="4062"/>
    <cellStyle name="_3agua-18-al-59_CUAD-TEXTO_" xfId="293"/>
    <cellStyle name="_3agua-18-al-59_CUAD-TEXTO_ 2" xfId="294"/>
    <cellStyle name="_3agua-18-al-59_CUAD-TEXTO_ 2 2" xfId="1955"/>
    <cellStyle name="_3agua-18-al-59_CUAD-TEXTO_ 3" xfId="1954"/>
    <cellStyle name="_3agua-18-al-59_CUAD-TEXTO_ 4" xfId="4063"/>
    <cellStyle name="_3agua-18-al-59_GRAFICOS ODM" xfId="295"/>
    <cellStyle name="_3agua-18-al-59_GRAFICOS ODM 2" xfId="296"/>
    <cellStyle name="_3agua-18-al-59_GRAFICOS ODM 2 2" xfId="1957"/>
    <cellStyle name="_3agua-18-al-59_GRAFICOS ODM 3" xfId="1956"/>
    <cellStyle name="_3agua-18-al-59_GRAFICOS ODM 4" xfId="4064"/>
    <cellStyle name="_3agua-18-al-59_Libro2" xfId="297"/>
    <cellStyle name="_3agua-18-al-59_Libro2 2" xfId="298"/>
    <cellStyle name="_3agua-18-al-59_Libro2 2 2" xfId="1959"/>
    <cellStyle name="_3agua-18-al-59_Libro2 3" xfId="1958"/>
    <cellStyle name="_3agua-18-al-59_Libro2 4" xfId="4065"/>
    <cellStyle name="_3agua-18-al-59_solicita datos para el 2007-minedu remitio" xfId="299"/>
    <cellStyle name="_3agua-18-al-59_solicita datos para el 2007-minedu remitio 2" xfId="300"/>
    <cellStyle name="_3agua-18-al-59_solicita datos para el 2007-minedu remitio 2 2" xfId="1961"/>
    <cellStyle name="_3agua-18-al-59_solicita datos para el 2007-minedu remitio 3" xfId="1960"/>
    <cellStyle name="_3agua-18-al-59_solicita datos para el 2007-minedu remitio 4" xfId="4066"/>
    <cellStyle name="_3agua-1al--17" xfId="301"/>
    <cellStyle name="_3agua-1al--17 2" xfId="302"/>
    <cellStyle name="_3agua-1al--17 2 2" xfId="1967"/>
    <cellStyle name="_3agua-1al--17 3" xfId="1962"/>
    <cellStyle name="_3agua-1al--17 4" xfId="4067"/>
    <cellStyle name="_3agua-1al--17_1-UIRN-UTSIGnov-2008" xfId="303"/>
    <cellStyle name="_3agua-1al--17_1-UIRN-UTSIGnov-2008 2" xfId="304"/>
    <cellStyle name="_3agua-1al--17_1-UIRN-UTSIGnov-2008 2 2" xfId="1964"/>
    <cellStyle name="_3agua-1al--17_1-UIRN-UTSIGnov-2008 3" xfId="1963"/>
    <cellStyle name="_3agua-1al--17_1-UIRN-UTSIGnov-2008 4" xfId="4068"/>
    <cellStyle name="_3agua-1al--17_1-UIRN-UTSIGnov-2008_GRAFICOS ODM" xfId="305"/>
    <cellStyle name="_3agua-1al--17_1-UIRN-UTSIGnov-2008_GRAFICOS ODM 2" xfId="306"/>
    <cellStyle name="_3agua-1al--17_1-UIRN-UTSIGnov-2008_GRAFICOS ODM 2 2" xfId="1966"/>
    <cellStyle name="_3agua-1al--17_1-UIRN-UTSIGnov-2008_GRAFICOS ODM 3" xfId="1965"/>
    <cellStyle name="_3agua-1al--17_1-UIRN-UTSIGnov-2008_GRAFICOS ODM 4" xfId="4069"/>
    <cellStyle name="_3agua-1al--17_cuadros adicionales de brechas2002 y 2008 (2)" xfId="307"/>
    <cellStyle name="_3agua-1al--17_cuadros adicionales de brechas2002 y 2008 (2) 2" xfId="308"/>
    <cellStyle name="_3agua-1al--17_cuadros adicionales de brechas2002 y 2008 (2) 2 2" xfId="1969"/>
    <cellStyle name="_3agua-1al--17_cuadros adicionales de brechas2002 y 2008 (2) 3" xfId="1968"/>
    <cellStyle name="_3agua-1al--17_cuadros adicionales de brechas2002 y 2008 (2) 4" xfId="4070"/>
    <cellStyle name="_3agua-1al--17_CUAD-TEXTO_" xfId="309"/>
    <cellStyle name="_3agua-1al--17_CUAD-TEXTO_ 2" xfId="310"/>
    <cellStyle name="_3agua-1al--17_CUAD-TEXTO_ 2 2" xfId="1971"/>
    <cellStyle name="_3agua-1al--17_CUAD-TEXTO_ 3" xfId="1970"/>
    <cellStyle name="_3agua-1al--17_CUAD-TEXTO_ 4" xfId="4071"/>
    <cellStyle name="_3agua-1al--17_GRAFICOS ODM" xfId="311"/>
    <cellStyle name="_3agua-1al--17_GRAFICOS ODM 2" xfId="312"/>
    <cellStyle name="_3agua-1al--17_GRAFICOS ODM 2 2" xfId="1973"/>
    <cellStyle name="_3agua-1al--17_GRAFICOS ODM 3" xfId="1972"/>
    <cellStyle name="_3agua-1al--17_GRAFICOS ODM 4" xfId="4072"/>
    <cellStyle name="_3agua-1al--17_Libro2" xfId="313"/>
    <cellStyle name="_3agua-1al--17_Libro2 2" xfId="314"/>
    <cellStyle name="_3agua-1al--17_Libro2 2 2" xfId="1975"/>
    <cellStyle name="_3agua-1al--17_Libro2 3" xfId="1974"/>
    <cellStyle name="_3agua-1al--17_Libro2 4" xfId="4074"/>
    <cellStyle name="_3agua-1al--17_solicita datos para el 2007-minedu remitio" xfId="315"/>
    <cellStyle name="_3agua-1al--17_solicita datos para el 2007-minedu remitio 2" xfId="316"/>
    <cellStyle name="_3agua-1al--17_solicita datos para el 2007-minedu remitio 2 2" xfId="1977"/>
    <cellStyle name="_3agua-1al--17_solicita datos para el 2007-minedu remitio 3" xfId="1976"/>
    <cellStyle name="_3agua-1al--17_solicita datos para el 2007-minedu remitio 4" xfId="4076"/>
    <cellStyle name="_3b" xfId="317"/>
    <cellStyle name="_3b 2" xfId="318"/>
    <cellStyle name="_3b 2 2" xfId="1979"/>
    <cellStyle name="_3b 3" xfId="1978"/>
    <cellStyle name="_3b 4" xfId="4077"/>
    <cellStyle name="_3b_cuadros adicionales de brechas2002 y 2008 (2)" xfId="319"/>
    <cellStyle name="_3b_cuadros adicionales de brechas2002 y 2008 (2) 2" xfId="320"/>
    <cellStyle name="_3b_cuadros adicionales de brechas2002 y 2008 (2) 2 2" xfId="1981"/>
    <cellStyle name="_3b_cuadros adicionales de brechas2002 y 2008 (2) 3" xfId="1980"/>
    <cellStyle name="_3b_cuadros adicionales de brechas2002 y 2008 (2) 4" xfId="4079"/>
    <cellStyle name="_3b_CUAD-TEXTO_" xfId="321"/>
    <cellStyle name="_3b_CUAD-TEXTO_ 2" xfId="322"/>
    <cellStyle name="_3b_CUAD-TEXTO_ 2 2" xfId="1983"/>
    <cellStyle name="_3b_CUAD-TEXTO_ 3" xfId="1982"/>
    <cellStyle name="_3b_CUAD-TEXTO_ 4" xfId="4080"/>
    <cellStyle name="_3b_GRAFICOS ODM" xfId="323"/>
    <cellStyle name="_3b_GRAFICOS ODM 2" xfId="324"/>
    <cellStyle name="_3b_GRAFICOS ODM 2 2" xfId="1985"/>
    <cellStyle name="_3b_GRAFICOS ODM 3" xfId="1984"/>
    <cellStyle name="_3b_GRAFICOS ODM 4" xfId="4081"/>
    <cellStyle name="_3b_Libro2" xfId="325"/>
    <cellStyle name="_3b_Libro2 2" xfId="326"/>
    <cellStyle name="_3b_Libro2 2 2" xfId="1987"/>
    <cellStyle name="_3b_Libro2 3" xfId="1986"/>
    <cellStyle name="_3b_Libro2 4" xfId="4082"/>
    <cellStyle name="_3b_solicita datos para el 2007-minedu remitio" xfId="327"/>
    <cellStyle name="_3b_solicita datos para el 2007-minedu remitio 2" xfId="328"/>
    <cellStyle name="_3b_solicita datos para el 2007-minedu remitio 2 2" xfId="1989"/>
    <cellStyle name="_3b_solicita datos para el 2007-minedu remitio 3" xfId="1988"/>
    <cellStyle name="_3b_solicita datos para el 2007-minedu remitio 4" xfId="4083"/>
    <cellStyle name="_4" xfId="329"/>
    <cellStyle name="_4 2" xfId="330"/>
    <cellStyle name="_4 2 2" xfId="1991"/>
    <cellStyle name="_4 3" xfId="1990"/>
    <cellStyle name="_4 4" xfId="4084"/>
    <cellStyle name="_4_cuadros adicionales de brechas2002 y 2008 (2)" xfId="331"/>
    <cellStyle name="_4_cuadros adicionales de brechas2002 y 2008 (2) 2" xfId="332"/>
    <cellStyle name="_4_cuadros adicionales de brechas2002 y 2008 (2) 2 2" xfId="1993"/>
    <cellStyle name="_4_cuadros adicionales de brechas2002 y 2008 (2) 3" xfId="1992"/>
    <cellStyle name="_4_cuadros adicionales de brechas2002 y 2008 (2) 4" xfId="4085"/>
    <cellStyle name="_4_CUAD-TEXTO_" xfId="333"/>
    <cellStyle name="_4_CUAD-TEXTO_ 2" xfId="334"/>
    <cellStyle name="_4_CUAD-TEXTO_ 2 2" xfId="1995"/>
    <cellStyle name="_4_CUAD-TEXTO_ 3" xfId="1994"/>
    <cellStyle name="_4_CUAD-TEXTO_ 4" xfId="4086"/>
    <cellStyle name="_4_GRAFICOS ODM" xfId="335"/>
    <cellStyle name="_4_GRAFICOS ODM 2" xfId="336"/>
    <cellStyle name="_4_GRAFICOS ODM 2 2" xfId="1997"/>
    <cellStyle name="_4_GRAFICOS ODM 3" xfId="1996"/>
    <cellStyle name="_4_GRAFICOS ODM 4" xfId="4088"/>
    <cellStyle name="_4_Libro2" xfId="337"/>
    <cellStyle name="_4_Libro2 2" xfId="338"/>
    <cellStyle name="_4_Libro2 2 2" xfId="1999"/>
    <cellStyle name="_4_Libro2 3" xfId="1998"/>
    <cellStyle name="_4_Libro2 4" xfId="4089"/>
    <cellStyle name="_4_solicita datos para el 2007-minedu remitio" xfId="339"/>
    <cellStyle name="_4_solicita datos para el 2007-minedu remitio 2" xfId="340"/>
    <cellStyle name="_4_solicita datos para el 2007-minedu remitio 2 2" xfId="2001"/>
    <cellStyle name="_4_solicita datos para el 2007-minedu remitio 3" xfId="2000"/>
    <cellStyle name="_4_solicita datos para el 2007-minedu remitio 4" xfId="4090"/>
    <cellStyle name="_4-AIRE-2" xfId="341"/>
    <cellStyle name="_4-AIRE-2 2" xfId="342"/>
    <cellStyle name="_4-AIRE-2 2 2" xfId="2007"/>
    <cellStyle name="_4-AIRE-2 3" xfId="2002"/>
    <cellStyle name="_4-AIRE-2 4" xfId="4091"/>
    <cellStyle name="_4-AIRE-2_1-UIRN-UTSIGnov-2008" xfId="343"/>
    <cellStyle name="_4-AIRE-2_1-UIRN-UTSIGnov-2008 2" xfId="344"/>
    <cellStyle name="_4-AIRE-2_1-UIRN-UTSIGnov-2008 2 2" xfId="2004"/>
    <cellStyle name="_4-AIRE-2_1-UIRN-UTSIGnov-2008 3" xfId="2003"/>
    <cellStyle name="_4-AIRE-2_1-UIRN-UTSIGnov-2008 4" xfId="4092"/>
    <cellStyle name="_4-AIRE-2_1-UIRN-UTSIGnov-2008_GRAFICOS ODM" xfId="345"/>
    <cellStyle name="_4-AIRE-2_1-UIRN-UTSIGnov-2008_GRAFICOS ODM 2" xfId="346"/>
    <cellStyle name="_4-AIRE-2_1-UIRN-UTSIGnov-2008_GRAFICOS ODM 2 2" xfId="2006"/>
    <cellStyle name="_4-AIRE-2_1-UIRN-UTSIGnov-2008_GRAFICOS ODM 3" xfId="2005"/>
    <cellStyle name="_4-AIRE-2_1-UIRN-UTSIGnov-2008_GRAFICOS ODM 4" xfId="4094"/>
    <cellStyle name="_4-AIRE-2_cuadros adicionales de brechas2002 y 2008 (2)" xfId="347"/>
    <cellStyle name="_4-AIRE-2_cuadros adicionales de brechas2002 y 2008 (2) 2" xfId="348"/>
    <cellStyle name="_4-AIRE-2_cuadros adicionales de brechas2002 y 2008 (2) 2 2" xfId="2009"/>
    <cellStyle name="_4-AIRE-2_cuadros adicionales de brechas2002 y 2008 (2) 3" xfId="2008"/>
    <cellStyle name="_4-AIRE-2_cuadros adicionales de brechas2002 y 2008 (2) 4" xfId="4095"/>
    <cellStyle name="_4-AIRE-2_CUAD-TEXTO_" xfId="349"/>
    <cellStyle name="_4-AIRE-2_CUAD-TEXTO_ 2" xfId="350"/>
    <cellStyle name="_4-AIRE-2_CUAD-TEXTO_ 2 2" xfId="2011"/>
    <cellStyle name="_4-AIRE-2_CUAD-TEXTO_ 3" xfId="2010"/>
    <cellStyle name="_4-AIRE-2_CUAD-TEXTO_ 4" xfId="4096"/>
    <cellStyle name="_4-AIRE-2_GRAFICOS ODM" xfId="351"/>
    <cellStyle name="_4-AIRE-2_GRAFICOS ODM 2" xfId="352"/>
    <cellStyle name="_4-AIRE-2_GRAFICOS ODM 2 2" xfId="2013"/>
    <cellStyle name="_4-AIRE-2_GRAFICOS ODM 3" xfId="2012"/>
    <cellStyle name="_4-AIRE-2_GRAFICOS ODM 4" xfId="4097"/>
    <cellStyle name="_4-AIRE-2_Libro2" xfId="353"/>
    <cellStyle name="_4-AIRE-2_Libro2 2" xfId="354"/>
    <cellStyle name="_4-AIRE-2_Libro2 2 2" xfId="2015"/>
    <cellStyle name="_4-AIRE-2_Libro2 3" xfId="2014"/>
    <cellStyle name="_4-AIRE-2_Libro2 4" xfId="4098"/>
    <cellStyle name="_4-AIRE-2_solicita datos para el 2007-minedu remitio" xfId="355"/>
    <cellStyle name="_4-AIRE-2_solicita datos para el 2007-minedu remitio 2" xfId="356"/>
    <cellStyle name="_4-AIRE-2_solicita datos para el 2007-minedu remitio 2 2" xfId="2017"/>
    <cellStyle name="_4-AIRE-2_solicita datos para el 2007-minedu remitio 3" xfId="2016"/>
    <cellStyle name="_4-AIRE-2_solicita datos para el 2007-minedu remitio 4" xfId="4099"/>
    <cellStyle name="_5 SIDA (anexo)" xfId="357"/>
    <cellStyle name="_5 SIDA (anexo) 2" xfId="358"/>
    <cellStyle name="_5 SIDA (anexo) 2 2" xfId="2021"/>
    <cellStyle name="_5 SIDA (anexo) 3" xfId="2020"/>
    <cellStyle name="_5 SIDA (anexo) 4" xfId="4100"/>
    <cellStyle name="_5 SIDA." xfId="359"/>
    <cellStyle name="_5 SIDA. 2" xfId="360"/>
    <cellStyle name="_5 SIDA. 2 2" xfId="2019"/>
    <cellStyle name="_5 SIDA. 3" xfId="2018"/>
    <cellStyle name="_5 SIDA. 4" xfId="4102"/>
    <cellStyle name="_8" xfId="361"/>
    <cellStyle name="_8 2" xfId="362"/>
    <cellStyle name="_8 2 2" xfId="2028"/>
    <cellStyle name="_8 3" xfId="2027"/>
    <cellStyle name="_8 4" xfId="4103"/>
    <cellStyle name="_8_cuadros adicionales de brechas2002 y 2008 (2)" xfId="363"/>
    <cellStyle name="_8_cuadros adicionales de brechas2002 y 2008 (2) 2" xfId="364"/>
    <cellStyle name="_8_cuadros adicionales de brechas2002 y 2008 (2) 2 2" xfId="2030"/>
    <cellStyle name="_8_cuadros adicionales de brechas2002 y 2008 (2) 3" xfId="2029"/>
    <cellStyle name="_8_cuadros adicionales de brechas2002 y 2008 (2) 4" xfId="4104"/>
    <cellStyle name="_8_CUAD-TEXTO_" xfId="365"/>
    <cellStyle name="_8_CUAD-TEXTO_ 2" xfId="366"/>
    <cellStyle name="_8_CUAD-TEXTO_ 2 2" xfId="2032"/>
    <cellStyle name="_8_CUAD-TEXTO_ 3" xfId="2031"/>
    <cellStyle name="_8_CUAD-TEXTO_ 4" xfId="4106"/>
    <cellStyle name="_8_GRAFICOS ODM" xfId="367"/>
    <cellStyle name="_8_GRAFICOS ODM 2" xfId="368"/>
    <cellStyle name="_8_GRAFICOS ODM 2 2" xfId="2034"/>
    <cellStyle name="_8_GRAFICOS ODM 3" xfId="2033"/>
    <cellStyle name="_8_GRAFICOS ODM 4" xfId="4108"/>
    <cellStyle name="_8_Libro2" xfId="369"/>
    <cellStyle name="_8_Libro2 2" xfId="370"/>
    <cellStyle name="_8_Libro2 2 2" xfId="2036"/>
    <cellStyle name="_8_Libro2 3" xfId="2035"/>
    <cellStyle name="_8_Libro2 4" xfId="4110"/>
    <cellStyle name="_8_solicita datos para el 2007-minedu remitio" xfId="371"/>
    <cellStyle name="_8_solicita datos para el 2007-minedu remitio 2" xfId="372"/>
    <cellStyle name="_8_solicita datos para el 2007-minedu remitio 2 2" xfId="2038"/>
    <cellStyle name="_8_solicita datos para el 2007-minedu remitio 3" xfId="2037"/>
    <cellStyle name="_8_solicita datos para el 2007-minedu remitio 4" xfId="4111"/>
    <cellStyle name="_8-9" xfId="373"/>
    <cellStyle name="_8-9 2" xfId="374"/>
    <cellStyle name="_8-9 2 2" xfId="2044"/>
    <cellStyle name="_8-9 3" xfId="2039"/>
    <cellStyle name="_8-9 4" xfId="4112"/>
    <cellStyle name="_8-9_1-UIRN-UTSIGnov-2008" xfId="375"/>
    <cellStyle name="_8-9_1-UIRN-UTSIGnov-2008 2" xfId="376"/>
    <cellStyle name="_8-9_1-UIRN-UTSIGnov-2008 2 2" xfId="2041"/>
    <cellStyle name="_8-9_1-UIRN-UTSIGnov-2008 3" xfId="2040"/>
    <cellStyle name="_8-9_1-UIRN-UTSIGnov-2008 4" xfId="4113"/>
    <cellStyle name="_8-9_1-UIRN-UTSIGnov-2008_GRAFICOS ODM" xfId="377"/>
    <cellStyle name="_8-9_1-UIRN-UTSIGnov-2008_GRAFICOS ODM 2" xfId="378"/>
    <cellStyle name="_8-9_1-UIRN-UTSIGnov-2008_GRAFICOS ODM 2 2" xfId="2043"/>
    <cellStyle name="_8-9_1-UIRN-UTSIGnov-2008_GRAFICOS ODM 3" xfId="2042"/>
    <cellStyle name="_8-9_1-UIRN-UTSIGnov-2008_GRAFICOS ODM 4" xfId="4115"/>
    <cellStyle name="_8-9_cuadros adicionales de brechas2002 y 2008 (2)" xfId="379"/>
    <cellStyle name="_8-9_cuadros adicionales de brechas2002 y 2008 (2) 2" xfId="380"/>
    <cellStyle name="_8-9_cuadros adicionales de brechas2002 y 2008 (2) 2 2" xfId="2046"/>
    <cellStyle name="_8-9_cuadros adicionales de brechas2002 y 2008 (2) 3" xfId="2045"/>
    <cellStyle name="_8-9_cuadros adicionales de brechas2002 y 2008 (2) 4" xfId="4117"/>
    <cellStyle name="_8-9_CUAD-TEXTO_" xfId="381"/>
    <cellStyle name="_8-9_CUAD-TEXTO_ 2" xfId="382"/>
    <cellStyle name="_8-9_CUAD-TEXTO_ 2 2" xfId="2048"/>
    <cellStyle name="_8-9_CUAD-TEXTO_ 3" xfId="2047"/>
    <cellStyle name="_8-9_CUAD-TEXTO_ 4" xfId="4118"/>
    <cellStyle name="_8-9_GRAFICOS ODM" xfId="383"/>
    <cellStyle name="_8-9_GRAFICOS ODM 2" xfId="384"/>
    <cellStyle name="_8-9_GRAFICOS ODM 2 2" xfId="2050"/>
    <cellStyle name="_8-9_GRAFICOS ODM 3" xfId="2049"/>
    <cellStyle name="_8-9_GRAFICOS ODM 4" xfId="4119"/>
    <cellStyle name="_8-9_Libro2" xfId="385"/>
    <cellStyle name="_8-9_Libro2 2" xfId="386"/>
    <cellStyle name="_8-9_Libro2 2 2" xfId="2052"/>
    <cellStyle name="_8-9_Libro2 3" xfId="2051"/>
    <cellStyle name="_8-9_Libro2 4" xfId="4120"/>
    <cellStyle name="_8-9_solicita datos para el 2007-minedu remitio" xfId="387"/>
    <cellStyle name="_8-9_solicita datos para el 2007-minedu remitio 2" xfId="388"/>
    <cellStyle name="_8-9_solicita datos para el 2007-minedu remitio 2 2" xfId="2054"/>
    <cellStyle name="_8-9_solicita datos para el 2007-minedu remitio 3" xfId="2053"/>
    <cellStyle name="_8-9_solicita datos para el 2007-minedu remitio 4" xfId="4122"/>
    <cellStyle name="_9-POCK-PARTIC CIUD" xfId="389"/>
    <cellStyle name="_9-POCK-PARTIC CIUD 2" xfId="390"/>
    <cellStyle name="_9-POCK-PARTIC CIUD 2 2" xfId="391"/>
    <cellStyle name="_9-POCK-PARTIC CIUD 2 2 2" xfId="392"/>
    <cellStyle name="_9-POCK-PARTIC CIUD 2 2 2 2" xfId="2058"/>
    <cellStyle name="_9-POCK-PARTIC CIUD 2 2 3" xfId="2057"/>
    <cellStyle name="_9-POCK-PARTIC CIUD 2 2 4" xfId="4125"/>
    <cellStyle name="_9-POCK-PARTIC CIUD 2 3" xfId="393"/>
    <cellStyle name="_9-POCK-PARTIC CIUD 2 3 2" xfId="2059"/>
    <cellStyle name="_9-POCK-PARTIC CIUD 2 4" xfId="2056"/>
    <cellStyle name="_9-POCK-PARTIC CIUD 2 5" xfId="4124"/>
    <cellStyle name="_9-POCK-PARTIC CIUD 3" xfId="394"/>
    <cellStyle name="_9-POCK-PARTIC CIUD 3 2" xfId="2060"/>
    <cellStyle name="_9-POCK-PARTIC CIUD 4" xfId="2055"/>
    <cellStyle name="_9-POCK-PARTIC CIUD 5" xfId="4123"/>
    <cellStyle name="_9-POCK-PARTIC CIUD_analfabetismo factor 2007 sexo y edad" xfId="395"/>
    <cellStyle name="_9-POCK-PARTIC CIUD_analfabetismo factor 2007 sexo y edad 2" xfId="396"/>
    <cellStyle name="_9-POCK-PARTIC CIUD_analfabetismo factor 2007 sexo y edad 2 2" xfId="397"/>
    <cellStyle name="_9-POCK-PARTIC CIUD_analfabetismo factor 2007 sexo y edad 2 2 2" xfId="398"/>
    <cellStyle name="_9-POCK-PARTIC CIUD_analfabetismo factor 2007 sexo y edad 2 2 2 2" xfId="2080"/>
    <cellStyle name="_9-POCK-PARTIC CIUD_analfabetismo factor 2007 sexo y edad 2 2 3" xfId="2079"/>
    <cellStyle name="_9-POCK-PARTIC CIUD_analfabetismo factor 2007 sexo y edad 2 2 4" xfId="4128"/>
    <cellStyle name="_9-POCK-PARTIC CIUD_analfabetismo factor 2007 sexo y edad 2 3" xfId="399"/>
    <cellStyle name="_9-POCK-PARTIC CIUD_analfabetismo factor 2007 sexo y edad 2 3 2" xfId="2081"/>
    <cellStyle name="_9-POCK-PARTIC CIUD_analfabetismo factor 2007 sexo y edad 2 4" xfId="2078"/>
    <cellStyle name="_9-POCK-PARTIC CIUD_analfabetismo factor 2007 sexo y edad 2 5" xfId="4127"/>
    <cellStyle name="_9-POCK-PARTIC CIUD_analfabetismo factor 2007 sexo y edad 3" xfId="400"/>
    <cellStyle name="_9-POCK-PARTIC CIUD_analfabetismo factor 2007 sexo y edad 3 2" xfId="2082"/>
    <cellStyle name="_9-POCK-PARTIC CIUD_analfabetismo factor 2007 sexo y edad 4" xfId="2061"/>
    <cellStyle name="_9-POCK-PARTIC CIUD_analfabetismo factor 2007 sexo y edad 5" xfId="4126"/>
    <cellStyle name="_9-POCK-PARTIC CIUD_analfabetismo factor 2007 sexo y edad.Norvil" xfId="401"/>
    <cellStyle name="_9-POCK-PARTIC CIUD_analfabetismo factor 2007 sexo y edad.Norvil 2" xfId="402"/>
    <cellStyle name="_9-POCK-PARTIC CIUD_analfabetismo factor 2007 sexo y edad.Norvil 2 2" xfId="403"/>
    <cellStyle name="_9-POCK-PARTIC CIUD_analfabetismo factor 2007 sexo y edad.Norvil 2 2 2" xfId="404"/>
    <cellStyle name="_9-POCK-PARTIC CIUD_analfabetismo factor 2007 sexo y edad.Norvil 2 2 2 2" xfId="2065"/>
    <cellStyle name="_9-POCK-PARTIC CIUD_analfabetismo factor 2007 sexo y edad.Norvil 2 2 3" xfId="2064"/>
    <cellStyle name="_9-POCK-PARTIC CIUD_analfabetismo factor 2007 sexo y edad.Norvil 2 2 4" xfId="4131"/>
    <cellStyle name="_9-POCK-PARTIC CIUD_analfabetismo factor 2007 sexo y edad.Norvil 2 3" xfId="405"/>
    <cellStyle name="_9-POCK-PARTIC CIUD_analfabetismo factor 2007 sexo y edad.Norvil 2 3 2" xfId="2066"/>
    <cellStyle name="_9-POCK-PARTIC CIUD_analfabetismo factor 2007 sexo y edad.Norvil 2 4" xfId="2063"/>
    <cellStyle name="_9-POCK-PARTIC CIUD_analfabetismo factor 2007 sexo y edad.Norvil 2 5" xfId="4130"/>
    <cellStyle name="_9-POCK-PARTIC CIUD_analfabetismo factor 2007 sexo y edad.Norvil 3" xfId="406"/>
    <cellStyle name="_9-POCK-PARTIC CIUD_analfabetismo factor 2007 sexo y edad.Norvil 3 2" xfId="2067"/>
    <cellStyle name="_9-POCK-PARTIC CIUD_analfabetismo factor 2007 sexo y edad.Norvil 4" xfId="2062"/>
    <cellStyle name="_9-POCK-PARTIC CIUD_analfabetismo factor 2007 sexo y edad.Norvil 5" xfId="4129"/>
    <cellStyle name="_9-POCK-PARTIC CIUD_analfabetismo factor 2007 sexo y edad.Norvil_Cuadros Nor  (2)" xfId="407"/>
    <cellStyle name="_9-POCK-PARTIC CIUD_analfabetismo factor 2007 sexo y edad.Norvil_Cuadros Nor  (2) 2" xfId="408"/>
    <cellStyle name="_9-POCK-PARTIC CIUD_analfabetismo factor 2007 sexo y edad.Norvil_Cuadros Nor  (2) 2 2" xfId="2069"/>
    <cellStyle name="_9-POCK-PARTIC CIUD_analfabetismo factor 2007 sexo y edad.Norvil_Cuadros Nor  (2) 3" xfId="2068"/>
    <cellStyle name="_9-POCK-PARTIC CIUD_analfabetismo factor 2007 sexo y edad.Norvil_Cuadros Nor  (2) 4" xfId="4133"/>
    <cellStyle name="_9-POCK-PARTIC CIUD_analfabetismo factor 2007 sexo y edad.Norvil_DEPARTAMENTAL-NUEVO FACTOR 2010" xfId="409"/>
    <cellStyle name="_9-POCK-PARTIC CIUD_analfabetismo factor 2007 sexo y edad.Norvil_DEPARTAMENTAL-NUEVO FACTOR 2010 2" xfId="410"/>
    <cellStyle name="_9-POCK-PARTIC CIUD_analfabetismo factor 2007 sexo y edad.Norvil_DEPARTAMENTAL-NUEVO FACTOR 2010 2 2" xfId="2071"/>
    <cellStyle name="_9-POCK-PARTIC CIUD_analfabetismo factor 2007 sexo y edad.Norvil_DEPARTAMENTAL-NUEVO FACTOR 2010 3" xfId="2070"/>
    <cellStyle name="_9-POCK-PARTIC CIUD_analfabetismo factor 2007 sexo y edad.Norvil_DEPARTAMENTAL-NUEVO FACTOR 2010 4" xfId="4134"/>
    <cellStyle name="_9-POCK-PARTIC CIUD_analfabetismo factor 2007 sexo y edad.Norvil_EXCEL-DEPARTAMENTAL-Def" xfId="411"/>
    <cellStyle name="_9-POCK-PARTIC CIUD_analfabetismo factor 2007 sexo y edad.Norvil_EXCEL-DEPARTAMENTAL-Def 2" xfId="412"/>
    <cellStyle name="_9-POCK-PARTIC CIUD_analfabetismo factor 2007 sexo y edad.Norvil_EXCEL-DEPARTAMENTAL-Def 2 2" xfId="2073"/>
    <cellStyle name="_9-POCK-PARTIC CIUD_analfabetismo factor 2007 sexo y edad.Norvil_EXCEL-DEPARTAMENTAL-Def 3" xfId="2072"/>
    <cellStyle name="_9-POCK-PARTIC CIUD_analfabetismo factor 2007 sexo y edad.Norvil_EXCEL-DEPARTAMENTAL-Def 4" xfId="4135"/>
    <cellStyle name="_9-POCK-PARTIC CIUD_analfabetismo factor 2007 sexo y edad.Norvil_EXCEL-DEPARTAMENTAL-Def2" xfId="413"/>
    <cellStyle name="_9-POCK-PARTIC CIUD_analfabetismo factor 2007 sexo y edad.Norvil_EXCEL-DEPARTAMENTAL-Def2 2" xfId="414"/>
    <cellStyle name="_9-POCK-PARTIC CIUD_analfabetismo factor 2007 sexo y edad.Norvil_EXCEL-DEPARTAMENTAL-Def2 2 2" xfId="2075"/>
    <cellStyle name="_9-POCK-PARTIC CIUD_analfabetismo factor 2007 sexo y edad.Norvil_EXCEL-DEPARTAMENTAL-Def2 3" xfId="2074"/>
    <cellStyle name="_9-POCK-PARTIC CIUD_analfabetismo factor 2007 sexo y edad.Norvil_EXCEL-DEPARTAMENTAL-Def2 4" xfId="4136"/>
    <cellStyle name="_9-POCK-PARTIC CIUD_analfabetismo factor 2007 sexo y edad.Norvil_Salud y Pobreza" xfId="415"/>
    <cellStyle name="_9-POCK-PARTIC CIUD_analfabetismo factor 2007 sexo y edad.Norvil_Salud y Pobreza 2" xfId="416"/>
    <cellStyle name="_9-POCK-PARTIC CIUD_analfabetismo factor 2007 sexo y edad.Norvil_Salud y Pobreza 2 2" xfId="2077"/>
    <cellStyle name="_9-POCK-PARTIC CIUD_analfabetismo factor 2007 sexo y edad.Norvil_Salud y Pobreza 3" xfId="2076"/>
    <cellStyle name="_9-POCK-PARTIC CIUD_analfabetismo factor 2007 sexo y edad.Norvil_Salud y Pobreza 4" xfId="4137"/>
    <cellStyle name="_9-POCK-PARTIC CIUD_analfabetismo factor 2007 sexo y edad_Cuadros Nor  (2)" xfId="417"/>
    <cellStyle name="_9-POCK-PARTIC CIUD_analfabetismo factor 2007 sexo y edad_Cuadros Nor  (2) 2" xfId="418"/>
    <cellStyle name="_9-POCK-PARTIC CIUD_analfabetismo factor 2007 sexo y edad_Cuadros Nor  (2) 2 2" xfId="2084"/>
    <cellStyle name="_9-POCK-PARTIC CIUD_analfabetismo factor 2007 sexo y edad_Cuadros Nor  (2) 3" xfId="2083"/>
    <cellStyle name="_9-POCK-PARTIC CIUD_analfabetismo factor 2007 sexo y edad_Cuadros Nor  (2) 4" xfId="4138"/>
    <cellStyle name="_9-POCK-PARTIC CIUD_analfabetismo factor 2007 sexo y edad_DEPARTAMENTAL-NUEVO FACTOR 2010" xfId="419"/>
    <cellStyle name="_9-POCK-PARTIC CIUD_analfabetismo factor 2007 sexo y edad_DEPARTAMENTAL-NUEVO FACTOR 2010 2" xfId="420"/>
    <cellStyle name="_9-POCK-PARTIC CIUD_analfabetismo factor 2007 sexo y edad_DEPARTAMENTAL-NUEVO FACTOR 2010 2 2" xfId="2086"/>
    <cellStyle name="_9-POCK-PARTIC CIUD_analfabetismo factor 2007 sexo y edad_DEPARTAMENTAL-NUEVO FACTOR 2010 3" xfId="2085"/>
    <cellStyle name="_9-POCK-PARTIC CIUD_analfabetismo factor 2007 sexo y edad_DEPARTAMENTAL-NUEVO FACTOR 2010 4" xfId="4139"/>
    <cellStyle name="_9-POCK-PARTIC CIUD_analfabetismo factor 2007 sexo y edad_EXCEL-DEPARTAMENTAL-Def" xfId="421"/>
    <cellStyle name="_9-POCK-PARTIC CIUD_analfabetismo factor 2007 sexo y edad_EXCEL-DEPARTAMENTAL-Def 2" xfId="422"/>
    <cellStyle name="_9-POCK-PARTIC CIUD_analfabetismo factor 2007 sexo y edad_EXCEL-DEPARTAMENTAL-Def 2 2" xfId="2088"/>
    <cellStyle name="_9-POCK-PARTIC CIUD_analfabetismo factor 2007 sexo y edad_EXCEL-DEPARTAMENTAL-Def 3" xfId="2087"/>
    <cellStyle name="_9-POCK-PARTIC CIUD_analfabetismo factor 2007 sexo y edad_EXCEL-DEPARTAMENTAL-Def 4" xfId="4140"/>
    <cellStyle name="_9-POCK-PARTIC CIUD_analfabetismo factor 2007 sexo y edad_EXCEL-DEPARTAMENTAL-Def2" xfId="423"/>
    <cellStyle name="_9-POCK-PARTIC CIUD_analfabetismo factor 2007 sexo y edad_EXCEL-DEPARTAMENTAL-Def2 2" xfId="424"/>
    <cellStyle name="_9-POCK-PARTIC CIUD_analfabetismo factor 2007 sexo y edad_EXCEL-DEPARTAMENTAL-Def2 2 2" xfId="2090"/>
    <cellStyle name="_9-POCK-PARTIC CIUD_analfabetismo factor 2007 sexo y edad_EXCEL-DEPARTAMENTAL-Def2 3" xfId="2089"/>
    <cellStyle name="_9-POCK-PARTIC CIUD_analfabetismo factor 2007 sexo y edad_EXCEL-DEPARTAMENTAL-Def2 4" xfId="4142"/>
    <cellStyle name="_9-POCK-PARTIC CIUD_analfabetismo factor 2007 sexo y edad_Salud y Pobreza" xfId="425"/>
    <cellStyle name="_9-POCK-PARTIC CIUD_analfabetismo factor 2007 sexo y edad_Salud y Pobreza 2" xfId="426"/>
    <cellStyle name="_9-POCK-PARTIC CIUD_analfabetismo factor 2007 sexo y edad_Salud y Pobreza 2 2" xfId="2092"/>
    <cellStyle name="_9-POCK-PARTIC CIUD_analfabetismo factor 2007 sexo y edad_Salud y Pobreza 3" xfId="2091"/>
    <cellStyle name="_9-POCK-PARTIC CIUD_analfabetismo factor 2007 sexo y edad_Salud y Pobreza 4" xfId="4143"/>
    <cellStyle name="_9-POCK-PARTIC CIUD_ANEXO 1 MATRICULA ESCOLAR" xfId="427"/>
    <cellStyle name="_9-POCK-PARTIC CIUD_ANEXO 1 MATRICULA ESCOLAR 2" xfId="428"/>
    <cellStyle name="_9-POCK-PARTIC CIUD_ANEXO 1 MATRICULA ESCOLAR 2 2" xfId="429"/>
    <cellStyle name="_9-POCK-PARTIC CIUD_ANEXO 1 MATRICULA ESCOLAR 2 2 2" xfId="430"/>
    <cellStyle name="_9-POCK-PARTIC CIUD_ANEXO 1 MATRICULA ESCOLAR 2 2 2 2" xfId="2096"/>
    <cellStyle name="_9-POCK-PARTIC CIUD_ANEXO 1 MATRICULA ESCOLAR 2 2 3" xfId="2095"/>
    <cellStyle name="_9-POCK-PARTIC CIUD_ANEXO 1 MATRICULA ESCOLAR 2 2 4" xfId="4146"/>
    <cellStyle name="_9-POCK-PARTIC CIUD_ANEXO 1 MATRICULA ESCOLAR 2 3" xfId="431"/>
    <cellStyle name="_9-POCK-PARTIC CIUD_ANEXO 1 MATRICULA ESCOLAR 2 3 2" xfId="2097"/>
    <cellStyle name="_9-POCK-PARTIC CIUD_ANEXO 1 MATRICULA ESCOLAR 2 4" xfId="2094"/>
    <cellStyle name="_9-POCK-PARTIC CIUD_ANEXO 1 MATRICULA ESCOLAR 2 5" xfId="4145"/>
    <cellStyle name="_9-POCK-PARTIC CIUD_ANEXO 1 MATRICULA ESCOLAR 3" xfId="432"/>
    <cellStyle name="_9-POCK-PARTIC CIUD_ANEXO 1 MATRICULA ESCOLAR 3 2" xfId="2098"/>
    <cellStyle name="_9-POCK-PARTIC CIUD_ANEXO 1 MATRICULA ESCOLAR 4" xfId="2093"/>
    <cellStyle name="_9-POCK-PARTIC CIUD_ANEXO 1 MATRICULA ESCOLAR 5" xfId="4144"/>
    <cellStyle name="_9-POCK-PARTIC CIUD_ANEXO 1 MATRICULA ESCOLAR_Cuadros Nor  (2)" xfId="433"/>
    <cellStyle name="_9-POCK-PARTIC CIUD_ANEXO 1 MATRICULA ESCOLAR_Cuadros Nor  (2) 2" xfId="434"/>
    <cellStyle name="_9-POCK-PARTIC CIUD_ANEXO 1 MATRICULA ESCOLAR_Cuadros Nor  (2) 2 2" xfId="2100"/>
    <cellStyle name="_9-POCK-PARTIC CIUD_ANEXO 1 MATRICULA ESCOLAR_Cuadros Nor  (2) 3" xfId="2099"/>
    <cellStyle name="_9-POCK-PARTIC CIUD_ANEXO 1 MATRICULA ESCOLAR_Cuadros Nor  (2) 4" xfId="4147"/>
    <cellStyle name="_9-POCK-PARTIC CIUD_ANEXO 1 MATRICULA ESCOLAR_DEPARTAMENTAL-NUEVO FACTOR 2010" xfId="435"/>
    <cellStyle name="_9-POCK-PARTIC CIUD_ANEXO 1 MATRICULA ESCOLAR_DEPARTAMENTAL-NUEVO FACTOR 2010 2" xfId="436"/>
    <cellStyle name="_9-POCK-PARTIC CIUD_ANEXO 1 MATRICULA ESCOLAR_DEPARTAMENTAL-NUEVO FACTOR 2010 2 2" xfId="2102"/>
    <cellStyle name="_9-POCK-PARTIC CIUD_ANEXO 1 MATRICULA ESCOLAR_DEPARTAMENTAL-NUEVO FACTOR 2010 3" xfId="2101"/>
    <cellStyle name="_9-POCK-PARTIC CIUD_ANEXO 1 MATRICULA ESCOLAR_DEPARTAMENTAL-NUEVO FACTOR 2010 4" xfId="4149"/>
    <cellStyle name="_9-POCK-PARTIC CIUD_ANEXO 1 MATRICULA ESCOLAR_EXCEL-DEPARTAMENTAL-Def" xfId="437"/>
    <cellStyle name="_9-POCK-PARTIC CIUD_ANEXO 1 MATRICULA ESCOLAR_EXCEL-DEPARTAMENTAL-Def 2" xfId="438"/>
    <cellStyle name="_9-POCK-PARTIC CIUD_ANEXO 1 MATRICULA ESCOLAR_EXCEL-DEPARTAMENTAL-Def 2 2" xfId="2104"/>
    <cellStyle name="_9-POCK-PARTIC CIUD_ANEXO 1 MATRICULA ESCOLAR_EXCEL-DEPARTAMENTAL-Def 3" xfId="2103"/>
    <cellStyle name="_9-POCK-PARTIC CIUD_ANEXO 1 MATRICULA ESCOLAR_EXCEL-DEPARTAMENTAL-Def 4" xfId="4150"/>
    <cellStyle name="_9-POCK-PARTIC CIUD_ANEXO 1 MATRICULA ESCOLAR_EXCEL-DEPARTAMENTAL-Def2" xfId="439"/>
    <cellStyle name="_9-POCK-PARTIC CIUD_ANEXO 1 MATRICULA ESCOLAR_EXCEL-DEPARTAMENTAL-Def2 2" xfId="440"/>
    <cellStyle name="_9-POCK-PARTIC CIUD_ANEXO 1 MATRICULA ESCOLAR_EXCEL-DEPARTAMENTAL-Def2 2 2" xfId="2106"/>
    <cellStyle name="_9-POCK-PARTIC CIUD_ANEXO 1 MATRICULA ESCOLAR_EXCEL-DEPARTAMENTAL-Def2 3" xfId="2105"/>
    <cellStyle name="_9-POCK-PARTIC CIUD_ANEXO 1 MATRICULA ESCOLAR_EXCEL-DEPARTAMENTAL-Def2 4" xfId="4151"/>
    <cellStyle name="_9-POCK-PARTIC CIUD_ANEXO 1 MATRICULA ESCOLAR_Salud y Pobreza" xfId="441"/>
    <cellStyle name="_9-POCK-PARTIC CIUD_ANEXO 1 MATRICULA ESCOLAR_Salud y Pobreza 2" xfId="442"/>
    <cellStyle name="_9-POCK-PARTIC CIUD_ANEXO 1 MATRICULA ESCOLAR_Salud y Pobreza 2 2" xfId="2108"/>
    <cellStyle name="_9-POCK-PARTIC CIUD_ANEXO 1 MATRICULA ESCOLAR_Salud y Pobreza 3" xfId="2107"/>
    <cellStyle name="_9-POCK-PARTIC CIUD_ANEXO 1 MATRICULA ESCOLAR_Salud y Pobreza 4" xfId="4152"/>
    <cellStyle name="_9-POCK-PARTIC CIUD_ANEXO 4 INDIC DE RESULTADOS FINAL" xfId="443"/>
    <cellStyle name="_9-POCK-PARTIC CIUD_ANEXO 4 INDIC DE RESULTADOS FINAL 2" xfId="444"/>
    <cellStyle name="_9-POCK-PARTIC CIUD_ANEXO 4 INDIC DE RESULTADOS FINAL 2 2" xfId="2110"/>
    <cellStyle name="_9-POCK-PARTIC CIUD_ANEXO 4 INDIC DE RESULTADOS FINAL 3" xfId="2109"/>
    <cellStyle name="_9-POCK-PARTIC CIUD_ANEXO 4 INDIC DE RESULTADOS FINAL 4" xfId="4153"/>
    <cellStyle name="_9-POCK-PARTIC CIUD_cuad-15.." xfId="445"/>
    <cellStyle name="_9-POCK-PARTIC CIUD_cuad-15.. 2" xfId="446"/>
    <cellStyle name="_9-POCK-PARTIC CIUD_cuad-15.. 2 2" xfId="2112"/>
    <cellStyle name="_9-POCK-PARTIC CIUD_cuad-15.. 3" xfId="2111"/>
    <cellStyle name="_9-POCK-PARTIC CIUD_cuad-15.. 4" xfId="4154"/>
    <cellStyle name="_9-POCK-PARTIC CIUD_cuadros adicionales de brechas2002 y 2008 (2)" xfId="447"/>
    <cellStyle name="_9-POCK-PARTIC CIUD_cuadros adicionales de brechas2002 y 2008 (2) 2" xfId="448"/>
    <cellStyle name="_9-POCK-PARTIC CIUD_cuadros adicionales de brechas2002 y 2008 (2) 2 2" xfId="2114"/>
    <cellStyle name="_9-POCK-PARTIC CIUD_cuadros adicionales de brechas2002 y 2008 (2) 3" xfId="2113"/>
    <cellStyle name="_9-POCK-PARTIC CIUD_cuadros adicionales de brechas2002 y 2008 (2) 4" xfId="4155"/>
    <cellStyle name="_9-POCK-PARTIC CIUD_Cuadros Nor  (2)" xfId="449"/>
    <cellStyle name="_9-POCK-PARTIC CIUD_Cuadros Nor  (2) 2" xfId="450"/>
    <cellStyle name="_9-POCK-PARTIC CIUD_Cuadros Nor  (2) 2 2" xfId="2116"/>
    <cellStyle name="_9-POCK-PARTIC CIUD_Cuadros Nor  (2) 3" xfId="2115"/>
    <cellStyle name="_9-POCK-PARTIC CIUD_Cuadros Nor  (2) 4" xfId="4156"/>
    <cellStyle name="_9-POCK-PARTIC CIUD_CUAD-TEXTO_" xfId="451"/>
    <cellStyle name="_9-POCK-PARTIC CIUD_CUAD-TEXTO_ 2" xfId="452"/>
    <cellStyle name="_9-POCK-PARTIC CIUD_CUAD-TEXTO_ 2 2" xfId="2118"/>
    <cellStyle name="_9-POCK-PARTIC CIUD_CUAD-TEXTO_ 3" xfId="2117"/>
    <cellStyle name="_9-POCK-PARTIC CIUD_CUAD-TEXTO_ 4" xfId="4157"/>
    <cellStyle name="_9-POCK-PARTIC CIUD_DEPARTAMENTAL-NUEVO FACTOR 2010" xfId="453"/>
    <cellStyle name="_9-POCK-PARTIC CIUD_DEPARTAMENTAL-NUEVO FACTOR 2010 2" xfId="454"/>
    <cellStyle name="_9-POCK-PARTIC CIUD_DEPARTAMENTAL-NUEVO FACTOR 2010 2 2" xfId="2120"/>
    <cellStyle name="_9-POCK-PARTIC CIUD_DEPARTAMENTAL-NUEVO FACTOR 2010 3" xfId="2119"/>
    <cellStyle name="_9-POCK-PARTIC CIUD_DEPARTAMENTAL-NUEVO FACTOR 2010 4" xfId="4158"/>
    <cellStyle name="_9-POCK-PARTIC CIUD_EXCEL-DEPARTAMENTAL-Def" xfId="455"/>
    <cellStyle name="_9-POCK-PARTIC CIUD_EXCEL-DEPARTAMENTAL-Def 2" xfId="456"/>
    <cellStyle name="_9-POCK-PARTIC CIUD_EXCEL-DEPARTAMENTAL-Def 2 2" xfId="2122"/>
    <cellStyle name="_9-POCK-PARTIC CIUD_EXCEL-DEPARTAMENTAL-Def 3" xfId="2121"/>
    <cellStyle name="_9-POCK-PARTIC CIUD_EXCEL-DEPARTAMENTAL-Def 4" xfId="4159"/>
    <cellStyle name="_9-POCK-PARTIC CIUD_EXCEL-DEPARTAMENTAL-Def2" xfId="457"/>
    <cellStyle name="_9-POCK-PARTIC CIUD_EXCEL-DEPARTAMENTAL-Def2 2" xfId="458"/>
    <cellStyle name="_9-POCK-PARTIC CIUD_EXCEL-DEPARTAMENTAL-Def2 2 2" xfId="2124"/>
    <cellStyle name="_9-POCK-PARTIC CIUD_EXCEL-DEPARTAMENTAL-Def2 3" xfId="2123"/>
    <cellStyle name="_9-POCK-PARTIC CIUD_EXCEL-DEPARTAMENTAL-Def2 4" xfId="4160"/>
    <cellStyle name="_9-POCK-PARTIC CIUD_Libro1 (5)" xfId="459"/>
    <cellStyle name="_9-POCK-PARTIC CIUD_Libro1 (5) 2" xfId="460"/>
    <cellStyle name="_9-POCK-PARTIC CIUD_Libro1 (5) 2 2" xfId="2126"/>
    <cellStyle name="_9-POCK-PARTIC CIUD_Libro1 (5) 3" xfId="2125"/>
    <cellStyle name="_9-POCK-PARTIC CIUD_Libro1 (5) 4" xfId="4161"/>
    <cellStyle name="_9-POCK-PARTIC CIUD_Libro2" xfId="461"/>
    <cellStyle name="_9-POCK-PARTIC CIUD_Libro2 (4)" xfId="462"/>
    <cellStyle name="_9-POCK-PARTIC CIUD_Libro2 (4) 2" xfId="463"/>
    <cellStyle name="_9-POCK-PARTIC CIUD_Libro2 (4) 2 2" xfId="2129"/>
    <cellStyle name="_9-POCK-PARTIC CIUD_Libro2 (4) 3" xfId="2128"/>
    <cellStyle name="_9-POCK-PARTIC CIUD_Libro2 (4) 4" xfId="4163"/>
    <cellStyle name="_9-POCK-PARTIC CIUD_Libro2 10" xfId="5367"/>
    <cellStyle name="_9-POCK-PARTIC CIUD_Libro2 11" xfId="5325"/>
    <cellStyle name="_9-POCK-PARTIC CIUD_Libro2 12" xfId="4857"/>
    <cellStyle name="_9-POCK-PARTIC CIUD_Libro2 13" xfId="5305"/>
    <cellStyle name="_9-POCK-PARTIC CIUD_Libro2 14" xfId="5243"/>
    <cellStyle name="_9-POCK-PARTIC CIUD_Libro2 15" xfId="5194"/>
    <cellStyle name="_9-POCK-PARTIC CIUD_Libro2 16" xfId="4656"/>
    <cellStyle name="_9-POCK-PARTIC CIUD_Libro2 17" xfId="5425"/>
    <cellStyle name="_9-POCK-PARTIC CIUD_Libro2 18" xfId="3962"/>
    <cellStyle name="_9-POCK-PARTIC CIUD_Libro2 19" xfId="5241"/>
    <cellStyle name="_9-POCK-PARTIC CIUD_Libro2 2" xfId="464"/>
    <cellStyle name="_9-POCK-PARTIC CIUD_Libro2 2 2" xfId="2130"/>
    <cellStyle name="_9-POCK-PARTIC CIUD_Libro2 20" xfId="4529"/>
    <cellStyle name="_9-POCK-PARTIC CIUD_Libro2 21" xfId="4903"/>
    <cellStyle name="_9-POCK-PARTIC CIUD_Libro2 22" xfId="4881"/>
    <cellStyle name="_9-POCK-PARTIC CIUD_Libro2 23" xfId="5336"/>
    <cellStyle name="_9-POCK-PARTIC CIUD_Libro2 24" xfId="4734"/>
    <cellStyle name="_9-POCK-PARTIC CIUD_Libro2 25" xfId="5150"/>
    <cellStyle name="_9-POCK-PARTIC CIUD_Libro2 26" xfId="5270"/>
    <cellStyle name="_9-POCK-PARTIC CIUD_Libro2 27" xfId="5383"/>
    <cellStyle name="_9-POCK-PARTIC CIUD_Libro2 28" xfId="5402"/>
    <cellStyle name="_9-POCK-PARTIC CIUD_Libro2 29" xfId="5271"/>
    <cellStyle name="_9-POCK-PARTIC CIUD_Libro2 3" xfId="2127"/>
    <cellStyle name="_9-POCK-PARTIC CIUD_Libro2 30" xfId="5309"/>
    <cellStyle name="_9-POCK-PARTIC CIUD_Libro2 31" xfId="5197"/>
    <cellStyle name="_9-POCK-PARTIC CIUD_Libro2 32" xfId="5497"/>
    <cellStyle name="_9-POCK-PARTIC CIUD_Libro2 33" xfId="5027"/>
    <cellStyle name="_9-POCK-PARTIC CIUD_Libro2 34" xfId="5633"/>
    <cellStyle name="_9-POCK-PARTIC CIUD_Libro2 35" xfId="5686"/>
    <cellStyle name="_9-POCK-PARTIC CIUD_Libro2 36" xfId="5683"/>
    <cellStyle name="_9-POCK-PARTIC CIUD_Libro2 37" xfId="5630"/>
    <cellStyle name="_9-POCK-PARTIC CIUD_Libro2 4" xfId="3276"/>
    <cellStyle name="_9-POCK-PARTIC CIUD_Libro2 5" xfId="3289"/>
    <cellStyle name="_9-POCK-PARTIC CIUD_Libro2 6" xfId="3275"/>
    <cellStyle name="_9-POCK-PARTIC CIUD_Libro2 7" xfId="3290"/>
    <cellStyle name="_9-POCK-PARTIC CIUD_Libro2 8" xfId="4162"/>
    <cellStyle name="_9-POCK-PARTIC CIUD_Libro2 9" xfId="5102"/>
    <cellStyle name="_9-POCK-PARTIC CIUD_Libro5" xfId="465"/>
    <cellStyle name="_9-POCK-PARTIC CIUD_Libro5 2" xfId="466"/>
    <cellStyle name="_9-POCK-PARTIC CIUD_Libro5 2 2" xfId="2132"/>
    <cellStyle name="_9-POCK-PARTIC CIUD_Libro5 3" xfId="2131"/>
    <cellStyle name="_9-POCK-PARTIC CIUD_Libro5 4" xfId="4164"/>
    <cellStyle name="_9-POCK-PARTIC CIUD_nivel educativo  -fin fin" xfId="467"/>
    <cellStyle name="_9-POCK-PARTIC CIUD_nivel educativo  -fin fin 2" xfId="468"/>
    <cellStyle name="_9-POCK-PARTIC CIUD_nivel educativo  -fin fin 2 2" xfId="469"/>
    <cellStyle name="_9-POCK-PARTIC CIUD_nivel educativo  -fin fin 2 2 2" xfId="470"/>
    <cellStyle name="_9-POCK-PARTIC CIUD_nivel educativo  -fin fin 2 2 2 2" xfId="2136"/>
    <cellStyle name="_9-POCK-PARTIC CIUD_nivel educativo  -fin fin 2 2 3" xfId="2135"/>
    <cellStyle name="_9-POCK-PARTIC CIUD_nivel educativo  -fin fin 2 2 4" xfId="4167"/>
    <cellStyle name="_9-POCK-PARTIC CIUD_nivel educativo  -fin fin 2 3" xfId="471"/>
    <cellStyle name="_9-POCK-PARTIC CIUD_nivel educativo  -fin fin 2 3 2" xfId="2137"/>
    <cellStyle name="_9-POCK-PARTIC CIUD_nivel educativo  -fin fin 2 4" xfId="2134"/>
    <cellStyle name="_9-POCK-PARTIC CIUD_nivel educativo  -fin fin 2 5" xfId="4166"/>
    <cellStyle name="_9-POCK-PARTIC CIUD_nivel educativo  -fin fin 3" xfId="472"/>
    <cellStyle name="_9-POCK-PARTIC CIUD_nivel educativo  -fin fin 3 2" xfId="2138"/>
    <cellStyle name="_9-POCK-PARTIC CIUD_nivel educativo  -fin fin 4" xfId="2133"/>
    <cellStyle name="_9-POCK-PARTIC CIUD_nivel educativo  -fin fin 5" xfId="4165"/>
    <cellStyle name="_9-POCK-PARTIC CIUD_nivel educativo  -fin fin_Cuadros Nor  (2)" xfId="473"/>
    <cellStyle name="_9-POCK-PARTIC CIUD_nivel educativo  -fin fin_Cuadros Nor  (2) 2" xfId="474"/>
    <cellStyle name="_9-POCK-PARTIC CIUD_nivel educativo  -fin fin_Cuadros Nor  (2) 2 2" xfId="2140"/>
    <cellStyle name="_9-POCK-PARTIC CIUD_nivel educativo  -fin fin_Cuadros Nor  (2) 3" xfId="2139"/>
    <cellStyle name="_9-POCK-PARTIC CIUD_nivel educativo  -fin fin_Cuadros Nor  (2) 4" xfId="4170"/>
    <cellStyle name="_9-POCK-PARTIC CIUD_nivel educativo  -fin fin_DEPARTAMENTAL-NUEVO FACTOR 2010" xfId="475"/>
    <cellStyle name="_9-POCK-PARTIC CIUD_nivel educativo  -fin fin_DEPARTAMENTAL-NUEVO FACTOR 2010 2" xfId="476"/>
    <cellStyle name="_9-POCK-PARTIC CIUD_nivel educativo  -fin fin_DEPARTAMENTAL-NUEVO FACTOR 2010 2 2" xfId="2142"/>
    <cellStyle name="_9-POCK-PARTIC CIUD_nivel educativo  -fin fin_DEPARTAMENTAL-NUEVO FACTOR 2010 3" xfId="2141"/>
    <cellStyle name="_9-POCK-PARTIC CIUD_nivel educativo  -fin fin_DEPARTAMENTAL-NUEVO FACTOR 2010 4" xfId="4171"/>
    <cellStyle name="_9-POCK-PARTIC CIUD_nivel educativo  -fin fin_EXCEL-DEPARTAMENTAL-Def" xfId="477"/>
    <cellStyle name="_9-POCK-PARTIC CIUD_nivel educativo  -fin fin_EXCEL-DEPARTAMENTAL-Def 2" xfId="478"/>
    <cellStyle name="_9-POCK-PARTIC CIUD_nivel educativo  -fin fin_EXCEL-DEPARTAMENTAL-Def 2 2" xfId="2144"/>
    <cellStyle name="_9-POCK-PARTIC CIUD_nivel educativo  -fin fin_EXCEL-DEPARTAMENTAL-Def 3" xfId="2143"/>
    <cellStyle name="_9-POCK-PARTIC CIUD_nivel educativo  -fin fin_EXCEL-DEPARTAMENTAL-Def 4" xfId="4172"/>
    <cellStyle name="_9-POCK-PARTIC CIUD_nivel educativo  -fin fin_EXCEL-DEPARTAMENTAL-Def2" xfId="479"/>
    <cellStyle name="_9-POCK-PARTIC CIUD_nivel educativo  -fin fin_EXCEL-DEPARTAMENTAL-Def2 2" xfId="480"/>
    <cellStyle name="_9-POCK-PARTIC CIUD_nivel educativo  -fin fin_EXCEL-DEPARTAMENTAL-Def2 2 2" xfId="2146"/>
    <cellStyle name="_9-POCK-PARTIC CIUD_nivel educativo  -fin fin_EXCEL-DEPARTAMENTAL-Def2 3" xfId="2145"/>
    <cellStyle name="_9-POCK-PARTIC CIUD_nivel educativo  -fin fin_EXCEL-DEPARTAMENTAL-Def2 4" xfId="4173"/>
    <cellStyle name="_9-POCK-PARTIC CIUD_nivel educativo  -fin fin_Salud y Pobreza" xfId="481"/>
    <cellStyle name="_9-POCK-PARTIC CIUD_nivel educativo  -fin fin_Salud y Pobreza 2" xfId="482"/>
    <cellStyle name="_9-POCK-PARTIC CIUD_nivel educativo  -fin fin_Salud y Pobreza 2 2" xfId="2148"/>
    <cellStyle name="_9-POCK-PARTIC CIUD_nivel educativo  -fin fin_Salud y Pobreza 3" xfId="2147"/>
    <cellStyle name="_9-POCK-PARTIC CIUD_nivel educativo  -fin fin_Salud y Pobreza 4" xfId="4174"/>
    <cellStyle name="_9-POCK-PARTIC CIUD_QUE NO ASISTE" xfId="483"/>
    <cellStyle name="_9-POCK-PARTIC CIUD_QUE NO ASISTE 2" xfId="484"/>
    <cellStyle name="_9-POCK-PARTIC CIUD_QUE NO ASISTE 2 2" xfId="485"/>
    <cellStyle name="_9-POCK-PARTIC CIUD_QUE NO ASISTE 2 2 2" xfId="486"/>
    <cellStyle name="_9-POCK-PARTIC CIUD_QUE NO ASISTE 2 2 2 2" xfId="2152"/>
    <cellStyle name="_9-POCK-PARTIC CIUD_QUE NO ASISTE 2 2 3" xfId="2151"/>
    <cellStyle name="_9-POCK-PARTIC CIUD_QUE NO ASISTE 2 2 4" xfId="4177"/>
    <cellStyle name="_9-POCK-PARTIC CIUD_QUE NO ASISTE 2 3" xfId="487"/>
    <cellStyle name="_9-POCK-PARTIC CIUD_QUE NO ASISTE 2 3 2" xfId="2153"/>
    <cellStyle name="_9-POCK-PARTIC CIUD_QUE NO ASISTE 2 4" xfId="2150"/>
    <cellStyle name="_9-POCK-PARTIC CIUD_QUE NO ASISTE 2 5" xfId="4176"/>
    <cellStyle name="_9-POCK-PARTIC CIUD_QUE NO ASISTE 3" xfId="488"/>
    <cellStyle name="_9-POCK-PARTIC CIUD_QUE NO ASISTE 3 2" xfId="2154"/>
    <cellStyle name="_9-POCK-PARTIC CIUD_QUE NO ASISTE 4" xfId="2149"/>
    <cellStyle name="_9-POCK-PARTIC CIUD_QUE NO ASISTE 5" xfId="4175"/>
    <cellStyle name="_9-POCK-PARTIC CIUD_QUE NO ASISTE_Cuadros Nor  (2)" xfId="489"/>
    <cellStyle name="_9-POCK-PARTIC CIUD_QUE NO ASISTE_Cuadros Nor  (2) 2" xfId="490"/>
    <cellStyle name="_9-POCK-PARTIC CIUD_QUE NO ASISTE_Cuadros Nor  (2) 2 2" xfId="2156"/>
    <cellStyle name="_9-POCK-PARTIC CIUD_QUE NO ASISTE_Cuadros Nor  (2) 3" xfId="2155"/>
    <cellStyle name="_9-POCK-PARTIC CIUD_QUE NO ASISTE_Cuadros Nor  (2) 4" xfId="4178"/>
    <cellStyle name="_9-POCK-PARTIC CIUD_QUE NO ASISTE_DEPARTAMENTAL-NUEVO FACTOR 2010" xfId="491"/>
    <cellStyle name="_9-POCK-PARTIC CIUD_QUE NO ASISTE_DEPARTAMENTAL-NUEVO FACTOR 2010 2" xfId="492"/>
    <cellStyle name="_9-POCK-PARTIC CIUD_QUE NO ASISTE_DEPARTAMENTAL-NUEVO FACTOR 2010 2 2" xfId="2158"/>
    <cellStyle name="_9-POCK-PARTIC CIUD_QUE NO ASISTE_DEPARTAMENTAL-NUEVO FACTOR 2010 3" xfId="2157"/>
    <cellStyle name="_9-POCK-PARTIC CIUD_QUE NO ASISTE_DEPARTAMENTAL-NUEVO FACTOR 2010 4" xfId="4179"/>
    <cellStyle name="_9-POCK-PARTIC CIUD_QUE NO ASISTE_EXCEL-DEPARTAMENTAL-Def" xfId="493"/>
    <cellStyle name="_9-POCK-PARTIC CIUD_QUE NO ASISTE_EXCEL-DEPARTAMENTAL-Def 2" xfId="494"/>
    <cellStyle name="_9-POCK-PARTIC CIUD_QUE NO ASISTE_EXCEL-DEPARTAMENTAL-Def 2 2" xfId="2160"/>
    <cellStyle name="_9-POCK-PARTIC CIUD_QUE NO ASISTE_EXCEL-DEPARTAMENTAL-Def 3" xfId="2159"/>
    <cellStyle name="_9-POCK-PARTIC CIUD_QUE NO ASISTE_EXCEL-DEPARTAMENTAL-Def 4" xfId="4180"/>
    <cellStyle name="_9-POCK-PARTIC CIUD_QUE NO ASISTE_EXCEL-DEPARTAMENTAL-Def2" xfId="495"/>
    <cellStyle name="_9-POCK-PARTIC CIUD_QUE NO ASISTE_EXCEL-DEPARTAMENTAL-Def2 2" xfId="496"/>
    <cellStyle name="_9-POCK-PARTIC CIUD_QUE NO ASISTE_EXCEL-DEPARTAMENTAL-Def2 2 2" xfId="2162"/>
    <cellStyle name="_9-POCK-PARTIC CIUD_QUE NO ASISTE_EXCEL-DEPARTAMENTAL-Def2 3" xfId="2161"/>
    <cellStyle name="_9-POCK-PARTIC CIUD_QUE NO ASISTE_EXCEL-DEPARTAMENTAL-Def2 4" xfId="4182"/>
    <cellStyle name="_9-POCK-PARTIC CIUD_QUE NO ASISTE_Salud y Pobreza" xfId="497"/>
    <cellStyle name="_9-POCK-PARTIC CIUD_QUE NO ASISTE_Salud y Pobreza 2" xfId="498"/>
    <cellStyle name="_9-POCK-PARTIC CIUD_QUE NO ASISTE_Salud y Pobreza 2 2" xfId="2164"/>
    <cellStyle name="_9-POCK-PARTIC CIUD_QUE NO ASISTE_Salud y Pobreza 3" xfId="2163"/>
    <cellStyle name="_9-POCK-PARTIC CIUD_QUE NO ASISTE_Salud y Pobreza 4" xfId="4183"/>
    <cellStyle name="_9-POCK-PARTIC CIUD_resultados de estudios año anterior 2002-2009" xfId="499"/>
    <cellStyle name="_9-POCK-PARTIC CIUD_resultados de estudios año anterior 2002-2009 2" xfId="500"/>
    <cellStyle name="_9-POCK-PARTIC CIUD_resultados de estudios año anterior 2002-2009 2 2" xfId="501"/>
    <cellStyle name="_9-POCK-PARTIC CIUD_resultados de estudios año anterior 2002-2009 2 2 2" xfId="502"/>
    <cellStyle name="_9-POCK-PARTIC CIUD_resultados de estudios año anterior 2002-2009 2 2 2 2" xfId="2168"/>
    <cellStyle name="_9-POCK-PARTIC CIUD_resultados de estudios año anterior 2002-2009 2 2 3" xfId="2167"/>
    <cellStyle name="_9-POCK-PARTIC CIUD_resultados de estudios año anterior 2002-2009 2 2 4" xfId="4186"/>
    <cellStyle name="_9-POCK-PARTIC CIUD_resultados de estudios año anterior 2002-2009 2 3" xfId="503"/>
    <cellStyle name="_9-POCK-PARTIC CIUD_resultados de estudios año anterior 2002-2009 2 3 2" xfId="2169"/>
    <cellStyle name="_9-POCK-PARTIC CIUD_resultados de estudios año anterior 2002-2009 2 4" xfId="2166"/>
    <cellStyle name="_9-POCK-PARTIC CIUD_resultados de estudios año anterior 2002-2009 2 5" xfId="4185"/>
    <cellStyle name="_9-POCK-PARTIC CIUD_resultados de estudios año anterior 2002-2009 3" xfId="504"/>
    <cellStyle name="_9-POCK-PARTIC CIUD_resultados de estudios año anterior 2002-2009 3 2" xfId="2170"/>
    <cellStyle name="_9-POCK-PARTIC CIUD_resultados de estudios año anterior 2002-2009 4" xfId="2165"/>
    <cellStyle name="_9-POCK-PARTIC CIUD_resultados de estudios año anterior 2002-2009 5" xfId="4184"/>
    <cellStyle name="_9-POCK-PARTIC CIUD_resultados de estudios año anterior 2002-2009_Cuadros Nor  (2)" xfId="505"/>
    <cellStyle name="_9-POCK-PARTIC CIUD_resultados de estudios año anterior 2002-2009_Cuadros Nor  (2) 2" xfId="506"/>
    <cellStyle name="_9-POCK-PARTIC CIUD_resultados de estudios año anterior 2002-2009_Cuadros Nor  (2) 2 2" xfId="2172"/>
    <cellStyle name="_9-POCK-PARTIC CIUD_resultados de estudios año anterior 2002-2009_Cuadros Nor  (2) 3" xfId="2171"/>
    <cellStyle name="_9-POCK-PARTIC CIUD_resultados de estudios año anterior 2002-2009_Cuadros Nor  (2) 4" xfId="4187"/>
    <cellStyle name="_9-POCK-PARTIC CIUD_resultados de estudios año anterior 2002-2009_DEPARTAMENTAL-NUEVO FACTOR 2010" xfId="507"/>
    <cellStyle name="_9-POCK-PARTIC CIUD_resultados de estudios año anterior 2002-2009_DEPARTAMENTAL-NUEVO FACTOR 2010 2" xfId="508"/>
    <cellStyle name="_9-POCK-PARTIC CIUD_resultados de estudios año anterior 2002-2009_DEPARTAMENTAL-NUEVO FACTOR 2010 2 2" xfId="2174"/>
    <cellStyle name="_9-POCK-PARTIC CIUD_resultados de estudios año anterior 2002-2009_DEPARTAMENTAL-NUEVO FACTOR 2010 3" xfId="2173"/>
    <cellStyle name="_9-POCK-PARTIC CIUD_resultados de estudios año anterior 2002-2009_DEPARTAMENTAL-NUEVO FACTOR 2010 4" xfId="4188"/>
    <cellStyle name="_9-POCK-PARTIC CIUD_resultados de estudios año anterior 2002-2009_EXCEL-DEPARTAMENTAL-Def" xfId="509"/>
    <cellStyle name="_9-POCK-PARTIC CIUD_resultados de estudios año anterior 2002-2009_EXCEL-DEPARTAMENTAL-Def 2" xfId="510"/>
    <cellStyle name="_9-POCK-PARTIC CIUD_resultados de estudios año anterior 2002-2009_EXCEL-DEPARTAMENTAL-Def 2 2" xfId="2176"/>
    <cellStyle name="_9-POCK-PARTIC CIUD_resultados de estudios año anterior 2002-2009_EXCEL-DEPARTAMENTAL-Def 3" xfId="2175"/>
    <cellStyle name="_9-POCK-PARTIC CIUD_resultados de estudios año anterior 2002-2009_EXCEL-DEPARTAMENTAL-Def 4" xfId="4190"/>
    <cellStyle name="_9-POCK-PARTIC CIUD_resultados de estudios año anterior 2002-2009_EXCEL-DEPARTAMENTAL-Def2" xfId="511"/>
    <cellStyle name="_9-POCK-PARTIC CIUD_resultados de estudios año anterior 2002-2009_EXCEL-DEPARTAMENTAL-Def2 2" xfId="512"/>
    <cellStyle name="_9-POCK-PARTIC CIUD_resultados de estudios año anterior 2002-2009_EXCEL-DEPARTAMENTAL-Def2 2 2" xfId="2178"/>
    <cellStyle name="_9-POCK-PARTIC CIUD_resultados de estudios año anterior 2002-2009_EXCEL-DEPARTAMENTAL-Def2 3" xfId="2177"/>
    <cellStyle name="_9-POCK-PARTIC CIUD_resultados de estudios año anterior 2002-2009_EXCEL-DEPARTAMENTAL-Def2 4" xfId="4191"/>
    <cellStyle name="_9-POCK-PARTIC CIUD_resultados de estudios año anterior 2002-2009_Salud y Pobreza" xfId="513"/>
    <cellStyle name="_9-POCK-PARTIC CIUD_resultados de estudios año anterior 2002-2009_Salud y Pobreza 2" xfId="514"/>
    <cellStyle name="_9-POCK-PARTIC CIUD_resultados de estudios año anterior 2002-2009_Salud y Pobreza 2 2" xfId="2180"/>
    <cellStyle name="_9-POCK-PARTIC CIUD_resultados de estudios año anterior 2002-2009_Salud y Pobreza 3" xfId="2179"/>
    <cellStyle name="_9-POCK-PARTIC CIUD_resultados de estudios año anterior 2002-2009_Salud y Pobreza 4" xfId="4192"/>
    <cellStyle name="_9-POCK-PARTIC CIUD_Salud y Pobreza" xfId="515"/>
    <cellStyle name="_9-POCK-PARTIC CIUD_Salud y Pobreza 2" xfId="516"/>
    <cellStyle name="_9-POCK-PARTIC CIUD_Salud y Pobreza 2 2" xfId="2182"/>
    <cellStyle name="_9-POCK-PARTIC CIUD_Salud y Pobreza 3" xfId="2181"/>
    <cellStyle name="_9-POCK-PARTIC CIUD_Salud y Pobreza 4" xfId="4193"/>
    <cellStyle name="_9-POCK-PARTIC CIUD_solicita datos para el 2007-minedu remitio" xfId="517"/>
    <cellStyle name="_9-POCK-PARTIC CIUD_solicita datos para el 2007-minedu remitio 2" xfId="518"/>
    <cellStyle name="_9-POCK-PARTIC CIUD_solicita datos para el 2007-minedu remitio 2 2" xfId="2184"/>
    <cellStyle name="_9-POCK-PARTIC CIUD_solicita datos para el 2007-minedu remitio 3" xfId="2183"/>
    <cellStyle name="_9-POCK-PARTIC CIUD_solicita datos para el 2007-minedu remitio 4" xfId="4194"/>
    <cellStyle name="_Anexos_Actualizado (15 Mayo)-2" xfId="519"/>
    <cellStyle name="_Anexos_Actualizado (15 Mayo)-2 2" xfId="520"/>
    <cellStyle name="_Anexos_Actualizado (15 Mayo)-2 2 2" xfId="521"/>
    <cellStyle name="_Anexos_Actualizado (15 Mayo)-2 2 2 2" xfId="522"/>
    <cellStyle name="_Anexos_Actualizado (15 Mayo)-2 2 2 2 2" xfId="2188"/>
    <cellStyle name="_Anexos_Actualizado (15 Mayo)-2 2 2 3" xfId="2187"/>
    <cellStyle name="_Anexos_Actualizado (15 Mayo)-2 2 2 4" xfId="4197"/>
    <cellStyle name="_Anexos_Actualizado (15 Mayo)-2 2 3" xfId="523"/>
    <cellStyle name="_Anexos_Actualizado (15 Mayo)-2 2 3 2" xfId="2189"/>
    <cellStyle name="_Anexos_Actualizado (15 Mayo)-2 2 4" xfId="2186"/>
    <cellStyle name="_Anexos_Actualizado (15 Mayo)-2 2 5" xfId="4196"/>
    <cellStyle name="_Anexos_Actualizado (15 Mayo)-2 3" xfId="524"/>
    <cellStyle name="_Anexos_Actualizado (15 Mayo)-2 3 2" xfId="2190"/>
    <cellStyle name="_Anexos_Actualizado (15 Mayo)-2 4" xfId="2185"/>
    <cellStyle name="_Anexos_Actualizado (15 Mayo)-2 5" xfId="4195"/>
    <cellStyle name="_Anexos_Actualizado (15 Mayo)-2_Cuadros Nor  (2)" xfId="525"/>
    <cellStyle name="_Anexos_Actualizado (15 Mayo)-2_Cuadros Nor  (2) 2" xfId="526"/>
    <cellStyle name="_Anexos_Actualizado (15 Mayo)-2_Cuadros Nor  (2) 2 2" xfId="2192"/>
    <cellStyle name="_Anexos_Actualizado (15 Mayo)-2_Cuadros Nor  (2) 3" xfId="2191"/>
    <cellStyle name="_Anexos_Actualizado (15 Mayo)-2_Cuadros Nor  (2) 4" xfId="4199"/>
    <cellStyle name="_Anexos_Actualizado (15 Mayo)-2_DEPARTAMENTAL-NUEVO FACTOR 2010" xfId="527"/>
    <cellStyle name="_Anexos_Actualizado (15 Mayo)-2_DEPARTAMENTAL-NUEVO FACTOR 2010 2" xfId="528"/>
    <cellStyle name="_Anexos_Actualizado (15 Mayo)-2_DEPARTAMENTAL-NUEVO FACTOR 2010 2 2" xfId="2194"/>
    <cellStyle name="_Anexos_Actualizado (15 Mayo)-2_DEPARTAMENTAL-NUEVO FACTOR 2010 3" xfId="2193"/>
    <cellStyle name="_Anexos_Actualizado (15 Mayo)-2_DEPARTAMENTAL-NUEVO FACTOR 2010 4" xfId="4200"/>
    <cellStyle name="_Anexos_Actualizado (15 Mayo)-2_EXCEL-DEPARTAMENTAL-Def" xfId="529"/>
    <cellStyle name="_Anexos_Actualizado (15 Mayo)-2_EXCEL-DEPARTAMENTAL-Def 2" xfId="530"/>
    <cellStyle name="_Anexos_Actualizado (15 Mayo)-2_EXCEL-DEPARTAMENTAL-Def 2 2" xfId="2196"/>
    <cellStyle name="_Anexos_Actualizado (15 Mayo)-2_EXCEL-DEPARTAMENTAL-Def 3" xfId="2195"/>
    <cellStyle name="_Anexos_Actualizado (15 Mayo)-2_EXCEL-DEPARTAMENTAL-Def 4" xfId="4201"/>
    <cellStyle name="_Anexos_Actualizado (15 Mayo)-2_EXCEL-DEPARTAMENTAL-Def2" xfId="531"/>
    <cellStyle name="_Anexos_Actualizado (15 Mayo)-2_EXCEL-DEPARTAMENTAL-Def2 2" xfId="532"/>
    <cellStyle name="_Anexos_Actualizado (15 Mayo)-2_EXCEL-DEPARTAMENTAL-Def2 2 2" xfId="2198"/>
    <cellStyle name="_Anexos_Actualizado (15 Mayo)-2_EXCEL-DEPARTAMENTAL-Def2 3" xfId="2197"/>
    <cellStyle name="_Anexos_Actualizado (15 Mayo)-2_EXCEL-DEPARTAMENTAL-Def2 4" xfId="4202"/>
    <cellStyle name="_Anexos_Actualizado (15 Mayo)-2_Libro1 (5)" xfId="533"/>
    <cellStyle name="_Anexos_Actualizado (15 Mayo)-2_Libro1 (5) 2" xfId="534"/>
    <cellStyle name="_Anexos_Actualizado (15 Mayo)-2_Libro1 (5) 2 2" xfId="2200"/>
    <cellStyle name="_Anexos_Actualizado (15 Mayo)-2_Libro1 (5) 3" xfId="2199"/>
    <cellStyle name="_Anexos_Actualizado (15 Mayo)-2_Libro1 (5) 4" xfId="4203"/>
    <cellStyle name="_Anexos_Actualizado (15 Mayo)-2_Libro2 (4)" xfId="535"/>
    <cellStyle name="_Anexos_Actualizado (15 Mayo)-2_Libro2 (4) 2" xfId="536"/>
    <cellStyle name="_Anexos_Actualizado (15 Mayo)-2_Libro2 (4) 2 2" xfId="2202"/>
    <cellStyle name="_Anexos_Actualizado (15 Mayo)-2_Libro2 (4) 3" xfId="2201"/>
    <cellStyle name="_Anexos_Actualizado (15 Mayo)-2_Libro2 (4) 4" xfId="4205"/>
    <cellStyle name="_Anexos_Actualizado (15 Mayo)-2_Salud y Pobreza" xfId="537"/>
    <cellStyle name="_Anexos_Actualizado (15 Mayo)-2_Salud y Pobreza 2" xfId="538"/>
    <cellStyle name="_Anexos_Actualizado (15 Mayo)-2_Salud y Pobreza 2 2" xfId="2204"/>
    <cellStyle name="_Anexos_Actualizado (15 Mayo)-2_Salud y Pobreza 3" xfId="2203"/>
    <cellStyle name="_Anexos_Actualizado (15 Mayo)-2_Salud y Pobreza 4" xfId="4207"/>
    <cellStyle name="_Cap02_cuadros-educación -provincias de Lim" xfId="539"/>
    <cellStyle name="_Cap02_cuadros-educación -provincias de Lim 2" xfId="540"/>
    <cellStyle name="_Cap02_cuadros-educación -provincias de Lim 2 2" xfId="2206"/>
    <cellStyle name="_Cap02_cuadros-educación -provincias de Lim 3" xfId="2205"/>
    <cellStyle name="_Cap02_cuadros-educación -provincias de Lim 4" xfId="4208"/>
    <cellStyle name="_Cap02_cuadros-educación -provincias de Lima sin Lima" xfId="541"/>
    <cellStyle name="_Cap02_cuadros-educación -provincias de Lima sin Lima 2" xfId="542"/>
    <cellStyle name="_Cap02_cuadros-educación -provincias de Lima sin Lima 2 2" xfId="2208"/>
    <cellStyle name="_Cap02_cuadros-educación -provincias de Lima sin Lima 3" xfId="2207"/>
    <cellStyle name="_Cap02_cuadros-educación -provincias de Lima sin Lima 4" xfId="4210"/>
    <cellStyle name="_Cap02_cuadros-educación_-Lima_y_callao_fin" xfId="543"/>
    <cellStyle name="_Cap02_cuadros-educación_-Lima_y_callao_fin 2" xfId="544"/>
    <cellStyle name="_Cap02_cuadros-educación_-Lima_y_callao_fin 2 2" xfId="2210"/>
    <cellStyle name="_Cap02_cuadros-educación_-Lima_y_callao_fin 3" xfId="2209"/>
    <cellStyle name="_Cap02_cuadros-educación_-Lima_y_callao_fin 4" xfId="4212"/>
    <cellStyle name="_cap1.2009" xfId="545"/>
    <cellStyle name="_cap1.2009 2" xfId="546"/>
    <cellStyle name="_cap1.2009 2 2" xfId="2212"/>
    <cellStyle name="_cap1.2009 3" xfId="2211"/>
    <cellStyle name="_cap1.2009 4" xfId="4213"/>
    <cellStyle name="_cap1.2009_cuadros adicionales de brechas2002 y 2008 (2)" xfId="547"/>
    <cellStyle name="_cap1.2009_cuadros adicionales de brechas2002 y 2008 (2) 2" xfId="548"/>
    <cellStyle name="_cap1.2009_cuadros adicionales de brechas2002 y 2008 (2) 2 2" xfId="2214"/>
    <cellStyle name="_cap1.2009_cuadros adicionales de brechas2002 y 2008 (2) 3" xfId="2213"/>
    <cellStyle name="_cap1.2009_cuadros adicionales de brechas2002 y 2008 (2) 4" xfId="4215"/>
    <cellStyle name="_cap1.2009_CUAD-TEXTO_" xfId="549"/>
    <cellStyle name="_cap1.2009_CUAD-TEXTO_ 2" xfId="550"/>
    <cellStyle name="_cap1.2009_CUAD-TEXTO_ 2 2" xfId="2216"/>
    <cellStyle name="_cap1.2009_CUAD-TEXTO_ 3" xfId="2215"/>
    <cellStyle name="_cap1.2009_CUAD-TEXTO_ 4" xfId="4216"/>
    <cellStyle name="_cap1.2009_GRAFICOS ODM" xfId="551"/>
    <cellStyle name="_cap1.2009_GRAFICOS ODM 2" xfId="552"/>
    <cellStyle name="_cap1.2009_GRAFICOS ODM 2 2" xfId="2218"/>
    <cellStyle name="_cap1.2009_GRAFICOS ODM 3" xfId="2217"/>
    <cellStyle name="_cap1.2009_GRAFICOS ODM 4" xfId="4217"/>
    <cellStyle name="_cap1.2009_Libro2" xfId="553"/>
    <cellStyle name="_cap1.2009_Libro2 2" xfId="554"/>
    <cellStyle name="_cap1.2009_Libro2 2 2" xfId="2220"/>
    <cellStyle name="_cap1.2009_Libro2 3" xfId="2219"/>
    <cellStyle name="_cap1.2009_Libro2 4" xfId="4218"/>
    <cellStyle name="_cap1.2009_solicita datos para el 2007-minedu remitio" xfId="555"/>
    <cellStyle name="_cap1.2009_solicita datos para el 2007-minedu remitio 2" xfId="556"/>
    <cellStyle name="_cap1.2009_solicita datos para el 2007-minedu remitio 2 2" xfId="2222"/>
    <cellStyle name="_cap1.2009_solicita datos para el 2007-minedu remitio 3" xfId="2221"/>
    <cellStyle name="_cap1.2009_solicita datos para el 2007-minedu remitio 4" xfId="4219"/>
    <cellStyle name="_Cap10.2009.xls ACTUALIZADO" xfId="557"/>
    <cellStyle name="_Cap10.2009.xls ACTUALIZADO 2" xfId="558"/>
    <cellStyle name="_Cap10.2009.xls ACTUALIZADO 2 2" xfId="2224"/>
    <cellStyle name="_Cap10.2009.xls ACTUALIZADO 3" xfId="2223"/>
    <cellStyle name="_Cap10.2009.xls ACTUALIZADO 4" xfId="4220"/>
    <cellStyle name="_Cap10.2009.xls ACTUALIZADO_cuadros adicionales de brechas2002 y 2008 (2)" xfId="559"/>
    <cellStyle name="_Cap10.2009.xls ACTUALIZADO_cuadros adicionales de brechas2002 y 2008 (2) 2" xfId="560"/>
    <cellStyle name="_Cap10.2009.xls ACTUALIZADO_cuadros adicionales de brechas2002 y 2008 (2) 2 2" xfId="2226"/>
    <cellStyle name="_Cap10.2009.xls ACTUALIZADO_cuadros adicionales de brechas2002 y 2008 (2) 3" xfId="2225"/>
    <cellStyle name="_Cap10.2009.xls ACTUALIZADO_cuadros adicionales de brechas2002 y 2008 (2) 4" xfId="4221"/>
    <cellStyle name="_Cap10.2009.xls ACTUALIZADO_CUAD-TEXTO_" xfId="561"/>
    <cellStyle name="_Cap10.2009.xls ACTUALIZADO_CUAD-TEXTO_ 2" xfId="562"/>
    <cellStyle name="_Cap10.2009.xls ACTUALIZADO_CUAD-TEXTO_ 2 2" xfId="2228"/>
    <cellStyle name="_Cap10.2009.xls ACTUALIZADO_CUAD-TEXTO_ 3" xfId="2227"/>
    <cellStyle name="_Cap10.2009.xls ACTUALIZADO_CUAD-TEXTO_ 4" xfId="4223"/>
    <cellStyle name="_Cap10.2009.xls ACTUALIZADO_GRAFICOS ODM" xfId="563"/>
    <cellStyle name="_Cap10.2009.xls ACTUALIZADO_GRAFICOS ODM 2" xfId="564"/>
    <cellStyle name="_Cap10.2009.xls ACTUALIZADO_GRAFICOS ODM 2 2" xfId="2230"/>
    <cellStyle name="_Cap10.2009.xls ACTUALIZADO_GRAFICOS ODM 3" xfId="2229"/>
    <cellStyle name="_Cap10.2009.xls ACTUALIZADO_GRAFICOS ODM 4" xfId="4224"/>
    <cellStyle name="_Cap10.2009.xls ACTUALIZADO_Libro2" xfId="565"/>
    <cellStyle name="_Cap10.2009.xls ACTUALIZADO_Libro2 2" xfId="566"/>
    <cellStyle name="_Cap10.2009.xls ACTUALIZADO_Libro2 2 2" xfId="2232"/>
    <cellStyle name="_Cap10.2009.xls ACTUALIZADO_Libro2 3" xfId="2231"/>
    <cellStyle name="_Cap10.2009.xls ACTUALIZADO_Libro2 4" xfId="4225"/>
    <cellStyle name="_Cap10.2009.xls ACTUALIZADO_solicita datos para el 2007-minedu remitio" xfId="567"/>
    <cellStyle name="_Cap10.2009.xls ACTUALIZADO_solicita datos para el 2007-minedu remitio 2" xfId="568"/>
    <cellStyle name="_Cap10.2009.xls ACTUALIZADO_solicita datos para el 2007-minedu remitio 2 2" xfId="2234"/>
    <cellStyle name="_Cap10.2009.xls ACTUALIZADO_solicita datos para el 2007-minedu remitio 3" xfId="2233"/>
    <cellStyle name="_Cap10.2009.xls ACTUALIZADO_solicita datos para el 2007-minedu remitio 4" xfId="4226"/>
    <cellStyle name="_CAP-2-MAMBIENTE-2008" xfId="569"/>
    <cellStyle name="_CAP-2-MAMBIENTE-2008 2" xfId="570"/>
    <cellStyle name="_CAP-2-MAMBIENTE-2008 2 2" xfId="2236"/>
    <cellStyle name="_CAP-2-MAMBIENTE-2008 3" xfId="2235"/>
    <cellStyle name="_CAP-2-MAMBIENTE-2008 4" xfId="4227"/>
    <cellStyle name="_CAP-2-MAMBIENTE-2008_cuadros adicionales de brechas2002 y 2008 (2)" xfId="571"/>
    <cellStyle name="_CAP-2-MAMBIENTE-2008_cuadros adicionales de brechas2002 y 2008 (2) 2" xfId="572"/>
    <cellStyle name="_CAP-2-MAMBIENTE-2008_cuadros adicionales de brechas2002 y 2008 (2) 2 2" xfId="2238"/>
    <cellStyle name="_CAP-2-MAMBIENTE-2008_cuadros adicionales de brechas2002 y 2008 (2) 3" xfId="2237"/>
    <cellStyle name="_CAP-2-MAMBIENTE-2008_cuadros adicionales de brechas2002 y 2008 (2) 4" xfId="4228"/>
    <cellStyle name="_CAP-2-MAMBIENTE-2008_CUAD-TEXTO_" xfId="573"/>
    <cellStyle name="_CAP-2-MAMBIENTE-2008_CUAD-TEXTO_ 2" xfId="574"/>
    <cellStyle name="_CAP-2-MAMBIENTE-2008_CUAD-TEXTO_ 2 2" xfId="2240"/>
    <cellStyle name="_CAP-2-MAMBIENTE-2008_CUAD-TEXTO_ 3" xfId="2239"/>
    <cellStyle name="_CAP-2-MAMBIENTE-2008_CUAD-TEXTO_ 4" xfId="4229"/>
    <cellStyle name="_CAP-2-MAMBIENTE-2008_GRAFICOS ODM" xfId="575"/>
    <cellStyle name="_CAP-2-MAMBIENTE-2008_GRAFICOS ODM 2" xfId="576"/>
    <cellStyle name="_CAP-2-MAMBIENTE-2008_GRAFICOS ODM 2 2" xfId="2242"/>
    <cellStyle name="_CAP-2-MAMBIENTE-2008_GRAFICOS ODM 3" xfId="2241"/>
    <cellStyle name="_CAP-2-MAMBIENTE-2008_GRAFICOS ODM 4" xfId="4230"/>
    <cellStyle name="_CAP-2-MAMBIENTE-2008_Libro2" xfId="577"/>
    <cellStyle name="_CAP-2-MAMBIENTE-2008_Libro2 2" xfId="578"/>
    <cellStyle name="_CAP-2-MAMBIENTE-2008_Libro2 2 2" xfId="2244"/>
    <cellStyle name="_CAP-2-MAMBIENTE-2008_Libro2 3" xfId="2243"/>
    <cellStyle name="_CAP-2-MAMBIENTE-2008_Libro2 4" xfId="4231"/>
    <cellStyle name="_CAP-2-MAMBIENTE-2008_solicita datos para el 2007-minedu remitio" xfId="579"/>
    <cellStyle name="_CAP-2-MAMBIENTE-2008_solicita datos para el 2007-minedu remitio 2" xfId="580"/>
    <cellStyle name="_CAP-2-MAMBIENTE-2008_solicita datos para el 2007-minedu remitio 2 2" xfId="2246"/>
    <cellStyle name="_CAP-2-MAMBIENTE-2008_solicita datos para el 2007-minedu remitio 3" xfId="2245"/>
    <cellStyle name="_CAP-2-MAMBIENTE-2008_solicita datos para el 2007-minedu remitio 4" xfId="4232"/>
    <cellStyle name="_CAP-2-MAMBIENTE-2009-corr-2" xfId="581"/>
    <cellStyle name="_CAP-2-MAMBIENTE-2009-corr-2 2" xfId="582"/>
    <cellStyle name="_CAP-2-MAMBIENTE-2009-corr-2 2 2" xfId="2248"/>
    <cellStyle name="_CAP-2-MAMBIENTE-2009-corr-2 3" xfId="2247"/>
    <cellStyle name="_CAP-2-MAMBIENTE-2009-corr-2 4" xfId="4233"/>
    <cellStyle name="_CAP-2-MAMBIENTE-2009-corr-2_cuadros adicionales de brechas2002 y 2008 (2)" xfId="583"/>
    <cellStyle name="_CAP-2-MAMBIENTE-2009-corr-2_cuadros adicionales de brechas2002 y 2008 (2) 2" xfId="584"/>
    <cellStyle name="_CAP-2-MAMBIENTE-2009-corr-2_cuadros adicionales de brechas2002 y 2008 (2) 2 2" xfId="2250"/>
    <cellStyle name="_CAP-2-MAMBIENTE-2009-corr-2_cuadros adicionales de brechas2002 y 2008 (2) 3" xfId="2249"/>
    <cellStyle name="_CAP-2-MAMBIENTE-2009-corr-2_cuadros adicionales de brechas2002 y 2008 (2) 4" xfId="4234"/>
    <cellStyle name="_CAP-2-MAMBIENTE-2009-corr-2_CUAD-TEXTO_" xfId="585"/>
    <cellStyle name="_CAP-2-MAMBIENTE-2009-corr-2_CUAD-TEXTO_ 2" xfId="586"/>
    <cellStyle name="_CAP-2-MAMBIENTE-2009-corr-2_CUAD-TEXTO_ 2 2" xfId="2252"/>
    <cellStyle name="_CAP-2-MAMBIENTE-2009-corr-2_CUAD-TEXTO_ 3" xfId="2251"/>
    <cellStyle name="_CAP-2-MAMBIENTE-2009-corr-2_CUAD-TEXTO_ 4" xfId="4235"/>
    <cellStyle name="_CAP-2-MAMBIENTE-2009-corr-2_GRAFICOS ODM" xfId="587"/>
    <cellStyle name="_CAP-2-MAMBIENTE-2009-corr-2_GRAFICOS ODM 2" xfId="588"/>
    <cellStyle name="_CAP-2-MAMBIENTE-2009-corr-2_GRAFICOS ODM 2 2" xfId="2254"/>
    <cellStyle name="_CAP-2-MAMBIENTE-2009-corr-2_GRAFICOS ODM 3" xfId="2253"/>
    <cellStyle name="_CAP-2-MAMBIENTE-2009-corr-2_GRAFICOS ODM 4" xfId="4237"/>
    <cellStyle name="_CAP-2-MAMBIENTE-2009-corr-2_Libro2" xfId="589"/>
    <cellStyle name="_CAP-2-MAMBIENTE-2009-corr-2_Libro2 2" xfId="590"/>
    <cellStyle name="_CAP-2-MAMBIENTE-2009-corr-2_Libro2 2 2" xfId="2256"/>
    <cellStyle name="_CAP-2-MAMBIENTE-2009-corr-2_Libro2 3" xfId="2255"/>
    <cellStyle name="_CAP-2-MAMBIENTE-2009-corr-2_Libro2 4" xfId="4238"/>
    <cellStyle name="_CAP-2-MAMBIENTE-2009-corr-2_solicita datos para el 2007-minedu remitio" xfId="591"/>
    <cellStyle name="_CAP-2-MAMBIENTE-2009-corr-2_solicita datos para el 2007-minedu remitio 2" xfId="592"/>
    <cellStyle name="_CAP-2-MAMBIENTE-2009-corr-2_solicita datos para el 2007-minedu remitio 2 2" xfId="2258"/>
    <cellStyle name="_CAP-2-MAMBIENTE-2009-corr-2_solicita datos para el 2007-minedu remitio 3" xfId="2257"/>
    <cellStyle name="_CAP-2-MAMBIENTE-2009-corr-2_solicita datos para el 2007-minedu remitio 4" xfId="4240"/>
    <cellStyle name="_CAP-2-MA-NEW-2009" xfId="593"/>
    <cellStyle name="_CAP-2-MA-NEW-2009 2" xfId="594"/>
    <cellStyle name="_CAP-2-MA-NEW-2009 2 2" xfId="2260"/>
    <cellStyle name="_CAP-2-MA-NEW-2009 3" xfId="2259"/>
    <cellStyle name="_CAP-2-MA-NEW-2009 4" xfId="4242"/>
    <cellStyle name="_CAP-2-MA-NEW-2009_cuadros adicionales de brechas2002 y 2008 (2)" xfId="595"/>
    <cellStyle name="_CAP-2-MA-NEW-2009_cuadros adicionales de brechas2002 y 2008 (2) 2" xfId="596"/>
    <cellStyle name="_CAP-2-MA-NEW-2009_cuadros adicionales de brechas2002 y 2008 (2) 2 2" xfId="2262"/>
    <cellStyle name="_CAP-2-MA-NEW-2009_cuadros adicionales de brechas2002 y 2008 (2) 3" xfId="2261"/>
    <cellStyle name="_CAP-2-MA-NEW-2009_cuadros adicionales de brechas2002 y 2008 (2) 4" xfId="4243"/>
    <cellStyle name="_CAP-2-MA-NEW-2009_CUAD-TEXTO_" xfId="597"/>
    <cellStyle name="_CAP-2-MA-NEW-2009_CUAD-TEXTO_ 2" xfId="598"/>
    <cellStyle name="_CAP-2-MA-NEW-2009_CUAD-TEXTO_ 2 2" xfId="2264"/>
    <cellStyle name="_CAP-2-MA-NEW-2009_CUAD-TEXTO_ 3" xfId="2263"/>
    <cellStyle name="_CAP-2-MA-NEW-2009_CUAD-TEXTO_ 4" xfId="4244"/>
    <cellStyle name="_CAP-2-MA-NEW-2009_GRAFICOS ODM" xfId="599"/>
    <cellStyle name="_CAP-2-MA-NEW-2009_GRAFICOS ODM 2" xfId="600"/>
    <cellStyle name="_CAP-2-MA-NEW-2009_GRAFICOS ODM 2 2" xfId="2266"/>
    <cellStyle name="_CAP-2-MA-NEW-2009_GRAFICOS ODM 3" xfId="2265"/>
    <cellStyle name="_CAP-2-MA-NEW-2009_GRAFICOS ODM 4" xfId="4245"/>
    <cellStyle name="_CAP-2-MA-NEW-2009_Libro2" xfId="601"/>
    <cellStyle name="_CAP-2-MA-NEW-2009_Libro2 2" xfId="602"/>
    <cellStyle name="_CAP-2-MA-NEW-2009_Libro2 2 2" xfId="2268"/>
    <cellStyle name="_CAP-2-MA-NEW-2009_Libro2 3" xfId="2267"/>
    <cellStyle name="_CAP-2-MA-NEW-2009_Libro2 4" xfId="4246"/>
    <cellStyle name="_CAP-2-MA-NEW-2009_solicita datos para el 2007-minedu remitio" xfId="603"/>
    <cellStyle name="_CAP-2-MA-NEW-2009_solicita datos para el 2007-minedu remitio 2" xfId="604"/>
    <cellStyle name="_CAP-2-MA-NEW-2009_solicita datos para el 2007-minedu remitio 2 2" xfId="2270"/>
    <cellStyle name="_CAP-2-MA-NEW-2009_solicita datos para el 2007-minedu remitio 3" xfId="2269"/>
    <cellStyle name="_CAP-2-MA-NEW-2009_solicita datos para el 2007-minedu remitio 4" xfId="4247"/>
    <cellStyle name="_CAP-2-Med-AMB-2008" xfId="605"/>
    <cellStyle name="_CAP-2-Med-AMB-2008 2" xfId="606"/>
    <cellStyle name="_CAP-2-Med-AMB-2008 2 2" xfId="2276"/>
    <cellStyle name="_CAP-2-Med-AMB-2008 3" xfId="2271"/>
    <cellStyle name="_CAP-2-Med-AMB-2008 4" xfId="4248"/>
    <cellStyle name="_CAP-2-Med-AMB-2008_1-UIRN-UTSIGnov-2008" xfId="607"/>
    <cellStyle name="_CAP-2-Med-AMB-2008_1-UIRN-UTSIGnov-2008 2" xfId="608"/>
    <cellStyle name="_CAP-2-Med-AMB-2008_1-UIRN-UTSIGnov-2008 2 2" xfId="2273"/>
    <cellStyle name="_CAP-2-Med-AMB-2008_1-UIRN-UTSIGnov-2008 3" xfId="2272"/>
    <cellStyle name="_CAP-2-Med-AMB-2008_1-UIRN-UTSIGnov-2008 4" xfId="4249"/>
    <cellStyle name="_CAP-2-Med-AMB-2008_1-UIRN-UTSIGnov-2008_GRAFICOS ODM" xfId="609"/>
    <cellStyle name="_CAP-2-Med-AMB-2008_1-UIRN-UTSIGnov-2008_GRAFICOS ODM 2" xfId="610"/>
    <cellStyle name="_CAP-2-Med-AMB-2008_1-UIRN-UTSIGnov-2008_GRAFICOS ODM 2 2" xfId="2275"/>
    <cellStyle name="_CAP-2-Med-AMB-2008_1-UIRN-UTSIGnov-2008_GRAFICOS ODM 3" xfId="2274"/>
    <cellStyle name="_CAP-2-Med-AMB-2008_1-UIRN-UTSIGnov-2008_GRAFICOS ODM 4" xfId="4250"/>
    <cellStyle name="_CAP-2-Med-AMB-2008_cuadros adicionales de brechas2002 y 2008 (2)" xfId="611"/>
    <cellStyle name="_CAP-2-Med-AMB-2008_cuadros adicionales de brechas2002 y 2008 (2) 2" xfId="612"/>
    <cellStyle name="_CAP-2-Med-AMB-2008_cuadros adicionales de brechas2002 y 2008 (2) 2 2" xfId="2278"/>
    <cellStyle name="_CAP-2-Med-AMB-2008_cuadros adicionales de brechas2002 y 2008 (2) 3" xfId="2277"/>
    <cellStyle name="_CAP-2-Med-AMB-2008_cuadros adicionales de brechas2002 y 2008 (2) 4" xfId="4251"/>
    <cellStyle name="_CAP-2-Med-AMB-2008_CUAD-TEXTO_" xfId="613"/>
    <cellStyle name="_CAP-2-Med-AMB-2008_CUAD-TEXTO_ 2" xfId="614"/>
    <cellStyle name="_CAP-2-Med-AMB-2008_CUAD-TEXTO_ 2 2" xfId="2280"/>
    <cellStyle name="_CAP-2-Med-AMB-2008_CUAD-TEXTO_ 3" xfId="2279"/>
    <cellStyle name="_CAP-2-Med-AMB-2008_CUAD-TEXTO_ 4" xfId="4252"/>
    <cellStyle name="_CAP-2-Med-AMB-2008_GRAFICOS ODM" xfId="615"/>
    <cellStyle name="_CAP-2-Med-AMB-2008_GRAFICOS ODM 2" xfId="616"/>
    <cellStyle name="_CAP-2-Med-AMB-2008_GRAFICOS ODM 2 2" xfId="2282"/>
    <cellStyle name="_CAP-2-Med-AMB-2008_GRAFICOS ODM 3" xfId="2281"/>
    <cellStyle name="_CAP-2-Med-AMB-2008_GRAFICOS ODM 4" xfId="4253"/>
    <cellStyle name="_CAP-2-Med-AMB-2008_Libro2" xfId="617"/>
    <cellStyle name="_CAP-2-Med-AMB-2008_Libro2 2" xfId="618"/>
    <cellStyle name="_CAP-2-Med-AMB-2008_Libro2 2 2" xfId="2284"/>
    <cellStyle name="_CAP-2-Med-AMB-2008_Libro2 3" xfId="2283"/>
    <cellStyle name="_CAP-2-Med-AMB-2008_Libro2 4" xfId="4254"/>
    <cellStyle name="_CAP-2-Med-AMB-2008_solicita datos para el 2007-minedu remitio" xfId="619"/>
    <cellStyle name="_CAP-2-Med-AMB-2008_solicita datos para el 2007-minedu remitio 2" xfId="620"/>
    <cellStyle name="_CAP-2-Med-AMB-2008_solicita datos para el 2007-minedu remitio 2 2" xfId="2286"/>
    <cellStyle name="_CAP-2-Med-AMB-2008_solicita datos para el 2007-minedu remitio 3" xfId="2285"/>
    <cellStyle name="_CAP-2-Med-AMB-2008_solicita datos para el 2007-minedu remitio 4" xfId="4255"/>
    <cellStyle name="_CAP-2-MEDIO AMBIENTE" xfId="621"/>
    <cellStyle name="_CAP-2-MEDIO AMBIENTE -" xfId="622"/>
    <cellStyle name="_CAP-2-MEDIO AMBIENTE - 2" xfId="623"/>
    <cellStyle name="_CAP-2-MEDIO AMBIENTE - 2 2" xfId="2293"/>
    <cellStyle name="_CAP-2-MEDIO AMBIENTE - 3" xfId="2288"/>
    <cellStyle name="_CAP-2-MEDIO AMBIENTE - 4" xfId="4257"/>
    <cellStyle name="_CAP-2-MEDIO AMBIENTE -_1-UIRN-UTSIGnov-2008" xfId="624"/>
    <cellStyle name="_CAP-2-MEDIO AMBIENTE -_1-UIRN-UTSIGnov-2008 2" xfId="625"/>
    <cellStyle name="_CAP-2-MEDIO AMBIENTE -_1-UIRN-UTSIGnov-2008 2 2" xfId="2290"/>
    <cellStyle name="_CAP-2-MEDIO AMBIENTE -_1-UIRN-UTSIGnov-2008 3" xfId="2289"/>
    <cellStyle name="_CAP-2-MEDIO AMBIENTE -_1-UIRN-UTSIGnov-2008 4" xfId="4258"/>
    <cellStyle name="_CAP-2-MEDIO AMBIENTE -_1-UIRN-UTSIGnov-2008_GRAFICOS ODM" xfId="626"/>
    <cellStyle name="_CAP-2-MEDIO AMBIENTE -_1-UIRN-UTSIGnov-2008_GRAFICOS ODM 2" xfId="627"/>
    <cellStyle name="_CAP-2-MEDIO AMBIENTE -_1-UIRN-UTSIGnov-2008_GRAFICOS ODM 2 2" xfId="2292"/>
    <cellStyle name="_CAP-2-MEDIO AMBIENTE -_1-UIRN-UTSIGnov-2008_GRAFICOS ODM 3" xfId="2291"/>
    <cellStyle name="_CAP-2-MEDIO AMBIENTE -_1-UIRN-UTSIGnov-2008_GRAFICOS ODM 4" xfId="4259"/>
    <cellStyle name="_CAP-2-MEDIO AMBIENTE -_cuadros adicionales de brechas2002 y 2008 (2)" xfId="628"/>
    <cellStyle name="_CAP-2-MEDIO AMBIENTE -_cuadros adicionales de brechas2002 y 2008 (2) 2" xfId="629"/>
    <cellStyle name="_CAP-2-MEDIO AMBIENTE -_cuadros adicionales de brechas2002 y 2008 (2) 2 2" xfId="2295"/>
    <cellStyle name="_CAP-2-MEDIO AMBIENTE -_cuadros adicionales de brechas2002 y 2008 (2) 3" xfId="2294"/>
    <cellStyle name="_CAP-2-MEDIO AMBIENTE -_cuadros adicionales de brechas2002 y 2008 (2) 4" xfId="4260"/>
    <cellStyle name="_CAP-2-MEDIO AMBIENTE -_CUAD-TEXTO_" xfId="630"/>
    <cellStyle name="_CAP-2-MEDIO AMBIENTE -_CUAD-TEXTO_ 2" xfId="631"/>
    <cellStyle name="_CAP-2-MEDIO AMBIENTE -_CUAD-TEXTO_ 2 2" xfId="2297"/>
    <cellStyle name="_CAP-2-MEDIO AMBIENTE -_CUAD-TEXTO_ 3" xfId="2296"/>
    <cellStyle name="_CAP-2-MEDIO AMBIENTE -_CUAD-TEXTO_ 4" xfId="4261"/>
    <cellStyle name="_CAP-2-MEDIO AMBIENTE -_GRAFICOS ODM" xfId="632"/>
    <cellStyle name="_CAP-2-MEDIO AMBIENTE -_GRAFICOS ODM 2" xfId="633"/>
    <cellStyle name="_CAP-2-MEDIO AMBIENTE -_GRAFICOS ODM 2 2" xfId="2299"/>
    <cellStyle name="_CAP-2-MEDIO AMBIENTE -_GRAFICOS ODM 3" xfId="2298"/>
    <cellStyle name="_CAP-2-MEDIO AMBIENTE -_GRAFICOS ODM 4" xfId="4262"/>
    <cellStyle name="_CAP-2-MEDIO AMBIENTE -_Libro2" xfId="634"/>
    <cellStyle name="_CAP-2-MEDIO AMBIENTE -_Libro2 2" xfId="635"/>
    <cellStyle name="_CAP-2-MEDIO AMBIENTE -_Libro2 2 2" xfId="2301"/>
    <cellStyle name="_CAP-2-MEDIO AMBIENTE -_Libro2 3" xfId="2300"/>
    <cellStyle name="_CAP-2-MEDIO AMBIENTE -_Libro2 4" xfId="4263"/>
    <cellStyle name="_CAP-2-MEDIO AMBIENTE -_solicita datos para el 2007-minedu remitio" xfId="636"/>
    <cellStyle name="_CAP-2-MEDIO AMBIENTE -_solicita datos para el 2007-minedu remitio 2" xfId="637"/>
    <cellStyle name="_CAP-2-MEDIO AMBIENTE -_solicita datos para el 2007-minedu remitio 2 2" xfId="2303"/>
    <cellStyle name="_CAP-2-MEDIO AMBIENTE -_solicita datos para el 2007-minedu remitio 3" xfId="2302"/>
    <cellStyle name="_CAP-2-MEDIO AMBIENTE -_solicita datos para el 2007-minedu remitio 4" xfId="4264"/>
    <cellStyle name="_CAP-2-MEDIO AMBIENTE 10" xfId="5345"/>
    <cellStyle name="_CAP-2-MEDIO AMBIENTE 11" xfId="4965"/>
    <cellStyle name="_CAP-2-MEDIO AMBIENTE 12" xfId="4872"/>
    <cellStyle name="_CAP-2-MEDIO AMBIENTE 13" xfId="5448"/>
    <cellStyle name="_CAP-2-MEDIO AMBIENTE 14" xfId="4404"/>
    <cellStyle name="_CAP-2-MEDIO AMBIENTE 15" xfId="4726"/>
    <cellStyle name="_CAP-2-MEDIO AMBIENTE 16" xfId="5471"/>
    <cellStyle name="_CAP-2-MEDIO AMBIENTE 17" xfId="5491"/>
    <cellStyle name="_CAP-2-MEDIO AMBIENTE 18" xfId="5496"/>
    <cellStyle name="_CAP-2-MEDIO AMBIENTE 19" xfId="5385"/>
    <cellStyle name="_CAP-2-MEDIO AMBIENTE 2" xfId="638"/>
    <cellStyle name="_CAP-2-MEDIO AMBIENTE 2 2" xfId="2304"/>
    <cellStyle name="_CAP-2-MEDIO AMBIENTE 20" xfId="5503"/>
    <cellStyle name="_CAP-2-MEDIO AMBIENTE 21" xfId="5509"/>
    <cellStyle name="_CAP-2-MEDIO AMBIENTE 22" xfId="5342"/>
    <cellStyle name="_CAP-2-MEDIO AMBIENTE 23" xfId="4737"/>
    <cellStyle name="_CAP-2-MEDIO AMBIENTE 24" xfId="4831"/>
    <cellStyle name="_CAP-2-MEDIO AMBIENTE 25" xfId="5440"/>
    <cellStyle name="_CAP-2-MEDIO AMBIENTE 26" xfId="5314"/>
    <cellStyle name="_CAP-2-MEDIO AMBIENTE 27" xfId="5544"/>
    <cellStyle name="_CAP-2-MEDIO AMBIENTE 28" xfId="4909"/>
    <cellStyle name="_CAP-2-MEDIO AMBIENTE 29" xfId="5551"/>
    <cellStyle name="_CAP-2-MEDIO AMBIENTE 3" xfId="2287"/>
    <cellStyle name="_CAP-2-MEDIO AMBIENTE 30" xfId="5554"/>
    <cellStyle name="_CAP-2-MEDIO AMBIENTE 31" xfId="5557"/>
    <cellStyle name="_CAP-2-MEDIO AMBIENTE 32" xfId="5560"/>
    <cellStyle name="_CAP-2-MEDIO AMBIENTE 33" xfId="5563"/>
    <cellStyle name="_CAP-2-MEDIO AMBIENTE 34" xfId="5634"/>
    <cellStyle name="_CAP-2-MEDIO AMBIENTE 35" xfId="5685"/>
    <cellStyle name="_CAP-2-MEDIO AMBIENTE 36" xfId="5659"/>
    <cellStyle name="_CAP-2-MEDIO AMBIENTE 37" xfId="5707"/>
    <cellStyle name="_CAP-2-MEDIO AMBIENTE 4" xfId="3280"/>
    <cellStyle name="_CAP-2-MEDIO AMBIENTE 5" xfId="3285"/>
    <cellStyle name="_CAP-2-MEDIO AMBIENTE 6" xfId="3279"/>
    <cellStyle name="_CAP-2-MEDIO AMBIENTE 7" xfId="3286"/>
    <cellStyle name="_CAP-2-MEDIO AMBIENTE 8" xfId="4256"/>
    <cellStyle name="_CAP-2-MEDIO AMBIENTE 9" xfId="5179"/>
    <cellStyle name="_CAP-2-MEDIO AMBIENTE- trabajado" xfId="639"/>
    <cellStyle name="_CAP-2-MEDIO AMBIENTE- trabajado 2" xfId="640"/>
    <cellStyle name="_CAP-2-MEDIO AMBIENTE- trabajado 2 2" xfId="2310"/>
    <cellStyle name="_CAP-2-MEDIO AMBIENTE- trabajado 3" xfId="2305"/>
    <cellStyle name="_CAP-2-MEDIO AMBIENTE- trabajado 4" xfId="4266"/>
    <cellStyle name="_CAP-2-MEDIO AMBIENTE- trabajado_1-UIRN-UTSIGnov-2008" xfId="641"/>
    <cellStyle name="_CAP-2-MEDIO AMBIENTE- trabajado_1-UIRN-UTSIGnov-2008 2" xfId="642"/>
    <cellStyle name="_CAP-2-MEDIO AMBIENTE- trabajado_1-UIRN-UTSIGnov-2008 2 2" xfId="2307"/>
    <cellStyle name="_CAP-2-MEDIO AMBIENTE- trabajado_1-UIRN-UTSIGnov-2008 3" xfId="2306"/>
    <cellStyle name="_CAP-2-MEDIO AMBIENTE- trabajado_1-UIRN-UTSIGnov-2008 4" xfId="4268"/>
    <cellStyle name="_CAP-2-MEDIO AMBIENTE- trabajado_1-UIRN-UTSIGnov-2008_GRAFICOS ODM" xfId="643"/>
    <cellStyle name="_CAP-2-MEDIO AMBIENTE- trabajado_1-UIRN-UTSIGnov-2008_GRAFICOS ODM 2" xfId="644"/>
    <cellStyle name="_CAP-2-MEDIO AMBIENTE- trabajado_1-UIRN-UTSIGnov-2008_GRAFICOS ODM 2 2" xfId="2309"/>
    <cellStyle name="_CAP-2-MEDIO AMBIENTE- trabajado_1-UIRN-UTSIGnov-2008_GRAFICOS ODM 3" xfId="2308"/>
    <cellStyle name="_CAP-2-MEDIO AMBIENTE- trabajado_1-UIRN-UTSIGnov-2008_GRAFICOS ODM 4" xfId="4269"/>
    <cellStyle name="_CAP-2-MEDIO AMBIENTE- trabajado_cuadros adicionales de brechas2002 y 2008 (2)" xfId="645"/>
    <cellStyle name="_CAP-2-MEDIO AMBIENTE- trabajado_cuadros adicionales de brechas2002 y 2008 (2) 2" xfId="646"/>
    <cellStyle name="_CAP-2-MEDIO AMBIENTE- trabajado_cuadros adicionales de brechas2002 y 2008 (2) 2 2" xfId="2312"/>
    <cellStyle name="_CAP-2-MEDIO AMBIENTE- trabajado_cuadros adicionales de brechas2002 y 2008 (2) 3" xfId="2311"/>
    <cellStyle name="_CAP-2-MEDIO AMBIENTE- trabajado_cuadros adicionales de brechas2002 y 2008 (2) 4" xfId="4271"/>
    <cellStyle name="_CAP-2-MEDIO AMBIENTE- trabajado_CUAD-TEXTO_" xfId="647"/>
    <cellStyle name="_CAP-2-MEDIO AMBIENTE- trabajado_CUAD-TEXTO_ 2" xfId="648"/>
    <cellStyle name="_CAP-2-MEDIO AMBIENTE- trabajado_CUAD-TEXTO_ 2 2" xfId="2314"/>
    <cellStyle name="_CAP-2-MEDIO AMBIENTE- trabajado_CUAD-TEXTO_ 3" xfId="2313"/>
    <cellStyle name="_CAP-2-MEDIO AMBIENTE- trabajado_CUAD-TEXTO_ 4" xfId="4273"/>
    <cellStyle name="_CAP-2-MEDIO AMBIENTE- trabajado_GRAFICOS ODM" xfId="649"/>
    <cellStyle name="_CAP-2-MEDIO AMBIENTE- trabajado_GRAFICOS ODM 2" xfId="650"/>
    <cellStyle name="_CAP-2-MEDIO AMBIENTE- trabajado_GRAFICOS ODM 2 2" xfId="2316"/>
    <cellStyle name="_CAP-2-MEDIO AMBIENTE- trabajado_GRAFICOS ODM 3" xfId="2315"/>
    <cellStyle name="_CAP-2-MEDIO AMBIENTE- trabajado_GRAFICOS ODM 4" xfId="4275"/>
    <cellStyle name="_CAP-2-MEDIO AMBIENTE- trabajado_Libro2" xfId="651"/>
    <cellStyle name="_CAP-2-MEDIO AMBIENTE- trabajado_Libro2 2" xfId="652"/>
    <cellStyle name="_CAP-2-MEDIO AMBIENTE- trabajado_Libro2 2 2" xfId="2318"/>
    <cellStyle name="_CAP-2-MEDIO AMBIENTE- trabajado_Libro2 3" xfId="2317"/>
    <cellStyle name="_CAP-2-MEDIO AMBIENTE- trabajado_Libro2 4" xfId="4277"/>
    <cellStyle name="_CAP-2-MEDIO AMBIENTE- trabajado_solicita datos para el 2007-minedu remitio" xfId="653"/>
    <cellStyle name="_CAP-2-MEDIO AMBIENTE- trabajado_solicita datos para el 2007-minedu remitio 2" xfId="654"/>
    <cellStyle name="_CAP-2-MEDIO AMBIENTE- trabajado_solicita datos para el 2007-minedu remitio 2 2" xfId="2320"/>
    <cellStyle name="_CAP-2-MEDIO AMBIENTE- trabajado_solicita datos para el 2007-minedu remitio 3" xfId="2319"/>
    <cellStyle name="_CAP-2-MEDIO AMBIENTE- trabajado_solicita datos para el 2007-minedu remitio 4" xfId="4278"/>
    <cellStyle name="_CAP-2-MEDIO AMBIENTE_cuadros adicionales de brechas2002 y 2008 (2)" xfId="655"/>
    <cellStyle name="_CAP-2-MEDIO AMBIENTE_cuadros adicionales de brechas2002 y 2008 (2) 2" xfId="656"/>
    <cellStyle name="_CAP-2-MEDIO AMBIENTE_cuadros adicionales de brechas2002 y 2008 (2) 2 2" xfId="2322"/>
    <cellStyle name="_CAP-2-MEDIO AMBIENTE_cuadros adicionales de brechas2002 y 2008 (2) 3" xfId="2321"/>
    <cellStyle name="_CAP-2-MEDIO AMBIENTE_cuadros adicionales de brechas2002 y 2008 (2) 4" xfId="4279"/>
    <cellStyle name="_CAP-2-MEDIO AMBIENTE_CUAD-TEXTO_" xfId="657"/>
    <cellStyle name="_CAP-2-MEDIO AMBIENTE_CUAD-TEXTO_ 2" xfId="658"/>
    <cellStyle name="_CAP-2-MEDIO AMBIENTE_CUAD-TEXTO_ 2 2" xfId="2324"/>
    <cellStyle name="_CAP-2-MEDIO AMBIENTE_CUAD-TEXTO_ 3" xfId="2323"/>
    <cellStyle name="_CAP-2-MEDIO AMBIENTE_CUAD-TEXTO_ 4" xfId="4280"/>
    <cellStyle name="_CAP-2-MEDIO AMBIENTE_GRAFICOS ODM" xfId="659"/>
    <cellStyle name="_CAP-2-MEDIO AMBIENTE_GRAFICOS ODM 2" xfId="660"/>
    <cellStyle name="_CAP-2-MEDIO AMBIENTE_GRAFICOS ODM 2 2" xfId="2326"/>
    <cellStyle name="_CAP-2-MEDIO AMBIENTE_GRAFICOS ODM 3" xfId="2325"/>
    <cellStyle name="_CAP-2-MEDIO AMBIENTE_GRAFICOS ODM 4" xfId="4281"/>
    <cellStyle name="_CAP-2-MEDIO AMBIENTE_Libro2" xfId="661"/>
    <cellStyle name="_CAP-2-MEDIO AMBIENTE_Libro2 2" xfId="662"/>
    <cellStyle name="_CAP-2-MEDIO AMBIENTE_Libro2 2 2" xfId="2328"/>
    <cellStyle name="_CAP-2-MEDIO AMBIENTE_Libro2 3" xfId="2327"/>
    <cellStyle name="_CAP-2-MEDIO AMBIENTE_Libro2 4" xfId="4282"/>
    <cellStyle name="_CAP-2-MEDIO AMBIENTE_solicita datos para el 2007-minedu remitio" xfId="663"/>
    <cellStyle name="_CAP-2-MEDIO AMBIENTE_solicita datos para el 2007-minedu remitio 2" xfId="664"/>
    <cellStyle name="_CAP-2-MEDIO AMBIENTE_solicita datos para el 2007-minedu remitio 2 2" xfId="2330"/>
    <cellStyle name="_CAP-2-MEDIO AMBIENTE_solicita datos para el 2007-minedu remitio 3" xfId="2329"/>
    <cellStyle name="_CAP-2-MEDIO AMBIENTE_solicita datos para el 2007-minedu remitio 4" xfId="4283"/>
    <cellStyle name="_CAP-2-MedioAmbiente-edit" xfId="665"/>
    <cellStyle name="_CAP-2-MedioAmbiente-edit 2" xfId="666"/>
    <cellStyle name="_CAP-2-MedioAmbiente-edit 2 2" xfId="2336"/>
    <cellStyle name="_CAP-2-MedioAmbiente-edit 3" xfId="2331"/>
    <cellStyle name="_CAP-2-MedioAmbiente-edit 4" xfId="4284"/>
    <cellStyle name="_CAP-2-MedioAmbiente-edit_1-UIRN-UTSIGnov-2008" xfId="667"/>
    <cellStyle name="_CAP-2-MedioAmbiente-edit_1-UIRN-UTSIGnov-2008 2" xfId="668"/>
    <cellStyle name="_CAP-2-MedioAmbiente-edit_1-UIRN-UTSIGnov-2008 2 2" xfId="2333"/>
    <cellStyle name="_CAP-2-MedioAmbiente-edit_1-UIRN-UTSIGnov-2008 3" xfId="2332"/>
    <cellStyle name="_CAP-2-MedioAmbiente-edit_1-UIRN-UTSIGnov-2008 4" xfId="4286"/>
    <cellStyle name="_CAP-2-MedioAmbiente-edit_1-UIRN-UTSIGnov-2008_GRAFICOS ODM" xfId="669"/>
    <cellStyle name="_CAP-2-MedioAmbiente-edit_1-UIRN-UTSIGnov-2008_GRAFICOS ODM 2" xfId="670"/>
    <cellStyle name="_CAP-2-MedioAmbiente-edit_1-UIRN-UTSIGnov-2008_GRAFICOS ODM 2 2" xfId="2335"/>
    <cellStyle name="_CAP-2-MedioAmbiente-edit_1-UIRN-UTSIGnov-2008_GRAFICOS ODM 3" xfId="2334"/>
    <cellStyle name="_CAP-2-MedioAmbiente-edit_1-UIRN-UTSIGnov-2008_GRAFICOS ODM 4" xfId="4287"/>
    <cellStyle name="_CAP-2-MedioAmbiente-edit_cuadros adicionales de brechas2002 y 2008 (2)" xfId="671"/>
    <cellStyle name="_CAP-2-MedioAmbiente-edit_cuadros adicionales de brechas2002 y 2008 (2) 2" xfId="672"/>
    <cellStyle name="_CAP-2-MedioAmbiente-edit_cuadros adicionales de brechas2002 y 2008 (2) 2 2" xfId="2338"/>
    <cellStyle name="_CAP-2-MedioAmbiente-edit_cuadros adicionales de brechas2002 y 2008 (2) 3" xfId="2337"/>
    <cellStyle name="_CAP-2-MedioAmbiente-edit_cuadros adicionales de brechas2002 y 2008 (2) 4" xfId="4288"/>
    <cellStyle name="_CAP-2-MedioAmbiente-edit_CUAD-TEXTO_" xfId="673"/>
    <cellStyle name="_CAP-2-MedioAmbiente-edit_CUAD-TEXTO_ 2" xfId="674"/>
    <cellStyle name="_CAP-2-MedioAmbiente-edit_CUAD-TEXTO_ 2 2" xfId="2340"/>
    <cellStyle name="_CAP-2-MedioAmbiente-edit_CUAD-TEXTO_ 3" xfId="2339"/>
    <cellStyle name="_CAP-2-MedioAmbiente-edit_CUAD-TEXTO_ 4" xfId="4289"/>
    <cellStyle name="_CAP-2-MedioAmbiente-edit_GRAFICOS ODM" xfId="675"/>
    <cellStyle name="_CAP-2-MedioAmbiente-edit_GRAFICOS ODM 2" xfId="676"/>
    <cellStyle name="_CAP-2-MedioAmbiente-edit_GRAFICOS ODM 2 2" xfId="2342"/>
    <cellStyle name="_CAP-2-MedioAmbiente-edit_GRAFICOS ODM 3" xfId="2341"/>
    <cellStyle name="_CAP-2-MedioAmbiente-edit_GRAFICOS ODM 4" xfId="4291"/>
    <cellStyle name="_CAP-2-MedioAmbiente-edit_Libro2" xfId="677"/>
    <cellStyle name="_CAP-2-MedioAmbiente-edit_Libro2 2" xfId="678"/>
    <cellStyle name="_CAP-2-MedioAmbiente-edit_Libro2 2 2" xfId="2344"/>
    <cellStyle name="_CAP-2-MedioAmbiente-edit_Libro2 3" xfId="2343"/>
    <cellStyle name="_CAP-2-MedioAmbiente-edit_Libro2 4" xfId="4292"/>
    <cellStyle name="_CAP-2-MedioAmbiente-edit_solicita datos para el 2007-minedu remitio" xfId="679"/>
    <cellStyle name="_CAP-2-MedioAmbiente-edit_solicita datos para el 2007-minedu remitio 2" xfId="680"/>
    <cellStyle name="_CAP-2-MedioAmbiente-edit_solicita datos para el 2007-minedu remitio 2 2" xfId="2346"/>
    <cellStyle name="_CAP-2-MedioAmbiente-edit_solicita datos para el 2007-minedu remitio 3" xfId="2345"/>
    <cellStyle name="_CAP-2-MedioAmbiente-edit_solicita datos para el 2007-minedu remitio 4" xfId="4293"/>
    <cellStyle name="_cap3a.2009" xfId="681"/>
    <cellStyle name="_cap3a.2009 2" xfId="682"/>
    <cellStyle name="_cap3a.2009 2 2" xfId="2348"/>
    <cellStyle name="_cap3a.2009 3" xfId="2347"/>
    <cellStyle name="_cap3a.2009 4" xfId="4294"/>
    <cellStyle name="_cap3a.2009_cuadros adicionales de brechas2002 y 2008 (2)" xfId="683"/>
    <cellStyle name="_cap3a.2009_cuadros adicionales de brechas2002 y 2008 (2) 2" xfId="684"/>
    <cellStyle name="_cap3a.2009_cuadros adicionales de brechas2002 y 2008 (2) 2 2" xfId="2350"/>
    <cellStyle name="_cap3a.2009_cuadros adicionales de brechas2002 y 2008 (2) 3" xfId="2349"/>
    <cellStyle name="_cap3a.2009_cuadros adicionales de brechas2002 y 2008 (2) 4" xfId="4296"/>
    <cellStyle name="_cap3a.2009_CUAD-TEXTO_" xfId="685"/>
    <cellStyle name="_cap3a.2009_CUAD-TEXTO_ 2" xfId="686"/>
    <cellStyle name="_cap3a.2009_CUAD-TEXTO_ 2 2" xfId="2352"/>
    <cellStyle name="_cap3a.2009_CUAD-TEXTO_ 3" xfId="2351"/>
    <cellStyle name="_cap3a.2009_CUAD-TEXTO_ 4" xfId="4297"/>
    <cellStyle name="_cap3a.2009_GRAFICOS ODM" xfId="687"/>
    <cellStyle name="_cap3a.2009_GRAFICOS ODM 2" xfId="688"/>
    <cellStyle name="_cap3a.2009_GRAFICOS ODM 2 2" xfId="2354"/>
    <cellStyle name="_cap3a.2009_GRAFICOS ODM 3" xfId="2353"/>
    <cellStyle name="_cap3a.2009_GRAFICOS ODM 4" xfId="4298"/>
    <cellStyle name="_cap3a.2009_Libro2" xfId="689"/>
    <cellStyle name="_cap3a.2009_Libro2 2" xfId="690"/>
    <cellStyle name="_cap3a.2009_Libro2 2 2" xfId="2356"/>
    <cellStyle name="_cap3a.2009_Libro2 3" xfId="2355"/>
    <cellStyle name="_cap3a.2009_Libro2 4" xfId="4299"/>
    <cellStyle name="_cap3a.2009_solicita datos para el 2007-minedu remitio" xfId="691"/>
    <cellStyle name="_cap3a.2009_solicita datos para el 2007-minedu remitio 2" xfId="692"/>
    <cellStyle name="_cap3a.2009_solicita datos para el 2007-minedu remitio 2 2" xfId="2358"/>
    <cellStyle name="_cap3a.2009_solicita datos para el 2007-minedu remitio 3" xfId="2357"/>
    <cellStyle name="_cap3a.2009_solicita datos para el 2007-minedu remitio 4" xfId="4301"/>
    <cellStyle name="_cap4.2009" xfId="693"/>
    <cellStyle name="_cap4.2009 2" xfId="694"/>
    <cellStyle name="_cap4.2009 2 2" xfId="2360"/>
    <cellStyle name="_cap4.2009 3" xfId="2359"/>
    <cellStyle name="_cap4.2009 4" xfId="4302"/>
    <cellStyle name="_cap4.2009_cuadros adicionales de brechas2002 y 2008 (2)" xfId="695"/>
    <cellStyle name="_cap4.2009_cuadros adicionales de brechas2002 y 2008 (2) 2" xfId="696"/>
    <cellStyle name="_cap4.2009_cuadros adicionales de brechas2002 y 2008 (2) 2 2" xfId="2362"/>
    <cellStyle name="_cap4.2009_cuadros adicionales de brechas2002 y 2008 (2) 3" xfId="2361"/>
    <cellStyle name="_cap4.2009_cuadros adicionales de brechas2002 y 2008 (2) 4" xfId="4303"/>
    <cellStyle name="_cap4.2009_CUAD-TEXTO_" xfId="697"/>
    <cellStyle name="_cap4.2009_CUAD-TEXTO_ 2" xfId="698"/>
    <cellStyle name="_cap4.2009_CUAD-TEXTO_ 2 2" xfId="2364"/>
    <cellStyle name="_cap4.2009_CUAD-TEXTO_ 3" xfId="2363"/>
    <cellStyle name="_cap4.2009_CUAD-TEXTO_ 4" xfId="4304"/>
    <cellStyle name="_cap4.2009_GRAFICOS ODM" xfId="699"/>
    <cellStyle name="_cap4.2009_GRAFICOS ODM 2" xfId="700"/>
    <cellStyle name="_cap4.2009_GRAFICOS ODM 2 2" xfId="2366"/>
    <cellStyle name="_cap4.2009_GRAFICOS ODM 3" xfId="2365"/>
    <cellStyle name="_cap4.2009_GRAFICOS ODM 4" xfId="4306"/>
    <cellStyle name="_cap4.2009_Libro2" xfId="701"/>
    <cellStyle name="_cap4.2009_Libro2 2" xfId="702"/>
    <cellStyle name="_cap4.2009_Libro2 2 2" xfId="2368"/>
    <cellStyle name="_cap4.2009_Libro2 3" xfId="2367"/>
    <cellStyle name="_cap4.2009_Libro2 4" xfId="4307"/>
    <cellStyle name="_cap4.2009_solicita datos para el 2007-minedu remitio" xfId="703"/>
    <cellStyle name="_cap4.2009_solicita datos para el 2007-minedu remitio 2" xfId="704"/>
    <cellStyle name="_cap4.2009_solicita datos para el 2007-minedu remitio 2 2" xfId="2370"/>
    <cellStyle name="_cap4.2009_solicita datos para el 2007-minedu remitio 3" xfId="2369"/>
    <cellStyle name="_cap4.2009_solicita datos para el 2007-minedu remitio 4" xfId="4309"/>
    <cellStyle name="_cap5-new-2009-" xfId="705"/>
    <cellStyle name="_cap5-new-2009- 2" xfId="706"/>
    <cellStyle name="_cap5-new-2009- 2 2" xfId="2372"/>
    <cellStyle name="_cap5-new-2009- 3" xfId="2371"/>
    <cellStyle name="_cap5-new-2009- 4" xfId="4311"/>
    <cellStyle name="_cap5-new-2009-_cuadros adicionales de brechas2002 y 2008 (2)" xfId="707"/>
    <cellStyle name="_cap5-new-2009-_cuadros adicionales de brechas2002 y 2008 (2) 2" xfId="708"/>
    <cellStyle name="_cap5-new-2009-_cuadros adicionales de brechas2002 y 2008 (2) 2 2" xfId="2374"/>
    <cellStyle name="_cap5-new-2009-_cuadros adicionales de brechas2002 y 2008 (2) 3" xfId="2373"/>
    <cellStyle name="_cap5-new-2009-_cuadros adicionales de brechas2002 y 2008 (2) 4" xfId="4312"/>
    <cellStyle name="_cap5-new-2009-_CUAD-TEXTO_" xfId="709"/>
    <cellStyle name="_cap5-new-2009-_CUAD-TEXTO_ 2" xfId="710"/>
    <cellStyle name="_cap5-new-2009-_CUAD-TEXTO_ 2 2" xfId="2376"/>
    <cellStyle name="_cap5-new-2009-_CUAD-TEXTO_ 3" xfId="2375"/>
    <cellStyle name="_cap5-new-2009-_CUAD-TEXTO_ 4" xfId="4313"/>
    <cellStyle name="_cap5-new-2009-_GRAFICOS ODM" xfId="711"/>
    <cellStyle name="_cap5-new-2009-_GRAFICOS ODM 2" xfId="712"/>
    <cellStyle name="_cap5-new-2009-_GRAFICOS ODM 2 2" xfId="2378"/>
    <cellStyle name="_cap5-new-2009-_GRAFICOS ODM 3" xfId="2377"/>
    <cellStyle name="_cap5-new-2009-_GRAFICOS ODM 4" xfId="4314"/>
    <cellStyle name="_cap5-new-2009-_Libro2" xfId="713"/>
    <cellStyle name="_cap5-new-2009-_Libro2 2" xfId="714"/>
    <cellStyle name="_cap5-new-2009-_Libro2 2 2" xfId="2380"/>
    <cellStyle name="_cap5-new-2009-_Libro2 3" xfId="2379"/>
    <cellStyle name="_cap5-new-2009-_Libro2 4" xfId="4315"/>
    <cellStyle name="_cap5-new-2009-_solicita datos para el 2007-minedu remitio" xfId="715"/>
    <cellStyle name="_cap5-new-2009-_solicita datos para el 2007-minedu remitio 2" xfId="716"/>
    <cellStyle name="_cap5-new-2009-_solicita datos para el 2007-minedu remitio 2 2" xfId="2382"/>
    <cellStyle name="_cap5-new-2009-_solicita datos para el 2007-minedu remitio 3" xfId="2381"/>
    <cellStyle name="_cap5-new-2009-_solicita datos para el 2007-minedu remitio 4" xfId="4316"/>
    <cellStyle name="_CAP----COMPENDIO-2008" xfId="717"/>
    <cellStyle name="_CAP----COMPENDIO-2008 2" xfId="718"/>
    <cellStyle name="_CAP----COMPENDIO-2008 2 2" xfId="2384"/>
    <cellStyle name="_CAP----COMPENDIO-2008 3" xfId="2383"/>
    <cellStyle name="_CAP----COMPENDIO-2008 4" xfId="4317"/>
    <cellStyle name="_CAP----COMPENDIO-2008_cuadros adicionales de brechas2002 y 2008 (2)" xfId="719"/>
    <cellStyle name="_CAP----COMPENDIO-2008_cuadros adicionales de brechas2002 y 2008 (2) 2" xfId="720"/>
    <cellStyle name="_CAP----COMPENDIO-2008_cuadros adicionales de brechas2002 y 2008 (2) 2 2" xfId="2386"/>
    <cellStyle name="_CAP----COMPENDIO-2008_cuadros adicionales de brechas2002 y 2008 (2) 3" xfId="2385"/>
    <cellStyle name="_CAP----COMPENDIO-2008_cuadros adicionales de brechas2002 y 2008 (2) 4" xfId="4318"/>
    <cellStyle name="_CAP----COMPENDIO-2008_CUAD-TEXTO_" xfId="721"/>
    <cellStyle name="_CAP----COMPENDIO-2008_CUAD-TEXTO_ 2" xfId="722"/>
    <cellStyle name="_CAP----COMPENDIO-2008_CUAD-TEXTO_ 2 2" xfId="2388"/>
    <cellStyle name="_CAP----COMPENDIO-2008_CUAD-TEXTO_ 3" xfId="2387"/>
    <cellStyle name="_CAP----COMPENDIO-2008_CUAD-TEXTO_ 4" xfId="4319"/>
    <cellStyle name="_CAP----COMPENDIO-2008_GRAFICOS ODM" xfId="723"/>
    <cellStyle name="_CAP----COMPENDIO-2008_GRAFICOS ODM 2" xfId="724"/>
    <cellStyle name="_CAP----COMPENDIO-2008_GRAFICOS ODM 2 2" xfId="2390"/>
    <cellStyle name="_CAP----COMPENDIO-2008_GRAFICOS ODM 3" xfId="2389"/>
    <cellStyle name="_CAP----COMPENDIO-2008_GRAFICOS ODM 4" xfId="4321"/>
    <cellStyle name="_CAP----COMPENDIO-2008_Libro2" xfId="725"/>
    <cellStyle name="_CAP----COMPENDIO-2008_Libro2 2" xfId="726"/>
    <cellStyle name="_CAP----COMPENDIO-2008_Libro2 2 2" xfId="2392"/>
    <cellStyle name="_CAP----COMPENDIO-2008_Libro2 3" xfId="2391"/>
    <cellStyle name="_CAP----COMPENDIO-2008_Libro2 4" xfId="4322"/>
    <cellStyle name="_CAP----COMPENDIO-2008_solicita datos para el 2007-minedu remitio" xfId="727"/>
    <cellStyle name="_CAP----COMPENDIO-2008_solicita datos para el 2007-minedu remitio 2" xfId="728"/>
    <cellStyle name="_CAP----COMPENDIO-2008_solicita datos para el 2007-minedu remitio 2 2" xfId="2394"/>
    <cellStyle name="_CAP----COMPENDIO-2008_solicita datos para el 2007-minedu remitio 3" xfId="2393"/>
    <cellStyle name="_CAP----COMPENDIO-2008_solicita datos para el 2007-minedu remitio 4" xfId="4323"/>
    <cellStyle name="_Compendio Cap. 5  Anexo - HOGAR" xfId="729"/>
    <cellStyle name="_Compendio Cap. 5  Anexo - HOGAR 2" xfId="730"/>
    <cellStyle name="_Compendio Cap. 5  Anexo - HOGAR 2 2" xfId="2396"/>
    <cellStyle name="_Compendio Cap. 5  Anexo - HOGAR 3" xfId="2395"/>
    <cellStyle name="_Compendio Cap. 5  Anexo - HOGAR 4" xfId="4324"/>
    <cellStyle name="_Compendio Cap. 5  Anexo - HOGAR_cuadros adicionales de brechas2002 y 2008 (2)" xfId="731"/>
    <cellStyle name="_Compendio Cap. 5  Anexo - HOGAR_cuadros adicionales de brechas2002 y 2008 (2) 2" xfId="732"/>
    <cellStyle name="_Compendio Cap. 5  Anexo - HOGAR_cuadros adicionales de brechas2002 y 2008 (2) 2 2" xfId="2398"/>
    <cellStyle name="_Compendio Cap. 5  Anexo - HOGAR_cuadros adicionales de brechas2002 y 2008 (2) 3" xfId="2397"/>
    <cellStyle name="_Compendio Cap. 5  Anexo - HOGAR_cuadros adicionales de brechas2002 y 2008 (2) 4" xfId="4326"/>
    <cellStyle name="_Compendio Cap. 5  Anexo - HOGAR_CUAD-TEXTO_" xfId="733"/>
    <cellStyle name="_Compendio Cap. 5  Anexo - HOGAR_CUAD-TEXTO_ 2" xfId="734"/>
    <cellStyle name="_Compendio Cap. 5  Anexo - HOGAR_CUAD-TEXTO_ 2 2" xfId="2400"/>
    <cellStyle name="_Compendio Cap. 5  Anexo - HOGAR_CUAD-TEXTO_ 3" xfId="2399"/>
    <cellStyle name="_Compendio Cap. 5  Anexo - HOGAR_CUAD-TEXTO_ 4" xfId="4328"/>
    <cellStyle name="_Compendio Cap. 5  Anexo - HOGAR_GRAFICOS ODM" xfId="735"/>
    <cellStyle name="_Compendio Cap. 5  Anexo - HOGAR_GRAFICOS ODM 2" xfId="736"/>
    <cellStyle name="_Compendio Cap. 5  Anexo - HOGAR_GRAFICOS ODM 2 2" xfId="2402"/>
    <cellStyle name="_Compendio Cap. 5  Anexo - HOGAR_GRAFICOS ODM 3" xfId="2401"/>
    <cellStyle name="_Compendio Cap. 5  Anexo - HOGAR_GRAFICOS ODM 4" xfId="4329"/>
    <cellStyle name="_Compendio Cap. 5  Anexo - HOGAR_Libro2" xfId="737"/>
    <cellStyle name="_Compendio Cap. 5  Anexo - HOGAR_Libro2 2" xfId="738"/>
    <cellStyle name="_Compendio Cap. 5  Anexo - HOGAR_Libro2 2 2" xfId="2404"/>
    <cellStyle name="_Compendio Cap. 5  Anexo - HOGAR_Libro2 3" xfId="2403"/>
    <cellStyle name="_Compendio Cap. 5  Anexo - HOGAR_Libro2 4" xfId="4330"/>
    <cellStyle name="_Compendio Cap. 5  Anexo - HOGAR_solicita datos para el 2007-minedu remitio" xfId="739"/>
    <cellStyle name="_Compendio Cap. 5  Anexo - HOGAR_solicita datos para el 2007-minedu remitio 2" xfId="740"/>
    <cellStyle name="_Compendio Cap. 5  Anexo - HOGAR_solicita datos para el 2007-minedu remitio 2 2" xfId="2406"/>
    <cellStyle name="_Compendio Cap. 5  Anexo - HOGAR_solicita datos para el 2007-minedu remitio 3" xfId="2405"/>
    <cellStyle name="_Compendio Cap. 5  Anexo - HOGAR_solicita datos para el 2007-minedu remitio 4" xfId="4331"/>
    <cellStyle name="_COMPsolo-renamu-2008" xfId="741"/>
    <cellStyle name="_COMPsolo-renamu-2008 2" xfId="742"/>
    <cellStyle name="_COMPsolo-renamu-2008 2 2" xfId="2408"/>
    <cellStyle name="_COMPsolo-renamu-2008 3" xfId="2407"/>
    <cellStyle name="_COMPsolo-renamu-2008 4" xfId="4332"/>
    <cellStyle name="_COMPsolo-renamu-2008_cuadros adicionales de brechas2002 y 2008 (2)" xfId="743"/>
    <cellStyle name="_COMPsolo-renamu-2008_cuadros adicionales de brechas2002 y 2008 (2) 2" xfId="744"/>
    <cellStyle name="_COMPsolo-renamu-2008_cuadros adicionales de brechas2002 y 2008 (2) 2 2" xfId="2410"/>
    <cellStyle name="_COMPsolo-renamu-2008_cuadros adicionales de brechas2002 y 2008 (2) 3" xfId="2409"/>
    <cellStyle name="_COMPsolo-renamu-2008_cuadros adicionales de brechas2002 y 2008 (2) 4" xfId="4333"/>
    <cellStyle name="_COMPsolo-renamu-2008_CUAD-TEXTO_" xfId="745"/>
    <cellStyle name="_COMPsolo-renamu-2008_CUAD-TEXTO_ 2" xfId="746"/>
    <cellStyle name="_COMPsolo-renamu-2008_CUAD-TEXTO_ 2 2" xfId="2412"/>
    <cellStyle name="_COMPsolo-renamu-2008_CUAD-TEXTO_ 3" xfId="2411"/>
    <cellStyle name="_COMPsolo-renamu-2008_CUAD-TEXTO_ 4" xfId="4334"/>
    <cellStyle name="_COMPsolo-renamu-2008_GRAFICOS ODM" xfId="747"/>
    <cellStyle name="_COMPsolo-renamu-2008_GRAFICOS ODM 2" xfId="748"/>
    <cellStyle name="_COMPsolo-renamu-2008_GRAFICOS ODM 2 2" xfId="2414"/>
    <cellStyle name="_COMPsolo-renamu-2008_GRAFICOS ODM 3" xfId="2413"/>
    <cellStyle name="_COMPsolo-renamu-2008_GRAFICOS ODM 4" xfId="4335"/>
    <cellStyle name="_COMPsolo-renamu-2008_Libro2" xfId="749"/>
    <cellStyle name="_COMPsolo-renamu-2008_Libro2 2" xfId="750"/>
    <cellStyle name="_COMPsolo-renamu-2008_Libro2 2 2" xfId="2416"/>
    <cellStyle name="_COMPsolo-renamu-2008_Libro2 3" xfId="2415"/>
    <cellStyle name="_COMPsolo-renamu-2008_Libro2 4" xfId="4336"/>
    <cellStyle name="_COMPsolo-renamu-2008_solicita datos para el 2007-minedu remitio" xfId="751"/>
    <cellStyle name="_COMPsolo-renamu-2008_solicita datos para el 2007-minedu remitio 2" xfId="752"/>
    <cellStyle name="_COMPsolo-renamu-2008_solicita datos para el 2007-minedu remitio 2 2" xfId="2418"/>
    <cellStyle name="_COMPsolo-renamu-2008_solicita datos para el 2007-minedu remitio 3" xfId="2417"/>
    <cellStyle name="_COMPsolo-renamu-2008_solicita datos para el 2007-minedu remitio 4" xfId="4337"/>
    <cellStyle name="_CUA 1-5 CAP1 AGREGAR" xfId="753"/>
    <cellStyle name="_CUA 1-5 CAP1 AGREGAR 2" xfId="754"/>
    <cellStyle name="_CUA 1-5 CAP1 AGREGAR 2 2" xfId="2420"/>
    <cellStyle name="_CUA 1-5 CAP1 AGREGAR 3" xfId="2419"/>
    <cellStyle name="_CUA 1-5 CAP1 AGREGAR 4" xfId="4338"/>
    <cellStyle name="_CUA 1-5 CAP1 AGREGAR_cuadros adicionales de brechas2002 y 2008 (2)" xfId="755"/>
    <cellStyle name="_CUA 1-5 CAP1 AGREGAR_cuadros adicionales de brechas2002 y 2008 (2) 2" xfId="756"/>
    <cellStyle name="_CUA 1-5 CAP1 AGREGAR_cuadros adicionales de brechas2002 y 2008 (2) 2 2" xfId="2422"/>
    <cellStyle name="_CUA 1-5 CAP1 AGREGAR_cuadros adicionales de brechas2002 y 2008 (2) 3" xfId="2421"/>
    <cellStyle name="_CUA 1-5 CAP1 AGREGAR_cuadros adicionales de brechas2002 y 2008 (2) 4" xfId="4339"/>
    <cellStyle name="_CUA 1-5 CAP1 AGREGAR_CUAD-TEXTO_" xfId="757"/>
    <cellStyle name="_CUA 1-5 CAP1 AGREGAR_CUAD-TEXTO_ 2" xfId="758"/>
    <cellStyle name="_CUA 1-5 CAP1 AGREGAR_CUAD-TEXTO_ 2 2" xfId="2424"/>
    <cellStyle name="_CUA 1-5 CAP1 AGREGAR_CUAD-TEXTO_ 3" xfId="2423"/>
    <cellStyle name="_CUA 1-5 CAP1 AGREGAR_CUAD-TEXTO_ 4" xfId="4340"/>
    <cellStyle name="_CUA 1-5 CAP1 AGREGAR_GRAFICOS ODM" xfId="759"/>
    <cellStyle name="_CUA 1-5 CAP1 AGREGAR_GRAFICOS ODM 2" xfId="760"/>
    <cellStyle name="_CUA 1-5 CAP1 AGREGAR_GRAFICOS ODM 2 2" xfId="2426"/>
    <cellStyle name="_CUA 1-5 CAP1 AGREGAR_GRAFICOS ODM 3" xfId="2425"/>
    <cellStyle name="_CUA 1-5 CAP1 AGREGAR_GRAFICOS ODM 4" xfId="4341"/>
    <cellStyle name="_CUA 1-5 CAP1 AGREGAR_Libro2" xfId="761"/>
    <cellStyle name="_CUA 1-5 CAP1 AGREGAR_Libro2 2" xfId="762"/>
    <cellStyle name="_CUA 1-5 CAP1 AGREGAR_Libro2 2 2" xfId="2428"/>
    <cellStyle name="_CUA 1-5 CAP1 AGREGAR_Libro2 3" xfId="2427"/>
    <cellStyle name="_CUA 1-5 CAP1 AGREGAR_Libro2 4" xfId="4343"/>
    <cellStyle name="_CUA 1-5 CAP1 AGREGAR_solicita datos para el 2007-minedu remitio" xfId="763"/>
    <cellStyle name="_CUA 1-5 CAP1 AGREGAR_solicita datos para el 2007-minedu remitio 2" xfId="764"/>
    <cellStyle name="_CUA 1-5 CAP1 AGREGAR_solicita datos para el 2007-minedu remitio 2 2" xfId="2430"/>
    <cellStyle name="_CUA 1-5 CAP1 AGREGAR_solicita datos para el 2007-minedu remitio 3" xfId="2429"/>
    <cellStyle name="_CUA 1-5 CAP1 AGREGAR_solicita datos para el 2007-minedu remitio 4" xfId="4344"/>
    <cellStyle name="_Cuadro 22_Destino final  de la Basura Recolectada 2006" xfId="765"/>
    <cellStyle name="_Cuadro 22_Destino final  de la Basura Recolectada 2006 2" xfId="766"/>
    <cellStyle name="_Cuadro 22_Destino final  de la Basura Recolectada 2006 2 2" xfId="2436"/>
    <cellStyle name="_Cuadro 22_Destino final  de la Basura Recolectada 2006 3" xfId="2431"/>
    <cellStyle name="_Cuadro 22_Destino final  de la Basura Recolectada 2006 4" xfId="4345"/>
    <cellStyle name="_Cuadro 22_Destino final  de la Basura Recolectada 2006_1-UIRN-UTSIGnov-2008" xfId="767"/>
    <cellStyle name="_Cuadro 22_Destino final  de la Basura Recolectada 2006_1-UIRN-UTSIGnov-2008 2" xfId="768"/>
    <cellStyle name="_Cuadro 22_Destino final  de la Basura Recolectada 2006_1-UIRN-UTSIGnov-2008 2 2" xfId="2433"/>
    <cellStyle name="_Cuadro 22_Destino final  de la Basura Recolectada 2006_1-UIRN-UTSIGnov-2008 3" xfId="2432"/>
    <cellStyle name="_Cuadro 22_Destino final  de la Basura Recolectada 2006_1-UIRN-UTSIGnov-2008 4" xfId="4346"/>
    <cellStyle name="_Cuadro 22_Destino final  de la Basura Recolectada 2006_1-UIRN-UTSIGnov-2008_GRAFICOS ODM" xfId="769"/>
    <cellStyle name="_Cuadro 22_Destino final  de la Basura Recolectada 2006_1-UIRN-UTSIGnov-2008_GRAFICOS ODM 2" xfId="770"/>
    <cellStyle name="_Cuadro 22_Destino final  de la Basura Recolectada 2006_1-UIRN-UTSIGnov-2008_GRAFICOS ODM 2 2" xfId="2435"/>
    <cellStyle name="_Cuadro 22_Destino final  de la Basura Recolectada 2006_1-UIRN-UTSIGnov-2008_GRAFICOS ODM 3" xfId="2434"/>
    <cellStyle name="_Cuadro 22_Destino final  de la Basura Recolectada 2006_1-UIRN-UTSIGnov-2008_GRAFICOS ODM 4" xfId="4347"/>
    <cellStyle name="_Cuadro 22_Destino final  de la Basura Recolectada 2006_cuadros adicionales de brechas2002 y 2008 (2)" xfId="771"/>
    <cellStyle name="_Cuadro 22_Destino final  de la Basura Recolectada 2006_cuadros adicionales de brechas2002 y 2008 (2) 2" xfId="772"/>
    <cellStyle name="_Cuadro 22_Destino final  de la Basura Recolectada 2006_cuadros adicionales de brechas2002 y 2008 (2) 2 2" xfId="2438"/>
    <cellStyle name="_Cuadro 22_Destino final  de la Basura Recolectada 2006_cuadros adicionales de brechas2002 y 2008 (2) 3" xfId="2437"/>
    <cellStyle name="_Cuadro 22_Destino final  de la Basura Recolectada 2006_cuadros adicionales de brechas2002 y 2008 (2) 4" xfId="4348"/>
    <cellStyle name="_Cuadro 22_Destino final  de la Basura Recolectada 2006_CUAD-TEXTO_" xfId="773"/>
    <cellStyle name="_Cuadro 22_Destino final  de la Basura Recolectada 2006_CUAD-TEXTO_ 2" xfId="774"/>
    <cellStyle name="_Cuadro 22_Destino final  de la Basura Recolectada 2006_CUAD-TEXTO_ 2 2" xfId="2440"/>
    <cellStyle name="_Cuadro 22_Destino final  de la Basura Recolectada 2006_CUAD-TEXTO_ 3" xfId="2439"/>
    <cellStyle name="_Cuadro 22_Destino final  de la Basura Recolectada 2006_CUAD-TEXTO_ 4" xfId="4349"/>
    <cellStyle name="_Cuadro 22_Destino final  de la Basura Recolectada 2006_GRAFICOS ODM" xfId="775"/>
    <cellStyle name="_Cuadro 22_Destino final  de la Basura Recolectada 2006_GRAFICOS ODM 2" xfId="776"/>
    <cellStyle name="_Cuadro 22_Destino final  de la Basura Recolectada 2006_GRAFICOS ODM 2 2" xfId="2442"/>
    <cellStyle name="_Cuadro 22_Destino final  de la Basura Recolectada 2006_GRAFICOS ODM 3" xfId="2441"/>
    <cellStyle name="_Cuadro 22_Destino final  de la Basura Recolectada 2006_GRAFICOS ODM 4" xfId="4350"/>
    <cellStyle name="_Cuadro 22_Destino final  de la Basura Recolectada 2006_Libro2" xfId="777"/>
    <cellStyle name="_Cuadro 22_Destino final  de la Basura Recolectada 2006_Libro2 2" xfId="778"/>
    <cellStyle name="_Cuadro 22_Destino final  de la Basura Recolectada 2006_Libro2 2 2" xfId="2444"/>
    <cellStyle name="_Cuadro 22_Destino final  de la Basura Recolectada 2006_Libro2 3" xfId="2443"/>
    <cellStyle name="_Cuadro 22_Destino final  de la Basura Recolectada 2006_Libro2 4" xfId="4351"/>
    <cellStyle name="_Cuadro 22_Destino final  de la Basura Recolectada 2006_solicita datos para el 2007-minedu remitio" xfId="779"/>
    <cellStyle name="_Cuadro 22_Destino final  de la Basura Recolectada 2006_solicita datos para el 2007-minedu remitio 2" xfId="780"/>
    <cellStyle name="_Cuadro 22_Destino final  de la Basura Recolectada 2006_solicita datos para el 2007-minedu remitio 2 2" xfId="2446"/>
    <cellStyle name="_Cuadro 22_Destino final  de la Basura Recolectada 2006_solicita datos para el 2007-minedu remitio 3" xfId="2445"/>
    <cellStyle name="_Cuadro 22_Destino final  de la Basura Recolectada 2006_solicita datos para el 2007-minedu remitio 4" xfId="4352"/>
    <cellStyle name="_Cuadro 22_destino-nOOOOOOO" xfId="781"/>
    <cellStyle name="_Cuadro 22_destino-nOOOOOOO 2" xfId="782"/>
    <cellStyle name="_Cuadro 22_destino-nOOOOOOO 2 2" xfId="2452"/>
    <cellStyle name="_Cuadro 22_destino-nOOOOOOO 3" xfId="2447"/>
    <cellStyle name="_Cuadro 22_destino-nOOOOOOO 4" xfId="4353"/>
    <cellStyle name="_Cuadro 22_destino-nOOOOOOO_1-UIRN-UTSIGnov-2008" xfId="783"/>
    <cellStyle name="_Cuadro 22_destino-nOOOOOOO_1-UIRN-UTSIGnov-2008 2" xfId="784"/>
    <cellStyle name="_Cuadro 22_destino-nOOOOOOO_1-UIRN-UTSIGnov-2008 2 2" xfId="2449"/>
    <cellStyle name="_Cuadro 22_destino-nOOOOOOO_1-UIRN-UTSIGnov-2008 3" xfId="2448"/>
    <cellStyle name="_Cuadro 22_destino-nOOOOOOO_1-UIRN-UTSIGnov-2008 4" xfId="4355"/>
    <cellStyle name="_Cuadro 22_destino-nOOOOOOO_1-UIRN-UTSIGnov-2008_GRAFICOS ODM" xfId="785"/>
    <cellStyle name="_Cuadro 22_destino-nOOOOOOO_1-UIRN-UTSIGnov-2008_GRAFICOS ODM 2" xfId="786"/>
    <cellStyle name="_Cuadro 22_destino-nOOOOOOO_1-UIRN-UTSIGnov-2008_GRAFICOS ODM 2 2" xfId="2451"/>
    <cellStyle name="_Cuadro 22_destino-nOOOOOOO_1-UIRN-UTSIGnov-2008_GRAFICOS ODM 3" xfId="2450"/>
    <cellStyle name="_Cuadro 22_destino-nOOOOOOO_1-UIRN-UTSIGnov-2008_GRAFICOS ODM 4" xfId="4356"/>
    <cellStyle name="_Cuadro 22_destino-nOOOOOOO_cuadros adicionales de brechas2002 y 2008 (2)" xfId="787"/>
    <cellStyle name="_Cuadro 22_destino-nOOOOOOO_cuadros adicionales de brechas2002 y 2008 (2) 2" xfId="788"/>
    <cellStyle name="_Cuadro 22_destino-nOOOOOOO_cuadros adicionales de brechas2002 y 2008 (2) 2 2" xfId="2454"/>
    <cellStyle name="_Cuadro 22_destino-nOOOOOOO_cuadros adicionales de brechas2002 y 2008 (2) 3" xfId="2453"/>
    <cellStyle name="_Cuadro 22_destino-nOOOOOOO_cuadros adicionales de brechas2002 y 2008 (2) 4" xfId="4358"/>
    <cellStyle name="_Cuadro 22_destino-nOOOOOOO_CUAD-TEXTO_" xfId="789"/>
    <cellStyle name="_Cuadro 22_destino-nOOOOOOO_CUAD-TEXTO_ 2" xfId="790"/>
    <cellStyle name="_Cuadro 22_destino-nOOOOOOO_CUAD-TEXTO_ 2 2" xfId="2456"/>
    <cellStyle name="_Cuadro 22_destino-nOOOOOOO_CUAD-TEXTO_ 3" xfId="2455"/>
    <cellStyle name="_Cuadro 22_destino-nOOOOOOO_CUAD-TEXTO_ 4" xfId="4359"/>
    <cellStyle name="_Cuadro 22_destino-nOOOOOOO_GRAFICOS ODM" xfId="791"/>
    <cellStyle name="_Cuadro 22_destino-nOOOOOOO_GRAFICOS ODM 2" xfId="792"/>
    <cellStyle name="_Cuadro 22_destino-nOOOOOOO_GRAFICOS ODM 2 2" xfId="2458"/>
    <cellStyle name="_Cuadro 22_destino-nOOOOOOO_GRAFICOS ODM 3" xfId="2457"/>
    <cellStyle name="_Cuadro 22_destino-nOOOOOOO_GRAFICOS ODM 4" xfId="4360"/>
    <cellStyle name="_Cuadro 22_destino-nOOOOOOO_Libro2" xfId="793"/>
    <cellStyle name="_Cuadro 22_destino-nOOOOOOO_Libro2 2" xfId="794"/>
    <cellStyle name="_Cuadro 22_destino-nOOOOOOO_Libro2 2 2" xfId="2460"/>
    <cellStyle name="_Cuadro 22_destino-nOOOOOOO_Libro2 3" xfId="2459"/>
    <cellStyle name="_Cuadro 22_destino-nOOOOOOO_Libro2 4" xfId="4361"/>
    <cellStyle name="_Cuadro 22_destino-nOOOOOOO_solicita datos para el 2007-minedu remitio" xfId="795"/>
    <cellStyle name="_Cuadro 22_destino-nOOOOOOO_solicita datos para el 2007-minedu remitio 2" xfId="796"/>
    <cellStyle name="_Cuadro 22_destino-nOOOOOOO_solicita datos para el 2007-minedu remitio 2 2" xfId="2462"/>
    <cellStyle name="_Cuadro 22_destino-nOOOOOOO_solicita datos para el 2007-minedu remitio 3" xfId="2461"/>
    <cellStyle name="_Cuadro 22_destino-nOOOOOOO_solicita datos para el 2007-minedu remitio 4" xfId="4362"/>
    <cellStyle name="_cuadro73-racionamiento de agua" xfId="797"/>
    <cellStyle name="_cuadro73-racionamiento de agua 2" xfId="798"/>
    <cellStyle name="_cuadro73-racionamiento de agua 2 2" xfId="2468"/>
    <cellStyle name="_cuadro73-racionamiento de agua 3" xfId="2463"/>
    <cellStyle name="_cuadro73-racionamiento de agua 4" xfId="4363"/>
    <cellStyle name="_cuadro73-racionamiento de agua_1-UIRN-UTSIGnov-2008" xfId="799"/>
    <cellStyle name="_cuadro73-racionamiento de agua_1-UIRN-UTSIGnov-2008 2" xfId="800"/>
    <cellStyle name="_cuadro73-racionamiento de agua_1-UIRN-UTSIGnov-2008 2 2" xfId="2465"/>
    <cellStyle name="_cuadro73-racionamiento de agua_1-UIRN-UTSIGnov-2008 3" xfId="2464"/>
    <cellStyle name="_cuadro73-racionamiento de agua_1-UIRN-UTSIGnov-2008 4" xfId="4364"/>
    <cellStyle name="_cuadro73-racionamiento de agua_1-UIRN-UTSIGnov-2008_GRAFICOS ODM" xfId="801"/>
    <cellStyle name="_cuadro73-racionamiento de agua_1-UIRN-UTSIGnov-2008_GRAFICOS ODM 2" xfId="802"/>
    <cellStyle name="_cuadro73-racionamiento de agua_1-UIRN-UTSIGnov-2008_GRAFICOS ODM 2 2" xfId="2467"/>
    <cellStyle name="_cuadro73-racionamiento de agua_1-UIRN-UTSIGnov-2008_GRAFICOS ODM 3" xfId="2466"/>
    <cellStyle name="_cuadro73-racionamiento de agua_1-UIRN-UTSIGnov-2008_GRAFICOS ODM 4" xfId="4365"/>
    <cellStyle name="_cuadro73-racionamiento de agua_cuadros adicionales de brechas2002 y 2008 (2)" xfId="803"/>
    <cellStyle name="_cuadro73-racionamiento de agua_cuadros adicionales de brechas2002 y 2008 (2) 2" xfId="804"/>
    <cellStyle name="_cuadro73-racionamiento de agua_cuadros adicionales de brechas2002 y 2008 (2) 2 2" xfId="2470"/>
    <cellStyle name="_cuadro73-racionamiento de agua_cuadros adicionales de brechas2002 y 2008 (2) 3" xfId="2469"/>
    <cellStyle name="_cuadro73-racionamiento de agua_cuadros adicionales de brechas2002 y 2008 (2) 4" xfId="4366"/>
    <cellStyle name="_cuadro73-racionamiento de agua_CUAD-TEXTO_" xfId="805"/>
    <cellStyle name="_cuadro73-racionamiento de agua_CUAD-TEXTO_ 2" xfId="806"/>
    <cellStyle name="_cuadro73-racionamiento de agua_CUAD-TEXTO_ 2 2" xfId="2472"/>
    <cellStyle name="_cuadro73-racionamiento de agua_CUAD-TEXTO_ 3" xfId="2471"/>
    <cellStyle name="_cuadro73-racionamiento de agua_CUAD-TEXTO_ 4" xfId="4367"/>
    <cellStyle name="_cuadro73-racionamiento de agua_GRAFICOS ODM" xfId="807"/>
    <cellStyle name="_cuadro73-racionamiento de agua_GRAFICOS ODM 2" xfId="808"/>
    <cellStyle name="_cuadro73-racionamiento de agua_GRAFICOS ODM 2 2" xfId="2474"/>
    <cellStyle name="_cuadro73-racionamiento de agua_GRAFICOS ODM 3" xfId="2473"/>
    <cellStyle name="_cuadro73-racionamiento de agua_GRAFICOS ODM 4" xfId="4369"/>
    <cellStyle name="_cuadro73-racionamiento de agua_Libro2" xfId="809"/>
    <cellStyle name="_cuadro73-racionamiento de agua_Libro2 2" xfId="810"/>
    <cellStyle name="_cuadro73-racionamiento de agua_Libro2 2 2" xfId="2476"/>
    <cellStyle name="_cuadro73-racionamiento de agua_Libro2 3" xfId="2475"/>
    <cellStyle name="_cuadro73-racionamiento de agua_Libro2 4" xfId="4370"/>
    <cellStyle name="_cuadro73-racionamiento de agua_solicita datos para el 2007-minedu remitio" xfId="811"/>
    <cellStyle name="_cuadro73-racionamiento de agua_solicita datos para el 2007-minedu remitio 2" xfId="812"/>
    <cellStyle name="_cuadro73-racionamiento de agua_solicita datos para el 2007-minedu remitio 2 2" xfId="2478"/>
    <cellStyle name="_cuadro73-racionamiento de agua_solicita datos para el 2007-minedu remitio 3" xfId="2477"/>
    <cellStyle name="_cuadro73-racionamiento de agua_solicita datos para el 2007-minedu remitio 4" xfId="4372"/>
    <cellStyle name="_CUADRO-diponibilidad" xfId="813"/>
    <cellStyle name="_CUADRO-diponibilidad 2" xfId="814"/>
    <cellStyle name="_CUADRO-diponibilidad 2 2" xfId="2484"/>
    <cellStyle name="_CUADRO-diponibilidad 3" xfId="2479"/>
    <cellStyle name="_CUADRO-diponibilidad 4" xfId="4373"/>
    <cellStyle name="_CUADRO-diponibilidad_1-UIRN-UTSIGnov-2008" xfId="815"/>
    <cellStyle name="_CUADRO-diponibilidad_1-UIRN-UTSIGnov-2008 2" xfId="816"/>
    <cellStyle name="_CUADRO-diponibilidad_1-UIRN-UTSIGnov-2008 2 2" xfId="2481"/>
    <cellStyle name="_CUADRO-diponibilidad_1-UIRN-UTSIGnov-2008 3" xfId="2480"/>
    <cellStyle name="_CUADRO-diponibilidad_1-UIRN-UTSIGnov-2008 4" xfId="4374"/>
    <cellStyle name="_CUADRO-diponibilidad_1-UIRN-UTSIGnov-2008_GRAFICOS ODM" xfId="817"/>
    <cellStyle name="_CUADRO-diponibilidad_1-UIRN-UTSIGnov-2008_GRAFICOS ODM 2" xfId="818"/>
    <cellStyle name="_CUADRO-diponibilidad_1-UIRN-UTSIGnov-2008_GRAFICOS ODM 2 2" xfId="2483"/>
    <cellStyle name="_CUADRO-diponibilidad_1-UIRN-UTSIGnov-2008_GRAFICOS ODM 3" xfId="2482"/>
    <cellStyle name="_CUADRO-diponibilidad_1-UIRN-UTSIGnov-2008_GRAFICOS ODM 4" xfId="4375"/>
    <cellStyle name="_CUADRO-diponibilidad_cuadros adicionales de brechas2002 y 2008 (2)" xfId="819"/>
    <cellStyle name="_CUADRO-diponibilidad_cuadros adicionales de brechas2002 y 2008 (2) 2" xfId="820"/>
    <cellStyle name="_CUADRO-diponibilidad_cuadros adicionales de brechas2002 y 2008 (2) 2 2" xfId="2486"/>
    <cellStyle name="_CUADRO-diponibilidad_cuadros adicionales de brechas2002 y 2008 (2) 3" xfId="2485"/>
    <cellStyle name="_CUADRO-diponibilidad_cuadros adicionales de brechas2002 y 2008 (2) 4" xfId="4376"/>
    <cellStyle name="_CUADRO-diponibilidad_CUAD-TEXTO_" xfId="821"/>
    <cellStyle name="_CUADRO-diponibilidad_CUAD-TEXTO_ 2" xfId="822"/>
    <cellStyle name="_CUADRO-diponibilidad_CUAD-TEXTO_ 2 2" xfId="2488"/>
    <cellStyle name="_CUADRO-diponibilidad_CUAD-TEXTO_ 3" xfId="2487"/>
    <cellStyle name="_CUADRO-diponibilidad_CUAD-TEXTO_ 4" xfId="4377"/>
    <cellStyle name="_CUADRO-diponibilidad_GRAFICOS ODM" xfId="823"/>
    <cellStyle name="_CUADRO-diponibilidad_GRAFICOS ODM 2" xfId="824"/>
    <cellStyle name="_CUADRO-diponibilidad_GRAFICOS ODM 2 2" xfId="2490"/>
    <cellStyle name="_CUADRO-diponibilidad_GRAFICOS ODM 3" xfId="2489"/>
    <cellStyle name="_CUADRO-diponibilidad_GRAFICOS ODM 4" xfId="4378"/>
    <cellStyle name="_CUADRO-diponibilidad_Libro2" xfId="825"/>
    <cellStyle name="_CUADRO-diponibilidad_Libro2 2" xfId="826"/>
    <cellStyle name="_CUADRO-diponibilidad_Libro2 2 2" xfId="2492"/>
    <cellStyle name="_CUADRO-diponibilidad_Libro2 3" xfId="2491"/>
    <cellStyle name="_CUADRO-diponibilidad_Libro2 4" xfId="4379"/>
    <cellStyle name="_CUADRO-diponibilidad_solicita datos para el 2007-minedu remitio" xfId="827"/>
    <cellStyle name="_CUADRO-diponibilidad_solicita datos para el 2007-minedu remitio 2" xfId="828"/>
    <cellStyle name="_CUADRO-diponibilidad_solicita datos para el 2007-minedu remitio 2 2" xfId="2494"/>
    <cellStyle name="_CUADRO-diponibilidad_solicita datos para el 2007-minedu remitio 3" xfId="2493"/>
    <cellStyle name="_CUADRO-diponibilidad_solicita datos para el 2007-minedu remitio 4" xfId="4380"/>
    <cellStyle name="_cuadros IMARPE trabajados por Isabel" xfId="829"/>
    <cellStyle name="_cuadros IMARPE trabajados por Isabel 2" xfId="830"/>
    <cellStyle name="_cuadros IMARPE trabajados por Isabel 2 2" xfId="2500"/>
    <cellStyle name="_cuadros IMARPE trabajados por Isabel 3" xfId="2495"/>
    <cellStyle name="_cuadros IMARPE trabajados por Isabel 4" xfId="4382"/>
    <cellStyle name="_cuadros IMARPE trabajados por Isabel_1-UIRN-UTSIGnov-2008" xfId="831"/>
    <cellStyle name="_cuadros IMARPE trabajados por Isabel_1-UIRN-UTSIGnov-2008 2" xfId="832"/>
    <cellStyle name="_cuadros IMARPE trabajados por Isabel_1-UIRN-UTSIGnov-2008 2 2" xfId="2497"/>
    <cellStyle name="_cuadros IMARPE trabajados por Isabel_1-UIRN-UTSIGnov-2008 3" xfId="2496"/>
    <cellStyle name="_cuadros IMARPE trabajados por Isabel_1-UIRN-UTSIGnov-2008 4" xfId="4383"/>
    <cellStyle name="_cuadros IMARPE trabajados por Isabel_1-UIRN-UTSIGnov-2008_GRAFICOS ODM" xfId="833"/>
    <cellStyle name="_cuadros IMARPE trabajados por Isabel_1-UIRN-UTSIGnov-2008_GRAFICOS ODM 2" xfId="834"/>
    <cellStyle name="_cuadros IMARPE trabajados por Isabel_1-UIRN-UTSIGnov-2008_GRAFICOS ODM 2 2" xfId="2499"/>
    <cellStyle name="_cuadros IMARPE trabajados por Isabel_1-UIRN-UTSIGnov-2008_GRAFICOS ODM 3" xfId="2498"/>
    <cellStyle name="_cuadros IMARPE trabajados por Isabel_1-UIRN-UTSIGnov-2008_GRAFICOS ODM 4" xfId="4384"/>
    <cellStyle name="_cuadros IMARPE trabajados por Isabel_cuadros adicionales de brechas2002 y 2008 (2)" xfId="835"/>
    <cellStyle name="_cuadros IMARPE trabajados por Isabel_cuadros adicionales de brechas2002 y 2008 (2) 2" xfId="836"/>
    <cellStyle name="_cuadros IMARPE trabajados por Isabel_cuadros adicionales de brechas2002 y 2008 (2) 2 2" xfId="2502"/>
    <cellStyle name="_cuadros IMARPE trabajados por Isabel_cuadros adicionales de brechas2002 y 2008 (2) 3" xfId="2501"/>
    <cellStyle name="_cuadros IMARPE trabajados por Isabel_cuadros adicionales de brechas2002 y 2008 (2) 4" xfId="4386"/>
    <cellStyle name="_cuadros IMARPE trabajados por Isabel_CUAD-TEXTO_" xfId="837"/>
    <cellStyle name="_cuadros IMARPE trabajados por Isabel_CUAD-TEXTO_ 2" xfId="838"/>
    <cellStyle name="_cuadros IMARPE trabajados por Isabel_CUAD-TEXTO_ 2 2" xfId="2504"/>
    <cellStyle name="_cuadros IMARPE trabajados por Isabel_CUAD-TEXTO_ 3" xfId="2503"/>
    <cellStyle name="_cuadros IMARPE trabajados por Isabel_CUAD-TEXTO_ 4" xfId="4387"/>
    <cellStyle name="_cuadros IMARPE trabajados por Isabel_GRAFICOS ODM" xfId="839"/>
    <cellStyle name="_cuadros IMARPE trabajados por Isabel_GRAFICOS ODM 2" xfId="840"/>
    <cellStyle name="_cuadros IMARPE trabajados por Isabel_GRAFICOS ODM 2 2" xfId="2506"/>
    <cellStyle name="_cuadros IMARPE trabajados por Isabel_GRAFICOS ODM 3" xfId="2505"/>
    <cellStyle name="_cuadros IMARPE trabajados por Isabel_GRAFICOS ODM 4" xfId="4388"/>
    <cellStyle name="_cuadros IMARPE trabajados por Isabel_Libro2" xfId="841"/>
    <cellStyle name="_cuadros IMARPE trabajados por Isabel_Libro2 2" xfId="842"/>
    <cellStyle name="_cuadros IMARPE trabajados por Isabel_Libro2 2 2" xfId="2508"/>
    <cellStyle name="_cuadros IMARPE trabajados por Isabel_Libro2 3" xfId="2507"/>
    <cellStyle name="_cuadros IMARPE trabajados por Isabel_Libro2 4" xfId="4389"/>
    <cellStyle name="_cuadros IMARPE trabajados por Isabel_solicita datos para el 2007-minedu remitio" xfId="843"/>
    <cellStyle name="_cuadros IMARPE trabajados por Isabel_solicita datos para el 2007-minedu remitio 2" xfId="844"/>
    <cellStyle name="_cuadros IMARPE trabajados por Isabel_solicita datos para el 2007-minedu remitio 2 2" xfId="2510"/>
    <cellStyle name="_cuadros IMARPE trabajados por Isabel_solicita datos para el 2007-minedu remitio 3" xfId="2509"/>
    <cellStyle name="_cuadros IMARPE trabajados por Isabel_solicita datos para el 2007-minedu remitio 4" xfId="4390"/>
    <cellStyle name="_CUADROS Turismo y Ecoloia-PNP" xfId="845"/>
    <cellStyle name="_CUADROS Turismo y Ecoloia-PNP 2" xfId="846"/>
    <cellStyle name="_CUADROS Turismo y Ecoloia-PNP 2 2" xfId="2516"/>
    <cellStyle name="_CUADROS Turismo y Ecoloia-PNP 3" xfId="2511"/>
    <cellStyle name="_CUADROS Turismo y Ecoloia-PNP 4" xfId="4391"/>
    <cellStyle name="_CUADROS Turismo y Ecoloia-PNP_1-UIRN-UTSIGnov-2008" xfId="847"/>
    <cellStyle name="_CUADROS Turismo y Ecoloia-PNP_1-UIRN-UTSIGnov-2008 2" xfId="848"/>
    <cellStyle name="_CUADROS Turismo y Ecoloia-PNP_1-UIRN-UTSIGnov-2008 2 2" xfId="2513"/>
    <cellStyle name="_CUADROS Turismo y Ecoloia-PNP_1-UIRN-UTSIGnov-2008 3" xfId="2512"/>
    <cellStyle name="_CUADROS Turismo y Ecoloia-PNP_1-UIRN-UTSIGnov-2008 4" xfId="4392"/>
    <cellStyle name="_CUADROS Turismo y Ecoloia-PNP_1-UIRN-UTSIGnov-2008_GRAFICOS ODM" xfId="849"/>
    <cellStyle name="_CUADROS Turismo y Ecoloia-PNP_1-UIRN-UTSIGnov-2008_GRAFICOS ODM 2" xfId="850"/>
    <cellStyle name="_CUADROS Turismo y Ecoloia-PNP_1-UIRN-UTSIGnov-2008_GRAFICOS ODM 2 2" xfId="2515"/>
    <cellStyle name="_CUADROS Turismo y Ecoloia-PNP_1-UIRN-UTSIGnov-2008_GRAFICOS ODM 3" xfId="2514"/>
    <cellStyle name="_CUADROS Turismo y Ecoloia-PNP_1-UIRN-UTSIGnov-2008_GRAFICOS ODM 4" xfId="4393"/>
    <cellStyle name="_CUADROS Turismo y Ecoloia-PNP_cuadros adicionales de brechas2002 y 2008 (2)" xfId="851"/>
    <cellStyle name="_CUADROS Turismo y Ecoloia-PNP_cuadros adicionales de brechas2002 y 2008 (2) 2" xfId="852"/>
    <cellStyle name="_CUADROS Turismo y Ecoloia-PNP_cuadros adicionales de brechas2002 y 2008 (2) 2 2" xfId="2518"/>
    <cellStyle name="_CUADROS Turismo y Ecoloia-PNP_cuadros adicionales de brechas2002 y 2008 (2) 3" xfId="2517"/>
    <cellStyle name="_CUADROS Turismo y Ecoloia-PNP_cuadros adicionales de brechas2002 y 2008 (2) 4" xfId="4394"/>
    <cellStyle name="_CUADROS Turismo y Ecoloia-PNP_CUAD-TEXTO_" xfId="853"/>
    <cellStyle name="_CUADROS Turismo y Ecoloia-PNP_CUAD-TEXTO_ 2" xfId="854"/>
    <cellStyle name="_CUADROS Turismo y Ecoloia-PNP_CUAD-TEXTO_ 2 2" xfId="2520"/>
    <cellStyle name="_CUADROS Turismo y Ecoloia-PNP_CUAD-TEXTO_ 3" xfId="2519"/>
    <cellStyle name="_CUADROS Turismo y Ecoloia-PNP_CUAD-TEXTO_ 4" xfId="4395"/>
    <cellStyle name="_CUADROS Turismo y Ecoloia-PNP_GRAFICOS ODM" xfId="855"/>
    <cellStyle name="_CUADROS Turismo y Ecoloia-PNP_GRAFICOS ODM 2" xfId="856"/>
    <cellStyle name="_CUADROS Turismo y Ecoloia-PNP_GRAFICOS ODM 2 2" xfId="2522"/>
    <cellStyle name="_CUADROS Turismo y Ecoloia-PNP_GRAFICOS ODM 3" xfId="2521"/>
    <cellStyle name="_CUADROS Turismo y Ecoloia-PNP_GRAFICOS ODM 4" xfId="4396"/>
    <cellStyle name="_CUADROS Turismo y Ecoloia-PNP_Libro2" xfId="857"/>
    <cellStyle name="_CUADROS Turismo y Ecoloia-PNP_Libro2 2" xfId="858"/>
    <cellStyle name="_CUADROS Turismo y Ecoloia-PNP_Libro2 2 2" xfId="2524"/>
    <cellStyle name="_CUADROS Turismo y Ecoloia-PNP_Libro2 3" xfId="2523"/>
    <cellStyle name="_CUADROS Turismo y Ecoloia-PNP_Libro2 4" xfId="4397"/>
    <cellStyle name="_CUADROS Turismo y Ecoloia-PNP_solicita datos para el 2007-minedu remitio" xfId="859"/>
    <cellStyle name="_CUADROS Turismo y Ecoloia-PNP_solicita datos para el 2007-minedu remitio 2" xfId="860"/>
    <cellStyle name="_CUADROS Turismo y Ecoloia-PNP_solicita datos para el 2007-minedu remitio 2 2" xfId="2526"/>
    <cellStyle name="_CUADROS Turismo y Ecoloia-PNP_solicita datos para el 2007-minedu remitio 3" xfId="2525"/>
    <cellStyle name="_CUADROS Turismo y Ecoloia-PNP_solicita datos para el 2007-minedu remitio 4" xfId="4398"/>
    <cellStyle name="_CV-Servicios Básicos(sra. blanca)" xfId="861"/>
    <cellStyle name="_CV-Servicios Básicos(sra. blanca) 2" xfId="862"/>
    <cellStyle name="_CV-Servicios Básicos(sra. blanca) 2 2" xfId="2528"/>
    <cellStyle name="_CV-Servicios Básicos(sra. blanca) 3" xfId="2527"/>
    <cellStyle name="_CV-Servicios Básicos(sra. blanca) 4" xfId="4400"/>
    <cellStyle name="_elimina-3" xfId="863"/>
    <cellStyle name="_elimina-3 2" xfId="864"/>
    <cellStyle name="_elimina-3 2 2" xfId="2530"/>
    <cellStyle name="_elimina-3 3" xfId="2529"/>
    <cellStyle name="_elimina-3 4" xfId="4402"/>
    <cellStyle name="_elimina-3_cuadros adicionales de brechas2002 y 2008 (2)" xfId="865"/>
    <cellStyle name="_elimina-3_cuadros adicionales de brechas2002 y 2008 (2) 2" xfId="866"/>
    <cellStyle name="_elimina-3_cuadros adicionales de brechas2002 y 2008 (2) 2 2" xfId="2532"/>
    <cellStyle name="_elimina-3_cuadros adicionales de brechas2002 y 2008 (2) 3" xfId="2531"/>
    <cellStyle name="_elimina-3_cuadros adicionales de brechas2002 y 2008 (2) 4" xfId="4403"/>
    <cellStyle name="_elimina-3_CUAD-TEXTO_" xfId="867"/>
    <cellStyle name="_elimina-3_CUAD-TEXTO_ 2" xfId="868"/>
    <cellStyle name="_elimina-3_CUAD-TEXTO_ 2 2" xfId="2534"/>
    <cellStyle name="_elimina-3_CUAD-TEXTO_ 3" xfId="2533"/>
    <cellStyle name="_elimina-3_CUAD-TEXTO_ 4" xfId="4405"/>
    <cellStyle name="_elimina-3_GRAFICOS ODM" xfId="869"/>
    <cellStyle name="_elimina-3_GRAFICOS ODM 2" xfId="870"/>
    <cellStyle name="_elimina-3_GRAFICOS ODM 2 2" xfId="2536"/>
    <cellStyle name="_elimina-3_GRAFICOS ODM 3" xfId="2535"/>
    <cellStyle name="_elimina-3_GRAFICOS ODM 4" xfId="4406"/>
    <cellStyle name="_elimina-3_Libro2" xfId="871"/>
    <cellStyle name="_elimina-3_Libro2 2" xfId="872"/>
    <cellStyle name="_elimina-3_Libro2 2 2" xfId="2538"/>
    <cellStyle name="_elimina-3_Libro2 3" xfId="2537"/>
    <cellStyle name="_elimina-3_Libro2 4" xfId="4407"/>
    <cellStyle name="_elimina-3_solicita datos para el 2007-minedu remitio" xfId="873"/>
    <cellStyle name="_elimina-3_solicita datos para el 2007-minedu remitio 2" xfId="874"/>
    <cellStyle name="_elimina-3_solicita datos para el 2007-minedu remitio 2 2" xfId="2540"/>
    <cellStyle name="_elimina-3_solicita datos para el 2007-minedu remitio 3" xfId="2539"/>
    <cellStyle name="_elimina-3_solicita datos para el 2007-minedu remitio 4" xfId="4409"/>
    <cellStyle name="_elimina-aire" xfId="875"/>
    <cellStyle name="_elimina-aire 2" xfId="876"/>
    <cellStyle name="_elimina-aire 2 2" xfId="2546"/>
    <cellStyle name="_elimina-aire 3" xfId="2541"/>
    <cellStyle name="_elimina-aire 4" xfId="4411"/>
    <cellStyle name="_elimina-aire_1-UIRN-UTSIGnov-2008" xfId="877"/>
    <cellStyle name="_elimina-aire_1-UIRN-UTSIGnov-2008 2" xfId="878"/>
    <cellStyle name="_elimina-aire_1-UIRN-UTSIGnov-2008 2 2" xfId="2543"/>
    <cellStyle name="_elimina-aire_1-UIRN-UTSIGnov-2008 3" xfId="2542"/>
    <cellStyle name="_elimina-aire_1-UIRN-UTSIGnov-2008 4" xfId="4412"/>
    <cellStyle name="_elimina-aire_1-UIRN-UTSIGnov-2008_GRAFICOS ODM" xfId="879"/>
    <cellStyle name="_elimina-aire_1-UIRN-UTSIGnov-2008_GRAFICOS ODM 2" xfId="880"/>
    <cellStyle name="_elimina-aire_1-UIRN-UTSIGnov-2008_GRAFICOS ODM 2 2" xfId="2545"/>
    <cellStyle name="_elimina-aire_1-UIRN-UTSIGnov-2008_GRAFICOS ODM 3" xfId="2544"/>
    <cellStyle name="_elimina-aire_1-UIRN-UTSIGnov-2008_GRAFICOS ODM 4" xfId="4414"/>
    <cellStyle name="_elimina-aire_cuadros adicionales de brechas2002 y 2008 (2)" xfId="881"/>
    <cellStyle name="_elimina-aire_cuadros adicionales de brechas2002 y 2008 (2) 2" xfId="882"/>
    <cellStyle name="_elimina-aire_cuadros adicionales de brechas2002 y 2008 (2) 2 2" xfId="2548"/>
    <cellStyle name="_elimina-aire_cuadros adicionales de brechas2002 y 2008 (2) 3" xfId="2547"/>
    <cellStyle name="_elimina-aire_cuadros adicionales de brechas2002 y 2008 (2) 4" xfId="4415"/>
    <cellStyle name="_elimina-aire_CUAD-TEXTO_" xfId="883"/>
    <cellStyle name="_elimina-aire_CUAD-TEXTO_ 2" xfId="884"/>
    <cellStyle name="_elimina-aire_CUAD-TEXTO_ 2 2" xfId="2550"/>
    <cellStyle name="_elimina-aire_CUAD-TEXTO_ 3" xfId="2549"/>
    <cellStyle name="_elimina-aire_CUAD-TEXTO_ 4" xfId="4416"/>
    <cellStyle name="_elimina-aire_GRAFICOS ODM" xfId="885"/>
    <cellStyle name="_elimina-aire_GRAFICOS ODM 2" xfId="886"/>
    <cellStyle name="_elimina-aire_GRAFICOS ODM 2 2" xfId="2552"/>
    <cellStyle name="_elimina-aire_GRAFICOS ODM 3" xfId="2551"/>
    <cellStyle name="_elimina-aire_GRAFICOS ODM 4" xfId="4418"/>
    <cellStyle name="_elimina-aire_Libro2" xfId="887"/>
    <cellStyle name="_elimina-aire_Libro2 2" xfId="888"/>
    <cellStyle name="_elimina-aire_Libro2 2 2" xfId="2554"/>
    <cellStyle name="_elimina-aire_Libro2 3" xfId="2553"/>
    <cellStyle name="_elimina-aire_Libro2 4" xfId="4420"/>
    <cellStyle name="_elimina-aire_solicita datos para el 2007-minedu remitio" xfId="889"/>
    <cellStyle name="_elimina-aire_solicita datos para el 2007-minedu remitio 2" xfId="890"/>
    <cellStyle name="_elimina-aire_solicita datos para el 2007-minedu remitio 2 2" xfId="2556"/>
    <cellStyle name="_elimina-aire_solicita datos para el 2007-minedu remitio 3" xfId="2555"/>
    <cellStyle name="_elimina-aire_solicita datos para el 2007-minedu remitio 4" xfId="4421"/>
    <cellStyle name="_elimina-compe" xfId="891"/>
    <cellStyle name="_elimina-compe 2" xfId="892"/>
    <cellStyle name="_elimina-compe 2 2" xfId="2562"/>
    <cellStyle name="_elimina-compe 3" xfId="2557"/>
    <cellStyle name="_elimina-compe 4" xfId="4422"/>
    <cellStyle name="_elimina-compe_1-UIRN-UTSIGnov-2008" xfId="893"/>
    <cellStyle name="_elimina-compe_1-UIRN-UTSIGnov-2008 2" xfId="894"/>
    <cellStyle name="_elimina-compe_1-UIRN-UTSIGnov-2008 2 2" xfId="2559"/>
    <cellStyle name="_elimina-compe_1-UIRN-UTSIGnov-2008 3" xfId="2558"/>
    <cellStyle name="_elimina-compe_1-UIRN-UTSIGnov-2008 4" xfId="4424"/>
    <cellStyle name="_elimina-compe_1-UIRN-UTSIGnov-2008_GRAFICOS ODM" xfId="895"/>
    <cellStyle name="_elimina-compe_1-UIRN-UTSIGnov-2008_GRAFICOS ODM 2" xfId="896"/>
    <cellStyle name="_elimina-compe_1-UIRN-UTSIGnov-2008_GRAFICOS ODM 2 2" xfId="2561"/>
    <cellStyle name="_elimina-compe_1-UIRN-UTSIGnov-2008_GRAFICOS ODM 3" xfId="2560"/>
    <cellStyle name="_elimina-compe_1-UIRN-UTSIGnov-2008_GRAFICOS ODM 4" xfId="4426"/>
    <cellStyle name="_elimina-compe_cuadros adicionales de brechas2002 y 2008 (2)" xfId="897"/>
    <cellStyle name="_elimina-compe_cuadros adicionales de brechas2002 y 2008 (2) 2" xfId="898"/>
    <cellStyle name="_elimina-compe_cuadros adicionales de brechas2002 y 2008 (2) 2 2" xfId="2564"/>
    <cellStyle name="_elimina-compe_cuadros adicionales de brechas2002 y 2008 (2) 3" xfId="2563"/>
    <cellStyle name="_elimina-compe_cuadros adicionales de brechas2002 y 2008 (2) 4" xfId="4428"/>
    <cellStyle name="_elimina-compe_CUAD-TEXTO_" xfId="899"/>
    <cellStyle name="_elimina-compe_CUAD-TEXTO_ 2" xfId="900"/>
    <cellStyle name="_elimina-compe_CUAD-TEXTO_ 2 2" xfId="2566"/>
    <cellStyle name="_elimina-compe_CUAD-TEXTO_ 3" xfId="2565"/>
    <cellStyle name="_elimina-compe_CUAD-TEXTO_ 4" xfId="4430"/>
    <cellStyle name="_elimina-compe_GRAFICOS ODM" xfId="901"/>
    <cellStyle name="_elimina-compe_GRAFICOS ODM 2" xfId="902"/>
    <cellStyle name="_elimina-compe_GRAFICOS ODM 2 2" xfId="2568"/>
    <cellStyle name="_elimina-compe_GRAFICOS ODM 3" xfId="2567"/>
    <cellStyle name="_elimina-compe_GRAFICOS ODM 4" xfId="4432"/>
    <cellStyle name="_elimina-compe_Libro2" xfId="903"/>
    <cellStyle name="_elimina-compe_Libro2 2" xfId="904"/>
    <cellStyle name="_elimina-compe_Libro2 2 2" xfId="2570"/>
    <cellStyle name="_elimina-compe_Libro2 3" xfId="2569"/>
    <cellStyle name="_elimina-compe_Libro2 4" xfId="4434"/>
    <cellStyle name="_elimina-compe_solicita datos para el 2007-minedu remitio" xfId="905"/>
    <cellStyle name="_elimina-compe_solicita datos para el 2007-minedu remitio 2" xfId="906"/>
    <cellStyle name="_elimina-compe_solicita datos para el 2007-minedu remitio 2 2" xfId="2572"/>
    <cellStyle name="_elimina-compe_solicita datos para el 2007-minedu remitio 3" xfId="2571"/>
    <cellStyle name="_elimina-compe_solicita datos para el 2007-minedu remitio 4" xfId="4435"/>
    <cellStyle name="_eliminar" xfId="907"/>
    <cellStyle name="_eliminar 2" xfId="908"/>
    <cellStyle name="_eliminar 2 2" xfId="2574"/>
    <cellStyle name="_eliminar 3" xfId="2573"/>
    <cellStyle name="_eliminar 4" xfId="4436"/>
    <cellStyle name="_eliminar_cuadros adicionales de brechas2002 y 2008 (2)" xfId="909"/>
    <cellStyle name="_eliminar_cuadros adicionales de brechas2002 y 2008 (2) 2" xfId="910"/>
    <cellStyle name="_eliminar_cuadros adicionales de brechas2002 y 2008 (2) 2 2" xfId="2576"/>
    <cellStyle name="_eliminar_cuadros adicionales de brechas2002 y 2008 (2) 3" xfId="2575"/>
    <cellStyle name="_eliminar_cuadros adicionales de brechas2002 y 2008 (2) 4" xfId="4438"/>
    <cellStyle name="_eliminar_CUAD-TEXTO_" xfId="911"/>
    <cellStyle name="_eliminar_CUAD-TEXTO_ 2" xfId="912"/>
    <cellStyle name="_eliminar_CUAD-TEXTO_ 2 2" xfId="2578"/>
    <cellStyle name="_eliminar_CUAD-TEXTO_ 3" xfId="2577"/>
    <cellStyle name="_eliminar_CUAD-TEXTO_ 4" xfId="4440"/>
    <cellStyle name="_eliminar_GRAFICOS ODM" xfId="913"/>
    <cellStyle name="_eliminar_GRAFICOS ODM 2" xfId="914"/>
    <cellStyle name="_eliminar_GRAFICOS ODM 2 2" xfId="2580"/>
    <cellStyle name="_eliminar_GRAFICOS ODM 3" xfId="2579"/>
    <cellStyle name="_eliminar_GRAFICOS ODM 4" xfId="4441"/>
    <cellStyle name="_eliminar_Libro2" xfId="915"/>
    <cellStyle name="_eliminar_Libro2 2" xfId="916"/>
    <cellStyle name="_eliminar_Libro2 2 2" xfId="2582"/>
    <cellStyle name="_eliminar_Libro2 3" xfId="2581"/>
    <cellStyle name="_eliminar_Libro2 4" xfId="4442"/>
    <cellStyle name="_eliminar_solicita datos para el 2007-minedu remitio" xfId="917"/>
    <cellStyle name="_eliminar_solicita datos para el 2007-minedu remitio 2" xfId="918"/>
    <cellStyle name="_eliminar_solicita datos para el 2007-minedu remitio 2 2" xfId="2584"/>
    <cellStyle name="_eliminar_solicita datos para el 2007-minedu remitio 3" xfId="2583"/>
    <cellStyle name="_eliminar_solicita datos para el 2007-minedu remitio 4" xfId="4444"/>
    <cellStyle name="_ELIMINAR-COM" xfId="919"/>
    <cellStyle name="_ELIMINAR-COM 2" xfId="920"/>
    <cellStyle name="_ELIMINAR-COM 2 2" xfId="2586"/>
    <cellStyle name="_ELIMINAR-COM 3" xfId="2585"/>
    <cellStyle name="_ELIMINAR-COM 4" xfId="4445"/>
    <cellStyle name="_ELIMINAR-COM_cuadros adicionales de brechas2002 y 2008 (2)" xfId="921"/>
    <cellStyle name="_ELIMINAR-COM_cuadros adicionales de brechas2002 y 2008 (2) 2" xfId="922"/>
    <cellStyle name="_ELIMINAR-COM_cuadros adicionales de brechas2002 y 2008 (2) 2 2" xfId="2588"/>
    <cellStyle name="_ELIMINAR-COM_cuadros adicionales de brechas2002 y 2008 (2) 3" xfId="2587"/>
    <cellStyle name="_ELIMINAR-COM_cuadros adicionales de brechas2002 y 2008 (2) 4" xfId="4446"/>
    <cellStyle name="_ELIMINAR-COM_CUAD-TEXTO_" xfId="923"/>
    <cellStyle name="_ELIMINAR-COM_CUAD-TEXTO_ 2" xfId="924"/>
    <cellStyle name="_ELIMINAR-COM_CUAD-TEXTO_ 2 2" xfId="2590"/>
    <cellStyle name="_ELIMINAR-COM_CUAD-TEXTO_ 3" xfId="2589"/>
    <cellStyle name="_ELIMINAR-COM_CUAD-TEXTO_ 4" xfId="4447"/>
    <cellStyle name="_ELIMINAR-COM_GRAFICOS ODM" xfId="925"/>
    <cellStyle name="_ELIMINAR-COM_GRAFICOS ODM 2" xfId="926"/>
    <cellStyle name="_ELIMINAR-COM_GRAFICOS ODM 2 2" xfId="2592"/>
    <cellStyle name="_ELIMINAR-COM_GRAFICOS ODM 3" xfId="2591"/>
    <cellStyle name="_ELIMINAR-COM_GRAFICOS ODM 4" xfId="4448"/>
    <cellStyle name="_ELIMINAR-COM_Libro2" xfId="927"/>
    <cellStyle name="_ELIMINAR-COM_Libro2 2" xfId="928"/>
    <cellStyle name="_ELIMINAR-COM_Libro2 2 2" xfId="2594"/>
    <cellStyle name="_ELIMINAR-COM_Libro2 3" xfId="2593"/>
    <cellStyle name="_ELIMINAR-COM_Libro2 4" xfId="4449"/>
    <cellStyle name="_ELIMINAR-COM_solicita datos para el 2007-minedu remitio" xfId="929"/>
    <cellStyle name="_ELIMINAR-COM_solicita datos para el 2007-minedu remitio 2" xfId="930"/>
    <cellStyle name="_ELIMINAR-COM_solicita datos para el 2007-minedu remitio 2 2" xfId="2596"/>
    <cellStyle name="_ELIMINAR-COM_solicita datos para el 2007-minedu remitio 3" xfId="2595"/>
    <cellStyle name="_ELIMINAR-COM_solicita datos para el 2007-minedu remitio 4" xfId="4450"/>
    <cellStyle name="_eliminar-compendio" xfId="931"/>
    <cellStyle name="_eliminar-compendio 2" xfId="932"/>
    <cellStyle name="_eliminar-compendio 2 2" xfId="2602"/>
    <cellStyle name="_eliminar-compendio 3" xfId="2597"/>
    <cellStyle name="_eliminar-compendio 4" xfId="4452"/>
    <cellStyle name="_eliminar-compendio_1-UIRN-UTSIGnov-2008" xfId="933"/>
    <cellStyle name="_eliminar-compendio_1-UIRN-UTSIGnov-2008 2" xfId="934"/>
    <cellStyle name="_eliminar-compendio_1-UIRN-UTSIGnov-2008 2 2" xfId="2599"/>
    <cellStyle name="_eliminar-compendio_1-UIRN-UTSIGnov-2008 3" xfId="2598"/>
    <cellStyle name="_eliminar-compendio_1-UIRN-UTSIGnov-2008 4" xfId="4453"/>
    <cellStyle name="_eliminar-compendio_1-UIRN-UTSIGnov-2008_GRAFICOS ODM" xfId="935"/>
    <cellStyle name="_eliminar-compendio_1-UIRN-UTSIGnov-2008_GRAFICOS ODM 2" xfId="936"/>
    <cellStyle name="_eliminar-compendio_1-UIRN-UTSIGnov-2008_GRAFICOS ODM 2 2" xfId="2601"/>
    <cellStyle name="_eliminar-compendio_1-UIRN-UTSIGnov-2008_GRAFICOS ODM 3" xfId="2600"/>
    <cellStyle name="_eliminar-compendio_1-UIRN-UTSIGnov-2008_GRAFICOS ODM 4" xfId="4454"/>
    <cellStyle name="_eliminar-compendio_cuadros adicionales de brechas2002 y 2008 (2)" xfId="937"/>
    <cellStyle name="_eliminar-compendio_cuadros adicionales de brechas2002 y 2008 (2) 2" xfId="938"/>
    <cellStyle name="_eliminar-compendio_cuadros adicionales de brechas2002 y 2008 (2) 2 2" xfId="2604"/>
    <cellStyle name="_eliminar-compendio_cuadros adicionales de brechas2002 y 2008 (2) 3" xfId="2603"/>
    <cellStyle name="_eliminar-compendio_cuadros adicionales de brechas2002 y 2008 (2) 4" xfId="4455"/>
    <cellStyle name="_eliminar-compendio_CUAD-TEXTO_" xfId="939"/>
    <cellStyle name="_eliminar-compendio_CUAD-TEXTO_ 2" xfId="940"/>
    <cellStyle name="_eliminar-compendio_CUAD-TEXTO_ 2 2" xfId="2606"/>
    <cellStyle name="_eliminar-compendio_CUAD-TEXTO_ 3" xfId="2605"/>
    <cellStyle name="_eliminar-compendio_CUAD-TEXTO_ 4" xfId="4456"/>
    <cellStyle name="_eliminar-compendio_GRAFICOS ODM" xfId="941"/>
    <cellStyle name="_eliminar-compendio_GRAFICOS ODM 2" xfId="942"/>
    <cellStyle name="_eliminar-compendio_GRAFICOS ODM 2 2" xfId="2608"/>
    <cellStyle name="_eliminar-compendio_GRAFICOS ODM 3" xfId="2607"/>
    <cellStyle name="_eliminar-compendio_GRAFICOS ODM 4" xfId="4458"/>
    <cellStyle name="_eliminar-compendio_Libro2" xfId="943"/>
    <cellStyle name="_eliminar-compendio_Libro2 2" xfId="944"/>
    <cellStyle name="_eliminar-compendio_Libro2 2 2" xfId="2610"/>
    <cellStyle name="_eliminar-compendio_Libro2 3" xfId="2609"/>
    <cellStyle name="_eliminar-compendio_Libro2 4" xfId="4459"/>
    <cellStyle name="_eliminar-compendio_solicita datos para el 2007-minedu remitio" xfId="945"/>
    <cellStyle name="_eliminar-compendio_solicita datos para el 2007-minedu remitio 2" xfId="946"/>
    <cellStyle name="_eliminar-compendio_solicita datos para el 2007-minedu remitio 2 2" xfId="2612"/>
    <cellStyle name="_eliminar-compendio_solicita datos para el 2007-minedu remitio 3" xfId="2611"/>
    <cellStyle name="_eliminar-compendio_solicita datos para el 2007-minedu remitio 4" xfId="4460"/>
    <cellStyle name="_exell-indic-sh" xfId="947"/>
    <cellStyle name="_exell-indic-sh 2" xfId="948"/>
    <cellStyle name="_exell-indic-sh 2 2" xfId="2614"/>
    <cellStyle name="_exell-indic-sh 3" xfId="2613"/>
    <cellStyle name="_exell-indic-sh 4" xfId="4461"/>
    <cellStyle name="_exell-indic-sh_cuadros adicionales de brechas2002 y 2008 (2)" xfId="949"/>
    <cellStyle name="_exell-indic-sh_cuadros adicionales de brechas2002 y 2008 (2) 2" xfId="950"/>
    <cellStyle name="_exell-indic-sh_cuadros adicionales de brechas2002 y 2008 (2) 2 2" xfId="2616"/>
    <cellStyle name="_exell-indic-sh_cuadros adicionales de brechas2002 y 2008 (2) 3" xfId="2615"/>
    <cellStyle name="_exell-indic-sh_cuadros adicionales de brechas2002 y 2008 (2) 4" xfId="4462"/>
    <cellStyle name="_exell-indic-sh_CUAD-TEXTO_" xfId="951"/>
    <cellStyle name="_exell-indic-sh_CUAD-TEXTO_ 2" xfId="952"/>
    <cellStyle name="_exell-indic-sh_CUAD-TEXTO_ 2 2" xfId="2618"/>
    <cellStyle name="_exell-indic-sh_CUAD-TEXTO_ 3" xfId="2617"/>
    <cellStyle name="_exell-indic-sh_CUAD-TEXTO_ 4" xfId="4464"/>
    <cellStyle name="_exell-indic-sh_GRAFICOS ODM" xfId="953"/>
    <cellStyle name="_exell-indic-sh_GRAFICOS ODM 2" xfId="954"/>
    <cellStyle name="_exell-indic-sh_GRAFICOS ODM 2 2" xfId="2620"/>
    <cellStyle name="_exell-indic-sh_GRAFICOS ODM 3" xfId="2619"/>
    <cellStyle name="_exell-indic-sh_GRAFICOS ODM 4" xfId="4465"/>
    <cellStyle name="_exell-indic-sh_Libro2" xfId="955"/>
    <cellStyle name="_exell-indic-sh_Libro2 2" xfId="956"/>
    <cellStyle name="_exell-indic-sh_Libro2 2 2" xfId="2622"/>
    <cellStyle name="_exell-indic-sh_Libro2 3" xfId="2621"/>
    <cellStyle name="_exell-indic-sh_Libro2 4" xfId="4466"/>
    <cellStyle name="_exell-indic-sh_solicita datos para el 2007-minedu remitio" xfId="957"/>
    <cellStyle name="_exell-indic-sh_solicita datos para el 2007-minedu remitio 2" xfId="958"/>
    <cellStyle name="_exell-indic-sh_solicita datos para el 2007-minedu remitio 2 2" xfId="2624"/>
    <cellStyle name="_exell-indic-sh_solicita datos para el 2007-minedu remitio 3" xfId="2623"/>
    <cellStyle name="_exell-indic-sh_solicita datos para el 2007-minedu remitio 4" xfId="4467"/>
    <cellStyle name="_GES-AMB-considerar" xfId="959"/>
    <cellStyle name="_GES-AMB-considerar 2" xfId="960"/>
    <cellStyle name="_GES-AMB-considerar 2 2" xfId="2630"/>
    <cellStyle name="_GES-AMB-considerar 3" xfId="2625"/>
    <cellStyle name="_GES-AMB-considerar 4" xfId="4468"/>
    <cellStyle name="_GES-AMB-considerar_1-UIRN-UTSIGnov-2008" xfId="961"/>
    <cellStyle name="_GES-AMB-considerar_1-UIRN-UTSIGnov-2008 2" xfId="962"/>
    <cellStyle name="_GES-AMB-considerar_1-UIRN-UTSIGnov-2008 2 2" xfId="2627"/>
    <cellStyle name="_GES-AMB-considerar_1-UIRN-UTSIGnov-2008 3" xfId="2626"/>
    <cellStyle name="_GES-AMB-considerar_1-UIRN-UTSIGnov-2008 4" xfId="4469"/>
    <cellStyle name="_GES-AMB-considerar_1-UIRN-UTSIGnov-2008_GRAFICOS ODM" xfId="963"/>
    <cellStyle name="_GES-AMB-considerar_1-UIRN-UTSIGnov-2008_GRAFICOS ODM 2" xfId="964"/>
    <cellStyle name="_GES-AMB-considerar_1-UIRN-UTSIGnov-2008_GRAFICOS ODM 2 2" xfId="2629"/>
    <cellStyle name="_GES-AMB-considerar_1-UIRN-UTSIGnov-2008_GRAFICOS ODM 3" xfId="2628"/>
    <cellStyle name="_GES-AMB-considerar_1-UIRN-UTSIGnov-2008_GRAFICOS ODM 4" xfId="4470"/>
    <cellStyle name="_GES-AMB-considerar_cuadros adicionales de brechas2002 y 2008 (2)" xfId="965"/>
    <cellStyle name="_GES-AMB-considerar_cuadros adicionales de brechas2002 y 2008 (2) 2" xfId="966"/>
    <cellStyle name="_GES-AMB-considerar_cuadros adicionales de brechas2002 y 2008 (2) 2 2" xfId="2632"/>
    <cellStyle name="_GES-AMB-considerar_cuadros adicionales de brechas2002 y 2008 (2) 3" xfId="2631"/>
    <cellStyle name="_GES-AMB-considerar_cuadros adicionales de brechas2002 y 2008 (2) 4" xfId="4471"/>
    <cellStyle name="_GES-AMB-considerar_CUAD-TEXTO_" xfId="967"/>
    <cellStyle name="_GES-AMB-considerar_CUAD-TEXTO_ 2" xfId="968"/>
    <cellStyle name="_GES-AMB-considerar_CUAD-TEXTO_ 2 2" xfId="2634"/>
    <cellStyle name="_GES-AMB-considerar_CUAD-TEXTO_ 3" xfId="2633"/>
    <cellStyle name="_GES-AMB-considerar_CUAD-TEXTO_ 4" xfId="4472"/>
    <cellStyle name="_GES-AMB-considerar_GRAFICOS ODM" xfId="969"/>
    <cellStyle name="_GES-AMB-considerar_GRAFICOS ODM 2" xfId="970"/>
    <cellStyle name="_GES-AMB-considerar_GRAFICOS ODM 2 2" xfId="2636"/>
    <cellStyle name="_GES-AMB-considerar_GRAFICOS ODM 3" xfId="2635"/>
    <cellStyle name="_GES-AMB-considerar_GRAFICOS ODM 4" xfId="4473"/>
    <cellStyle name="_GES-AMB-considerar_Libro2" xfId="971"/>
    <cellStyle name="_GES-AMB-considerar_Libro2 2" xfId="972"/>
    <cellStyle name="_GES-AMB-considerar_Libro2 2 2" xfId="2638"/>
    <cellStyle name="_GES-AMB-considerar_Libro2 3" xfId="2637"/>
    <cellStyle name="_GES-AMB-considerar_Libro2 4" xfId="4475"/>
    <cellStyle name="_GES-AMB-considerar_solicita datos para el 2007-minedu remitio" xfId="973"/>
    <cellStyle name="_GES-AMB-considerar_solicita datos para el 2007-minedu remitio 2" xfId="974"/>
    <cellStyle name="_GES-AMB-considerar_solicita datos para el 2007-minedu remitio 2 2" xfId="2640"/>
    <cellStyle name="_GES-AMB-considerar_solicita datos para el 2007-minedu remitio 3" xfId="2639"/>
    <cellStyle name="_GES-AMB-considerar_solicita datos para el 2007-minedu remitio 4" xfId="4476"/>
    <cellStyle name="_graficos-texto-16-03" xfId="975"/>
    <cellStyle name="_graficos-texto-16-03 2" xfId="976"/>
    <cellStyle name="_graficos-texto-16-03 2 2" xfId="2642"/>
    <cellStyle name="_graficos-texto-16-03 3" xfId="2641"/>
    <cellStyle name="_graficos-texto-16-03 4" xfId="4477"/>
    <cellStyle name="_graficos-texto-16-03_cuadros adicionales de brechas2002 y 2008 (2)" xfId="977"/>
    <cellStyle name="_graficos-texto-16-03_cuadros adicionales de brechas2002 y 2008 (2) 2" xfId="978"/>
    <cellStyle name="_graficos-texto-16-03_cuadros adicionales de brechas2002 y 2008 (2) 2 2" xfId="2644"/>
    <cellStyle name="_graficos-texto-16-03_cuadros adicionales de brechas2002 y 2008 (2) 3" xfId="2643"/>
    <cellStyle name="_graficos-texto-16-03_cuadros adicionales de brechas2002 y 2008 (2) 4" xfId="4478"/>
    <cellStyle name="_graficos-texto-16-03_CUAD-TEXTO_" xfId="979"/>
    <cellStyle name="_graficos-texto-16-03_CUAD-TEXTO_ 2" xfId="980"/>
    <cellStyle name="_graficos-texto-16-03_CUAD-TEXTO_ 2 2" xfId="2646"/>
    <cellStyle name="_graficos-texto-16-03_CUAD-TEXTO_ 3" xfId="2645"/>
    <cellStyle name="_graficos-texto-16-03_CUAD-TEXTO_ 4" xfId="4480"/>
    <cellStyle name="_graficos-texto-16-03_GRAFICOS ODM" xfId="981"/>
    <cellStyle name="_graficos-texto-16-03_GRAFICOS ODM 2" xfId="982"/>
    <cellStyle name="_graficos-texto-16-03_GRAFICOS ODM 2 2" xfId="2648"/>
    <cellStyle name="_graficos-texto-16-03_GRAFICOS ODM 3" xfId="2647"/>
    <cellStyle name="_graficos-texto-16-03_GRAFICOS ODM 4" xfId="4481"/>
    <cellStyle name="_graficos-texto-16-03_Libro2" xfId="983"/>
    <cellStyle name="_graficos-texto-16-03_Libro2 2" xfId="984"/>
    <cellStyle name="_graficos-texto-16-03_Libro2 2 2" xfId="2650"/>
    <cellStyle name="_graficos-texto-16-03_Libro2 3" xfId="2649"/>
    <cellStyle name="_graficos-texto-16-03_Libro2 4" xfId="4482"/>
    <cellStyle name="_graficos-texto-16-03_solicita datos para el 2007-minedu remitio" xfId="985"/>
    <cellStyle name="_graficos-texto-16-03_solicita datos para el 2007-minedu remitio 2" xfId="986"/>
    <cellStyle name="_graficos-texto-16-03_solicita datos para el 2007-minedu remitio 2 2" xfId="2652"/>
    <cellStyle name="_graficos-texto-16-03_solicita datos para el 2007-minedu remitio 3" xfId="2651"/>
    <cellStyle name="_graficos-texto-16-03_solicita datos para el 2007-minedu remitio 4" xfId="4483"/>
    <cellStyle name="_Hoja1" xfId="987"/>
    <cellStyle name="_Hoja1 (2)" xfId="988"/>
    <cellStyle name="_Hoja1 (2) 2" xfId="989"/>
    <cellStyle name="_Hoja1 (2) 2 2" xfId="2659"/>
    <cellStyle name="_Hoja1 (2) 3" xfId="2658"/>
    <cellStyle name="_Hoja1 (2) 4" xfId="4485"/>
    <cellStyle name="_Hoja1 (2)_cuadros adicionales de brechas2002 y 2008 (2)" xfId="990"/>
    <cellStyle name="_Hoja1 (2)_cuadros adicionales de brechas2002 y 2008 (2) 2" xfId="991"/>
    <cellStyle name="_Hoja1 (2)_cuadros adicionales de brechas2002 y 2008 (2) 2 2" xfId="2661"/>
    <cellStyle name="_Hoja1 (2)_cuadros adicionales de brechas2002 y 2008 (2) 3" xfId="2660"/>
    <cellStyle name="_Hoja1 (2)_cuadros adicionales de brechas2002 y 2008 (2) 4" xfId="4486"/>
    <cellStyle name="_Hoja1 (2)_CUAD-TEXTO_" xfId="992"/>
    <cellStyle name="_Hoja1 (2)_CUAD-TEXTO_ 2" xfId="993"/>
    <cellStyle name="_Hoja1 (2)_CUAD-TEXTO_ 2 2" xfId="2663"/>
    <cellStyle name="_Hoja1 (2)_CUAD-TEXTO_ 3" xfId="2662"/>
    <cellStyle name="_Hoja1 (2)_CUAD-TEXTO_ 4" xfId="4487"/>
    <cellStyle name="_Hoja1 (2)_GRAFICOS ODM" xfId="994"/>
    <cellStyle name="_Hoja1 (2)_GRAFICOS ODM 2" xfId="995"/>
    <cellStyle name="_Hoja1 (2)_GRAFICOS ODM 2 2" xfId="2665"/>
    <cellStyle name="_Hoja1 (2)_GRAFICOS ODM 3" xfId="2664"/>
    <cellStyle name="_Hoja1 (2)_GRAFICOS ODM 4" xfId="4488"/>
    <cellStyle name="_Hoja1 (2)_Libro2" xfId="996"/>
    <cellStyle name="_Hoja1 (2)_Libro2 2" xfId="997"/>
    <cellStyle name="_Hoja1 (2)_Libro2 2 2" xfId="2667"/>
    <cellStyle name="_Hoja1 (2)_Libro2 3" xfId="2666"/>
    <cellStyle name="_Hoja1 (2)_Libro2 4" xfId="4489"/>
    <cellStyle name="_Hoja1 (2)_solicita datos para el 2007-minedu remitio" xfId="998"/>
    <cellStyle name="_Hoja1 (2)_solicita datos para el 2007-minedu remitio 2" xfId="999"/>
    <cellStyle name="_Hoja1 (2)_solicita datos para el 2007-minedu remitio 2 2" xfId="2669"/>
    <cellStyle name="_Hoja1 (2)_solicita datos para el 2007-minedu remitio 3" xfId="2668"/>
    <cellStyle name="_Hoja1 (2)_solicita datos para el 2007-minedu remitio 4" xfId="4490"/>
    <cellStyle name="_Hoja1 10" xfId="1000"/>
    <cellStyle name="_Hoja1 10 2" xfId="1001"/>
    <cellStyle name="_Hoja1 10 2 2" xfId="1002"/>
    <cellStyle name="_Hoja1 10 2 2 2" xfId="2672"/>
    <cellStyle name="_Hoja1 10 2 3" xfId="2671"/>
    <cellStyle name="_Hoja1 10 2 4" xfId="4492"/>
    <cellStyle name="_Hoja1 10 3" xfId="1003"/>
    <cellStyle name="_Hoja1 10 3 2" xfId="2673"/>
    <cellStyle name="_Hoja1 10 4" xfId="2670"/>
    <cellStyle name="_Hoja1 10 5" xfId="4491"/>
    <cellStyle name="_Hoja1 11" xfId="1004"/>
    <cellStyle name="_Hoja1 11 2" xfId="1005"/>
    <cellStyle name="_Hoja1 11 2 2" xfId="1006"/>
    <cellStyle name="_Hoja1 11 2 2 2" xfId="2676"/>
    <cellStyle name="_Hoja1 11 2 3" xfId="2675"/>
    <cellStyle name="_Hoja1 11 2 4" xfId="4494"/>
    <cellStyle name="_Hoja1 11 3" xfId="1007"/>
    <cellStyle name="_Hoja1 11 3 2" xfId="2677"/>
    <cellStyle name="_Hoja1 11 4" xfId="2674"/>
    <cellStyle name="_Hoja1 11 5" xfId="4493"/>
    <cellStyle name="_Hoja1 12" xfId="1008"/>
    <cellStyle name="_Hoja1 12 2" xfId="1009"/>
    <cellStyle name="_Hoja1 12 2 2" xfId="1010"/>
    <cellStyle name="_Hoja1 12 2 2 2" xfId="2680"/>
    <cellStyle name="_Hoja1 12 2 3" xfId="2679"/>
    <cellStyle name="_Hoja1 12 2 4" xfId="4497"/>
    <cellStyle name="_Hoja1 12 3" xfId="1011"/>
    <cellStyle name="_Hoja1 12 3 2" xfId="2681"/>
    <cellStyle name="_Hoja1 12 4" xfId="2678"/>
    <cellStyle name="_Hoja1 12 5" xfId="4496"/>
    <cellStyle name="_Hoja1 13" xfId="1012"/>
    <cellStyle name="_Hoja1 13 2" xfId="2682"/>
    <cellStyle name="_Hoja1 14" xfId="2653"/>
    <cellStyle name="_Hoja1 15" xfId="3283"/>
    <cellStyle name="_Hoja1 16" xfId="3282"/>
    <cellStyle name="_Hoja1 17" xfId="3284"/>
    <cellStyle name="_Hoja1 18" xfId="3281"/>
    <cellStyle name="_Hoja1 19" xfId="4484"/>
    <cellStyle name="_Hoja1 2" xfId="1013"/>
    <cellStyle name="_Hoja1 2 2" xfId="1014"/>
    <cellStyle name="_Hoja1 2 2 2" xfId="1015"/>
    <cellStyle name="_Hoja1 2 2 2 2" xfId="2685"/>
    <cellStyle name="_Hoja1 2 2 3" xfId="2684"/>
    <cellStyle name="_Hoja1 2 2 4" xfId="4499"/>
    <cellStyle name="_Hoja1 2 3" xfId="1016"/>
    <cellStyle name="_Hoja1 2 3 2" xfId="2686"/>
    <cellStyle name="_Hoja1 2 4" xfId="2683"/>
    <cellStyle name="_Hoja1 2 5" xfId="4498"/>
    <cellStyle name="_Hoja1 20" xfId="5065"/>
    <cellStyle name="_Hoja1 21" xfId="4531"/>
    <cellStyle name="_Hoja1 22" xfId="4272"/>
    <cellStyle name="_Hoja1 23" xfId="4832"/>
    <cellStyle name="_Hoja1 24" xfId="4585"/>
    <cellStyle name="_Hoja1 25" xfId="5376"/>
    <cellStyle name="_Hoja1 26" xfId="5158"/>
    <cellStyle name="_Hoja1 27" xfId="4817"/>
    <cellStyle name="_Hoja1 28" xfId="4871"/>
    <cellStyle name="_Hoja1 29" xfId="5083"/>
    <cellStyle name="_Hoja1 3" xfId="1017"/>
    <cellStyle name="_Hoja1 3 2" xfId="1018"/>
    <cellStyle name="_Hoja1 3 2 2" xfId="1019"/>
    <cellStyle name="_Hoja1 3 2 2 2" xfId="2689"/>
    <cellStyle name="_Hoja1 3 2 3" xfId="2688"/>
    <cellStyle name="_Hoja1 3 2 4" xfId="4501"/>
    <cellStyle name="_Hoja1 3 3" xfId="1020"/>
    <cellStyle name="_Hoja1 3 3 2" xfId="2690"/>
    <cellStyle name="_Hoja1 3 4" xfId="2687"/>
    <cellStyle name="_Hoja1 3 5" xfId="4500"/>
    <cellStyle name="_Hoja1 30" xfId="5375"/>
    <cellStyle name="_Hoja1 31" xfId="5363"/>
    <cellStyle name="_Hoja1 32" xfId="4949"/>
    <cellStyle name="_Hoja1 33" xfId="5032"/>
    <cellStyle name="_Hoja1 34" xfId="5274"/>
    <cellStyle name="_Hoja1 35" xfId="4850"/>
    <cellStyle name="_Hoja1 36" xfId="4829"/>
    <cellStyle name="_Hoja1 37" xfId="4934"/>
    <cellStyle name="_Hoja1 38" xfId="5225"/>
    <cellStyle name="_Hoja1 39" xfId="4889"/>
    <cellStyle name="_Hoja1 4" xfId="1021"/>
    <cellStyle name="_Hoja1 4 2" xfId="1022"/>
    <cellStyle name="_Hoja1 4 2 2" xfId="1023"/>
    <cellStyle name="_Hoja1 4 2 2 2" xfId="2693"/>
    <cellStyle name="_Hoja1 4 2 3" xfId="2692"/>
    <cellStyle name="_Hoja1 4 2 4" xfId="4503"/>
    <cellStyle name="_Hoja1 4 3" xfId="1024"/>
    <cellStyle name="_Hoja1 4 3 2" xfId="2694"/>
    <cellStyle name="_Hoja1 4 4" xfId="2691"/>
    <cellStyle name="_Hoja1 4 5" xfId="4502"/>
    <cellStyle name="_Hoja1 40" xfId="5149"/>
    <cellStyle name="_Hoja1 41" xfId="4905"/>
    <cellStyle name="_Hoja1 42" xfId="4982"/>
    <cellStyle name="_Hoja1 43" xfId="5221"/>
    <cellStyle name="_Hoja1 44" xfId="5327"/>
    <cellStyle name="_Hoja1 45" xfId="5636"/>
    <cellStyle name="_Hoja1 46" xfId="5645"/>
    <cellStyle name="_Hoja1 47" xfId="5631"/>
    <cellStyle name="_Hoja1 48" xfId="5688"/>
    <cellStyle name="_Hoja1 5" xfId="1025"/>
    <cellStyle name="_Hoja1 5 2" xfId="1026"/>
    <cellStyle name="_Hoja1 5 2 2" xfId="1027"/>
    <cellStyle name="_Hoja1 5 2 2 2" xfId="2697"/>
    <cellStyle name="_Hoja1 5 2 3" xfId="2696"/>
    <cellStyle name="_Hoja1 5 2 4" xfId="4505"/>
    <cellStyle name="_Hoja1 5 3" xfId="1028"/>
    <cellStyle name="_Hoja1 5 3 2" xfId="2698"/>
    <cellStyle name="_Hoja1 5 4" xfId="2695"/>
    <cellStyle name="_Hoja1 5 5" xfId="4504"/>
    <cellStyle name="_Hoja1 6" xfId="1029"/>
    <cellStyle name="_Hoja1 6 2" xfId="1030"/>
    <cellStyle name="_Hoja1 6 2 2" xfId="1031"/>
    <cellStyle name="_Hoja1 6 2 2 2" xfId="2701"/>
    <cellStyle name="_Hoja1 6 2 3" xfId="2700"/>
    <cellStyle name="_Hoja1 6 2 4" xfId="4507"/>
    <cellStyle name="_Hoja1 6 3" xfId="1032"/>
    <cellStyle name="_Hoja1 6 3 2" xfId="2702"/>
    <cellStyle name="_Hoja1 6 4" xfId="2699"/>
    <cellStyle name="_Hoja1 6 5" xfId="4506"/>
    <cellStyle name="_Hoja1 7" xfId="1033"/>
    <cellStyle name="_Hoja1 7 2" xfId="1034"/>
    <cellStyle name="_Hoja1 7 2 2" xfId="1035"/>
    <cellStyle name="_Hoja1 7 2 2 2" xfId="2705"/>
    <cellStyle name="_Hoja1 7 2 3" xfId="2704"/>
    <cellStyle name="_Hoja1 7 2 4" xfId="4509"/>
    <cellStyle name="_Hoja1 7 3" xfId="1036"/>
    <cellStyle name="_Hoja1 7 3 2" xfId="2706"/>
    <cellStyle name="_Hoja1 7 4" xfId="2703"/>
    <cellStyle name="_Hoja1 7 5" xfId="4508"/>
    <cellStyle name="_Hoja1 8" xfId="1037"/>
    <cellStyle name="_Hoja1 8 2" xfId="1038"/>
    <cellStyle name="_Hoja1 8 2 2" xfId="1039"/>
    <cellStyle name="_Hoja1 8 2 2 2" xfId="2709"/>
    <cellStyle name="_Hoja1 8 2 3" xfId="2708"/>
    <cellStyle name="_Hoja1 8 2 4" xfId="4512"/>
    <cellStyle name="_Hoja1 8 3" xfId="1040"/>
    <cellStyle name="_Hoja1 8 3 2" xfId="2710"/>
    <cellStyle name="_Hoja1 8 4" xfId="2707"/>
    <cellStyle name="_Hoja1 8 5" xfId="4511"/>
    <cellStyle name="_Hoja1 9" xfId="1041"/>
    <cellStyle name="_Hoja1 9 2" xfId="1042"/>
    <cellStyle name="_Hoja1 9 2 2" xfId="1043"/>
    <cellStyle name="_Hoja1 9 2 2 2" xfId="2713"/>
    <cellStyle name="_Hoja1 9 2 3" xfId="2712"/>
    <cellStyle name="_Hoja1 9 2 4" xfId="4514"/>
    <cellStyle name="_Hoja1 9 3" xfId="1044"/>
    <cellStyle name="_Hoja1 9 3 2" xfId="2714"/>
    <cellStyle name="_Hoja1 9 4" xfId="2711"/>
    <cellStyle name="_Hoja1 9 5" xfId="4513"/>
    <cellStyle name="_Hoja1_1-UIRN-UTSIGnov-2008" xfId="1045"/>
    <cellStyle name="_Hoja1_1-UIRN-UTSIGnov-2008 2" xfId="1046"/>
    <cellStyle name="_Hoja1_1-UIRN-UTSIGnov-2008 2 2" xfId="2655"/>
    <cellStyle name="_Hoja1_1-UIRN-UTSIGnov-2008 3" xfId="2654"/>
    <cellStyle name="_Hoja1_1-UIRN-UTSIGnov-2008 4" xfId="4515"/>
    <cellStyle name="_Hoja1_1-UIRN-UTSIGnov-2008_GRAFICOS ODM" xfId="1047"/>
    <cellStyle name="_Hoja1_1-UIRN-UTSIGnov-2008_GRAFICOS ODM 2" xfId="1048"/>
    <cellStyle name="_Hoja1_1-UIRN-UTSIGnov-2008_GRAFICOS ODM 2 2" xfId="2657"/>
    <cellStyle name="_Hoja1_1-UIRN-UTSIGnov-2008_GRAFICOS ODM 3" xfId="2656"/>
    <cellStyle name="_Hoja1_1-UIRN-UTSIGnov-2008_GRAFICOS ODM 4" xfId="4516"/>
    <cellStyle name="_Hoja1_analfabetismo factor 2007 sexo y edad" xfId="1049"/>
    <cellStyle name="_Hoja1_analfabetismo factor 2007 sexo y edad 2" xfId="1050"/>
    <cellStyle name="_Hoja1_analfabetismo factor 2007 sexo y edad 2 2" xfId="1051"/>
    <cellStyle name="_Hoja1_analfabetismo factor 2007 sexo y edad 2 2 2" xfId="1052"/>
    <cellStyle name="_Hoja1_analfabetismo factor 2007 sexo y edad 2 2 2 2" xfId="2734"/>
    <cellStyle name="_Hoja1_analfabetismo factor 2007 sexo y edad 2 2 3" xfId="2733"/>
    <cellStyle name="_Hoja1_analfabetismo factor 2007 sexo y edad 2 2 4" xfId="4519"/>
    <cellStyle name="_Hoja1_analfabetismo factor 2007 sexo y edad 2 3" xfId="1053"/>
    <cellStyle name="_Hoja1_analfabetismo factor 2007 sexo y edad 2 3 2" xfId="2735"/>
    <cellStyle name="_Hoja1_analfabetismo factor 2007 sexo y edad 2 4" xfId="2732"/>
    <cellStyle name="_Hoja1_analfabetismo factor 2007 sexo y edad 2 5" xfId="4518"/>
    <cellStyle name="_Hoja1_analfabetismo factor 2007 sexo y edad 3" xfId="1054"/>
    <cellStyle name="_Hoja1_analfabetismo factor 2007 sexo y edad 3 2" xfId="2736"/>
    <cellStyle name="_Hoja1_analfabetismo factor 2007 sexo y edad 4" xfId="2715"/>
    <cellStyle name="_Hoja1_analfabetismo factor 2007 sexo y edad 5" xfId="4517"/>
    <cellStyle name="_Hoja1_analfabetismo factor 2007 sexo y edad.Norvil" xfId="1055"/>
    <cellStyle name="_Hoja1_analfabetismo factor 2007 sexo y edad.Norvil 2" xfId="1056"/>
    <cellStyle name="_Hoja1_analfabetismo factor 2007 sexo y edad.Norvil 2 2" xfId="1057"/>
    <cellStyle name="_Hoja1_analfabetismo factor 2007 sexo y edad.Norvil 2 2 2" xfId="1058"/>
    <cellStyle name="_Hoja1_analfabetismo factor 2007 sexo y edad.Norvil 2 2 2 2" xfId="2719"/>
    <cellStyle name="_Hoja1_analfabetismo factor 2007 sexo y edad.Norvil 2 2 3" xfId="2718"/>
    <cellStyle name="_Hoja1_analfabetismo factor 2007 sexo y edad.Norvil 2 2 4" xfId="4522"/>
    <cellStyle name="_Hoja1_analfabetismo factor 2007 sexo y edad.Norvil 2 3" xfId="1059"/>
    <cellStyle name="_Hoja1_analfabetismo factor 2007 sexo y edad.Norvil 2 3 2" xfId="2720"/>
    <cellStyle name="_Hoja1_analfabetismo factor 2007 sexo y edad.Norvil 2 4" xfId="2717"/>
    <cellStyle name="_Hoja1_analfabetismo factor 2007 sexo y edad.Norvil 2 5" xfId="4521"/>
    <cellStyle name="_Hoja1_analfabetismo factor 2007 sexo y edad.Norvil 3" xfId="1060"/>
    <cellStyle name="_Hoja1_analfabetismo factor 2007 sexo y edad.Norvil 3 2" xfId="2721"/>
    <cellStyle name="_Hoja1_analfabetismo factor 2007 sexo y edad.Norvil 4" xfId="2716"/>
    <cellStyle name="_Hoja1_analfabetismo factor 2007 sexo y edad.Norvil 5" xfId="4520"/>
    <cellStyle name="_Hoja1_analfabetismo factor 2007 sexo y edad.Norvil_Cuadros Nor  (2)" xfId="1061"/>
    <cellStyle name="_Hoja1_analfabetismo factor 2007 sexo y edad.Norvil_Cuadros Nor  (2) 2" xfId="1062"/>
    <cellStyle name="_Hoja1_analfabetismo factor 2007 sexo y edad.Norvil_Cuadros Nor  (2) 2 2" xfId="2723"/>
    <cellStyle name="_Hoja1_analfabetismo factor 2007 sexo y edad.Norvil_Cuadros Nor  (2) 3" xfId="2722"/>
    <cellStyle name="_Hoja1_analfabetismo factor 2007 sexo y edad.Norvil_Cuadros Nor  (2) 4" xfId="4523"/>
    <cellStyle name="_Hoja1_analfabetismo factor 2007 sexo y edad.Norvil_DEPARTAMENTAL-NUEVO FACTOR 2010" xfId="1063"/>
    <cellStyle name="_Hoja1_analfabetismo factor 2007 sexo y edad.Norvil_DEPARTAMENTAL-NUEVO FACTOR 2010 2" xfId="1064"/>
    <cellStyle name="_Hoja1_analfabetismo factor 2007 sexo y edad.Norvil_DEPARTAMENTAL-NUEVO FACTOR 2010 2 2" xfId="2725"/>
    <cellStyle name="_Hoja1_analfabetismo factor 2007 sexo y edad.Norvil_DEPARTAMENTAL-NUEVO FACTOR 2010 3" xfId="2724"/>
    <cellStyle name="_Hoja1_analfabetismo factor 2007 sexo y edad.Norvil_DEPARTAMENTAL-NUEVO FACTOR 2010 4" xfId="4524"/>
    <cellStyle name="_Hoja1_analfabetismo factor 2007 sexo y edad.Norvil_EXCEL-DEPARTAMENTAL-Def" xfId="1065"/>
    <cellStyle name="_Hoja1_analfabetismo factor 2007 sexo y edad.Norvil_EXCEL-DEPARTAMENTAL-Def 2" xfId="1066"/>
    <cellStyle name="_Hoja1_analfabetismo factor 2007 sexo y edad.Norvil_EXCEL-DEPARTAMENTAL-Def 2 2" xfId="2727"/>
    <cellStyle name="_Hoja1_analfabetismo factor 2007 sexo y edad.Norvil_EXCEL-DEPARTAMENTAL-Def 3" xfId="2726"/>
    <cellStyle name="_Hoja1_analfabetismo factor 2007 sexo y edad.Norvil_EXCEL-DEPARTAMENTAL-Def 4" xfId="4525"/>
    <cellStyle name="_Hoja1_analfabetismo factor 2007 sexo y edad.Norvil_EXCEL-DEPARTAMENTAL-Def2" xfId="1067"/>
    <cellStyle name="_Hoja1_analfabetismo factor 2007 sexo y edad.Norvil_EXCEL-DEPARTAMENTAL-Def2 2" xfId="1068"/>
    <cellStyle name="_Hoja1_analfabetismo factor 2007 sexo y edad.Norvil_EXCEL-DEPARTAMENTAL-Def2 2 2" xfId="2729"/>
    <cellStyle name="_Hoja1_analfabetismo factor 2007 sexo y edad.Norvil_EXCEL-DEPARTAMENTAL-Def2 3" xfId="2728"/>
    <cellStyle name="_Hoja1_analfabetismo factor 2007 sexo y edad.Norvil_EXCEL-DEPARTAMENTAL-Def2 4" xfId="4526"/>
    <cellStyle name="_Hoja1_analfabetismo factor 2007 sexo y edad.Norvil_Salud y Pobreza" xfId="1069"/>
    <cellStyle name="_Hoja1_analfabetismo factor 2007 sexo y edad.Norvil_Salud y Pobreza 2" xfId="1070"/>
    <cellStyle name="_Hoja1_analfabetismo factor 2007 sexo y edad.Norvil_Salud y Pobreza 2 2" xfId="2731"/>
    <cellStyle name="_Hoja1_analfabetismo factor 2007 sexo y edad.Norvil_Salud y Pobreza 3" xfId="2730"/>
    <cellStyle name="_Hoja1_analfabetismo factor 2007 sexo y edad.Norvil_Salud y Pobreza 4" xfId="4527"/>
    <cellStyle name="_Hoja1_analfabetismo factor 2007 sexo y edad_Cuadros Nor  (2)" xfId="1071"/>
    <cellStyle name="_Hoja1_analfabetismo factor 2007 sexo y edad_Cuadros Nor  (2) 2" xfId="1072"/>
    <cellStyle name="_Hoja1_analfabetismo factor 2007 sexo y edad_Cuadros Nor  (2) 2 2" xfId="2738"/>
    <cellStyle name="_Hoja1_analfabetismo factor 2007 sexo y edad_Cuadros Nor  (2) 3" xfId="2737"/>
    <cellStyle name="_Hoja1_analfabetismo factor 2007 sexo y edad_Cuadros Nor  (2) 4" xfId="4528"/>
    <cellStyle name="_Hoja1_analfabetismo factor 2007 sexo y edad_DEPARTAMENTAL-NUEVO FACTOR 2010" xfId="1073"/>
    <cellStyle name="_Hoja1_analfabetismo factor 2007 sexo y edad_DEPARTAMENTAL-NUEVO FACTOR 2010 2" xfId="1074"/>
    <cellStyle name="_Hoja1_analfabetismo factor 2007 sexo y edad_DEPARTAMENTAL-NUEVO FACTOR 2010 2 2" xfId="2740"/>
    <cellStyle name="_Hoja1_analfabetismo factor 2007 sexo y edad_DEPARTAMENTAL-NUEVO FACTOR 2010 3" xfId="2739"/>
    <cellStyle name="_Hoja1_analfabetismo factor 2007 sexo y edad_DEPARTAMENTAL-NUEVO FACTOR 2010 4" xfId="4530"/>
    <cellStyle name="_Hoja1_analfabetismo factor 2007 sexo y edad_EXCEL-DEPARTAMENTAL-Def" xfId="1075"/>
    <cellStyle name="_Hoja1_analfabetismo factor 2007 sexo y edad_EXCEL-DEPARTAMENTAL-Def 2" xfId="1076"/>
    <cellStyle name="_Hoja1_analfabetismo factor 2007 sexo y edad_EXCEL-DEPARTAMENTAL-Def 2 2" xfId="2742"/>
    <cellStyle name="_Hoja1_analfabetismo factor 2007 sexo y edad_EXCEL-DEPARTAMENTAL-Def 3" xfId="2741"/>
    <cellStyle name="_Hoja1_analfabetismo factor 2007 sexo y edad_EXCEL-DEPARTAMENTAL-Def 4" xfId="4532"/>
    <cellStyle name="_Hoja1_analfabetismo factor 2007 sexo y edad_EXCEL-DEPARTAMENTAL-Def2" xfId="1077"/>
    <cellStyle name="_Hoja1_analfabetismo factor 2007 sexo y edad_EXCEL-DEPARTAMENTAL-Def2 2" xfId="1078"/>
    <cellStyle name="_Hoja1_analfabetismo factor 2007 sexo y edad_EXCEL-DEPARTAMENTAL-Def2 2 2" xfId="2744"/>
    <cellStyle name="_Hoja1_analfabetismo factor 2007 sexo y edad_EXCEL-DEPARTAMENTAL-Def2 3" xfId="2743"/>
    <cellStyle name="_Hoja1_analfabetismo factor 2007 sexo y edad_EXCEL-DEPARTAMENTAL-Def2 4" xfId="4533"/>
    <cellStyle name="_Hoja1_analfabetismo factor 2007 sexo y edad_Salud y Pobreza" xfId="1079"/>
    <cellStyle name="_Hoja1_analfabetismo factor 2007 sexo y edad_Salud y Pobreza 2" xfId="1080"/>
    <cellStyle name="_Hoja1_analfabetismo factor 2007 sexo y edad_Salud y Pobreza 2 2" xfId="2746"/>
    <cellStyle name="_Hoja1_analfabetismo factor 2007 sexo y edad_Salud y Pobreza 3" xfId="2745"/>
    <cellStyle name="_Hoja1_analfabetismo factor 2007 sexo y edad_Salud y Pobreza 4" xfId="4534"/>
    <cellStyle name="_Hoja1_ANEXO 1 MATRICULA ESCOLAR" xfId="1081"/>
    <cellStyle name="_Hoja1_ANEXO 1 MATRICULA ESCOLAR 2" xfId="1082"/>
    <cellStyle name="_Hoja1_ANEXO 1 MATRICULA ESCOLAR 2 2" xfId="1083"/>
    <cellStyle name="_Hoja1_ANEXO 1 MATRICULA ESCOLAR 2 2 2" xfId="1084"/>
    <cellStyle name="_Hoja1_ANEXO 1 MATRICULA ESCOLAR 2 2 2 2" xfId="2750"/>
    <cellStyle name="_Hoja1_ANEXO 1 MATRICULA ESCOLAR 2 2 3" xfId="2749"/>
    <cellStyle name="_Hoja1_ANEXO 1 MATRICULA ESCOLAR 2 2 4" xfId="4537"/>
    <cellStyle name="_Hoja1_ANEXO 1 MATRICULA ESCOLAR 2 3" xfId="1085"/>
    <cellStyle name="_Hoja1_ANEXO 1 MATRICULA ESCOLAR 2 3 2" xfId="2751"/>
    <cellStyle name="_Hoja1_ANEXO 1 MATRICULA ESCOLAR 2 4" xfId="2748"/>
    <cellStyle name="_Hoja1_ANEXO 1 MATRICULA ESCOLAR 2 5" xfId="4536"/>
    <cellStyle name="_Hoja1_ANEXO 1 MATRICULA ESCOLAR 3" xfId="1086"/>
    <cellStyle name="_Hoja1_ANEXO 1 MATRICULA ESCOLAR 3 2" xfId="2752"/>
    <cellStyle name="_Hoja1_ANEXO 1 MATRICULA ESCOLAR 4" xfId="2747"/>
    <cellStyle name="_Hoja1_ANEXO 1 MATRICULA ESCOLAR 5" xfId="4535"/>
    <cellStyle name="_Hoja1_ANEXO 1 MATRICULA ESCOLAR_Cuadros Nor  (2)" xfId="1087"/>
    <cellStyle name="_Hoja1_ANEXO 1 MATRICULA ESCOLAR_Cuadros Nor  (2) 2" xfId="1088"/>
    <cellStyle name="_Hoja1_ANEXO 1 MATRICULA ESCOLAR_Cuadros Nor  (2) 2 2" xfId="2754"/>
    <cellStyle name="_Hoja1_ANEXO 1 MATRICULA ESCOLAR_Cuadros Nor  (2) 3" xfId="2753"/>
    <cellStyle name="_Hoja1_ANEXO 1 MATRICULA ESCOLAR_Cuadros Nor  (2) 4" xfId="4539"/>
    <cellStyle name="_Hoja1_ANEXO 1 MATRICULA ESCOLAR_DEPARTAMENTAL-NUEVO FACTOR 2010" xfId="1089"/>
    <cellStyle name="_Hoja1_ANEXO 1 MATRICULA ESCOLAR_DEPARTAMENTAL-NUEVO FACTOR 2010 2" xfId="1090"/>
    <cellStyle name="_Hoja1_ANEXO 1 MATRICULA ESCOLAR_DEPARTAMENTAL-NUEVO FACTOR 2010 2 2" xfId="2756"/>
    <cellStyle name="_Hoja1_ANEXO 1 MATRICULA ESCOLAR_DEPARTAMENTAL-NUEVO FACTOR 2010 3" xfId="2755"/>
    <cellStyle name="_Hoja1_ANEXO 1 MATRICULA ESCOLAR_DEPARTAMENTAL-NUEVO FACTOR 2010 4" xfId="4541"/>
    <cellStyle name="_Hoja1_ANEXO 1 MATRICULA ESCOLAR_EXCEL-DEPARTAMENTAL-Def" xfId="1091"/>
    <cellStyle name="_Hoja1_ANEXO 1 MATRICULA ESCOLAR_EXCEL-DEPARTAMENTAL-Def 2" xfId="1092"/>
    <cellStyle name="_Hoja1_ANEXO 1 MATRICULA ESCOLAR_EXCEL-DEPARTAMENTAL-Def 2 2" xfId="2758"/>
    <cellStyle name="_Hoja1_ANEXO 1 MATRICULA ESCOLAR_EXCEL-DEPARTAMENTAL-Def 3" xfId="2757"/>
    <cellStyle name="_Hoja1_ANEXO 1 MATRICULA ESCOLAR_EXCEL-DEPARTAMENTAL-Def 4" xfId="4542"/>
    <cellStyle name="_Hoja1_ANEXO 1 MATRICULA ESCOLAR_EXCEL-DEPARTAMENTAL-Def2" xfId="1093"/>
    <cellStyle name="_Hoja1_ANEXO 1 MATRICULA ESCOLAR_EXCEL-DEPARTAMENTAL-Def2 2" xfId="1094"/>
    <cellStyle name="_Hoja1_ANEXO 1 MATRICULA ESCOLAR_EXCEL-DEPARTAMENTAL-Def2 2 2" xfId="2760"/>
    <cellStyle name="_Hoja1_ANEXO 1 MATRICULA ESCOLAR_EXCEL-DEPARTAMENTAL-Def2 3" xfId="2759"/>
    <cellStyle name="_Hoja1_ANEXO 1 MATRICULA ESCOLAR_EXCEL-DEPARTAMENTAL-Def2 4" xfId="4543"/>
    <cellStyle name="_Hoja1_ANEXO 1 MATRICULA ESCOLAR_Salud y Pobreza" xfId="1095"/>
    <cellStyle name="_Hoja1_ANEXO 1 MATRICULA ESCOLAR_Salud y Pobreza 2" xfId="1096"/>
    <cellStyle name="_Hoja1_ANEXO 1 MATRICULA ESCOLAR_Salud y Pobreza 2 2" xfId="2762"/>
    <cellStyle name="_Hoja1_ANEXO 1 MATRICULA ESCOLAR_Salud y Pobreza 3" xfId="2761"/>
    <cellStyle name="_Hoja1_ANEXO 1 MATRICULA ESCOLAR_Salud y Pobreza 4" xfId="4545"/>
    <cellStyle name="_Hoja1_ANEXO 4 INDIC DE RESULTADOS FINAL" xfId="1097"/>
    <cellStyle name="_Hoja1_ANEXO 4 INDIC DE RESULTADOS FINAL 2" xfId="1098"/>
    <cellStyle name="_Hoja1_ANEXO 4 INDIC DE RESULTADOS FINAL 2 2" xfId="2764"/>
    <cellStyle name="_Hoja1_ANEXO 4 INDIC DE RESULTADOS FINAL 3" xfId="2763"/>
    <cellStyle name="_Hoja1_ANEXO 4 INDIC DE RESULTADOS FINAL 4" xfId="4547"/>
    <cellStyle name="_Hoja1_CD1" xfId="1099"/>
    <cellStyle name="_Hoja1_CD1 2" xfId="1100"/>
    <cellStyle name="_Hoja1_CD1 2 2" xfId="2766"/>
    <cellStyle name="_Hoja1_CD1 3" xfId="2765"/>
    <cellStyle name="_Hoja1_CD1 4" xfId="4548"/>
    <cellStyle name="_Hoja1_CD2" xfId="1101"/>
    <cellStyle name="_Hoja1_CD2 2" xfId="1102"/>
    <cellStyle name="_Hoja1_CD2 2 2" xfId="2768"/>
    <cellStyle name="_Hoja1_CD2 3" xfId="2767"/>
    <cellStyle name="_Hoja1_CD2 4" xfId="4549"/>
    <cellStyle name="_Hoja1_cuad-15.." xfId="1103"/>
    <cellStyle name="_Hoja1_cuad-15.. 2" xfId="1104"/>
    <cellStyle name="_Hoja1_cuad-15.. 2 2" xfId="2770"/>
    <cellStyle name="_Hoja1_cuad-15.. 3" xfId="2769"/>
    <cellStyle name="_Hoja1_cuad-15.. 4" xfId="4550"/>
    <cellStyle name="_Hoja1_cuadros adicionales de brechas2002 y 2008 (2)" xfId="1105"/>
    <cellStyle name="_Hoja1_cuadros adicionales de brechas2002 y 2008 (2) 2" xfId="1106"/>
    <cellStyle name="_Hoja1_cuadros adicionales de brechas2002 y 2008 (2) 2 2" xfId="2772"/>
    <cellStyle name="_Hoja1_cuadros adicionales de brechas2002 y 2008 (2) 3" xfId="2771"/>
    <cellStyle name="_Hoja1_cuadros adicionales de brechas2002 y 2008 (2) 4" xfId="4551"/>
    <cellStyle name="_Hoja1_Cuadros Nor  (2)" xfId="1107"/>
    <cellStyle name="_Hoja1_Cuadros Nor  (2) 2" xfId="1108"/>
    <cellStyle name="_Hoja1_Cuadros Nor  (2) 2 2" xfId="2774"/>
    <cellStyle name="_Hoja1_Cuadros Nor  (2) 3" xfId="2773"/>
    <cellStyle name="_Hoja1_Cuadros Nor  (2) 4" xfId="4552"/>
    <cellStyle name="_Hoja1_cuadros-INEI-2008" xfId="1109"/>
    <cellStyle name="_Hoja1_cuadros-INEI-2008 2" xfId="1110"/>
    <cellStyle name="_Hoja1_cuadros-INEI-2008 2 2" xfId="2776"/>
    <cellStyle name="_Hoja1_cuadros-INEI-2008 3" xfId="2775"/>
    <cellStyle name="_Hoja1_cuadros-INEI-2008 4" xfId="4553"/>
    <cellStyle name="_Hoja1_cuadros-INEI-2008_GRAFICOS ODM" xfId="1111"/>
    <cellStyle name="_Hoja1_cuadros-INEI-2008_GRAFICOS ODM 2" xfId="1112"/>
    <cellStyle name="_Hoja1_cuadros-INEI-2008_GRAFICOS ODM 2 2" xfId="2778"/>
    <cellStyle name="_Hoja1_cuadros-INEI-2008_GRAFICOS ODM 3" xfId="2777"/>
    <cellStyle name="_Hoja1_cuadros-INEI-2008_GRAFICOS ODM 4" xfId="4554"/>
    <cellStyle name="_Hoja1_CUAD-TEXTO_" xfId="1113"/>
    <cellStyle name="_Hoja1_CUAD-TEXTO_ 2" xfId="1114"/>
    <cellStyle name="_Hoja1_CUAD-TEXTO_ 2 2" xfId="2780"/>
    <cellStyle name="_Hoja1_CUAD-TEXTO_ 3" xfId="2779"/>
    <cellStyle name="_Hoja1_CUAD-TEXTO_ 4" xfId="4555"/>
    <cellStyle name="_Hoja1_DEPARTAMENTAL-NUEVO FACTOR 2010" xfId="1115"/>
    <cellStyle name="_Hoja1_DEPARTAMENTAL-NUEVO FACTOR 2010 2" xfId="1116"/>
    <cellStyle name="_Hoja1_DEPARTAMENTAL-NUEVO FACTOR 2010 2 2" xfId="2782"/>
    <cellStyle name="_Hoja1_DEPARTAMENTAL-NUEVO FACTOR 2010 3" xfId="2781"/>
    <cellStyle name="_Hoja1_DEPARTAMENTAL-NUEVO FACTOR 2010 4" xfId="4556"/>
    <cellStyle name="_Hoja1_EXCEL-DEPARTAMENTAL-Def" xfId="1117"/>
    <cellStyle name="_Hoja1_EXCEL-DEPARTAMENTAL-Def 2" xfId="1118"/>
    <cellStyle name="_Hoja1_EXCEL-DEPARTAMENTAL-Def 2 2" xfId="2784"/>
    <cellStyle name="_Hoja1_EXCEL-DEPARTAMENTAL-Def 3" xfId="2783"/>
    <cellStyle name="_Hoja1_EXCEL-DEPARTAMENTAL-Def 4" xfId="4557"/>
    <cellStyle name="_Hoja1_EXCEL-DEPARTAMENTAL-Def2" xfId="1119"/>
    <cellStyle name="_Hoja1_EXCEL-DEPARTAMENTAL-Def2 2" xfId="1120"/>
    <cellStyle name="_Hoja1_EXCEL-DEPARTAMENTAL-Def2 2 2" xfId="2786"/>
    <cellStyle name="_Hoja1_EXCEL-DEPARTAMENTAL-Def2 3" xfId="2785"/>
    <cellStyle name="_Hoja1_EXCEL-DEPARTAMENTAL-Def2 4" xfId="4558"/>
    <cellStyle name="_Hoja1_Libro1 (5)" xfId="1121"/>
    <cellStyle name="_Hoja1_Libro1 (5) 2" xfId="1122"/>
    <cellStyle name="_Hoja1_Libro1 (5) 2 2" xfId="2788"/>
    <cellStyle name="_Hoja1_Libro1 (5) 3" xfId="2787"/>
    <cellStyle name="_Hoja1_Libro1 (5) 4" xfId="4560"/>
    <cellStyle name="_Hoja1_Libro2" xfId="1123"/>
    <cellStyle name="_Hoja1_Libro2 (4)" xfId="1124"/>
    <cellStyle name="_Hoja1_Libro2 (4) 2" xfId="1125"/>
    <cellStyle name="_Hoja1_Libro2 (4) 2 2" xfId="2791"/>
    <cellStyle name="_Hoja1_Libro2 (4) 3" xfId="2790"/>
    <cellStyle name="_Hoja1_Libro2 (4) 4" xfId="4562"/>
    <cellStyle name="_Hoja1_Libro2 10" xfId="5041"/>
    <cellStyle name="_Hoja1_Libro2 11" xfId="4939"/>
    <cellStyle name="_Hoja1_Libro2 12" xfId="5104"/>
    <cellStyle name="_Hoja1_Libro2 13" xfId="4935"/>
    <cellStyle name="_Hoja1_Libro2 14" xfId="4931"/>
    <cellStyle name="_Hoja1_Libro2 15" xfId="5209"/>
    <cellStyle name="_Hoja1_Libro2 16" xfId="4958"/>
    <cellStyle name="_Hoja1_Libro2 17" xfId="4826"/>
    <cellStyle name="_Hoja1_Libro2 18" xfId="3907"/>
    <cellStyle name="_Hoja1_Libro2 19" xfId="4725"/>
    <cellStyle name="_Hoja1_Libro2 2" xfId="1126"/>
    <cellStyle name="_Hoja1_Libro2 2 2" xfId="2792"/>
    <cellStyle name="_Hoja1_Libro2 20" xfId="4974"/>
    <cellStyle name="_Hoja1_Libro2 21" xfId="5090"/>
    <cellStyle name="_Hoja1_Libro2 22" xfId="4836"/>
    <cellStyle name="_Hoja1_Libro2 23" xfId="5126"/>
    <cellStyle name="_Hoja1_Libro2 24" xfId="4951"/>
    <cellStyle name="_Hoja1_Libro2 25" xfId="5132"/>
    <cellStyle name="_Hoja1_Libro2 26" xfId="5086"/>
    <cellStyle name="_Hoja1_Libro2 27" xfId="4093"/>
    <cellStyle name="_Hoja1_Libro2 28" xfId="5368"/>
    <cellStyle name="_Hoja1_Libro2 29" xfId="4915"/>
    <cellStyle name="_Hoja1_Libro2 3" xfId="2789"/>
    <cellStyle name="_Hoja1_Libro2 30" xfId="5429"/>
    <cellStyle name="_Hoja1_Libro2 31" xfId="5486"/>
    <cellStyle name="_Hoja1_Libro2 32" xfId="5442"/>
    <cellStyle name="_Hoja1_Libro2 33" xfId="4893"/>
    <cellStyle name="_Hoja1_Libro2 34" xfId="5642"/>
    <cellStyle name="_Hoja1_Libro2 35" xfId="5643"/>
    <cellStyle name="_Hoja1_Libro2 36" xfId="5632"/>
    <cellStyle name="_Hoja1_Libro2 37" xfId="5687"/>
    <cellStyle name="_Hoja1_Libro2 4" xfId="3287"/>
    <cellStyle name="_Hoja1_Libro2 5" xfId="3278"/>
    <cellStyle name="_Hoja1_Libro2 6" xfId="3288"/>
    <cellStyle name="_Hoja1_Libro2 7" xfId="3277"/>
    <cellStyle name="_Hoja1_Libro2 8" xfId="4561"/>
    <cellStyle name="_Hoja1_Libro2 9" xfId="4621"/>
    <cellStyle name="_Hoja1_Libro5" xfId="1127"/>
    <cellStyle name="_Hoja1_Libro5 2" xfId="1128"/>
    <cellStyle name="_Hoja1_Libro5 2 2" xfId="2794"/>
    <cellStyle name="_Hoja1_Libro5 3" xfId="2793"/>
    <cellStyle name="_Hoja1_Libro5 4" xfId="4563"/>
    <cellStyle name="_Hoja1_nivel educativo  -fin fin" xfId="1129"/>
    <cellStyle name="_Hoja1_nivel educativo  -fin fin 2" xfId="1130"/>
    <cellStyle name="_Hoja1_nivel educativo  -fin fin 2 2" xfId="1131"/>
    <cellStyle name="_Hoja1_nivel educativo  -fin fin 2 2 2" xfId="1132"/>
    <cellStyle name="_Hoja1_nivel educativo  -fin fin 2 2 2 2" xfId="2798"/>
    <cellStyle name="_Hoja1_nivel educativo  -fin fin 2 2 3" xfId="2797"/>
    <cellStyle name="_Hoja1_nivel educativo  -fin fin 2 2 4" xfId="4566"/>
    <cellStyle name="_Hoja1_nivel educativo  -fin fin 2 3" xfId="1133"/>
    <cellStyle name="_Hoja1_nivel educativo  -fin fin 2 3 2" xfId="2799"/>
    <cellStyle name="_Hoja1_nivel educativo  -fin fin 2 4" xfId="2796"/>
    <cellStyle name="_Hoja1_nivel educativo  -fin fin 2 5" xfId="4565"/>
    <cellStyle name="_Hoja1_nivel educativo  -fin fin 3" xfId="1134"/>
    <cellStyle name="_Hoja1_nivel educativo  -fin fin 3 2" xfId="2800"/>
    <cellStyle name="_Hoja1_nivel educativo  -fin fin 4" xfId="2795"/>
    <cellStyle name="_Hoja1_nivel educativo  -fin fin 5" xfId="4564"/>
    <cellStyle name="_Hoja1_nivel educativo  -fin fin_Cuadros Nor  (2)" xfId="1135"/>
    <cellStyle name="_Hoja1_nivel educativo  -fin fin_Cuadros Nor  (2) 2" xfId="1136"/>
    <cellStyle name="_Hoja1_nivel educativo  -fin fin_Cuadros Nor  (2) 2 2" xfId="2802"/>
    <cellStyle name="_Hoja1_nivel educativo  -fin fin_Cuadros Nor  (2) 3" xfId="2801"/>
    <cellStyle name="_Hoja1_nivel educativo  -fin fin_Cuadros Nor  (2) 4" xfId="4568"/>
    <cellStyle name="_Hoja1_nivel educativo  -fin fin_DEPARTAMENTAL-NUEVO FACTOR 2010" xfId="1137"/>
    <cellStyle name="_Hoja1_nivel educativo  -fin fin_DEPARTAMENTAL-NUEVO FACTOR 2010 2" xfId="1138"/>
    <cellStyle name="_Hoja1_nivel educativo  -fin fin_DEPARTAMENTAL-NUEVO FACTOR 2010 2 2" xfId="2804"/>
    <cellStyle name="_Hoja1_nivel educativo  -fin fin_DEPARTAMENTAL-NUEVO FACTOR 2010 3" xfId="2803"/>
    <cellStyle name="_Hoja1_nivel educativo  -fin fin_DEPARTAMENTAL-NUEVO FACTOR 2010 4" xfId="4569"/>
    <cellStyle name="_Hoja1_nivel educativo  -fin fin_EXCEL-DEPARTAMENTAL-Def" xfId="1139"/>
    <cellStyle name="_Hoja1_nivel educativo  -fin fin_EXCEL-DEPARTAMENTAL-Def 2" xfId="1140"/>
    <cellStyle name="_Hoja1_nivel educativo  -fin fin_EXCEL-DEPARTAMENTAL-Def 2 2" xfId="2806"/>
    <cellStyle name="_Hoja1_nivel educativo  -fin fin_EXCEL-DEPARTAMENTAL-Def 3" xfId="2805"/>
    <cellStyle name="_Hoja1_nivel educativo  -fin fin_EXCEL-DEPARTAMENTAL-Def 4" xfId="4570"/>
    <cellStyle name="_Hoja1_nivel educativo  -fin fin_EXCEL-DEPARTAMENTAL-Def2" xfId="1141"/>
    <cellStyle name="_Hoja1_nivel educativo  -fin fin_EXCEL-DEPARTAMENTAL-Def2 2" xfId="1142"/>
    <cellStyle name="_Hoja1_nivel educativo  -fin fin_EXCEL-DEPARTAMENTAL-Def2 2 2" xfId="2808"/>
    <cellStyle name="_Hoja1_nivel educativo  -fin fin_EXCEL-DEPARTAMENTAL-Def2 3" xfId="2807"/>
    <cellStyle name="_Hoja1_nivel educativo  -fin fin_EXCEL-DEPARTAMENTAL-Def2 4" xfId="4571"/>
    <cellStyle name="_Hoja1_nivel educativo  -fin fin_Salud y Pobreza" xfId="1143"/>
    <cellStyle name="_Hoja1_nivel educativo  -fin fin_Salud y Pobreza 2" xfId="1144"/>
    <cellStyle name="_Hoja1_nivel educativo  -fin fin_Salud y Pobreza 2 2" xfId="2810"/>
    <cellStyle name="_Hoja1_nivel educativo  -fin fin_Salud y Pobreza 3" xfId="2809"/>
    <cellStyle name="_Hoja1_nivel educativo  -fin fin_Salud y Pobreza 4" xfId="4572"/>
    <cellStyle name="_Hoja1_QUE NO ASISTE" xfId="1145"/>
    <cellStyle name="_Hoja1_QUE NO ASISTE 2" xfId="1146"/>
    <cellStyle name="_Hoja1_QUE NO ASISTE 2 2" xfId="1147"/>
    <cellStyle name="_Hoja1_QUE NO ASISTE 2 2 2" xfId="1148"/>
    <cellStyle name="_Hoja1_QUE NO ASISTE 2 2 2 2" xfId="2814"/>
    <cellStyle name="_Hoja1_QUE NO ASISTE 2 2 3" xfId="2813"/>
    <cellStyle name="_Hoja1_QUE NO ASISTE 2 2 4" xfId="4575"/>
    <cellStyle name="_Hoja1_QUE NO ASISTE 2 3" xfId="1149"/>
    <cellStyle name="_Hoja1_QUE NO ASISTE 2 3 2" xfId="2815"/>
    <cellStyle name="_Hoja1_QUE NO ASISTE 2 4" xfId="2812"/>
    <cellStyle name="_Hoja1_QUE NO ASISTE 2 5" xfId="4574"/>
    <cellStyle name="_Hoja1_QUE NO ASISTE 3" xfId="1150"/>
    <cellStyle name="_Hoja1_QUE NO ASISTE 3 2" xfId="2816"/>
    <cellStyle name="_Hoja1_QUE NO ASISTE 4" xfId="2811"/>
    <cellStyle name="_Hoja1_QUE NO ASISTE 5" xfId="4573"/>
    <cellStyle name="_Hoja1_QUE NO ASISTE_Cuadros Nor  (2)" xfId="1151"/>
    <cellStyle name="_Hoja1_QUE NO ASISTE_Cuadros Nor  (2) 2" xfId="1152"/>
    <cellStyle name="_Hoja1_QUE NO ASISTE_Cuadros Nor  (2) 2 2" xfId="2818"/>
    <cellStyle name="_Hoja1_QUE NO ASISTE_Cuadros Nor  (2) 3" xfId="2817"/>
    <cellStyle name="_Hoja1_QUE NO ASISTE_Cuadros Nor  (2) 4" xfId="4576"/>
    <cellStyle name="_Hoja1_QUE NO ASISTE_DEPARTAMENTAL-NUEVO FACTOR 2010" xfId="1153"/>
    <cellStyle name="_Hoja1_QUE NO ASISTE_DEPARTAMENTAL-NUEVO FACTOR 2010 2" xfId="1154"/>
    <cellStyle name="_Hoja1_QUE NO ASISTE_DEPARTAMENTAL-NUEVO FACTOR 2010 2 2" xfId="2820"/>
    <cellStyle name="_Hoja1_QUE NO ASISTE_DEPARTAMENTAL-NUEVO FACTOR 2010 3" xfId="2819"/>
    <cellStyle name="_Hoja1_QUE NO ASISTE_DEPARTAMENTAL-NUEVO FACTOR 2010 4" xfId="4577"/>
    <cellStyle name="_Hoja1_QUE NO ASISTE_EXCEL-DEPARTAMENTAL-Def" xfId="1155"/>
    <cellStyle name="_Hoja1_QUE NO ASISTE_EXCEL-DEPARTAMENTAL-Def 2" xfId="1156"/>
    <cellStyle name="_Hoja1_QUE NO ASISTE_EXCEL-DEPARTAMENTAL-Def 2 2" xfId="2822"/>
    <cellStyle name="_Hoja1_QUE NO ASISTE_EXCEL-DEPARTAMENTAL-Def 3" xfId="2821"/>
    <cellStyle name="_Hoja1_QUE NO ASISTE_EXCEL-DEPARTAMENTAL-Def 4" xfId="4578"/>
    <cellStyle name="_Hoja1_QUE NO ASISTE_EXCEL-DEPARTAMENTAL-Def2" xfId="1157"/>
    <cellStyle name="_Hoja1_QUE NO ASISTE_EXCEL-DEPARTAMENTAL-Def2 2" xfId="1158"/>
    <cellStyle name="_Hoja1_QUE NO ASISTE_EXCEL-DEPARTAMENTAL-Def2 2 2" xfId="2824"/>
    <cellStyle name="_Hoja1_QUE NO ASISTE_EXCEL-DEPARTAMENTAL-Def2 3" xfId="2823"/>
    <cellStyle name="_Hoja1_QUE NO ASISTE_EXCEL-DEPARTAMENTAL-Def2 4" xfId="4579"/>
    <cellStyle name="_Hoja1_QUE NO ASISTE_Salud y Pobreza" xfId="1159"/>
    <cellStyle name="_Hoja1_QUE NO ASISTE_Salud y Pobreza 2" xfId="1160"/>
    <cellStyle name="_Hoja1_QUE NO ASISTE_Salud y Pobreza 2 2" xfId="2826"/>
    <cellStyle name="_Hoja1_QUE NO ASISTE_Salud y Pobreza 3" xfId="2825"/>
    <cellStyle name="_Hoja1_QUE NO ASISTE_Salud y Pobreza 4" xfId="4580"/>
    <cellStyle name="_Hoja1_resultados de estudios año anterior 2002-2009" xfId="1161"/>
    <cellStyle name="_Hoja1_resultados de estudios año anterior 2002-2009 2" xfId="1162"/>
    <cellStyle name="_Hoja1_resultados de estudios año anterior 2002-2009 2 2" xfId="1163"/>
    <cellStyle name="_Hoja1_resultados de estudios año anterior 2002-2009 2 2 2" xfId="1164"/>
    <cellStyle name="_Hoja1_resultados de estudios año anterior 2002-2009 2 2 2 2" xfId="2830"/>
    <cellStyle name="_Hoja1_resultados de estudios año anterior 2002-2009 2 2 3" xfId="2829"/>
    <cellStyle name="_Hoja1_resultados de estudios año anterior 2002-2009 2 2 4" xfId="4583"/>
    <cellStyle name="_Hoja1_resultados de estudios año anterior 2002-2009 2 3" xfId="1165"/>
    <cellStyle name="_Hoja1_resultados de estudios año anterior 2002-2009 2 3 2" xfId="2831"/>
    <cellStyle name="_Hoja1_resultados de estudios año anterior 2002-2009 2 4" xfId="2828"/>
    <cellStyle name="_Hoja1_resultados de estudios año anterior 2002-2009 2 5" xfId="4582"/>
    <cellStyle name="_Hoja1_resultados de estudios año anterior 2002-2009 3" xfId="1166"/>
    <cellStyle name="_Hoja1_resultados de estudios año anterior 2002-2009 3 2" xfId="2832"/>
    <cellStyle name="_Hoja1_resultados de estudios año anterior 2002-2009 4" xfId="2827"/>
    <cellStyle name="_Hoja1_resultados de estudios año anterior 2002-2009 5" xfId="4581"/>
    <cellStyle name="_Hoja1_resultados de estudios año anterior 2002-2009_Cuadros Nor  (2)" xfId="1167"/>
    <cellStyle name="_Hoja1_resultados de estudios año anterior 2002-2009_Cuadros Nor  (2) 2" xfId="1168"/>
    <cellStyle name="_Hoja1_resultados de estudios año anterior 2002-2009_Cuadros Nor  (2) 2 2" xfId="2834"/>
    <cellStyle name="_Hoja1_resultados de estudios año anterior 2002-2009_Cuadros Nor  (2) 3" xfId="2833"/>
    <cellStyle name="_Hoja1_resultados de estudios año anterior 2002-2009_Cuadros Nor  (2) 4" xfId="4584"/>
    <cellStyle name="_Hoja1_resultados de estudios año anterior 2002-2009_DEPARTAMENTAL-NUEVO FACTOR 2010" xfId="1169"/>
    <cellStyle name="_Hoja1_resultados de estudios año anterior 2002-2009_DEPARTAMENTAL-NUEVO FACTOR 2010 2" xfId="1170"/>
    <cellStyle name="_Hoja1_resultados de estudios año anterior 2002-2009_DEPARTAMENTAL-NUEVO FACTOR 2010 2 2" xfId="2836"/>
    <cellStyle name="_Hoja1_resultados de estudios año anterior 2002-2009_DEPARTAMENTAL-NUEVO FACTOR 2010 3" xfId="2835"/>
    <cellStyle name="_Hoja1_resultados de estudios año anterior 2002-2009_DEPARTAMENTAL-NUEVO FACTOR 2010 4" xfId="4586"/>
    <cellStyle name="_Hoja1_resultados de estudios año anterior 2002-2009_EXCEL-DEPARTAMENTAL-Def" xfId="1171"/>
    <cellStyle name="_Hoja1_resultados de estudios año anterior 2002-2009_EXCEL-DEPARTAMENTAL-Def 2" xfId="1172"/>
    <cellStyle name="_Hoja1_resultados de estudios año anterior 2002-2009_EXCEL-DEPARTAMENTAL-Def 2 2" xfId="2838"/>
    <cellStyle name="_Hoja1_resultados de estudios año anterior 2002-2009_EXCEL-DEPARTAMENTAL-Def 3" xfId="2837"/>
    <cellStyle name="_Hoja1_resultados de estudios año anterior 2002-2009_EXCEL-DEPARTAMENTAL-Def 4" xfId="4587"/>
    <cellStyle name="_Hoja1_resultados de estudios año anterior 2002-2009_EXCEL-DEPARTAMENTAL-Def2" xfId="1173"/>
    <cellStyle name="_Hoja1_resultados de estudios año anterior 2002-2009_EXCEL-DEPARTAMENTAL-Def2 2" xfId="1174"/>
    <cellStyle name="_Hoja1_resultados de estudios año anterior 2002-2009_EXCEL-DEPARTAMENTAL-Def2 2 2" xfId="2840"/>
    <cellStyle name="_Hoja1_resultados de estudios año anterior 2002-2009_EXCEL-DEPARTAMENTAL-Def2 3" xfId="2839"/>
    <cellStyle name="_Hoja1_resultados de estudios año anterior 2002-2009_EXCEL-DEPARTAMENTAL-Def2 4" xfId="4588"/>
    <cellStyle name="_Hoja1_resultados de estudios año anterior 2002-2009_Salud y Pobreza" xfId="1175"/>
    <cellStyle name="_Hoja1_resultados de estudios año anterior 2002-2009_Salud y Pobreza 2" xfId="1176"/>
    <cellStyle name="_Hoja1_resultados de estudios año anterior 2002-2009_Salud y Pobreza 2 2" xfId="2842"/>
    <cellStyle name="_Hoja1_resultados de estudios año anterior 2002-2009_Salud y Pobreza 3" xfId="2841"/>
    <cellStyle name="_Hoja1_resultados de estudios año anterior 2002-2009_Salud y Pobreza 4" xfId="4589"/>
    <cellStyle name="_Hoja1_Salud y Pobreza" xfId="1177"/>
    <cellStyle name="_Hoja1_Salud y Pobreza 2" xfId="1178"/>
    <cellStyle name="_Hoja1_Salud y Pobreza 2 2" xfId="2844"/>
    <cellStyle name="_Hoja1_Salud y Pobreza 3" xfId="2843"/>
    <cellStyle name="_Hoja1_Salud y Pobreza 4" xfId="4590"/>
    <cellStyle name="_Hoja1_solicita datos para el 2007-minedu remitio" xfId="1179"/>
    <cellStyle name="_Hoja1_solicita datos para el 2007-minedu remitio 2" xfId="1180"/>
    <cellStyle name="_Hoja1_solicita datos para el 2007-minedu remitio 2 2" xfId="2846"/>
    <cellStyle name="_Hoja1_solicita datos para el 2007-minedu remitio 3" xfId="2845"/>
    <cellStyle name="_Hoja1_solicita datos para el 2007-minedu remitio 4" xfId="4591"/>
    <cellStyle name="_IDENTIDAD-LIMA-2007 Diciembre" xfId="1181"/>
    <cellStyle name="_IDENTIDAD-LIMA-2007 Diciembre 2" xfId="1182"/>
    <cellStyle name="_IDENTIDAD-LIMA-2007 Diciembre 2 2" xfId="2848"/>
    <cellStyle name="_IDENTIDAD-LIMA-2007 Diciembre 3" xfId="2847"/>
    <cellStyle name="_IDENTIDAD-LIMA-2007 Diciembre 4" xfId="4593"/>
    <cellStyle name="_Ingresos Reales 2008-2009 PANEL (16-04-10)" xfId="1183"/>
    <cellStyle name="_Ingresos Reales 2008-2009 PANEL (16-04-10) 2" xfId="1184"/>
    <cellStyle name="_Ingresos Reales 2008-2009 PANEL (16-04-10) 2 2" xfId="1185"/>
    <cellStyle name="_Ingresos Reales 2008-2009 PANEL (16-04-10) 2 2 2" xfId="1186"/>
    <cellStyle name="_Ingresos Reales 2008-2009 PANEL (16-04-10) 2 2 2 2" xfId="2858"/>
    <cellStyle name="_Ingresos Reales 2008-2009 PANEL (16-04-10) 2 2 3" xfId="2857"/>
    <cellStyle name="_Ingresos Reales 2008-2009 PANEL (16-04-10) 2 2 4" xfId="4596"/>
    <cellStyle name="_Ingresos Reales 2008-2009 PANEL (16-04-10) 2 3" xfId="1187"/>
    <cellStyle name="_Ingresos Reales 2008-2009 PANEL (16-04-10) 2 3 2" xfId="2859"/>
    <cellStyle name="_Ingresos Reales 2008-2009 PANEL (16-04-10) 2 4" xfId="2856"/>
    <cellStyle name="_Ingresos Reales 2008-2009 PANEL (16-04-10) 2 5" xfId="4595"/>
    <cellStyle name="_Ingresos Reales 2008-2009 PANEL (16-04-10) 3" xfId="1188"/>
    <cellStyle name="_Ingresos Reales 2008-2009 PANEL (16-04-10) 3 2" xfId="2860"/>
    <cellStyle name="_Ingresos Reales 2008-2009 PANEL (16-04-10) 4" xfId="2849"/>
    <cellStyle name="_Ingresos Reales 2008-2009 PANEL (16-04-10) 5" xfId="4594"/>
    <cellStyle name="_Ingresos Reales 2008-2009 PANEL (16-04-10)_03.Indicadores FGT de pobreza (4 criterios)" xfId="1189"/>
    <cellStyle name="_Ingresos Reales 2008-2009 PANEL (16-04-10)_03.Indicadores FGT de pobreza (4 criterios) 2" xfId="1190"/>
    <cellStyle name="_Ingresos Reales 2008-2009 PANEL (16-04-10)_03.Indicadores FGT de pobreza (4 criterios) 2 2" xfId="1191"/>
    <cellStyle name="_Ingresos Reales 2008-2009 PANEL (16-04-10)_03.Indicadores FGT de pobreza (4 criterios) 2 2 2" xfId="1192"/>
    <cellStyle name="_Ingresos Reales 2008-2009 PANEL (16-04-10)_03.Indicadores FGT de pobreza (4 criterios) 2 2 2 2" xfId="2853"/>
    <cellStyle name="_Ingresos Reales 2008-2009 PANEL (16-04-10)_03.Indicadores FGT de pobreza (4 criterios) 2 2 3" xfId="2852"/>
    <cellStyle name="_Ingresos Reales 2008-2009 PANEL (16-04-10)_03.Indicadores FGT de pobreza (4 criterios) 2 2 4" xfId="4600"/>
    <cellStyle name="_Ingresos Reales 2008-2009 PANEL (16-04-10)_03.Indicadores FGT de pobreza (4 criterios) 2 3" xfId="1193"/>
    <cellStyle name="_Ingresos Reales 2008-2009 PANEL (16-04-10)_03.Indicadores FGT de pobreza (4 criterios) 2 3 2" xfId="2854"/>
    <cellStyle name="_Ingresos Reales 2008-2009 PANEL (16-04-10)_03.Indicadores FGT de pobreza (4 criterios) 2 4" xfId="2851"/>
    <cellStyle name="_Ingresos Reales 2008-2009 PANEL (16-04-10)_03.Indicadores FGT de pobreza (4 criterios) 2 5" xfId="4599"/>
    <cellStyle name="_Ingresos Reales 2008-2009 PANEL (16-04-10)_03.Indicadores FGT de pobreza (4 criterios) 3" xfId="1194"/>
    <cellStyle name="_Ingresos Reales 2008-2009 PANEL (16-04-10)_03.Indicadores FGT de pobreza (4 criterios) 3 2" xfId="2855"/>
    <cellStyle name="_Ingresos Reales 2008-2009 PANEL (16-04-10)_03.Indicadores FGT de pobreza (4 criterios) 4" xfId="2850"/>
    <cellStyle name="_Ingresos Reales 2008-2009 PANEL (16-04-10)_03.Indicadores FGT de pobreza (4 criterios) 5" xfId="4598"/>
    <cellStyle name="_Ingresos Reales 2008-2009 PANEL (16-04-10)_Cuadros Nor  (2)" xfId="1195"/>
    <cellStyle name="_Ingresos Reales 2008-2009 PANEL (16-04-10)_Cuadros Nor  (2) 2" xfId="1196"/>
    <cellStyle name="_Ingresos Reales 2008-2009 PANEL (16-04-10)_Cuadros Nor  (2) 2 2" xfId="2862"/>
    <cellStyle name="_Ingresos Reales 2008-2009 PANEL (16-04-10)_Cuadros Nor  (2) 3" xfId="2861"/>
    <cellStyle name="_Ingresos Reales 2008-2009 PANEL (16-04-10)_Cuadros Nor  (2) 4" xfId="4603"/>
    <cellStyle name="_Ingresos Reales 2008-2009 PANEL (16-04-10)_DEPARTAMENTAL-NUEVO FACTOR 2010" xfId="1197"/>
    <cellStyle name="_Ingresos Reales 2008-2009 PANEL (16-04-10)_DEPARTAMENTAL-NUEVO FACTOR 2010 2" xfId="1198"/>
    <cellStyle name="_Ingresos Reales 2008-2009 PANEL (16-04-10)_DEPARTAMENTAL-NUEVO FACTOR 2010 2 2" xfId="2864"/>
    <cellStyle name="_Ingresos Reales 2008-2009 PANEL (16-04-10)_DEPARTAMENTAL-NUEVO FACTOR 2010 3" xfId="2863"/>
    <cellStyle name="_Ingresos Reales 2008-2009 PANEL (16-04-10)_DEPARTAMENTAL-NUEVO FACTOR 2010 4" xfId="4605"/>
    <cellStyle name="_Ingresos Reales 2008-2009 PANEL (16-04-10)_EXCEL-DEPARTAMENTAL-Def" xfId="1199"/>
    <cellStyle name="_Ingresos Reales 2008-2009 PANEL (16-04-10)_EXCEL-DEPARTAMENTAL-Def 2" xfId="1200"/>
    <cellStyle name="_Ingresos Reales 2008-2009 PANEL (16-04-10)_EXCEL-DEPARTAMENTAL-Def 2 2" xfId="2866"/>
    <cellStyle name="_Ingresos Reales 2008-2009 PANEL (16-04-10)_EXCEL-DEPARTAMENTAL-Def 3" xfId="2865"/>
    <cellStyle name="_Ingresos Reales 2008-2009 PANEL (16-04-10)_EXCEL-DEPARTAMENTAL-Def 4" xfId="4606"/>
    <cellStyle name="_Ingresos Reales 2008-2009 PANEL (16-04-10)_EXCEL-DEPARTAMENTAL-Def2" xfId="1201"/>
    <cellStyle name="_Ingresos Reales 2008-2009 PANEL (16-04-10)_EXCEL-DEPARTAMENTAL-Def2 2" xfId="1202"/>
    <cellStyle name="_Ingresos Reales 2008-2009 PANEL (16-04-10)_EXCEL-DEPARTAMENTAL-Def2 2 2" xfId="2868"/>
    <cellStyle name="_Ingresos Reales 2008-2009 PANEL (16-04-10)_EXCEL-DEPARTAMENTAL-Def2 3" xfId="2867"/>
    <cellStyle name="_Ingresos Reales 2008-2009 PANEL (16-04-10)_EXCEL-DEPARTAMENTAL-Def2 4" xfId="4607"/>
    <cellStyle name="_Ingresos Reales 2008-2009 PANEL (16-04-10)_Libro1 (5)" xfId="1203"/>
    <cellStyle name="_Ingresos Reales 2008-2009 PANEL (16-04-10)_Libro1 (5) 2" xfId="1204"/>
    <cellStyle name="_Ingresos Reales 2008-2009 PANEL (16-04-10)_Libro1 (5) 2 2" xfId="2870"/>
    <cellStyle name="_Ingresos Reales 2008-2009 PANEL (16-04-10)_Libro1 (5) 3" xfId="2869"/>
    <cellStyle name="_Ingresos Reales 2008-2009 PANEL (16-04-10)_Libro1 (5) 4" xfId="4609"/>
    <cellStyle name="_Ingresos Reales 2008-2009 PANEL (16-04-10)_Libro2 (4)" xfId="1205"/>
    <cellStyle name="_Ingresos Reales 2008-2009 PANEL (16-04-10)_Libro2 (4) 2" xfId="1206"/>
    <cellStyle name="_Ingresos Reales 2008-2009 PANEL (16-04-10)_Libro2 (4) 2 2" xfId="2872"/>
    <cellStyle name="_Ingresos Reales 2008-2009 PANEL (16-04-10)_Libro2 (4) 3" xfId="2871"/>
    <cellStyle name="_Ingresos Reales 2008-2009 PANEL (16-04-10)_Libro2 (4) 4" xfId="4610"/>
    <cellStyle name="_Ingresos Reales 2008-2009 PANEL (16-04-10)_Salud y Pobreza" xfId="1207"/>
    <cellStyle name="_Ingresos Reales 2008-2009 PANEL (16-04-10)_Salud y Pobreza 2" xfId="1208"/>
    <cellStyle name="_Ingresos Reales 2008-2009 PANEL (16-04-10)_Salud y Pobreza 2 2" xfId="2874"/>
    <cellStyle name="_Ingresos Reales 2008-2009 PANEL (16-04-10)_Salud y Pobreza 3" xfId="2873"/>
    <cellStyle name="_Ingresos Reales 2008-2009 PANEL (16-04-10)_Salud y Pobreza 4" xfId="4611"/>
    <cellStyle name="_ipen.actualizado" xfId="1209"/>
    <cellStyle name="_ipen.actualizado 2" xfId="1210"/>
    <cellStyle name="_ipen.actualizado 2 2" xfId="2880"/>
    <cellStyle name="_ipen.actualizado 3" xfId="2875"/>
    <cellStyle name="_ipen.actualizado 4" xfId="4612"/>
    <cellStyle name="_ipen.actualizado_1-UIRN-UTSIGnov-2008" xfId="1211"/>
    <cellStyle name="_ipen.actualizado_1-UIRN-UTSIGnov-2008 2" xfId="1212"/>
    <cellStyle name="_ipen.actualizado_1-UIRN-UTSIGnov-2008 2 2" xfId="2877"/>
    <cellStyle name="_ipen.actualizado_1-UIRN-UTSIGnov-2008 3" xfId="2876"/>
    <cellStyle name="_ipen.actualizado_1-UIRN-UTSIGnov-2008 4" xfId="4613"/>
    <cellStyle name="_ipen.actualizado_1-UIRN-UTSIGnov-2008_GRAFICOS ODM" xfId="1213"/>
    <cellStyle name="_ipen.actualizado_1-UIRN-UTSIGnov-2008_GRAFICOS ODM 2" xfId="1214"/>
    <cellStyle name="_ipen.actualizado_1-UIRN-UTSIGnov-2008_GRAFICOS ODM 2 2" xfId="2879"/>
    <cellStyle name="_ipen.actualizado_1-UIRN-UTSIGnov-2008_GRAFICOS ODM 3" xfId="2878"/>
    <cellStyle name="_ipen.actualizado_1-UIRN-UTSIGnov-2008_GRAFICOS ODM 4" xfId="4614"/>
    <cellStyle name="_ipen.actualizado_cuadros adicionales de brechas2002 y 2008 (2)" xfId="1215"/>
    <cellStyle name="_ipen.actualizado_cuadros adicionales de brechas2002 y 2008 (2) 2" xfId="1216"/>
    <cellStyle name="_ipen.actualizado_cuadros adicionales de brechas2002 y 2008 (2) 2 2" xfId="2882"/>
    <cellStyle name="_ipen.actualizado_cuadros adicionales de brechas2002 y 2008 (2) 3" xfId="2881"/>
    <cellStyle name="_ipen.actualizado_cuadros adicionales de brechas2002 y 2008 (2) 4" xfId="4615"/>
    <cellStyle name="_ipen.actualizado_CUAD-TEXTO_" xfId="1217"/>
    <cellStyle name="_ipen.actualizado_CUAD-TEXTO_ 2" xfId="1218"/>
    <cellStyle name="_ipen.actualizado_CUAD-TEXTO_ 2 2" xfId="2884"/>
    <cellStyle name="_ipen.actualizado_CUAD-TEXTO_ 3" xfId="2883"/>
    <cellStyle name="_ipen.actualizado_CUAD-TEXTO_ 4" xfId="4617"/>
    <cellStyle name="_ipen.actualizado_GRAFICOS ODM" xfId="1219"/>
    <cellStyle name="_ipen.actualizado_GRAFICOS ODM 2" xfId="1220"/>
    <cellStyle name="_ipen.actualizado_GRAFICOS ODM 2 2" xfId="2886"/>
    <cellStyle name="_ipen.actualizado_GRAFICOS ODM 3" xfId="2885"/>
    <cellStyle name="_ipen.actualizado_GRAFICOS ODM 4" xfId="4618"/>
    <cellStyle name="_ipen.actualizado_Libro2" xfId="1221"/>
    <cellStyle name="_ipen.actualizado_Libro2 2" xfId="1222"/>
    <cellStyle name="_ipen.actualizado_Libro2 2 2" xfId="2888"/>
    <cellStyle name="_ipen.actualizado_Libro2 3" xfId="2887"/>
    <cellStyle name="_ipen.actualizado_Libro2 4" xfId="4619"/>
    <cellStyle name="_ipen.actualizado_solicita datos para el 2007-minedu remitio" xfId="1223"/>
    <cellStyle name="_ipen.actualizado_solicita datos para el 2007-minedu remitio 2" xfId="1224"/>
    <cellStyle name="_ipen.actualizado_solicita datos para el 2007-minedu remitio 2 2" xfId="2890"/>
    <cellStyle name="_ipen.actualizado_solicita datos para el 2007-minedu remitio 3" xfId="2889"/>
    <cellStyle name="_ipen.actualizado_solicita datos para el 2007-minedu remitio 4" xfId="4620"/>
    <cellStyle name="_Libro2" xfId="1225"/>
    <cellStyle name="_Libro2 2" xfId="1226"/>
    <cellStyle name="_Libro2 2 2" xfId="2896"/>
    <cellStyle name="_Libro2 3" xfId="2891"/>
    <cellStyle name="_Libro2 4" xfId="4622"/>
    <cellStyle name="_Libro2_1-UIRN-UTSIGnov-2008" xfId="1227"/>
    <cellStyle name="_Libro2_1-UIRN-UTSIGnov-2008 2" xfId="1228"/>
    <cellStyle name="_Libro2_1-UIRN-UTSIGnov-2008 2 2" xfId="2893"/>
    <cellStyle name="_Libro2_1-UIRN-UTSIGnov-2008 3" xfId="2892"/>
    <cellStyle name="_Libro2_1-UIRN-UTSIGnov-2008 4" xfId="4623"/>
    <cellStyle name="_Libro2_1-UIRN-UTSIGnov-2008_GRAFICOS ODM" xfId="1229"/>
    <cellStyle name="_Libro2_1-UIRN-UTSIGnov-2008_GRAFICOS ODM 2" xfId="1230"/>
    <cellStyle name="_Libro2_1-UIRN-UTSIGnov-2008_GRAFICOS ODM 2 2" xfId="2895"/>
    <cellStyle name="_Libro2_1-UIRN-UTSIGnov-2008_GRAFICOS ODM 3" xfId="2894"/>
    <cellStyle name="_Libro2_1-UIRN-UTSIGnov-2008_GRAFICOS ODM 4" xfId="4624"/>
    <cellStyle name="_Libro2_cuadros adicionales de brechas2002 y 2008 (2)" xfId="1231"/>
    <cellStyle name="_Libro2_cuadros adicionales de brechas2002 y 2008 (2) 2" xfId="1232"/>
    <cellStyle name="_Libro2_cuadros adicionales de brechas2002 y 2008 (2) 2 2" xfId="2898"/>
    <cellStyle name="_Libro2_cuadros adicionales de brechas2002 y 2008 (2) 3" xfId="2897"/>
    <cellStyle name="_Libro2_cuadros adicionales de brechas2002 y 2008 (2) 4" xfId="4625"/>
    <cellStyle name="_Libro2_CUAD-TEXTO_" xfId="1233"/>
    <cellStyle name="_Libro2_CUAD-TEXTO_ 2" xfId="1234"/>
    <cellStyle name="_Libro2_CUAD-TEXTO_ 2 2" xfId="2900"/>
    <cellStyle name="_Libro2_CUAD-TEXTO_ 3" xfId="2899"/>
    <cellStyle name="_Libro2_CUAD-TEXTO_ 4" xfId="4626"/>
    <cellStyle name="_Libro2_GRAFICOS ODM" xfId="1235"/>
    <cellStyle name="_Libro2_GRAFICOS ODM 2" xfId="1236"/>
    <cellStyle name="_Libro2_GRAFICOS ODM 2 2" xfId="2902"/>
    <cellStyle name="_Libro2_GRAFICOS ODM 3" xfId="2901"/>
    <cellStyle name="_Libro2_GRAFICOS ODM 4" xfId="4627"/>
    <cellStyle name="_Libro2_Libro2" xfId="1237"/>
    <cellStyle name="_Libro2_Libro2 2" xfId="1238"/>
    <cellStyle name="_Libro2_Libro2 2 2" xfId="2904"/>
    <cellStyle name="_Libro2_Libro2 3" xfId="2903"/>
    <cellStyle name="_Libro2_Libro2 4" xfId="4628"/>
    <cellStyle name="_Libro2_solicita datos para el 2007-minedu remitio" xfId="1239"/>
    <cellStyle name="_Libro2_solicita datos para el 2007-minedu remitio 2" xfId="1240"/>
    <cellStyle name="_Libro2_solicita datos para el 2007-minedu remitio 2 2" xfId="2906"/>
    <cellStyle name="_Libro2_solicita datos para el 2007-minedu remitio 3" xfId="2905"/>
    <cellStyle name="_Libro2_solicita datos para el 2007-minedu remitio 4" xfId="4629"/>
    <cellStyle name="_MARINA" xfId="1241"/>
    <cellStyle name="_MARINA 2" xfId="1242"/>
    <cellStyle name="_MARINA 2 2" xfId="2912"/>
    <cellStyle name="_MARINA 3" xfId="2907"/>
    <cellStyle name="_MARINA 4" xfId="4630"/>
    <cellStyle name="_MARINA_1-UIRN-UTSIGnov-2008" xfId="1243"/>
    <cellStyle name="_MARINA_1-UIRN-UTSIGnov-2008 2" xfId="1244"/>
    <cellStyle name="_MARINA_1-UIRN-UTSIGnov-2008 2 2" xfId="2909"/>
    <cellStyle name="_MARINA_1-UIRN-UTSIGnov-2008 3" xfId="2908"/>
    <cellStyle name="_MARINA_1-UIRN-UTSIGnov-2008 4" xfId="4631"/>
    <cellStyle name="_MARINA_1-UIRN-UTSIGnov-2008_GRAFICOS ODM" xfId="1245"/>
    <cellStyle name="_MARINA_1-UIRN-UTSIGnov-2008_GRAFICOS ODM 2" xfId="1246"/>
    <cellStyle name="_MARINA_1-UIRN-UTSIGnov-2008_GRAFICOS ODM 2 2" xfId="2911"/>
    <cellStyle name="_MARINA_1-UIRN-UTSIGnov-2008_GRAFICOS ODM 3" xfId="2910"/>
    <cellStyle name="_MARINA_1-UIRN-UTSIGnov-2008_GRAFICOS ODM 4" xfId="4632"/>
    <cellStyle name="_MARINA_cuadros adicionales de brechas2002 y 2008 (2)" xfId="1247"/>
    <cellStyle name="_MARINA_cuadros adicionales de brechas2002 y 2008 (2) 2" xfId="1248"/>
    <cellStyle name="_MARINA_cuadros adicionales de brechas2002 y 2008 (2) 2 2" xfId="2914"/>
    <cellStyle name="_MARINA_cuadros adicionales de brechas2002 y 2008 (2) 3" xfId="2913"/>
    <cellStyle name="_MARINA_cuadros adicionales de brechas2002 y 2008 (2) 4" xfId="4633"/>
    <cellStyle name="_MARINA_CUAD-TEXTO_" xfId="1249"/>
    <cellStyle name="_MARINA_CUAD-TEXTO_ 2" xfId="1250"/>
    <cellStyle name="_MARINA_CUAD-TEXTO_ 2 2" xfId="2916"/>
    <cellStyle name="_MARINA_CUAD-TEXTO_ 3" xfId="2915"/>
    <cellStyle name="_MARINA_CUAD-TEXTO_ 4" xfId="4634"/>
    <cellStyle name="_MARINA_GRAFICOS ODM" xfId="1251"/>
    <cellStyle name="_MARINA_GRAFICOS ODM 2" xfId="1252"/>
    <cellStyle name="_MARINA_GRAFICOS ODM 2 2" xfId="2918"/>
    <cellStyle name="_MARINA_GRAFICOS ODM 3" xfId="2917"/>
    <cellStyle name="_MARINA_GRAFICOS ODM 4" xfId="4635"/>
    <cellStyle name="_MARINA_Libro2" xfId="1253"/>
    <cellStyle name="_MARINA_Libro2 2" xfId="1254"/>
    <cellStyle name="_MARINA_Libro2 2 2" xfId="2920"/>
    <cellStyle name="_MARINA_Libro2 3" xfId="2919"/>
    <cellStyle name="_MARINA_Libro2 4" xfId="4636"/>
    <cellStyle name="_MARINA_solicita datos para el 2007-minedu remitio" xfId="1255"/>
    <cellStyle name="_MARINA_solicita datos para el 2007-minedu remitio 2" xfId="1256"/>
    <cellStyle name="_MARINA_solicita datos para el 2007-minedu remitio 2 2" xfId="2922"/>
    <cellStyle name="_MARINA_solicita datos para el 2007-minedu remitio 3" xfId="2921"/>
    <cellStyle name="_MARINA_solicita datos para el 2007-minedu remitio 4" xfId="4638"/>
    <cellStyle name="_MINEM" xfId="1257"/>
    <cellStyle name="_MINEM 2" xfId="1258"/>
    <cellStyle name="_MINEM 2 2" xfId="2924"/>
    <cellStyle name="_MINEM 3" xfId="2923"/>
    <cellStyle name="_MINEM 4" xfId="4639"/>
    <cellStyle name="_MINEM_cuadros adicionales de brechas2002 y 2008 (2)" xfId="1259"/>
    <cellStyle name="_MINEM_cuadros adicionales de brechas2002 y 2008 (2) 2" xfId="1260"/>
    <cellStyle name="_MINEM_cuadros adicionales de brechas2002 y 2008 (2) 2 2" xfId="2926"/>
    <cellStyle name="_MINEM_cuadros adicionales de brechas2002 y 2008 (2) 3" xfId="2925"/>
    <cellStyle name="_MINEM_cuadros adicionales de brechas2002 y 2008 (2) 4" xfId="4640"/>
    <cellStyle name="_MINEM_CUAD-TEXTO_" xfId="1261"/>
    <cellStyle name="_MINEM_CUAD-TEXTO_ 2" xfId="1262"/>
    <cellStyle name="_MINEM_CUAD-TEXTO_ 2 2" xfId="2928"/>
    <cellStyle name="_MINEM_CUAD-TEXTO_ 3" xfId="2927"/>
    <cellStyle name="_MINEM_CUAD-TEXTO_ 4" xfId="4641"/>
    <cellStyle name="_MINEM_GRAFICOS ODM" xfId="1263"/>
    <cellStyle name="_MINEM_GRAFICOS ODM 2" xfId="1264"/>
    <cellStyle name="_MINEM_GRAFICOS ODM 2 2" xfId="2930"/>
    <cellStyle name="_MINEM_GRAFICOS ODM 3" xfId="2929"/>
    <cellStyle name="_MINEM_GRAFICOS ODM 4" xfId="4643"/>
    <cellStyle name="_MINEM_Libro2" xfId="1265"/>
    <cellStyle name="_MINEM_Libro2 2" xfId="1266"/>
    <cellStyle name="_MINEM_Libro2 2 2" xfId="2932"/>
    <cellStyle name="_MINEM_Libro2 3" xfId="2931"/>
    <cellStyle name="_MINEM_Libro2 4" xfId="4644"/>
    <cellStyle name="_MINEM_solicita datos para el 2007-minedu remitio" xfId="1267"/>
    <cellStyle name="_MINEM_solicita datos para el 2007-minedu remitio 2" xfId="1268"/>
    <cellStyle name="_MINEM_solicita datos para el 2007-minedu remitio 2 2" xfId="2934"/>
    <cellStyle name="_MINEM_solicita datos para el 2007-minedu remitio 3" xfId="2933"/>
    <cellStyle name="_MINEM_solicita datos para el 2007-minedu remitio 4" xfId="4645"/>
    <cellStyle name="_Para Anexo- CAP-6-SALUD-" xfId="1269"/>
    <cellStyle name="_Para Anexo- CAP-6-SALUD- 2" xfId="1270"/>
    <cellStyle name="_Para Anexo- CAP-6-SALUD- 2 2" xfId="2936"/>
    <cellStyle name="_Para Anexo- CAP-6-SALUD- 3" xfId="2935"/>
    <cellStyle name="_Para Anexo- CAP-6-SALUD- 4" xfId="4646"/>
    <cellStyle name="_para poket" xfId="1271"/>
    <cellStyle name="_para poket 2" xfId="1272"/>
    <cellStyle name="_para poket 2 2" xfId="1273"/>
    <cellStyle name="_para poket 2 2 2" xfId="1274"/>
    <cellStyle name="_para poket 2 2 2 2" xfId="2940"/>
    <cellStyle name="_para poket 2 2 3" xfId="2939"/>
    <cellStyle name="_para poket 2 2 4" xfId="4649"/>
    <cellStyle name="_para poket 2 3" xfId="1275"/>
    <cellStyle name="_para poket 2 3 2" xfId="2941"/>
    <cellStyle name="_para poket 2 4" xfId="2938"/>
    <cellStyle name="_para poket 2 5" xfId="4648"/>
    <cellStyle name="_para poket 3" xfId="1276"/>
    <cellStyle name="_para poket 3 2" xfId="2942"/>
    <cellStyle name="_para poket 4" xfId="2937"/>
    <cellStyle name="_para poket 5" xfId="4647"/>
    <cellStyle name="_pedir-biodiversidad" xfId="1277"/>
    <cellStyle name="_pedir-biodiversidad 2" xfId="1278"/>
    <cellStyle name="_pedir-biodiversidad 2 2" xfId="2948"/>
    <cellStyle name="_pedir-biodiversidad 3" xfId="2943"/>
    <cellStyle name="_pedir-biodiversidad 4" xfId="4650"/>
    <cellStyle name="_pedir-biodiversidad_1-UIRN-UTSIGnov-2008" xfId="1279"/>
    <cellStyle name="_pedir-biodiversidad_1-UIRN-UTSIGnov-2008 2" xfId="1280"/>
    <cellStyle name="_pedir-biodiversidad_1-UIRN-UTSIGnov-2008 2 2" xfId="2945"/>
    <cellStyle name="_pedir-biodiversidad_1-UIRN-UTSIGnov-2008 3" xfId="2944"/>
    <cellStyle name="_pedir-biodiversidad_1-UIRN-UTSIGnov-2008 4" xfId="4651"/>
    <cellStyle name="_pedir-biodiversidad_1-UIRN-UTSIGnov-2008_GRAFICOS ODM" xfId="1281"/>
    <cellStyle name="_pedir-biodiversidad_1-UIRN-UTSIGnov-2008_GRAFICOS ODM 2" xfId="1282"/>
    <cellStyle name="_pedir-biodiversidad_1-UIRN-UTSIGnov-2008_GRAFICOS ODM 2 2" xfId="2947"/>
    <cellStyle name="_pedir-biodiversidad_1-UIRN-UTSIGnov-2008_GRAFICOS ODM 3" xfId="2946"/>
    <cellStyle name="_pedir-biodiversidad_1-UIRN-UTSIGnov-2008_GRAFICOS ODM 4" xfId="4653"/>
    <cellStyle name="_pedir-biodiversidad_cuadros adicionales de brechas2002 y 2008 (2)" xfId="1283"/>
    <cellStyle name="_pedir-biodiversidad_cuadros adicionales de brechas2002 y 2008 (2) 2" xfId="1284"/>
    <cellStyle name="_pedir-biodiversidad_cuadros adicionales de brechas2002 y 2008 (2) 2 2" xfId="2950"/>
    <cellStyle name="_pedir-biodiversidad_cuadros adicionales de brechas2002 y 2008 (2) 3" xfId="2949"/>
    <cellStyle name="_pedir-biodiversidad_cuadros adicionales de brechas2002 y 2008 (2) 4" xfId="4654"/>
    <cellStyle name="_pedir-biodiversidad_CUAD-TEXTO_" xfId="1285"/>
    <cellStyle name="_pedir-biodiversidad_CUAD-TEXTO_ 2" xfId="1286"/>
    <cellStyle name="_pedir-biodiversidad_CUAD-TEXTO_ 2 2" xfId="2952"/>
    <cellStyle name="_pedir-biodiversidad_CUAD-TEXTO_ 3" xfId="2951"/>
    <cellStyle name="_pedir-biodiversidad_CUAD-TEXTO_ 4" xfId="4655"/>
    <cellStyle name="_pedir-biodiversidad_GRAFICOS ODM" xfId="1287"/>
    <cellStyle name="_pedir-biodiversidad_GRAFICOS ODM 2" xfId="1288"/>
    <cellStyle name="_pedir-biodiversidad_GRAFICOS ODM 2 2" xfId="2954"/>
    <cellStyle name="_pedir-biodiversidad_GRAFICOS ODM 3" xfId="2953"/>
    <cellStyle name="_pedir-biodiversidad_GRAFICOS ODM 4" xfId="4657"/>
    <cellStyle name="_pedir-biodiversidad_Libro2" xfId="1289"/>
    <cellStyle name="_pedir-biodiversidad_Libro2 2" xfId="1290"/>
    <cellStyle name="_pedir-biodiversidad_Libro2 2 2" xfId="2956"/>
    <cellStyle name="_pedir-biodiversidad_Libro2 3" xfId="2955"/>
    <cellStyle name="_pedir-biodiversidad_Libro2 4" xfId="4658"/>
    <cellStyle name="_pedir-biodiversidad_solicita datos para el 2007-minedu remitio" xfId="1291"/>
    <cellStyle name="_pedir-biodiversidad_solicita datos para el 2007-minedu remitio 2" xfId="1292"/>
    <cellStyle name="_pedir-biodiversidad_solicita datos para el 2007-minedu remitio 2 2" xfId="2958"/>
    <cellStyle name="_pedir-biodiversidad_solicita datos para el 2007-minedu remitio 3" xfId="2957"/>
    <cellStyle name="_pedir-biodiversidad_solicita datos para el 2007-minedu remitio 4" xfId="4659"/>
    <cellStyle name="_pedir-TERRITORIO-2008" xfId="1293"/>
    <cellStyle name="_pedir-TERRITORIO-2008 2" xfId="1294"/>
    <cellStyle name="_pedir-TERRITORIO-2008 2 2" xfId="2960"/>
    <cellStyle name="_pedir-TERRITORIO-2008 3" xfId="2959"/>
    <cellStyle name="_pedir-TERRITORIO-2008 4" xfId="4661"/>
    <cellStyle name="_pedir-TERRITORIO-2008_cuadros adicionales de brechas2002 y 2008 (2)" xfId="1295"/>
    <cellStyle name="_pedir-TERRITORIO-2008_cuadros adicionales de brechas2002 y 2008 (2) 2" xfId="1296"/>
    <cellStyle name="_pedir-TERRITORIO-2008_cuadros adicionales de brechas2002 y 2008 (2) 2 2" xfId="2962"/>
    <cellStyle name="_pedir-TERRITORIO-2008_cuadros adicionales de brechas2002 y 2008 (2) 3" xfId="2961"/>
    <cellStyle name="_pedir-TERRITORIO-2008_cuadros adicionales de brechas2002 y 2008 (2) 4" xfId="4662"/>
    <cellStyle name="_pedir-TERRITORIO-2008_CUAD-TEXTO_" xfId="1297"/>
    <cellStyle name="_pedir-TERRITORIO-2008_CUAD-TEXTO_ 2" xfId="1298"/>
    <cellStyle name="_pedir-TERRITORIO-2008_CUAD-TEXTO_ 2 2" xfId="2964"/>
    <cellStyle name="_pedir-TERRITORIO-2008_CUAD-TEXTO_ 3" xfId="2963"/>
    <cellStyle name="_pedir-TERRITORIO-2008_CUAD-TEXTO_ 4" xfId="4663"/>
    <cellStyle name="_pedir-TERRITORIO-2008_GRAFICOS ODM" xfId="1299"/>
    <cellStyle name="_pedir-TERRITORIO-2008_GRAFICOS ODM 2" xfId="1300"/>
    <cellStyle name="_pedir-TERRITORIO-2008_GRAFICOS ODM 2 2" xfId="2966"/>
    <cellStyle name="_pedir-TERRITORIO-2008_GRAFICOS ODM 3" xfId="2965"/>
    <cellStyle name="_pedir-TERRITORIO-2008_GRAFICOS ODM 4" xfId="4664"/>
    <cellStyle name="_pedir-TERRITORIO-2008_Libro2" xfId="1301"/>
    <cellStyle name="_pedir-TERRITORIO-2008_Libro2 2" xfId="1302"/>
    <cellStyle name="_pedir-TERRITORIO-2008_Libro2 2 2" xfId="2968"/>
    <cellStyle name="_pedir-TERRITORIO-2008_Libro2 3" xfId="2967"/>
    <cellStyle name="_pedir-TERRITORIO-2008_Libro2 4" xfId="4666"/>
    <cellStyle name="_pedir-TERRITORIO-2008_solicita datos para el 2007-minedu remitio" xfId="1303"/>
    <cellStyle name="_pedir-TERRITORIO-2008_solicita datos para el 2007-minedu remitio 2" xfId="1304"/>
    <cellStyle name="_pedir-TERRITORIO-2008_solicita datos para el 2007-minedu remitio 2 2" xfId="2970"/>
    <cellStyle name="_pedir-TERRITORIO-2008_solicita datos para el 2007-minedu remitio 3" xfId="2969"/>
    <cellStyle name="_pedir-TERRITORIO-2008_solicita datos para el 2007-minedu remitio 4" xfId="4667"/>
    <cellStyle name="_PRONAMACHS" xfId="1305"/>
    <cellStyle name="_PRONAMACHS 2" xfId="1306"/>
    <cellStyle name="_PRONAMACHS 2 2" xfId="2976"/>
    <cellStyle name="_PRONAMACHS 3" xfId="2971"/>
    <cellStyle name="_PRONAMACHS 4" xfId="4668"/>
    <cellStyle name="_PRONAMACHS_1-UIRN-UTSIGnov-2008" xfId="1307"/>
    <cellStyle name="_PRONAMACHS_1-UIRN-UTSIGnov-2008 2" xfId="1308"/>
    <cellStyle name="_PRONAMACHS_1-UIRN-UTSIGnov-2008 2 2" xfId="2973"/>
    <cellStyle name="_PRONAMACHS_1-UIRN-UTSIGnov-2008 3" xfId="2972"/>
    <cellStyle name="_PRONAMACHS_1-UIRN-UTSIGnov-2008 4" xfId="4670"/>
    <cellStyle name="_PRONAMACHS_1-UIRN-UTSIGnov-2008_GRAFICOS ODM" xfId="1309"/>
    <cellStyle name="_PRONAMACHS_1-UIRN-UTSIGnov-2008_GRAFICOS ODM 2" xfId="1310"/>
    <cellStyle name="_PRONAMACHS_1-UIRN-UTSIGnov-2008_GRAFICOS ODM 2 2" xfId="2975"/>
    <cellStyle name="_PRONAMACHS_1-UIRN-UTSIGnov-2008_GRAFICOS ODM 3" xfId="2974"/>
    <cellStyle name="_PRONAMACHS_1-UIRN-UTSIGnov-2008_GRAFICOS ODM 4" xfId="4671"/>
    <cellStyle name="_PRONAMACHS_cuadros adicionales de brechas2002 y 2008 (2)" xfId="1311"/>
    <cellStyle name="_PRONAMACHS_cuadros adicionales de brechas2002 y 2008 (2) 2" xfId="1312"/>
    <cellStyle name="_PRONAMACHS_cuadros adicionales de brechas2002 y 2008 (2) 2 2" xfId="2978"/>
    <cellStyle name="_PRONAMACHS_cuadros adicionales de brechas2002 y 2008 (2) 3" xfId="2977"/>
    <cellStyle name="_PRONAMACHS_cuadros adicionales de brechas2002 y 2008 (2) 4" xfId="4672"/>
    <cellStyle name="_PRONAMACHS_CUAD-TEXTO_" xfId="1313"/>
    <cellStyle name="_PRONAMACHS_CUAD-TEXTO_ 2" xfId="1314"/>
    <cellStyle name="_PRONAMACHS_CUAD-TEXTO_ 2 2" xfId="2980"/>
    <cellStyle name="_PRONAMACHS_CUAD-TEXTO_ 3" xfId="2979"/>
    <cellStyle name="_PRONAMACHS_CUAD-TEXTO_ 4" xfId="4673"/>
    <cellStyle name="_PRONAMACHS_GRAFICOS ODM" xfId="1315"/>
    <cellStyle name="_PRONAMACHS_GRAFICOS ODM 2" xfId="1316"/>
    <cellStyle name="_PRONAMACHS_GRAFICOS ODM 2 2" xfId="2982"/>
    <cellStyle name="_PRONAMACHS_GRAFICOS ODM 3" xfId="2981"/>
    <cellStyle name="_PRONAMACHS_GRAFICOS ODM 4" xfId="4675"/>
    <cellStyle name="_PRONAMACHS_Libro2" xfId="1317"/>
    <cellStyle name="_PRONAMACHS_Libro2 2" xfId="1318"/>
    <cellStyle name="_PRONAMACHS_Libro2 2 2" xfId="2984"/>
    <cellStyle name="_PRONAMACHS_Libro2 3" xfId="2983"/>
    <cellStyle name="_PRONAMACHS_Libro2 4" xfId="4676"/>
    <cellStyle name="_PRONAMACHS_solicita datos para el 2007-minedu remitio" xfId="1319"/>
    <cellStyle name="_PRONAMACHS_solicita datos para el 2007-minedu remitio 2" xfId="1320"/>
    <cellStyle name="_PRONAMACHS_solicita datos para el 2007-minedu remitio 2 2" xfId="2986"/>
    <cellStyle name="_PRONAMACHS_solicita datos para el 2007-minedu remitio 3" xfId="2985"/>
    <cellStyle name="_PRONAMACHS_solicita datos para el 2007-minedu remitio 4" xfId="4677"/>
    <cellStyle name="_PRONAMACHS-2009" xfId="1321"/>
    <cellStyle name="_PRONAMACHS-2009 2" xfId="1322"/>
    <cellStyle name="_PRONAMACHS-2009 2 2" xfId="2988"/>
    <cellStyle name="_PRONAMACHS-2009 3" xfId="2987"/>
    <cellStyle name="_PRONAMACHS-2009 4" xfId="4678"/>
    <cellStyle name="_PRONAMACHS-2009_cuadros adicionales de brechas2002 y 2008 (2)" xfId="1323"/>
    <cellStyle name="_PRONAMACHS-2009_cuadros adicionales de brechas2002 y 2008 (2) 2" xfId="1324"/>
    <cellStyle name="_PRONAMACHS-2009_cuadros adicionales de brechas2002 y 2008 (2) 2 2" xfId="2990"/>
    <cellStyle name="_PRONAMACHS-2009_cuadros adicionales de brechas2002 y 2008 (2) 3" xfId="2989"/>
    <cellStyle name="_PRONAMACHS-2009_cuadros adicionales de brechas2002 y 2008 (2) 4" xfId="4680"/>
    <cellStyle name="_PRONAMACHS-2009_CUAD-TEXTO_" xfId="1325"/>
    <cellStyle name="_PRONAMACHS-2009_CUAD-TEXTO_ 2" xfId="1326"/>
    <cellStyle name="_PRONAMACHS-2009_CUAD-TEXTO_ 2 2" xfId="2992"/>
    <cellStyle name="_PRONAMACHS-2009_CUAD-TEXTO_ 3" xfId="2991"/>
    <cellStyle name="_PRONAMACHS-2009_CUAD-TEXTO_ 4" xfId="4681"/>
    <cellStyle name="_PRONAMACHS-2009_GRAFICOS ODM" xfId="1327"/>
    <cellStyle name="_PRONAMACHS-2009_GRAFICOS ODM 2" xfId="1328"/>
    <cellStyle name="_PRONAMACHS-2009_GRAFICOS ODM 2 2" xfId="2994"/>
    <cellStyle name="_PRONAMACHS-2009_GRAFICOS ODM 3" xfId="2993"/>
    <cellStyle name="_PRONAMACHS-2009_GRAFICOS ODM 4" xfId="4682"/>
    <cellStyle name="_PRONAMACHS-2009_Libro2" xfId="1329"/>
    <cellStyle name="_PRONAMACHS-2009_Libro2 2" xfId="1330"/>
    <cellStyle name="_PRONAMACHS-2009_Libro2 2 2" xfId="2996"/>
    <cellStyle name="_PRONAMACHS-2009_Libro2 3" xfId="2995"/>
    <cellStyle name="_PRONAMACHS-2009_Libro2 4" xfId="4683"/>
    <cellStyle name="_PRONAMACHS-2009_solicita datos para el 2007-minedu remitio" xfId="1331"/>
    <cellStyle name="_PRONAMACHS-2009_solicita datos para el 2007-minedu remitio 2" xfId="1332"/>
    <cellStyle name="_PRONAMACHS-2009_solicita datos para el 2007-minedu remitio 2 2" xfId="2998"/>
    <cellStyle name="_PRONAMACHS-2009_solicita datos para el 2007-minedu remitio 3" xfId="2997"/>
    <cellStyle name="_PRONAMACHS-2009_solicita datos para el 2007-minedu remitio 4" xfId="4684"/>
    <cellStyle name="_pronamachs-Nelly" xfId="1333"/>
    <cellStyle name="_pronamachs-Nelly 2" xfId="1334"/>
    <cellStyle name="_pronamachs-Nelly 2 2" xfId="3000"/>
    <cellStyle name="_pronamachs-Nelly 3" xfId="2999"/>
    <cellStyle name="_pronamachs-Nelly 4" xfId="4685"/>
    <cellStyle name="_pronamachs-Nelly_cuadros adicionales de brechas2002 y 2008 (2)" xfId="1335"/>
    <cellStyle name="_pronamachs-Nelly_cuadros adicionales de brechas2002 y 2008 (2) 2" xfId="1336"/>
    <cellStyle name="_pronamachs-Nelly_cuadros adicionales de brechas2002 y 2008 (2) 2 2" xfId="3002"/>
    <cellStyle name="_pronamachs-Nelly_cuadros adicionales de brechas2002 y 2008 (2) 3" xfId="3001"/>
    <cellStyle name="_pronamachs-Nelly_cuadros adicionales de brechas2002 y 2008 (2) 4" xfId="4686"/>
    <cellStyle name="_pronamachs-Nelly_CUAD-TEXTO_" xfId="1337"/>
    <cellStyle name="_pronamachs-Nelly_CUAD-TEXTO_ 2" xfId="1338"/>
    <cellStyle name="_pronamachs-Nelly_CUAD-TEXTO_ 2 2" xfId="3004"/>
    <cellStyle name="_pronamachs-Nelly_CUAD-TEXTO_ 3" xfId="3003"/>
    <cellStyle name="_pronamachs-Nelly_CUAD-TEXTO_ 4" xfId="4688"/>
    <cellStyle name="_pronamachs-Nelly_GRAFICOS ODM" xfId="1339"/>
    <cellStyle name="_pronamachs-Nelly_GRAFICOS ODM 2" xfId="1340"/>
    <cellStyle name="_pronamachs-Nelly_GRAFICOS ODM 2 2" xfId="3006"/>
    <cellStyle name="_pronamachs-Nelly_GRAFICOS ODM 3" xfId="3005"/>
    <cellStyle name="_pronamachs-Nelly_GRAFICOS ODM 4" xfId="4689"/>
    <cellStyle name="_pronamachs-Nelly_Libro2" xfId="1341"/>
    <cellStyle name="_pronamachs-Nelly_Libro2 2" xfId="1342"/>
    <cellStyle name="_pronamachs-Nelly_Libro2 2 2" xfId="3008"/>
    <cellStyle name="_pronamachs-Nelly_Libro2 3" xfId="3007"/>
    <cellStyle name="_pronamachs-Nelly_Libro2 4" xfId="4690"/>
    <cellStyle name="_pronamachs-Nelly_solicita datos para el 2007-minedu remitio" xfId="1343"/>
    <cellStyle name="_pronamachs-Nelly_solicita datos para el 2007-minedu remitio 2" xfId="1344"/>
    <cellStyle name="_pronamachs-Nelly_solicita datos para el 2007-minedu remitio 2 2" xfId="3010"/>
    <cellStyle name="_pronamachs-Nelly_solicita datos para el 2007-minedu remitio 3" xfId="3009"/>
    <cellStyle name="_pronamachs-Nelly_solicita datos para el 2007-minedu remitio 4" xfId="4691"/>
    <cellStyle name="_-s-eliminar" xfId="1345"/>
    <cellStyle name="_-s-eliminar 2" xfId="1346"/>
    <cellStyle name="_-s-eliminar 2 2" xfId="3012"/>
    <cellStyle name="_-s-eliminar 3" xfId="3011"/>
    <cellStyle name="_-s-eliminar 4" xfId="4692"/>
    <cellStyle name="_-s-eliminar_cuadros adicionales de brechas2002 y 2008 (2)" xfId="1347"/>
    <cellStyle name="_-s-eliminar_cuadros adicionales de brechas2002 y 2008 (2) 2" xfId="1348"/>
    <cellStyle name="_-s-eliminar_cuadros adicionales de brechas2002 y 2008 (2) 2 2" xfId="3014"/>
    <cellStyle name="_-s-eliminar_cuadros adicionales de brechas2002 y 2008 (2) 3" xfId="3013"/>
    <cellStyle name="_-s-eliminar_cuadros adicionales de brechas2002 y 2008 (2) 4" xfId="4693"/>
    <cellStyle name="_-s-eliminar_CUAD-TEXTO_" xfId="1349"/>
    <cellStyle name="_-s-eliminar_CUAD-TEXTO_ 2" xfId="1350"/>
    <cellStyle name="_-s-eliminar_CUAD-TEXTO_ 2 2" xfId="3016"/>
    <cellStyle name="_-s-eliminar_CUAD-TEXTO_ 3" xfId="3015"/>
    <cellStyle name="_-s-eliminar_CUAD-TEXTO_ 4" xfId="4694"/>
    <cellStyle name="_-s-eliminar_GRAFICOS ODM" xfId="1351"/>
    <cellStyle name="_-s-eliminar_GRAFICOS ODM 2" xfId="1352"/>
    <cellStyle name="_-s-eliminar_GRAFICOS ODM 2 2" xfId="3018"/>
    <cellStyle name="_-s-eliminar_GRAFICOS ODM 3" xfId="3017"/>
    <cellStyle name="_-s-eliminar_GRAFICOS ODM 4" xfId="4695"/>
    <cellStyle name="_-s-eliminar_Libro2" xfId="1353"/>
    <cellStyle name="_-s-eliminar_Libro2 2" xfId="1354"/>
    <cellStyle name="_-s-eliminar_Libro2 2 2" xfId="3020"/>
    <cellStyle name="_-s-eliminar_Libro2 3" xfId="3019"/>
    <cellStyle name="_-s-eliminar_Libro2 4" xfId="4697"/>
    <cellStyle name="_-s-eliminar_solicita datos para el 2007-minedu remitio" xfId="1355"/>
    <cellStyle name="_-s-eliminar_solicita datos para el 2007-minedu remitio 2" xfId="1356"/>
    <cellStyle name="_-s-eliminar_solicita datos para el 2007-minedu remitio 2 2" xfId="3022"/>
    <cellStyle name="_-s-eliminar_solicita datos para el 2007-minedu remitio 3" xfId="3021"/>
    <cellStyle name="_-s-eliminar_solicita datos para el 2007-minedu remitio 4" xfId="4698"/>
    <cellStyle name="_SISMOS-UNIDOS" xfId="1357"/>
    <cellStyle name="_SISMOS-UNIDOS 2" xfId="1358"/>
    <cellStyle name="_SISMOS-UNIDOS 2 2" xfId="3024"/>
    <cellStyle name="_SISMOS-UNIDOS 3" xfId="3023"/>
    <cellStyle name="_SISMOS-UNIDOS 4" xfId="4699"/>
    <cellStyle name="_SISMOS-UNIDOS_cuadros adicionales de brechas2002 y 2008 (2)" xfId="1359"/>
    <cellStyle name="_SISMOS-UNIDOS_cuadros adicionales de brechas2002 y 2008 (2) 2" xfId="1360"/>
    <cellStyle name="_SISMOS-UNIDOS_cuadros adicionales de brechas2002 y 2008 (2) 2 2" xfId="3026"/>
    <cellStyle name="_SISMOS-UNIDOS_cuadros adicionales de brechas2002 y 2008 (2) 3" xfId="3025"/>
    <cellStyle name="_SISMOS-UNIDOS_cuadros adicionales de brechas2002 y 2008 (2) 4" xfId="4700"/>
    <cellStyle name="_SISMOS-UNIDOS_CUAD-TEXTO_" xfId="1361"/>
    <cellStyle name="_SISMOS-UNIDOS_CUAD-TEXTO_ 2" xfId="1362"/>
    <cellStyle name="_SISMOS-UNIDOS_CUAD-TEXTO_ 2 2" xfId="3028"/>
    <cellStyle name="_SISMOS-UNIDOS_CUAD-TEXTO_ 3" xfId="3027"/>
    <cellStyle name="_SISMOS-UNIDOS_CUAD-TEXTO_ 4" xfId="4701"/>
    <cellStyle name="_SISMOS-UNIDOS_GRAFICOS ODM" xfId="1363"/>
    <cellStyle name="_SISMOS-UNIDOS_GRAFICOS ODM 2" xfId="1364"/>
    <cellStyle name="_SISMOS-UNIDOS_GRAFICOS ODM 2 2" xfId="3030"/>
    <cellStyle name="_SISMOS-UNIDOS_GRAFICOS ODM 3" xfId="3029"/>
    <cellStyle name="_SISMOS-UNIDOS_GRAFICOS ODM 4" xfId="4703"/>
    <cellStyle name="_SISMOS-UNIDOS_Libro2" xfId="1365"/>
    <cellStyle name="_SISMOS-UNIDOS_Libro2 2" xfId="1366"/>
    <cellStyle name="_SISMOS-UNIDOS_Libro2 2 2" xfId="3032"/>
    <cellStyle name="_SISMOS-UNIDOS_Libro2 3" xfId="3031"/>
    <cellStyle name="_SISMOS-UNIDOS_Libro2 4" xfId="4704"/>
    <cellStyle name="_SISMOS-UNIDOS_solicita datos para el 2007-minedu remitio" xfId="1367"/>
    <cellStyle name="_SISMOS-UNIDOS_solicita datos para el 2007-minedu remitio 2" xfId="1368"/>
    <cellStyle name="_SISMOS-UNIDOS_solicita datos para el 2007-minedu remitio 2 2" xfId="3034"/>
    <cellStyle name="_SISMOS-UNIDOS_solicita datos para el 2007-minedu remitio 3" xfId="3033"/>
    <cellStyle name="_SISMOS-UNIDOS_solicita datos para el 2007-minedu remitio 4" xfId="4705"/>
    <cellStyle name="_superficial-huacho" xfId="1369"/>
    <cellStyle name="_superficial-huacho 2" xfId="1370"/>
    <cellStyle name="_superficial-huacho 2 2" xfId="3040"/>
    <cellStyle name="_superficial-huacho 3" xfId="3035"/>
    <cellStyle name="_superficial-huacho 4" xfId="4706"/>
    <cellStyle name="_superficial-huacho_1-UIRN-UTSIGnov-2008" xfId="1371"/>
    <cellStyle name="_superficial-huacho_1-UIRN-UTSIGnov-2008 2" xfId="1372"/>
    <cellStyle name="_superficial-huacho_1-UIRN-UTSIGnov-2008 2 2" xfId="3037"/>
    <cellStyle name="_superficial-huacho_1-UIRN-UTSIGnov-2008 3" xfId="3036"/>
    <cellStyle name="_superficial-huacho_1-UIRN-UTSIGnov-2008 4" xfId="4707"/>
    <cellStyle name="_superficial-huacho_1-UIRN-UTSIGnov-2008_GRAFICOS ODM" xfId="1373"/>
    <cellStyle name="_superficial-huacho_1-UIRN-UTSIGnov-2008_GRAFICOS ODM 2" xfId="1374"/>
    <cellStyle name="_superficial-huacho_1-UIRN-UTSIGnov-2008_GRAFICOS ODM 2 2" xfId="3039"/>
    <cellStyle name="_superficial-huacho_1-UIRN-UTSIGnov-2008_GRAFICOS ODM 3" xfId="3038"/>
    <cellStyle name="_superficial-huacho_1-UIRN-UTSIGnov-2008_GRAFICOS ODM 4" xfId="4708"/>
    <cellStyle name="_superficial-huacho_cuadros adicionales de brechas2002 y 2008 (2)" xfId="1375"/>
    <cellStyle name="_superficial-huacho_cuadros adicionales de brechas2002 y 2008 (2) 2" xfId="1376"/>
    <cellStyle name="_superficial-huacho_cuadros adicionales de brechas2002 y 2008 (2) 2 2" xfId="3042"/>
    <cellStyle name="_superficial-huacho_cuadros adicionales de brechas2002 y 2008 (2) 3" xfId="3041"/>
    <cellStyle name="_superficial-huacho_cuadros adicionales de brechas2002 y 2008 (2) 4" xfId="4709"/>
    <cellStyle name="_superficial-huacho_CUAD-TEXTO_" xfId="1377"/>
    <cellStyle name="_superficial-huacho_CUAD-TEXTO_ 2" xfId="1378"/>
    <cellStyle name="_superficial-huacho_CUAD-TEXTO_ 2 2" xfId="3044"/>
    <cellStyle name="_superficial-huacho_CUAD-TEXTO_ 3" xfId="3043"/>
    <cellStyle name="_superficial-huacho_CUAD-TEXTO_ 4" xfId="4710"/>
    <cellStyle name="_superficial-huacho_GRAFICOS ODM" xfId="1379"/>
    <cellStyle name="_superficial-huacho_GRAFICOS ODM 2" xfId="1380"/>
    <cellStyle name="_superficial-huacho_GRAFICOS ODM 2 2" xfId="3046"/>
    <cellStyle name="_superficial-huacho_GRAFICOS ODM 3" xfId="3045"/>
    <cellStyle name="_superficial-huacho_GRAFICOS ODM 4" xfId="4711"/>
    <cellStyle name="_superficial-huacho_Libro2" xfId="1381"/>
    <cellStyle name="_superficial-huacho_Libro2 2" xfId="1382"/>
    <cellStyle name="_superficial-huacho_Libro2 2 2" xfId="3048"/>
    <cellStyle name="_superficial-huacho_Libro2 3" xfId="3047"/>
    <cellStyle name="_superficial-huacho_Libro2 4" xfId="4712"/>
    <cellStyle name="_superficial-huacho_solicita datos para el 2007-minedu remitio" xfId="1383"/>
    <cellStyle name="_superficial-huacho_solicita datos para el 2007-minedu remitio 2" xfId="1384"/>
    <cellStyle name="_superficial-huacho_solicita datos para el 2007-minedu remitio 2 2" xfId="3050"/>
    <cellStyle name="_superficial-huacho_solicita datos para el 2007-minedu remitio 3" xfId="3049"/>
    <cellStyle name="_superficial-huacho_solicita datos para el 2007-minedu remitio 4" xfId="4714"/>
    <cellStyle name="_trabajo-1" xfId="1385"/>
    <cellStyle name="_trabajo-1 2" xfId="1386"/>
    <cellStyle name="_trabajo-1 2 2" xfId="3052"/>
    <cellStyle name="_trabajo-1 3" xfId="3051"/>
    <cellStyle name="_trabajo-1 4" xfId="4715"/>
    <cellStyle name="_trabajo-1_cuadros adicionales de brechas2002 y 2008 (2)" xfId="1387"/>
    <cellStyle name="_trabajo-1_cuadros adicionales de brechas2002 y 2008 (2) 2" xfId="1388"/>
    <cellStyle name="_trabajo-1_cuadros adicionales de brechas2002 y 2008 (2) 2 2" xfId="3054"/>
    <cellStyle name="_trabajo-1_cuadros adicionales de brechas2002 y 2008 (2) 3" xfId="3053"/>
    <cellStyle name="_trabajo-1_cuadros adicionales de brechas2002 y 2008 (2) 4" xfId="4716"/>
    <cellStyle name="_trabajo-1_CUAD-TEXTO_" xfId="1389"/>
    <cellStyle name="_trabajo-1_CUAD-TEXTO_ 2" xfId="1390"/>
    <cellStyle name="_trabajo-1_CUAD-TEXTO_ 2 2" xfId="3056"/>
    <cellStyle name="_trabajo-1_CUAD-TEXTO_ 3" xfId="3055"/>
    <cellStyle name="_trabajo-1_CUAD-TEXTO_ 4" xfId="4718"/>
    <cellStyle name="_trabajo-1_GRAFICOS ODM" xfId="1391"/>
    <cellStyle name="_trabajo-1_GRAFICOS ODM 2" xfId="1392"/>
    <cellStyle name="_trabajo-1_GRAFICOS ODM 2 2" xfId="3058"/>
    <cellStyle name="_trabajo-1_GRAFICOS ODM 3" xfId="3057"/>
    <cellStyle name="_trabajo-1_GRAFICOS ODM 4" xfId="4719"/>
    <cellStyle name="_trabajo-1_Libro2" xfId="1393"/>
    <cellStyle name="_trabajo-1_Libro2 2" xfId="1394"/>
    <cellStyle name="_trabajo-1_Libro2 2 2" xfId="3060"/>
    <cellStyle name="_trabajo-1_Libro2 3" xfId="3059"/>
    <cellStyle name="_trabajo-1_Libro2 4" xfId="4720"/>
    <cellStyle name="_trabajo-1_solicita datos para el 2007-minedu remitio" xfId="1395"/>
    <cellStyle name="_trabajo-1_solicita datos para el 2007-minedu remitio 2" xfId="1396"/>
    <cellStyle name="_trabajo-1_solicita datos para el 2007-minedu remitio 2 2" xfId="3062"/>
    <cellStyle name="_trabajo-1_solicita datos para el 2007-minedu remitio 3" xfId="3061"/>
    <cellStyle name="_trabajo-1_solicita datos para el 2007-minedu remitio 4" xfId="4721"/>
    <cellStyle name="_ULTIMO - Compen Esta 2009 CAP_10_PART_CIUDA" xfId="1397"/>
    <cellStyle name="_ULTIMO - Compen Esta 2009 CAP_10_PART_CIUDA 2" xfId="1398"/>
    <cellStyle name="_ULTIMO - Compen Esta 2009 CAP_10_PART_CIUDA 2 2" xfId="1399"/>
    <cellStyle name="_ULTIMO - Compen Esta 2009 CAP_10_PART_CIUDA 2 2 2" xfId="1400"/>
    <cellStyle name="_ULTIMO - Compen Esta 2009 CAP_10_PART_CIUDA 2 2 2 2" xfId="3066"/>
    <cellStyle name="_ULTIMO - Compen Esta 2009 CAP_10_PART_CIUDA 2 2 3" xfId="3065"/>
    <cellStyle name="_ULTIMO - Compen Esta 2009 CAP_10_PART_CIUDA 2 2 4" xfId="4724"/>
    <cellStyle name="_ULTIMO - Compen Esta 2009 CAP_10_PART_CIUDA 2 3" xfId="1401"/>
    <cellStyle name="_ULTIMO - Compen Esta 2009 CAP_10_PART_CIUDA 2 3 2" xfId="3067"/>
    <cellStyle name="_ULTIMO - Compen Esta 2009 CAP_10_PART_CIUDA 2 4" xfId="3064"/>
    <cellStyle name="_ULTIMO - Compen Esta 2009 CAP_10_PART_CIUDA 2 5" xfId="4723"/>
    <cellStyle name="_ULTIMO - Compen Esta 2009 CAP_10_PART_CIUDA 3" xfId="1402"/>
    <cellStyle name="_ULTIMO - Compen Esta 2009 CAP_10_PART_CIUDA 3 2" xfId="3068"/>
    <cellStyle name="_ULTIMO - Compen Esta 2009 CAP_10_PART_CIUDA 4" xfId="3063"/>
    <cellStyle name="_ULTIMO - Compen Esta 2009 CAP_10_PART_CIUDA 5" xfId="4722"/>
    <cellStyle name="20% - Accent1" xfId="1403"/>
    <cellStyle name="20% - Accent1 2" xfId="1404"/>
    <cellStyle name="20% - Accent1 2 2" xfId="1405"/>
    <cellStyle name="20% - Accent1 3" xfId="1406"/>
    <cellStyle name="20% - Accent2" xfId="1407"/>
    <cellStyle name="20% - Accent2 2" xfId="1408"/>
    <cellStyle name="20% - Accent2 2 2" xfId="1409"/>
    <cellStyle name="20% - Accent2 3" xfId="1410"/>
    <cellStyle name="20% - Accent3" xfId="1411"/>
    <cellStyle name="20% - Accent3 2" xfId="1412"/>
    <cellStyle name="20% - Accent3 2 2" xfId="1413"/>
    <cellStyle name="20% - Accent3 3" xfId="1414"/>
    <cellStyle name="20% - Accent4" xfId="1415"/>
    <cellStyle name="20% - Accent4 2" xfId="1416"/>
    <cellStyle name="20% - Accent4 2 2" xfId="1417"/>
    <cellStyle name="20% - Accent4 3" xfId="1418"/>
    <cellStyle name="20% - Accent5" xfId="1419"/>
    <cellStyle name="20% - Accent5 2" xfId="1420"/>
    <cellStyle name="20% - Accent5 2 2" xfId="1421"/>
    <cellStyle name="20% - Accent5 3" xfId="1422"/>
    <cellStyle name="20% - Accent6" xfId="1423"/>
    <cellStyle name="20% - Accent6 2" xfId="1424"/>
    <cellStyle name="20% - Accent6 2 2" xfId="1425"/>
    <cellStyle name="20% - Accent6 3" xfId="1426"/>
    <cellStyle name="20% - Énfasis1 2" xfId="5832"/>
    <cellStyle name="20% - Énfasis2 2" xfId="5833"/>
    <cellStyle name="20% - Énfasis3 2" xfId="5834"/>
    <cellStyle name="20% - Énfasis4 2" xfId="5835"/>
    <cellStyle name="20% - Énfasis5 2" xfId="5836"/>
    <cellStyle name="20% - Énfasis6 2" xfId="5837"/>
    <cellStyle name="40% - Accent1" xfId="1427"/>
    <cellStyle name="40% - Accent1 2" xfId="1428"/>
    <cellStyle name="40% - Accent1 2 2" xfId="1429"/>
    <cellStyle name="40% - Accent1 3" xfId="1430"/>
    <cellStyle name="40% - Accent2" xfId="1431"/>
    <cellStyle name="40% - Accent2 2" xfId="1432"/>
    <cellStyle name="40% - Accent2 2 2" xfId="1433"/>
    <cellStyle name="40% - Accent2 3" xfId="1434"/>
    <cellStyle name="40% - Accent3" xfId="1435"/>
    <cellStyle name="40% - Accent3 2" xfId="1436"/>
    <cellStyle name="40% - Accent3 2 2" xfId="1437"/>
    <cellStyle name="40% - Accent3 3" xfId="1438"/>
    <cellStyle name="40% - Accent4" xfId="1439"/>
    <cellStyle name="40% - Accent4 2" xfId="1440"/>
    <cellStyle name="40% - Accent4 2 2" xfId="1441"/>
    <cellStyle name="40% - Accent4 3" xfId="1442"/>
    <cellStyle name="40% - Accent5" xfId="1443"/>
    <cellStyle name="40% - Accent5 2" xfId="1444"/>
    <cellStyle name="40% - Accent5 2 2" xfId="1445"/>
    <cellStyle name="40% - Accent5 3" xfId="1446"/>
    <cellStyle name="40% - Accent6" xfId="1447"/>
    <cellStyle name="40% - Accent6 2" xfId="1448"/>
    <cellStyle name="40% - Accent6 2 2" xfId="1449"/>
    <cellStyle name="40% - Accent6 3" xfId="1450"/>
    <cellStyle name="40% - Énfasis1 2" xfId="5838"/>
    <cellStyle name="40% - Énfasis2 2" xfId="5839"/>
    <cellStyle name="40% - Énfasis3 2" xfId="5840"/>
    <cellStyle name="40% - Énfasis4 2" xfId="5841"/>
    <cellStyle name="40% - Énfasis5 2" xfId="5842"/>
    <cellStyle name="40% - Énfasis6 2" xfId="5843"/>
    <cellStyle name="60% - Accent1" xfId="1451"/>
    <cellStyle name="60% - Accent1 2" xfId="1452"/>
    <cellStyle name="60% - Accent2" xfId="1453"/>
    <cellStyle name="60% - Accent2 2" xfId="1454"/>
    <cellStyle name="60% - Accent3" xfId="1455"/>
    <cellStyle name="60% - Accent3 2" xfId="1456"/>
    <cellStyle name="60% - Accent4" xfId="1457"/>
    <cellStyle name="60% - Accent4 2" xfId="1458"/>
    <cellStyle name="60% - Accent5" xfId="1459"/>
    <cellStyle name="60% - Accent5 2" xfId="1460"/>
    <cellStyle name="60% - Accent6" xfId="1461"/>
    <cellStyle name="60% - Accent6 2" xfId="1462"/>
    <cellStyle name="60% - Énfasis1 2" xfId="5844"/>
    <cellStyle name="60% - Énfasis2 2" xfId="5845"/>
    <cellStyle name="60% - Énfasis3 2" xfId="5846"/>
    <cellStyle name="60% - Énfasis4 2" xfId="5847"/>
    <cellStyle name="60% - Énfasis5 2" xfId="5848"/>
    <cellStyle name="60% - Énfasis6 2" xfId="5849"/>
    <cellStyle name="Accent1" xfId="1463"/>
    <cellStyle name="Accent1 2" xfId="1464"/>
    <cellStyle name="Accent2" xfId="1465"/>
    <cellStyle name="Accent2 2" xfId="1466"/>
    <cellStyle name="Accent3" xfId="1467"/>
    <cellStyle name="Accent3 2" xfId="1468"/>
    <cellStyle name="Accent4" xfId="1469"/>
    <cellStyle name="Accent4 2" xfId="1470"/>
    <cellStyle name="Accent5" xfId="1471"/>
    <cellStyle name="Accent5 2" xfId="1472"/>
    <cellStyle name="Accent6" xfId="1473"/>
    <cellStyle name="Accent6 2" xfId="1474"/>
    <cellStyle name="Bad" xfId="1475"/>
    <cellStyle name="Bad 2" xfId="1476"/>
    <cellStyle name="Calculation" xfId="1477"/>
    <cellStyle name="Calculation 2" xfId="1478"/>
    <cellStyle name="Calculation 3" xfId="4736"/>
    <cellStyle name="Calculation 4" xfId="5019"/>
    <cellStyle name="Calculation 5" xfId="4559"/>
    <cellStyle name="Calculation 6" xfId="4738"/>
    <cellStyle name="Calculation 7" xfId="5364"/>
    <cellStyle name="Calculation 8" xfId="4825"/>
    <cellStyle name="Calculation 9" xfId="5547"/>
    <cellStyle name="Cálculo 2" xfId="5850"/>
    <cellStyle name="Cancel" xfId="1479"/>
    <cellStyle name="Cancel 2" xfId="1480"/>
    <cellStyle name="Celda de comprobación 2" xfId="5851"/>
    <cellStyle name="Celda vinculada 2" xfId="5852"/>
    <cellStyle name="Check Cell" xfId="1481"/>
    <cellStyle name="Check Cell 2" xfId="1482"/>
    <cellStyle name="Comma" xfId="1483"/>
    <cellStyle name="Comma 2" xfId="1484"/>
    <cellStyle name="CUADRO - Style1" xfId="1485"/>
    <cellStyle name="CUADRO - Style1 2" xfId="1486"/>
    <cellStyle name="CUERPO - Style2" xfId="1487"/>
    <cellStyle name="CUERPO - Style2 2" xfId="1488"/>
    <cellStyle name="Currency" xfId="1489"/>
    <cellStyle name="Currency 2" xfId="1490"/>
    <cellStyle name="Date" xfId="1491"/>
    <cellStyle name="Date 2" xfId="1492"/>
    <cellStyle name="Diseño" xfId="1493"/>
    <cellStyle name="Diseño 2" xfId="1494"/>
    <cellStyle name="Diseño 2 2" xfId="3090"/>
    <cellStyle name="Diseño 3" xfId="3089"/>
    <cellStyle name="Diseño 4" xfId="4741"/>
    <cellStyle name="Encabezado 4 2" xfId="5853"/>
    <cellStyle name="Énfasis1 2" xfId="5854"/>
    <cellStyle name="Énfasis2 2" xfId="5855"/>
    <cellStyle name="Énfasis3 2" xfId="5856"/>
    <cellStyle name="Énfasis4 2" xfId="5857"/>
    <cellStyle name="Énfasis5 2" xfId="5858"/>
    <cellStyle name="Énfasis6 2" xfId="5859"/>
    <cellStyle name="Entrada 2" xfId="5860"/>
    <cellStyle name="Estilo 1" xfId="1495"/>
    <cellStyle name="Estilo 1 2" xfId="1496"/>
    <cellStyle name="Estilo 1 2 2" xfId="1497"/>
    <cellStyle name="Estilo 1 2 2 2" xfId="1498"/>
    <cellStyle name="Estilo 1 2 2 2 2" xfId="3094"/>
    <cellStyle name="Estilo 1 2 2 3" xfId="3093"/>
    <cellStyle name="Estilo 1 2 2 4" xfId="4744"/>
    <cellStyle name="Estilo 1 2 3" xfId="1499"/>
    <cellStyle name="Estilo 1 2 3 2" xfId="3095"/>
    <cellStyle name="Estilo 1 2 4" xfId="3092"/>
    <cellStyle name="Estilo 1 2 5" xfId="4743"/>
    <cellStyle name="Estilo 1 3" xfId="1500"/>
    <cellStyle name="Estilo 1 3 2" xfId="3096"/>
    <cellStyle name="Estilo 1 4" xfId="3091"/>
    <cellStyle name="Estilo 1 5" xfId="4742"/>
    <cellStyle name="Euro" xfId="1501"/>
    <cellStyle name="Euro 2" xfId="1502"/>
    <cellStyle name="Euro 2 2" xfId="1503"/>
    <cellStyle name="Euro 2 2 2" xfId="1504"/>
    <cellStyle name="Euro 2 2 2 2" xfId="3100"/>
    <cellStyle name="Euro 2 2 3" xfId="3099"/>
    <cellStyle name="Euro 2 2 4" xfId="4748"/>
    <cellStyle name="Euro 2 3" xfId="1505"/>
    <cellStyle name="Euro 2 3 2" xfId="3101"/>
    <cellStyle name="Euro 2 4" xfId="3098"/>
    <cellStyle name="Euro 2 5" xfId="4747"/>
    <cellStyle name="Euro 2 6" xfId="5862"/>
    <cellStyle name="Euro 3" xfId="1506"/>
    <cellStyle name="Euro 3 2" xfId="3102"/>
    <cellStyle name="Euro 4" xfId="3097"/>
    <cellStyle name="Euro 5" xfId="4746"/>
    <cellStyle name="Euro 6" xfId="5714"/>
    <cellStyle name="Euro 7" xfId="5861"/>
    <cellStyle name="Euro 7 2" xfId="6064"/>
    <cellStyle name="Explanatory Text" xfId="1507"/>
    <cellStyle name="Explanatory Text 2" xfId="1508"/>
    <cellStyle name="Fecha" xfId="1509"/>
    <cellStyle name="Fecha 2" xfId="1510"/>
    <cellStyle name="Fechas" xfId="1511"/>
    <cellStyle name="Fechas 10" xfId="5186"/>
    <cellStyle name="Fechas 2" xfId="1512"/>
    <cellStyle name="Fechas 2 2" xfId="1513"/>
    <cellStyle name="Fechas 2 2 2" xfId="3105"/>
    <cellStyle name="Fechas 2 3" xfId="3104"/>
    <cellStyle name="Fechas 2 4" xfId="4751"/>
    <cellStyle name="Fechas 2 5" xfId="4474"/>
    <cellStyle name="Fechas 2 6" xfId="5152"/>
    <cellStyle name="Fechas 2 7" xfId="4739"/>
    <cellStyle name="Fechas 2 8" xfId="5130"/>
    <cellStyle name="Fechas 2 9" xfId="5108"/>
    <cellStyle name="Fechas 3" xfId="1514"/>
    <cellStyle name="Fechas 3 2" xfId="3106"/>
    <cellStyle name="Fechas 4" xfId="3103"/>
    <cellStyle name="Fechas 5" xfId="4750"/>
    <cellStyle name="Fechas 6" xfId="5016"/>
    <cellStyle name="Fechas 7" xfId="4926"/>
    <cellStyle name="Fechas 8" xfId="4940"/>
    <cellStyle name="Fechas 9" xfId="4844"/>
    <cellStyle name="Fijo" xfId="1515"/>
    <cellStyle name="Fijo 2" xfId="1516"/>
    <cellStyle name="Fixed" xfId="1517"/>
    <cellStyle name="Fixed 2" xfId="1518"/>
    <cellStyle name="Good" xfId="1519"/>
    <cellStyle name="Good 2" xfId="1520"/>
    <cellStyle name="Headin - Estilo3" xfId="1521"/>
    <cellStyle name="Headin - Estilo3 2" xfId="1522"/>
    <cellStyle name="Heading 1" xfId="1523"/>
    <cellStyle name="Heading 1 2" xfId="1524"/>
    <cellStyle name="Heading 2" xfId="1525"/>
    <cellStyle name="Heading 2 2" xfId="1526"/>
    <cellStyle name="Heading 3" xfId="1527"/>
    <cellStyle name="Heading 3 2" xfId="1528"/>
    <cellStyle name="Heading 4" xfId="1529"/>
    <cellStyle name="Heading 4 2" xfId="1530"/>
    <cellStyle name="Heading1" xfId="1531"/>
    <cellStyle name="Heading1 2" xfId="1532"/>
    <cellStyle name="Heading2" xfId="1533"/>
    <cellStyle name="Heading2 2" xfId="1534"/>
    <cellStyle name="Hipervínculo" xfId="6" builtinId="8"/>
    <cellStyle name="Incorrecto 2" xfId="5863"/>
    <cellStyle name="Input" xfId="1535"/>
    <cellStyle name="Input 2" xfId="1536"/>
    <cellStyle name="Input 3" xfId="4754"/>
    <cellStyle name="Input 4" xfId="5014"/>
    <cellStyle name="Input 5" xfId="5208"/>
    <cellStyle name="Input 6" xfId="4769"/>
    <cellStyle name="Input 7" xfId="4399"/>
    <cellStyle name="Input 8" xfId="5029"/>
    <cellStyle name="Input 9" xfId="5335"/>
    <cellStyle name="Linked Cell" xfId="1537"/>
    <cellStyle name="Linked Cell 2" xfId="1538"/>
    <cellStyle name="Millares 2" xfId="1540"/>
    <cellStyle name="Millares 2 2" xfId="1541"/>
    <cellStyle name="Millares 2 2 2" xfId="1542"/>
    <cellStyle name="Millares 2 2 2 2" xfId="3113"/>
    <cellStyle name="Millares 2 2 3" xfId="3112"/>
    <cellStyle name="Millares 2 2 4" xfId="4756"/>
    <cellStyle name="Millares 2 3" xfId="1543"/>
    <cellStyle name="Millares 2 3 2" xfId="3114"/>
    <cellStyle name="Millares 2 4" xfId="1544"/>
    <cellStyle name="Millares 2 4 2" xfId="3115"/>
    <cellStyle name="Millares 2 5" xfId="3111"/>
    <cellStyle name="Millares 3" xfId="1545"/>
    <cellStyle name="Millares 3 2" xfId="1546"/>
    <cellStyle name="Millares 3 2 2" xfId="3117"/>
    <cellStyle name="Millares 3 3" xfId="3116"/>
    <cellStyle name="Millares 3 4" xfId="4757"/>
    <cellStyle name="Millares 4" xfId="1547"/>
    <cellStyle name="Millares 4 2" xfId="1548"/>
    <cellStyle name="Millares 4 2 2" xfId="3119"/>
    <cellStyle name="Millares 4 3" xfId="3118"/>
    <cellStyle name="Millares 4 4" xfId="4758"/>
    <cellStyle name="Millares 5" xfId="1549"/>
    <cellStyle name="Millares 5 2" xfId="3120"/>
    <cellStyle name="Millares 6" xfId="1550"/>
    <cellStyle name="Millares 6 2" xfId="3121"/>
    <cellStyle name="Millares 6 3" xfId="4759"/>
    <cellStyle name="Millares 6 3 2" xfId="5911"/>
    <cellStyle name="Millares 6 4" xfId="5910"/>
    <cellStyle name="Millares 7" xfId="1539"/>
    <cellStyle name="Millares Sangría" xfId="1551"/>
    <cellStyle name="Millares Sangría 1" xfId="1552"/>
    <cellStyle name="Millares Sangría 1 2" xfId="1553"/>
    <cellStyle name="Millares Sangría 2" xfId="1554"/>
    <cellStyle name="Millares Sangría 2 2" xfId="3125"/>
    <cellStyle name="Millares Sangría 3" xfId="3122"/>
    <cellStyle name="Neutral 2" xfId="5864"/>
    <cellStyle name="Normal" xfId="0" builtinId="0"/>
    <cellStyle name="Normal 10" xfId="5"/>
    <cellStyle name="Normal 10 16" xfId="5568"/>
    <cellStyle name="Normal 10 2" xfId="9"/>
    <cellStyle name="Normal 10 2 2" xfId="5717"/>
    <cellStyle name="Normal 10 2 3" xfId="3126"/>
    <cellStyle name="Normal 10 2 4" xfId="5962"/>
    <cellStyle name="Normal 10 3" xfId="3392"/>
    <cellStyle name="Normal 10 4" xfId="3393"/>
    <cellStyle name="Normal 10 4 2 2 2 2" xfId="5823"/>
    <cellStyle name="Normal 10 5" xfId="3394"/>
    <cellStyle name="Normal 10 6" xfId="1670"/>
    <cellStyle name="Normal 10 7" xfId="5961"/>
    <cellStyle name="Normal 100" xfId="3395"/>
    <cellStyle name="Normal 101" xfId="3396"/>
    <cellStyle name="Normal 102" xfId="3397"/>
    <cellStyle name="Normal 103" xfId="3398"/>
    <cellStyle name="Normal 104" xfId="3399"/>
    <cellStyle name="Normal 105" xfId="3400"/>
    <cellStyle name="Normal 106" xfId="3401"/>
    <cellStyle name="Normal 107" xfId="3402"/>
    <cellStyle name="Normal 108" xfId="3403"/>
    <cellStyle name="Normal 109" xfId="3404"/>
    <cellStyle name="Normal 11" xfId="3127"/>
    <cellStyle name="Normal 11 2" xfId="3405"/>
    <cellStyle name="Normal 11 3" xfId="3406"/>
    <cellStyle name="Normal 11 4" xfId="3407"/>
    <cellStyle name="Normal 11 5" xfId="3408"/>
    <cellStyle name="Normal 110" xfId="3409"/>
    <cellStyle name="Normal 110 2" xfId="3410"/>
    <cellStyle name="Normal 110 3" xfId="3411"/>
    <cellStyle name="Normal 110 4" xfId="3412"/>
    <cellStyle name="Normal 110 5" xfId="3413"/>
    <cellStyle name="Normal 111" xfId="3414"/>
    <cellStyle name="Normal 111 2" xfId="3415"/>
    <cellStyle name="Normal 111 3" xfId="3416"/>
    <cellStyle name="Normal 111 4" xfId="3417"/>
    <cellStyle name="Normal 111 5" xfId="3418"/>
    <cellStyle name="Normal 112" xfId="3419"/>
    <cellStyle name="Normal 112 2" xfId="3420"/>
    <cellStyle name="Normal 112 3" xfId="3421"/>
    <cellStyle name="Normal 112 4" xfId="3422"/>
    <cellStyle name="Normal 112 5" xfId="3423"/>
    <cellStyle name="Normal 113" xfId="3424"/>
    <cellStyle name="Normal 113 2" xfId="3425"/>
    <cellStyle name="Normal 113 3" xfId="3426"/>
    <cellStyle name="Normal 113 4" xfId="3427"/>
    <cellStyle name="Normal 113 5" xfId="3428"/>
    <cellStyle name="Normal 114" xfId="3429"/>
    <cellStyle name="Normal 114 2" xfId="3430"/>
    <cellStyle name="Normal 114 3" xfId="3431"/>
    <cellStyle name="Normal 114 4" xfId="3432"/>
    <cellStyle name="Normal 114 5" xfId="3433"/>
    <cellStyle name="Normal 115" xfId="3434"/>
    <cellStyle name="Normal 115 2" xfId="3435"/>
    <cellStyle name="Normal 115 3" xfId="3436"/>
    <cellStyle name="Normal 115 4" xfId="3437"/>
    <cellStyle name="Normal 115 5" xfId="3438"/>
    <cellStyle name="Normal 116" xfId="3439"/>
    <cellStyle name="Normal 116 2" xfId="3440"/>
    <cellStyle name="Normal 116 3" xfId="3441"/>
    <cellStyle name="Normal 116 4" xfId="3442"/>
    <cellStyle name="Normal 116 5" xfId="3443"/>
    <cellStyle name="Normal 117" xfId="3444"/>
    <cellStyle name="Normal 117 2" xfId="3445"/>
    <cellStyle name="Normal 117 3" xfId="3446"/>
    <cellStyle name="Normal 117 4" xfId="3447"/>
    <cellStyle name="Normal 117 5" xfId="3448"/>
    <cellStyle name="Normal 118" xfId="3449"/>
    <cellStyle name="Normal 118 2" xfId="3450"/>
    <cellStyle name="Normal 118 3" xfId="3451"/>
    <cellStyle name="Normal 118 4" xfId="3452"/>
    <cellStyle name="Normal 118 5" xfId="3453"/>
    <cellStyle name="Normal 119" xfId="3454"/>
    <cellStyle name="Normal 12" xfId="3391"/>
    <cellStyle name="Normal 12 2" xfId="3455"/>
    <cellStyle name="Normal 12 3" xfId="3456"/>
    <cellStyle name="Normal 12 4" xfId="3457"/>
    <cellStyle name="Normal 12 5" xfId="3458"/>
    <cellStyle name="Normal 12 6" xfId="5167"/>
    <cellStyle name="Normal 12 6 2" xfId="5978"/>
    <cellStyle name="Normal 12 7" xfId="5684"/>
    <cellStyle name="Normal 12 7 2" xfId="6011"/>
    <cellStyle name="Normal 12 8" xfId="5969"/>
    <cellStyle name="Normal 120" xfId="3459"/>
    <cellStyle name="Normal 121" xfId="3460"/>
    <cellStyle name="Normal 122" xfId="3461"/>
    <cellStyle name="Normal 123" xfId="3462"/>
    <cellStyle name="Normal 124" xfId="3463"/>
    <cellStyle name="Normal 125" xfId="3464"/>
    <cellStyle name="Normal 126" xfId="3465"/>
    <cellStyle name="Normal 127" xfId="3466"/>
    <cellStyle name="Normal 128" xfId="3467"/>
    <cellStyle name="Normal 129" xfId="3468"/>
    <cellStyle name="Normal 13" xfId="3469"/>
    <cellStyle name="Normal 13 2" xfId="3470"/>
    <cellStyle name="Normal 13 3" xfId="3471"/>
    <cellStyle name="Normal 13 4" xfId="3472"/>
    <cellStyle name="Normal 13 5" xfId="3473"/>
    <cellStyle name="Normal 130" xfId="3474"/>
    <cellStyle name="Normal 131" xfId="3475"/>
    <cellStyle name="Normal 132" xfId="3476"/>
    <cellStyle name="Normal 133" xfId="3477"/>
    <cellStyle name="Normal 134" xfId="3478"/>
    <cellStyle name="Normal 135" xfId="3479"/>
    <cellStyle name="Normal 136" xfId="3480"/>
    <cellStyle name="Normal 137" xfId="3481"/>
    <cellStyle name="Normal 138" xfId="3482"/>
    <cellStyle name="Normal 139" xfId="3483"/>
    <cellStyle name="Normal 14" xfId="3484"/>
    <cellStyle name="Normal 14 2" xfId="3485"/>
    <cellStyle name="Normal 14 3" xfId="3486"/>
    <cellStyle name="Normal 14 4" xfId="3487"/>
    <cellStyle name="Normal 14 5" xfId="3488"/>
    <cellStyle name="Normal 14_FONI-CUADROS" xfId="3489"/>
    <cellStyle name="Normal 140" xfId="3490"/>
    <cellStyle name="Normal 141" xfId="3491"/>
    <cellStyle name="Normal 142" xfId="3492"/>
    <cellStyle name="Normal 143" xfId="3493"/>
    <cellStyle name="Normal 144" xfId="3494"/>
    <cellStyle name="Normal 145" xfId="3495"/>
    <cellStyle name="Normal 146" xfId="3496"/>
    <cellStyle name="Normal 147" xfId="3497"/>
    <cellStyle name="Normal 148" xfId="3498"/>
    <cellStyle name="Normal 149" xfId="3499"/>
    <cellStyle name="Normal 15" xfId="3500"/>
    <cellStyle name="Normal 15 2" xfId="3501"/>
    <cellStyle name="Normal 15 3" xfId="3502"/>
    <cellStyle name="Normal 15 4" xfId="3503"/>
    <cellStyle name="Normal 15 5" xfId="3504"/>
    <cellStyle name="Normal 150" xfId="3505"/>
    <cellStyle name="Normal 151" xfId="3506"/>
    <cellStyle name="Normal 152" xfId="3507"/>
    <cellStyle name="Normal 153" xfId="3508"/>
    <cellStyle name="Normal 154" xfId="3509"/>
    <cellStyle name="Normal 155" xfId="3510"/>
    <cellStyle name="Normal 156" xfId="3511"/>
    <cellStyle name="Normal 157" xfId="3512"/>
    <cellStyle name="Normal 158" xfId="3513"/>
    <cellStyle name="Normal 159" xfId="3514"/>
    <cellStyle name="Normal 159 2" xfId="3515"/>
    <cellStyle name="Normal 159_04 TABULADOS NACIONAL FONI -  2011" xfId="3516"/>
    <cellStyle name="Normal 16" xfId="3517"/>
    <cellStyle name="Normal 16 2" xfId="3518"/>
    <cellStyle name="Normal 16 3" xfId="3519"/>
    <cellStyle name="Normal 16 4" xfId="3520"/>
    <cellStyle name="Normal 16 5" xfId="3521"/>
    <cellStyle name="Normal 160" xfId="3522"/>
    <cellStyle name="Normal 160 2" xfId="3523"/>
    <cellStyle name="Normal 160_04 TABULADOS NACIONAL FONI -  2011" xfId="3524"/>
    <cellStyle name="Normal 161" xfId="3525"/>
    <cellStyle name="Normal 161 2" xfId="3526"/>
    <cellStyle name="Normal 161_04 TABULADOS NACIONAL FONI -  2011" xfId="3527"/>
    <cellStyle name="Normal 162" xfId="3528"/>
    <cellStyle name="Normal 162 2" xfId="3529"/>
    <cellStyle name="Normal 162_04 TABULADOS NACIONAL FONI -  2011" xfId="3530"/>
    <cellStyle name="Normal 163" xfId="3531"/>
    <cellStyle name="Normal 163 2" xfId="3532"/>
    <cellStyle name="Normal 163_04 TABULADOS NACIONAL FONI -  2011" xfId="3533"/>
    <cellStyle name="Normal 164" xfId="3534"/>
    <cellStyle name="Normal 164 2" xfId="3535"/>
    <cellStyle name="Normal 164_04 TABULADOS NACIONAL FONI -  2011" xfId="3536"/>
    <cellStyle name="Normal 165" xfId="3537"/>
    <cellStyle name="Normal 165 2" xfId="3538"/>
    <cellStyle name="Normal 165_04 TABULADOS NACIONAL FONI -  2011" xfId="3539"/>
    <cellStyle name="Normal 166" xfId="3540"/>
    <cellStyle name="Normal 166 2" xfId="3541"/>
    <cellStyle name="Normal 166_04 TABULADOS NACIONAL FONI -  2011" xfId="3542"/>
    <cellStyle name="Normal 167" xfId="3543"/>
    <cellStyle name="Normal 167 2" xfId="3544"/>
    <cellStyle name="Normal 167_04 TABULADOS NACIONAL FONI -  2011" xfId="3545"/>
    <cellStyle name="Normal 168" xfId="3546"/>
    <cellStyle name="Normal 168 2" xfId="3547"/>
    <cellStyle name="Normal 168_04 TABULADOS NACIONAL FONI -  2011" xfId="3548"/>
    <cellStyle name="Normal 169" xfId="3549"/>
    <cellStyle name="Normal 169 2" xfId="3550"/>
    <cellStyle name="Normal 169_04 TABULADOS NACIONAL FONI -  2011" xfId="3551"/>
    <cellStyle name="Normal 17" xfId="3552"/>
    <cellStyle name="Normal 170" xfId="3553"/>
    <cellStyle name="Normal 170 2" xfId="3554"/>
    <cellStyle name="Normal 170_04 TABULADOS NACIONAL FONI -  2011" xfId="3555"/>
    <cellStyle name="Normal 171" xfId="3556"/>
    <cellStyle name="Normal 171 2" xfId="3557"/>
    <cellStyle name="Normal 171_04 TABULADOS NACIONAL FONI -  2011" xfId="3558"/>
    <cellStyle name="Normal 172" xfId="3902"/>
    <cellStyle name="Normal 173" xfId="5569"/>
    <cellStyle name="Normal 173 2" xfId="5981"/>
    <cellStyle name="Normal 174" xfId="5570"/>
    <cellStyle name="Normal 174 2" xfId="5982"/>
    <cellStyle name="Normal 175" xfId="5571"/>
    <cellStyle name="Normal 175 2" xfId="5983"/>
    <cellStyle name="Normal 176" xfId="5572"/>
    <cellStyle name="Normal 176 2" xfId="5984"/>
    <cellStyle name="Normal 177" xfId="5573"/>
    <cellStyle name="Normal 177 2" xfId="5985"/>
    <cellStyle name="Normal 178" xfId="5574"/>
    <cellStyle name="Normal 178 2" xfId="5986"/>
    <cellStyle name="Normal 179" xfId="5575"/>
    <cellStyle name="Normal 179 2" xfId="5987"/>
    <cellStyle name="Normal 18" xfId="3559"/>
    <cellStyle name="Normal 18 2" xfId="3560"/>
    <cellStyle name="Normal 18 3" xfId="3561"/>
    <cellStyle name="Normal 18 4" xfId="3562"/>
    <cellStyle name="Normal 18 5" xfId="3563"/>
    <cellStyle name="Normal 180" xfId="5576"/>
    <cellStyle name="Normal 180 2" xfId="5988"/>
    <cellStyle name="Normal 181" xfId="5577"/>
    <cellStyle name="Normal 181 2" xfId="5989"/>
    <cellStyle name="Normal 182" xfId="5578"/>
    <cellStyle name="Normal 182 2" xfId="5990"/>
    <cellStyle name="Normal 183" xfId="5579"/>
    <cellStyle name="Normal 183 2" xfId="5991"/>
    <cellStyle name="Normal 184" xfId="5580"/>
    <cellStyle name="Normal 184 2" xfId="5992"/>
    <cellStyle name="Normal 185" xfId="5581"/>
    <cellStyle name="Normal 185 2" xfId="5993"/>
    <cellStyle name="Normal 186" xfId="5582"/>
    <cellStyle name="Normal 186 2" xfId="5994"/>
    <cellStyle name="Normal 187" xfId="5583"/>
    <cellStyle name="Normal 187 2" xfId="5995"/>
    <cellStyle name="Normal 188" xfId="5584"/>
    <cellStyle name="Normal 188 2" xfId="5996"/>
    <cellStyle name="Normal 189" xfId="5585"/>
    <cellStyle name="Normal 189 2" xfId="5997"/>
    <cellStyle name="Normal 19" xfId="3564"/>
    <cellStyle name="Normal 19 2" xfId="3565"/>
    <cellStyle name="Normal 19 3" xfId="3566"/>
    <cellStyle name="Normal 19 4" xfId="3567"/>
    <cellStyle name="Normal 19 5" xfId="3568"/>
    <cellStyle name="Normal 190" xfId="5586"/>
    <cellStyle name="Normal 190 2" xfId="5998"/>
    <cellStyle name="Normal 191" xfId="5587"/>
    <cellStyle name="Normal 191 2" xfId="5999"/>
    <cellStyle name="Normal 192" xfId="5588"/>
    <cellStyle name="Normal 192 2" xfId="6000"/>
    <cellStyle name="Normal 193" xfId="5589"/>
    <cellStyle name="Normal 193 2" xfId="6001"/>
    <cellStyle name="Normal 194" xfId="5590"/>
    <cellStyle name="Normal 194 2" xfId="6002"/>
    <cellStyle name="Normal 195" xfId="5591"/>
    <cellStyle name="Normal 195 2" xfId="6003"/>
    <cellStyle name="Normal 196" xfId="5592"/>
    <cellStyle name="Normal 196 2" xfId="6004"/>
    <cellStyle name="Normal 197" xfId="5593"/>
    <cellStyle name="Normal 197 2" xfId="6005"/>
    <cellStyle name="Normal 198" xfId="5594"/>
    <cellStyle name="Normal 198 2" xfId="6006"/>
    <cellStyle name="Normal 199" xfId="5595"/>
    <cellStyle name="Normal 199 2" xfId="6007"/>
    <cellStyle name="Normal 2" xfId="1"/>
    <cellStyle name="Normal 2 10" xfId="3569"/>
    <cellStyle name="Normal 2 10 10 2" xfId="5830"/>
    <cellStyle name="Normal 2 10 2" xfId="3570"/>
    <cellStyle name="Normal 2 101 3" xfId="5898"/>
    <cellStyle name="Normal 2 101 3 2" xfId="6074"/>
    <cellStyle name="Normal 2 102" xfId="5959"/>
    <cellStyle name="Normal 2 102 2" xfId="6130"/>
    <cellStyle name="Normal 2 103 2 2" xfId="5905"/>
    <cellStyle name="Normal 2 103 2 2 2" xfId="6081"/>
    <cellStyle name="Normal 2 103 3" xfId="5896"/>
    <cellStyle name="Normal 2 103 3 2" xfId="6072"/>
    <cellStyle name="Normal 2 104" xfId="5899"/>
    <cellStyle name="Normal 2 104 2" xfId="6075"/>
    <cellStyle name="Normal 2 11" xfId="3571"/>
    <cellStyle name="Normal 2 12" xfId="4760"/>
    <cellStyle name="Normal 2 12 2" xfId="5970"/>
    <cellStyle name="Normal 2 12 6" xfId="5900"/>
    <cellStyle name="Normal 2 12 6 2" xfId="6076"/>
    <cellStyle name="Normal 2 13" xfId="5646"/>
    <cellStyle name="Normal 2 13 2" xfId="6009"/>
    <cellStyle name="Normal 2 14" xfId="1555"/>
    <cellStyle name="Normal 2 14 2" xfId="5963"/>
    <cellStyle name="Normal 2 15" xfId="5889"/>
    <cellStyle name="Normal 2 15 2" xfId="6065"/>
    <cellStyle name="Normal 2 2" xfId="1556"/>
    <cellStyle name="Normal 2 2 10" xfId="3572"/>
    <cellStyle name="Normal 2 2 11" xfId="3573"/>
    <cellStyle name="Normal 2 2 12" xfId="3574"/>
    <cellStyle name="Normal 2 2 13" xfId="3575"/>
    <cellStyle name="Normal 2 2 14" xfId="3576"/>
    <cellStyle name="Normal 2 2 15" xfId="3577"/>
    <cellStyle name="Normal 2 2 16" xfId="5891"/>
    <cellStyle name="Normal 2 2 16 2" xfId="6067"/>
    <cellStyle name="Normal 2 2 2" xfId="1557"/>
    <cellStyle name="Normal 2 2 2 2" xfId="3130"/>
    <cellStyle name="Normal 2 2 2 2 2" xfId="5895"/>
    <cellStyle name="Normal 2 2 2 2 2 2" xfId="6071"/>
    <cellStyle name="Normal 2 2 2 3" xfId="5821"/>
    <cellStyle name="Normal 2 2 2 4" xfId="5894"/>
    <cellStyle name="Normal 2 2 2 4 2" xfId="6070"/>
    <cellStyle name="Normal 2 2 3" xfId="3129"/>
    <cellStyle name="Normal 2 2 3 2" xfId="5913"/>
    <cellStyle name="Normal 2 2 4" xfId="3578"/>
    <cellStyle name="Normal 2 2 4 2" xfId="5921"/>
    <cellStyle name="Normal 2 2 4 2 2" xfId="6093"/>
    <cellStyle name="Normal 2 2 5" xfId="3579"/>
    <cellStyle name="Normal 2 2 6" xfId="3580"/>
    <cellStyle name="Normal 2 2 7" xfId="3581"/>
    <cellStyle name="Normal 2 2 8" xfId="3582"/>
    <cellStyle name="Normal 2 2 9" xfId="3583"/>
    <cellStyle name="Normal 2 2_2. TABULADOS NACIONAL FONE - 2011" xfId="3584"/>
    <cellStyle name="Normal 2 3" xfId="1558"/>
    <cellStyle name="Normal 2 3 10" xfId="3585"/>
    <cellStyle name="Normal 2 3 11" xfId="3586"/>
    <cellStyle name="Normal 2 3 12" xfId="3587"/>
    <cellStyle name="Normal 2 3 13" xfId="3588"/>
    <cellStyle name="Normal 2 3 14" xfId="3589"/>
    <cellStyle name="Normal 2 3 15" xfId="3590"/>
    <cellStyle name="Normal 2 3 16" xfId="5912"/>
    <cellStyle name="Normal 2 3 16 2" xfId="6085"/>
    <cellStyle name="Normal 2 3 2" xfId="1559"/>
    <cellStyle name="Normal 2 3 2 2" xfId="3132"/>
    <cellStyle name="Normal 2 3 3" xfId="3131"/>
    <cellStyle name="Normal 2 3 4" xfId="3591"/>
    <cellStyle name="Normal 2 3 5" xfId="3592"/>
    <cellStyle name="Normal 2 3 6" xfId="3593"/>
    <cellStyle name="Normal 2 3 7" xfId="3594"/>
    <cellStyle name="Normal 2 3 8" xfId="3595"/>
    <cellStyle name="Normal 2 3 9" xfId="3596"/>
    <cellStyle name="Normal 2 3_2. TABULADOS NACIONAL FONE - 2011" xfId="3597"/>
    <cellStyle name="Normal 2 4" xfId="1560"/>
    <cellStyle name="Normal 2 4 2" xfId="1561"/>
    <cellStyle name="Normal 2 4 2 2" xfId="3134"/>
    <cellStyle name="Normal 2 4 3" xfId="3133"/>
    <cellStyle name="Normal 2 4 4" xfId="4761"/>
    <cellStyle name="Normal 2 5" xfId="1562"/>
    <cellStyle name="Normal 2 5 2" xfId="5865"/>
    <cellStyle name="Normal 2 6" xfId="1563"/>
    <cellStyle name="Normal 2 6 2" xfId="3136"/>
    <cellStyle name="Normal 2 7" xfId="1564"/>
    <cellStyle name="Normal 2 7 2" xfId="3137"/>
    <cellStyle name="Normal 2 8" xfId="3598"/>
    <cellStyle name="Normal 2 9" xfId="3599"/>
    <cellStyle name="Normal 2_03 TABULADOS NACIONAL FONE - 2012 T" xfId="3600"/>
    <cellStyle name="Normal 20" xfId="3601"/>
    <cellStyle name="Normal 20 2" xfId="3602"/>
    <cellStyle name="Normal 20 3" xfId="3603"/>
    <cellStyle name="Normal 20 4" xfId="3604"/>
    <cellStyle name="Normal 20 5" xfId="3605"/>
    <cellStyle name="Normal 200" xfId="5596"/>
    <cellStyle name="Normal 200 2" xfId="6008"/>
    <cellStyle name="Normal 201" xfId="5712"/>
    <cellStyle name="Normal 201 2" xfId="6012"/>
    <cellStyle name="Normal 202" xfId="5713"/>
    <cellStyle name="Normal 202 2" xfId="6013"/>
    <cellStyle name="Normal 203" xfId="5715"/>
    <cellStyle name="Normal 203 2" xfId="6014"/>
    <cellStyle name="Normal 204" xfId="5719"/>
    <cellStyle name="Normal 204 2" xfId="6016"/>
    <cellStyle name="Normal 205" xfId="5721"/>
    <cellStyle name="Normal 205 2" xfId="6018"/>
    <cellStyle name="Normal 206" xfId="5722"/>
    <cellStyle name="Normal 206 2" xfId="6019"/>
    <cellStyle name="Normal 207" xfId="5723"/>
    <cellStyle name="Normal 207 2" xfId="6020"/>
    <cellStyle name="Normal 208" xfId="5724"/>
    <cellStyle name="Normal 208 2" xfId="6021"/>
    <cellStyle name="Normal 209" xfId="5725"/>
    <cellStyle name="Normal 209 2" xfId="6022"/>
    <cellStyle name="Normal 21" xfId="3606"/>
    <cellStyle name="Normal 21 2" xfId="3607"/>
    <cellStyle name="Normal 21 3" xfId="3608"/>
    <cellStyle name="Normal 21 4" xfId="3609"/>
    <cellStyle name="Normal 21 5" xfId="3610"/>
    <cellStyle name="Normal 210" xfId="5726"/>
    <cellStyle name="Normal 210 2" xfId="6023"/>
    <cellStyle name="Normal 211" xfId="5727"/>
    <cellStyle name="Normal 211 2" xfId="6024"/>
    <cellStyle name="Normal 212" xfId="5728"/>
    <cellStyle name="Normal 212 2" xfId="6025"/>
    <cellStyle name="Normal 213" xfId="5729"/>
    <cellStyle name="Normal 213 2" xfId="6026"/>
    <cellStyle name="Normal 214" xfId="5730"/>
    <cellStyle name="Normal 214 2" xfId="6027"/>
    <cellStyle name="Normal 215" xfId="5731"/>
    <cellStyle name="Normal 215 2" xfId="6028"/>
    <cellStyle name="Normal 216" xfId="5732"/>
    <cellStyle name="Normal 216 2" xfId="6029"/>
    <cellStyle name="Normal 217" xfId="5733"/>
    <cellStyle name="Normal 217 2" xfId="6030"/>
    <cellStyle name="Normal 218" xfId="5734"/>
    <cellStyle name="Normal 218 2" xfId="6031"/>
    <cellStyle name="Normal 219" xfId="5735"/>
    <cellStyle name="Normal 219 2" xfId="6032"/>
    <cellStyle name="Normal 22" xfId="3611"/>
    <cellStyle name="Normal 220" xfId="5736"/>
    <cellStyle name="Normal 220 2" xfId="6033"/>
    <cellStyle name="Normal 221" xfId="5737"/>
    <cellStyle name="Normal 221 2" xfId="6034"/>
    <cellStyle name="Normal 222" xfId="5738"/>
    <cellStyle name="Normal 222 2" xfId="6035"/>
    <cellStyle name="Normal 223" xfId="5739"/>
    <cellStyle name="Normal 223 2" xfId="6036"/>
    <cellStyle name="Normal 224" xfId="5740"/>
    <cellStyle name="Normal 224 2" xfId="6037"/>
    <cellStyle name="Normal 225" xfId="5741"/>
    <cellStyle name="Normal 225 2" xfId="6038"/>
    <cellStyle name="Normal 226" xfId="5720"/>
    <cellStyle name="Normal 226 2" xfId="6017"/>
    <cellStyle name="Normal 227" xfId="5742"/>
    <cellStyle name="Normal 227 2" xfId="6039"/>
    <cellStyle name="Normal 228" xfId="5743"/>
    <cellStyle name="Normal 228 2" xfId="6040"/>
    <cellStyle name="Normal 229" xfId="5744"/>
    <cellStyle name="Normal 229 2" xfId="6041"/>
    <cellStyle name="Normal 23" xfId="3612"/>
    <cellStyle name="Normal 230" xfId="5745"/>
    <cellStyle name="Normal 230 2" xfId="6042"/>
    <cellStyle name="Normal 231" xfId="5746"/>
    <cellStyle name="Normal 231 2" xfId="6043"/>
    <cellStyle name="Normal 232" xfId="5747"/>
    <cellStyle name="Normal 232 2" xfId="6044"/>
    <cellStyle name="Normal 233" xfId="5748"/>
    <cellStyle name="Normal 233 2" xfId="6045"/>
    <cellStyle name="Normal 234" xfId="5749"/>
    <cellStyle name="Normal 234 2" xfId="6046"/>
    <cellStyle name="Normal 235" xfId="5750"/>
    <cellStyle name="Normal 235 2" xfId="6047"/>
    <cellStyle name="Normal 236" xfId="5751"/>
    <cellStyle name="Normal 236 2" xfId="6048"/>
    <cellStyle name="Normal 237" xfId="5752"/>
    <cellStyle name="Normal 237 2" xfId="6049"/>
    <cellStyle name="Normal 238" xfId="5753"/>
    <cellStyle name="Normal 238 2" xfId="6050"/>
    <cellStyle name="Normal 239" xfId="5754"/>
    <cellStyle name="Normal 239 2" xfId="6051"/>
    <cellStyle name="Normal 24" xfId="3613"/>
    <cellStyle name="Normal 24 2" xfId="3614"/>
    <cellStyle name="Normal 24 3" xfId="3615"/>
    <cellStyle name="Normal 24 4" xfId="3616"/>
    <cellStyle name="Normal 24 5" xfId="3617"/>
    <cellStyle name="Normal 240" xfId="5755"/>
    <cellStyle name="Normal 240 2" xfId="6052"/>
    <cellStyle name="Normal 241" xfId="5756"/>
    <cellStyle name="Normal 241 2" xfId="6053"/>
    <cellStyle name="Normal 242" xfId="5757"/>
    <cellStyle name="Normal 242 2" xfId="6054"/>
    <cellStyle name="Normal 243" xfId="5758"/>
    <cellStyle name="Normal 243 2" xfId="6055"/>
    <cellStyle name="Normal 244" xfId="5759"/>
    <cellStyle name="Normal 244 2" xfId="6056"/>
    <cellStyle name="Normal 245" xfId="5760"/>
    <cellStyle name="Normal 245 2" xfId="6057"/>
    <cellStyle name="Normal 246" xfId="5761"/>
    <cellStyle name="Normal 246 2" xfId="6058"/>
    <cellStyle name="Normal 247" xfId="5762"/>
    <cellStyle name="Normal 247 2" xfId="6059"/>
    <cellStyle name="Normal 248" xfId="5763"/>
    <cellStyle name="Normal 249" xfId="5764"/>
    <cellStyle name="Normal 25" xfId="3618"/>
    <cellStyle name="Normal 25 2" xfId="3619"/>
    <cellStyle name="Normal 25 3" xfId="3620"/>
    <cellStyle name="Normal 25 4" xfId="3621"/>
    <cellStyle name="Normal 25 5" xfId="3622"/>
    <cellStyle name="Normal 250" xfId="5765"/>
    <cellStyle name="Normal 251" xfId="5766"/>
    <cellStyle name="Normal 252" xfId="5767"/>
    <cellStyle name="Normal 253" xfId="5768"/>
    <cellStyle name="Normal 254" xfId="5769"/>
    <cellStyle name="Normal 255" xfId="5770"/>
    <cellStyle name="Normal 256" xfId="5771"/>
    <cellStyle name="Normal 257" xfId="5772"/>
    <cellStyle name="Normal 258" xfId="5773"/>
    <cellStyle name="Normal 259" xfId="5774"/>
    <cellStyle name="Normal 26" xfId="3623"/>
    <cellStyle name="Normal 26 2" xfId="3624"/>
    <cellStyle name="Normal 26 3" xfId="3625"/>
    <cellStyle name="Normal 26 4" xfId="3626"/>
    <cellStyle name="Normal 26 5" xfId="3627"/>
    <cellStyle name="Normal 260" xfId="5775"/>
    <cellStyle name="Normal 261" xfId="5776"/>
    <cellStyle name="Normal 262" xfId="5777"/>
    <cellStyle name="Normal 263" xfId="5778"/>
    <cellStyle name="Normal 264" xfId="5779"/>
    <cellStyle name="Normal 265" xfId="5780"/>
    <cellStyle name="Normal 266" xfId="5781"/>
    <cellStyle name="Normal 267" xfId="5782"/>
    <cellStyle name="Normal 268" xfId="5783"/>
    <cellStyle name="Normal 269" xfId="5784"/>
    <cellStyle name="Normal 27" xfId="3628"/>
    <cellStyle name="Normal 27 2" xfId="3629"/>
    <cellStyle name="Normal 27 3" xfId="3630"/>
    <cellStyle name="Normal 27 4" xfId="3631"/>
    <cellStyle name="Normal 27 5" xfId="3632"/>
    <cellStyle name="Normal 27_TABULADOS NACIONAL FONE_ CUADROS2_21 02 11_salida" xfId="3633"/>
    <cellStyle name="Normal 270" xfId="5785"/>
    <cellStyle name="Normal 271" xfId="5786"/>
    <cellStyle name="Normal 272" xfId="5787"/>
    <cellStyle name="Normal 273" xfId="5788"/>
    <cellStyle name="Normal 274" xfId="5789"/>
    <cellStyle name="Normal 275" xfId="5790"/>
    <cellStyle name="Normal 276" xfId="5791"/>
    <cellStyle name="Normal 277" xfId="5792"/>
    <cellStyle name="Normal 278" xfId="5793"/>
    <cellStyle name="Normal 279" xfId="5794"/>
    <cellStyle name="Normal 28" xfId="3634"/>
    <cellStyle name="Normal 28 2" xfId="3635"/>
    <cellStyle name="Normal 28 3" xfId="3636"/>
    <cellStyle name="Normal 28 4" xfId="3637"/>
    <cellStyle name="Normal 28 5" xfId="3638"/>
    <cellStyle name="Normal 280" xfId="5795"/>
    <cellStyle name="Normal 281" xfId="5796"/>
    <cellStyle name="Normal 282" xfId="5797"/>
    <cellStyle name="Normal 283" xfId="5798"/>
    <cellStyle name="Normal 284" xfId="5799"/>
    <cellStyle name="Normal 285" xfId="5800"/>
    <cellStyle name="Normal 286" xfId="5801"/>
    <cellStyle name="Normal 287" xfId="5802"/>
    <cellStyle name="Normal 288" xfId="5803"/>
    <cellStyle name="Normal 289" xfId="5804"/>
    <cellStyle name="Normal 29" xfId="3639"/>
    <cellStyle name="Normal 29 2" xfId="3640"/>
    <cellStyle name="Normal 29 3" xfId="3641"/>
    <cellStyle name="Normal 29 4" xfId="3642"/>
    <cellStyle name="Normal 29 5" xfId="3643"/>
    <cellStyle name="Normal 290" xfId="5805"/>
    <cellStyle name="Normal 291" xfId="5806"/>
    <cellStyle name="Normal 292" xfId="5807"/>
    <cellStyle name="Normal 293" xfId="5808"/>
    <cellStyle name="Normal 294" xfId="5809"/>
    <cellStyle name="Normal 295" xfId="5810"/>
    <cellStyle name="Normal 296" xfId="5811"/>
    <cellStyle name="Normal 297" xfId="5812"/>
    <cellStyle name="Normal 298" xfId="5813"/>
    <cellStyle name="Normal 299" xfId="5814"/>
    <cellStyle name="Normal 3" xfId="2"/>
    <cellStyle name="Normal 3 10" xfId="5958"/>
    <cellStyle name="Normal 3 2" xfId="1565"/>
    <cellStyle name="Normal 3 2 2" xfId="1566"/>
    <cellStyle name="Normal 3 2 2 2" xfId="1567"/>
    <cellStyle name="Normal 3 2 2 2 2" xfId="3141"/>
    <cellStyle name="Normal 3 2 2 3" xfId="3140"/>
    <cellStyle name="Normal 3 2 2 4" xfId="4765"/>
    <cellStyle name="Normal 3 2 3" xfId="1568"/>
    <cellStyle name="Normal 3 2 3 2" xfId="3142"/>
    <cellStyle name="Normal 3 2 4" xfId="3139"/>
    <cellStyle name="Normal 3 2 5" xfId="4764"/>
    <cellStyle name="Normal 3 3" xfId="1569"/>
    <cellStyle name="Normal 3 3 2" xfId="1570"/>
    <cellStyle name="Normal 3 3 2 2" xfId="3144"/>
    <cellStyle name="Normal 3 3 3" xfId="3143"/>
    <cellStyle name="Normal 3 3 4" xfId="4766"/>
    <cellStyle name="Normal 3 3 5" xfId="5908"/>
    <cellStyle name="Normal 3 4" xfId="1571"/>
    <cellStyle name="Normal 3 4 2" xfId="3145"/>
    <cellStyle name="Normal 3 5" xfId="1572"/>
    <cellStyle name="Normal 3 5 2" xfId="3146"/>
    <cellStyle name="Normal 3 6" xfId="3138"/>
    <cellStyle name="Normal 3 7" xfId="4763"/>
    <cellStyle name="Normal 3 8" xfId="5893"/>
    <cellStyle name="Normal 3 8 2" xfId="6069"/>
    <cellStyle name="Normal 3_FONI-FALTANTES" xfId="3644"/>
    <cellStyle name="Normal 30" xfId="3645"/>
    <cellStyle name="Normal 30 2" xfId="3646"/>
    <cellStyle name="Normal 30 3" xfId="3647"/>
    <cellStyle name="Normal 30 4" xfId="3648"/>
    <cellStyle name="Normal 30 5" xfId="3649"/>
    <cellStyle name="Normal 300" xfId="5815"/>
    <cellStyle name="Normal 301" xfId="5816"/>
    <cellStyle name="Normal 302" xfId="5817"/>
    <cellStyle name="Normal 303" xfId="5818"/>
    <cellStyle name="Normal 31" xfId="3650"/>
    <cellStyle name="Normal 31 2" xfId="3651"/>
    <cellStyle name="Normal 31 3" xfId="3652"/>
    <cellStyle name="Normal 31 4" xfId="3653"/>
    <cellStyle name="Normal 31 5" xfId="3654"/>
    <cellStyle name="Normal 310 3" xfId="5922"/>
    <cellStyle name="Normal 310 3 2" xfId="6094"/>
    <cellStyle name="Normal 311 3" xfId="5923"/>
    <cellStyle name="Normal 311 3 2" xfId="6095"/>
    <cellStyle name="Normal 312 3" xfId="5924"/>
    <cellStyle name="Normal 312 3 2" xfId="6096"/>
    <cellStyle name="Normal 313 4" xfId="5925"/>
    <cellStyle name="Normal 313 4 2" xfId="6097"/>
    <cellStyle name="Normal 32" xfId="3655"/>
    <cellStyle name="Normal 32 2" xfId="3656"/>
    <cellStyle name="Normal 32 3" xfId="3657"/>
    <cellStyle name="Normal 32 4" xfId="3658"/>
    <cellStyle name="Normal 32 5" xfId="3659"/>
    <cellStyle name="Normal 322" xfId="5826"/>
    <cellStyle name="Normal 322 2" xfId="5916"/>
    <cellStyle name="Normal 322 2 2" xfId="6088"/>
    <cellStyle name="Normal 322 3" xfId="6062"/>
    <cellStyle name="Normal 324 2" xfId="5915"/>
    <cellStyle name="Normal 324 2 2" xfId="6087"/>
    <cellStyle name="Normal 326" xfId="5829"/>
    <cellStyle name="Normal 326 2" xfId="5918"/>
    <cellStyle name="Normal 326 2 2" xfId="6090"/>
    <cellStyle name="Normal 326 3" xfId="6063"/>
    <cellStyle name="Normal 327" xfId="5825"/>
    <cellStyle name="Normal 327 2" xfId="5919"/>
    <cellStyle name="Normal 327 2 2" xfId="6091"/>
    <cellStyle name="Normal 327 3" xfId="6061"/>
    <cellStyle name="Normal 328 2" xfId="5914"/>
    <cellStyle name="Normal 328 2 2" xfId="6086"/>
    <cellStyle name="Normal 329" xfId="5824"/>
    <cellStyle name="Normal 329 2" xfId="5920"/>
    <cellStyle name="Normal 329 2 2" xfId="6092"/>
    <cellStyle name="Normal 329 3" xfId="6060"/>
    <cellStyle name="Normal 33" xfId="3660"/>
    <cellStyle name="Normal 33 2" xfId="3661"/>
    <cellStyle name="Normal 33 3" xfId="3662"/>
    <cellStyle name="Normal 33 4" xfId="3663"/>
    <cellStyle name="Normal 33 5" xfId="3664"/>
    <cellStyle name="Normal 34" xfId="3665"/>
    <cellStyle name="Normal 34 2" xfId="3666"/>
    <cellStyle name="Normal 34 3" xfId="3667"/>
    <cellStyle name="Normal 34 4" xfId="3668"/>
    <cellStyle name="Normal 34 5" xfId="3669"/>
    <cellStyle name="Normal 34_2. TABULADOS NACIONAL FONE - 2011" xfId="3670"/>
    <cellStyle name="Normal 341 3" xfId="5926"/>
    <cellStyle name="Normal 341 3 2" xfId="6098"/>
    <cellStyle name="Normal 342 3" xfId="5929"/>
    <cellStyle name="Normal 342 3 2" xfId="6101"/>
    <cellStyle name="Normal 343 3" xfId="5933"/>
    <cellStyle name="Normal 343 3 2" xfId="6105"/>
    <cellStyle name="Normal 344 3" xfId="5946"/>
    <cellStyle name="Normal 344 3 2" xfId="6118"/>
    <cellStyle name="Normal 345 2" xfId="5897"/>
    <cellStyle name="Normal 345 2 2" xfId="6073"/>
    <cellStyle name="Normal 35" xfId="3671"/>
    <cellStyle name="Normal 35 2" xfId="3672"/>
    <cellStyle name="Normal 35 3" xfId="3673"/>
    <cellStyle name="Normal 35 4" xfId="3674"/>
    <cellStyle name="Normal 35 5" xfId="3675"/>
    <cellStyle name="Normal 36" xfId="3676"/>
    <cellStyle name="Normal 36 2" xfId="3677"/>
    <cellStyle name="Normal 36 3" xfId="3678"/>
    <cellStyle name="Normal 36 4" xfId="3679"/>
    <cellStyle name="Normal 36 5" xfId="3680"/>
    <cellStyle name="Normal 36_TABULADOS NACIONAL FONE_ CUADROS2_21 02 11_salida" xfId="3681"/>
    <cellStyle name="Normal 37" xfId="3682"/>
    <cellStyle name="Normal 38" xfId="3683"/>
    <cellStyle name="Normal 39" xfId="3684"/>
    <cellStyle name="Normal 4" xfId="8"/>
    <cellStyle name="Normal 4 2" xfId="1573"/>
    <cellStyle name="Normal 4 2 2" xfId="1574"/>
    <cellStyle name="Normal 4 2 3" xfId="4768"/>
    <cellStyle name="Normal 4 2 3 2" xfId="5971"/>
    <cellStyle name="Normal 4 2 4" xfId="5647"/>
    <cellStyle name="Normal 4 2 4 2" xfId="6010"/>
    <cellStyle name="Normal 4 2 5" xfId="5964"/>
    <cellStyle name="Normal 4 3" xfId="1575"/>
    <cellStyle name="Normal 4 3 2" xfId="1576"/>
    <cellStyle name="Normal 4 3 2 2" xfId="3151"/>
    <cellStyle name="Normal 4 3 3" xfId="3150"/>
    <cellStyle name="Normal 4 3 4" xfId="4770"/>
    <cellStyle name="Normal 4 4" xfId="1577"/>
    <cellStyle name="Normal 4 4 2" xfId="3152"/>
    <cellStyle name="Normal 4 5" xfId="3147"/>
    <cellStyle name="Normal 4 6" xfId="3685"/>
    <cellStyle name="Normal 4 7" xfId="4767"/>
    <cellStyle name="Normal 4_Hoja3" xfId="5716"/>
    <cellStyle name="Normal 40" xfId="3686"/>
    <cellStyle name="Normal 41" xfId="3687"/>
    <cellStyle name="Normal 42" xfId="3688"/>
    <cellStyle name="Normal 43" xfId="3689"/>
    <cellStyle name="Normal 44" xfId="3690"/>
    <cellStyle name="Normal 45" xfId="3691"/>
    <cellStyle name="Normal 46" xfId="3692"/>
    <cellStyle name="Normal 46 2" xfId="3693"/>
    <cellStyle name="Normal 46 3" xfId="3694"/>
    <cellStyle name="Normal 46 4" xfId="3695"/>
    <cellStyle name="Normal 46 5" xfId="3696"/>
    <cellStyle name="Normal 47" xfId="3697"/>
    <cellStyle name="Normal 48" xfId="3698"/>
    <cellStyle name="Normal 48 2" xfId="3699"/>
    <cellStyle name="Normal 48 3" xfId="3700"/>
    <cellStyle name="Normal 48 4" xfId="3701"/>
    <cellStyle name="Normal 48 5" xfId="3702"/>
    <cellStyle name="Normal 49" xfId="3703"/>
    <cellStyle name="Normal 49 2" xfId="3704"/>
    <cellStyle name="Normal 49 3" xfId="3705"/>
    <cellStyle name="Normal 49 4" xfId="3706"/>
    <cellStyle name="Normal 49 5" xfId="3707"/>
    <cellStyle name="Normal 5" xfId="1578"/>
    <cellStyle name="Normal 5 2" xfId="1579"/>
    <cellStyle name="Normal 5 2 2" xfId="1580"/>
    <cellStyle name="Normal 5 2 2 2" xfId="3155"/>
    <cellStyle name="Normal 5 2 3" xfId="3154"/>
    <cellStyle name="Normal 5 2 4" xfId="4771"/>
    <cellStyle name="Normal 5 3" xfId="1581"/>
    <cellStyle name="Normal 5 4" xfId="3708"/>
    <cellStyle name="Normal 5 5" xfId="3709"/>
    <cellStyle name="Normal 50" xfId="3710"/>
    <cellStyle name="Normal 50 2" xfId="3711"/>
    <cellStyle name="Normal 50 3" xfId="3712"/>
    <cellStyle name="Normal 50 4" xfId="3713"/>
    <cellStyle name="Normal 50 5" xfId="3714"/>
    <cellStyle name="Normal 51" xfId="3715"/>
    <cellStyle name="Normal 51 2" xfId="3716"/>
    <cellStyle name="Normal 51 3" xfId="3717"/>
    <cellStyle name="Normal 51 4" xfId="3718"/>
    <cellStyle name="Normal 51 5" xfId="3719"/>
    <cellStyle name="Normal 52" xfId="3720"/>
    <cellStyle name="Normal 52 2" xfId="3721"/>
    <cellStyle name="Normal 52 3" xfId="3722"/>
    <cellStyle name="Normal 52 4" xfId="3723"/>
    <cellStyle name="Normal 52 5" xfId="3724"/>
    <cellStyle name="Normal 525 2" xfId="5902"/>
    <cellStyle name="Normal 525 2 2" xfId="6078"/>
    <cellStyle name="Normal 526 2" xfId="5901"/>
    <cellStyle name="Normal 526 2 2" xfId="6077"/>
    <cellStyle name="Normal 527 2 2" xfId="5904"/>
    <cellStyle name="Normal 527 2 2 2" xfId="6080"/>
    <cellStyle name="Normal 53" xfId="3725"/>
    <cellStyle name="Normal 530 2 2" xfId="5903"/>
    <cellStyle name="Normal 530 2 2 2" xfId="6079"/>
    <cellStyle name="Normal 533 2" xfId="5907"/>
    <cellStyle name="Normal 533 2 2" xfId="6083"/>
    <cellStyle name="Normal 534 2" xfId="5906"/>
    <cellStyle name="Normal 534 2 2" xfId="6082"/>
    <cellStyle name="Normal 535" xfId="5890"/>
    <cellStyle name="Normal 535 2" xfId="5892"/>
    <cellStyle name="Normal 535 2 2" xfId="5909"/>
    <cellStyle name="Normal 535 2 2 2" xfId="6084"/>
    <cellStyle name="Normal 535 2 3" xfId="6068"/>
    <cellStyle name="Normal 535 3" xfId="6066"/>
    <cellStyle name="Normal 54" xfId="3726"/>
    <cellStyle name="Normal 54 2" xfId="3727"/>
    <cellStyle name="Normal 54 3" xfId="3728"/>
    <cellStyle name="Normal 54 4" xfId="3729"/>
    <cellStyle name="Normal 54 5" xfId="3730"/>
    <cellStyle name="Normal 55" xfId="3731"/>
    <cellStyle name="Normal 558 2" xfId="5927"/>
    <cellStyle name="Normal 558 2 2" xfId="6099"/>
    <cellStyle name="Normal 559 2" xfId="5928"/>
    <cellStyle name="Normal 559 2 2" xfId="6100"/>
    <cellStyle name="Normal 56" xfId="3732"/>
    <cellStyle name="Normal 56 2" xfId="3733"/>
    <cellStyle name="Normal 56 3" xfId="3734"/>
    <cellStyle name="Normal 56 4" xfId="3735"/>
    <cellStyle name="Normal 56 5" xfId="3736"/>
    <cellStyle name="Normal 561 2" xfId="5930"/>
    <cellStyle name="Normal 561 2 2" xfId="6102"/>
    <cellStyle name="Normal 562 2" xfId="5931"/>
    <cellStyle name="Normal 562 2 2" xfId="6103"/>
    <cellStyle name="Normal 563 2" xfId="5932"/>
    <cellStyle name="Normal 563 2 2" xfId="6104"/>
    <cellStyle name="Normal 565 2" xfId="5934"/>
    <cellStyle name="Normal 565 2 2" xfId="6106"/>
    <cellStyle name="Normal 566 2" xfId="5935"/>
    <cellStyle name="Normal 566 2 2" xfId="6107"/>
    <cellStyle name="Normal 568 2" xfId="5936"/>
    <cellStyle name="Normal 568 2 2" xfId="6108"/>
    <cellStyle name="Normal 569 2" xfId="5937"/>
    <cellStyle name="Normal 569 2 2" xfId="6109"/>
    <cellStyle name="Normal 57" xfId="3737"/>
    <cellStyle name="Normal 57 2" xfId="3738"/>
    <cellStyle name="Normal 57 3" xfId="3739"/>
    <cellStyle name="Normal 57 4" xfId="3740"/>
    <cellStyle name="Normal 57 5" xfId="3741"/>
    <cellStyle name="Normal 571 2" xfId="5938"/>
    <cellStyle name="Normal 571 2 2" xfId="6110"/>
    <cellStyle name="Normal 572 2" xfId="5939"/>
    <cellStyle name="Normal 572 2 2" xfId="6111"/>
    <cellStyle name="Normal 573 2" xfId="5940"/>
    <cellStyle name="Normal 573 2 2" xfId="6112"/>
    <cellStyle name="Normal 574 2" xfId="5941"/>
    <cellStyle name="Normal 574 2 2" xfId="6113"/>
    <cellStyle name="Normal 576 2" xfId="5942"/>
    <cellStyle name="Normal 576 2 2" xfId="6114"/>
    <cellStyle name="Normal 577 2" xfId="5943"/>
    <cellStyle name="Normal 577 2 2" xfId="6115"/>
    <cellStyle name="Normal 579 2" xfId="5944"/>
    <cellStyle name="Normal 579 2 2" xfId="6116"/>
    <cellStyle name="Normal 58" xfId="3742"/>
    <cellStyle name="Normal 580 2" xfId="5945"/>
    <cellStyle name="Normal 580 2 2" xfId="6117"/>
    <cellStyle name="Normal 582 2" xfId="5947"/>
    <cellStyle name="Normal 582 2 2" xfId="6119"/>
    <cellStyle name="Normal 583 2" xfId="5948"/>
    <cellStyle name="Normal 583 2 2" xfId="6120"/>
    <cellStyle name="Normal 585 2" xfId="5949"/>
    <cellStyle name="Normal 585 2 2" xfId="6121"/>
    <cellStyle name="Normal 587 2" xfId="5950"/>
    <cellStyle name="Normal 587 2 2" xfId="6122"/>
    <cellStyle name="Normal 589 2" xfId="5951"/>
    <cellStyle name="Normal 589 2 2" xfId="6123"/>
    <cellStyle name="Normal 59" xfId="3743"/>
    <cellStyle name="Normal 59 2" xfId="3744"/>
    <cellStyle name="Normal 59 3" xfId="3745"/>
    <cellStyle name="Normal 59 4" xfId="3746"/>
    <cellStyle name="Normal 59 5" xfId="3747"/>
    <cellStyle name="Normal 590 2" xfId="5952"/>
    <cellStyle name="Normal 590 2 2" xfId="6124"/>
    <cellStyle name="Normal 591 2" xfId="5953"/>
    <cellStyle name="Normal 591 2 2" xfId="6125"/>
    <cellStyle name="Normal 592 2" xfId="5954"/>
    <cellStyle name="Normal 592 2 2" xfId="6126"/>
    <cellStyle name="Normal 593 2" xfId="5955"/>
    <cellStyle name="Normal 593 2 2" xfId="6127"/>
    <cellStyle name="Normal 594 2" xfId="5956"/>
    <cellStyle name="Normal 594 2 2" xfId="6128"/>
    <cellStyle name="Normal 595 2" xfId="5957"/>
    <cellStyle name="Normal 595 2 2" xfId="6129"/>
    <cellStyle name="Normal 598 2" xfId="5917"/>
    <cellStyle name="Normal 598 2 2" xfId="6089"/>
    <cellStyle name="Normal 6" xfId="3"/>
    <cellStyle name="Normal 6 2" xfId="1583"/>
    <cellStyle name="Normal 6 2 2" xfId="3158"/>
    <cellStyle name="Normal 6 3" xfId="3157"/>
    <cellStyle name="Normal 6 4" xfId="3748"/>
    <cellStyle name="Normal 6 5" xfId="3749"/>
    <cellStyle name="Normal 6 6" xfId="4772"/>
    <cellStyle name="Normal 6 7" xfId="1582"/>
    <cellStyle name="Normal 6 8" xfId="5960"/>
    <cellStyle name="Normal 60" xfId="3750"/>
    <cellStyle name="Normal 60 2" xfId="3751"/>
    <cellStyle name="Normal 60 3" xfId="3752"/>
    <cellStyle name="Normal 60 4" xfId="3753"/>
    <cellStyle name="Normal 60 5" xfId="3754"/>
    <cellStyle name="Normal 61" xfId="3755"/>
    <cellStyle name="Normal 61 2" xfId="3756"/>
    <cellStyle name="Normal 61 3" xfId="3757"/>
    <cellStyle name="Normal 61 4" xfId="3758"/>
    <cellStyle name="Normal 61 5" xfId="3759"/>
    <cellStyle name="Normal 62" xfId="3760"/>
    <cellStyle name="Normal 62 2" xfId="3761"/>
    <cellStyle name="Normal 62 3" xfId="3762"/>
    <cellStyle name="Normal 62 4" xfId="3763"/>
    <cellStyle name="Normal 62 5" xfId="3764"/>
    <cellStyle name="Normal 63" xfId="3765"/>
    <cellStyle name="Normal 63 2" xfId="3766"/>
    <cellStyle name="Normal 63 3" xfId="3767"/>
    <cellStyle name="Normal 63 4" xfId="3768"/>
    <cellStyle name="Normal 63 5" xfId="3769"/>
    <cellStyle name="Normal 64" xfId="3770"/>
    <cellStyle name="Normal 64 2" xfId="3771"/>
    <cellStyle name="Normal 64 3" xfId="3772"/>
    <cellStyle name="Normal 64 4" xfId="3773"/>
    <cellStyle name="Normal 64 5" xfId="3774"/>
    <cellStyle name="Normal 65" xfId="3775"/>
    <cellStyle name="Normal 65 2" xfId="3776"/>
    <cellStyle name="Normal 65 3" xfId="3777"/>
    <cellStyle name="Normal 65 4" xfId="3778"/>
    <cellStyle name="Normal 65 5" xfId="3779"/>
    <cellStyle name="Normal 66" xfId="3780"/>
    <cellStyle name="Normal 66 2" xfId="3781"/>
    <cellStyle name="Normal 66 3" xfId="3782"/>
    <cellStyle name="Normal 66 4" xfId="3783"/>
    <cellStyle name="Normal 66 5" xfId="3784"/>
    <cellStyle name="Normal 67" xfId="3785"/>
    <cellStyle name="Normal 67 2" xfId="3786"/>
    <cellStyle name="Normal 67 3" xfId="3787"/>
    <cellStyle name="Normal 67 4" xfId="3788"/>
    <cellStyle name="Normal 67 5" xfId="3789"/>
    <cellStyle name="Normal 68" xfId="3790"/>
    <cellStyle name="Normal 68 2" xfId="3791"/>
    <cellStyle name="Normal 68 3" xfId="3792"/>
    <cellStyle name="Normal 68 4" xfId="3793"/>
    <cellStyle name="Normal 68 5" xfId="3794"/>
    <cellStyle name="Normal 69" xfId="3795"/>
    <cellStyle name="Normal 69 2" xfId="3796"/>
    <cellStyle name="Normal 69 3" xfId="3797"/>
    <cellStyle name="Normal 69 4" xfId="3798"/>
    <cellStyle name="Normal 69 5" xfId="3799"/>
    <cellStyle name="Normal 7" xfId="1584"/>
    <cellStyle name="Normal 7 2" xfId="1585"/>
    <cellStyle name="Normal 7 2 2" xfId="3160"/>
    <cellStyle name="Normal 7 3" xfId="3159"/>
    <cellStyle name="Normal 7 4" xfId="4773"/>
    <cellStyle name="Normal 70" xfId="3800"/>
    <cellStyle name="Normal 70 2" xfId="3801"/>
    <cellStyle name="Normal 70 3" xfId="3802"/>
    <cellStyle name="Normal 70 4" xfId="3803"/>
    <cellStyle name="Normal 70 5" xfId="3804"/>
    <cellStyle name="Normal 71" xfId="3805"/>
    <cellStyle name="Normal 71 2" xfId="3806"/>
    <cellStyle name="Normal 71 2 2 2" xfId="5718"/>
    <cellStyle name="Normal 71 2 2 2 2" xfId="6015"/>
    <cellStyle name="Normal 71 3" xfId="3807"/>
    <cellStyle name="Normal 71 4" xfId="3808"/>
    <cellStyle name="Normal 71 5" xfId="3809"/>
    <cellStyle name="Normal 72" xfId="3810"/>
    <cellStyle name="Normal 72 2" xfId="3811"/>
    <cellStyle name="Normal 72 3" xfId="3812"/>
    <cellStyle name="Normal 72 4" xfId="3813"/>
    <cellStyle name="Normal 72 5" xfId="3814"/>
    <cellStyle name="Normal 73" xfId="3815"/>
    <cellStyle name="Normal 73 2" xfId="3816"/>
    <cellStyle name="Normal 73 3" xfId="3817"/>
    <cellStyle name="Normal 73 4" xfId="3818"/>
    <cellStyle name="Normal 73 5" xfId="3819"/>
    <cellStyle name="Normal 74" xfId="3820"/>
    <cellStyle name="Normal 74 2" xfId="3821"/>
    <cellStyle name="Normal 74 3" xfId="3822"/>
    <cellStyle name="Normal 74 4" xfId="3823"/>
    <cellStyle name="Normal 74 5" xfId="3824"/>
    <cellStyle name="Normal 75" xfId="3825"/>
    <cellStyle name="Normal 75 2" xfId="3826"/>
    <cellStyle name="Normal 75 3" xfId="3827"/>
    <cellStyle name="Normal 75 4" xfId="3828"/>
    <cellStyle name="Normal 75 5" xfId="3829"/>
    <cellStyle name="Normal 76" xfId="3830"/>
    <cellStyle name="Normal 76 2" xfId="3831"/>
    <cellStyle name="Normal 76 3" xfId="3832"/>
    <cellStyle name="Normal 76 4" xfId="3833"/>
    <cellStyle name="Normal 76 5" xfId="3834"/>
    <cellStyle name="Normal 77" xfId="3835"/>
    <cellStyle name="Normal 77 2" xfId="3836"/>
    <cellStyle name="Normal 77 3" xfId="3837"/>
    <cellStyle name="Normal 77 4" xfId="3838"/>
    <cellStyle name="Normal 77 5" xfId="3839"/>
    <cellStyle name="Normal 78" xfId="3840"/>
    <cellStyle name="Normal 78 2" xfId="3841"/>
    <cellStyle name="Normal 78 3" xfId="3842"/>
    <cellStyle name="Normal 78 4" xfId="3843"/>
    <cellStyle name="Normal 78 5" xfId="3844"/>
    <cellStyle name="Normal 79" xfId="3845"/>
    <cellStyle name="Normal 79 2" xfId="3846"/>
    <cellStyle name="Normal 79 3" xfId="3847"/>
    <cellStyle name="Normal 79 4" xfId="3848"/>
    <cellStyle name="Normal 79 5" xfId="3849"/>
    <cellStyle name="Normal 8" xfId="1586"/>
    <cellStyle name="Normal 8 2" xfId="3161"/>
    <cellStyle name="Normal 80" xfId="3850"/>
    <cellStyle name="Normal 80 2" xfId="3851"/>
    <cellStyle name="Normal 80 3" xfId="3852"/>
    <cellStyle name="Normal 80 4" xfId="3853"/>
    <cellStyle name="Normal 80 5" xfId="3854"/>
    <cellStyle name="Normal 81" xfId="3855"/>
    <cellStyle name="Normal 81 2" xfId="3856"/>
    <cellStyle name="Normal 81 3" xfId="3857"/>
    <cellStyle name="Normal 81 4" xfId="3858"/>
    <cellStyle name="Normal 81 5" xfId="3859"/>
    <cellStyle name="Normal 82" xfId="3860"/>
    <cellStyle name="Normal 82 2" xfId="3861"/>
    <cellStyle name="Normal 82 3" xfId="3862"/>
    <cellStyle name="Normal 82 4" xfId="3863"/>
    <cellStyle name="Normal 82 5" xfId="3864"/>
    <cellStyle name="Normal 83" xfId="3865"/>
    <cellStyle name="Normal 84" xfId="3866"/>
    <cellStyle name="Normal 85" xfId="3867"/>
    <cellStyle name="Normal 85 2" xfId="3868"/>
    <cellStyle name="Normal 85 3" xfId="3869"/>
    <cellStyle name="Normal 85 4" xfId="3870"/>
    <cellStyle name="Normal 85 5" xfId="3871"/>
    <cellStyle name="Normal 86" xfId="3872"/>
    <cellStyle name="Normal 86 2" xfId="3873"/>
    <cellStyle name="Normal 86 3" xfId="3874"/>
    <cellStyle name="Normal 86 4" xfId="3875"/>
    <cellStyle name="Normal 86 5" xfId="3876"/>
    <cellStyle name="Normal 87" xfId="3877"/>
    <cellStyle name="Normal 87 2" xfId="3878"/>
    <cellStyle name="Normal 87 3" xfId="3879"/>
    <cellStyle name="Normal 87 4" xfId="3880"/>
    <cellStyle name="Normal 87 5" xfId="3881"/>
    <cellStyle name="Normal 88" xfId="3882"/>
    <cellStyle name="Normal 89" xfId="3883"/>
    <cellStyle name="Normal 89 2" xfId="3884"/>
    <cellStyle name="Normal 89 3" xfId="3885"/>
    <cellStyle name="Normal 89 4" xfId="3886"/>
    <cellStyle name="Normal 89 5" xfId="3887"/>
    <cellStyle name="Normal 9" xfId="1587"/>
    <cellStyle name="Normal 9 2" xfId="3162"/>
    <cellStyle name="Normal 9 3" xfId="3888"/>
    <cellStyle name="Normal 9 4" xfId="3889"/>
    <cellStyle name="Normal 9 5" xfId="3890"/>
    <cellStyle name="Normal 9_2. TABULADOS NACIONAL FONE - 2011" xfId="3891"/>
    <cellStyle name="Normal 90" xfId="3892"/>
    <cellStyle name="Normal 91" xfId="3893"/>
    <cellStyle name="Normal 92" xfId="3894"/>
    <cellStyle name="Normal 93" xfId="3895"/>
    <cellStyle name="Normal 94" xfId="3896"/>
    <cellStyle name="Normal 95" xfId="3897"/>
    <cellStyle name="Normal 96" xfId="3898"/>
    <cellStyle name="Normal 97" xfId="3899"/>
    <cellStyle name="Normal 98" xfId="3900"/>
    <cellStyle name="Normal 99" xfId="3901"/>
    <cellStyle name="Normal_Cuadros 9-13" xfId="10"/>
    <cellStyle name="Normal_Indicadores de salud de ODM.doris 2009xls" xfId="5819"/>
    <cellStyle name="Normal_indicadores MILENIO-ENCO" xfId="5820"/>
    <cellStyle name="Normal_MATRIZ RRHH  TOTAL  X OCUP X COND LABORAL1" xfId="4"/>
    <cellStyle name="Normal_pobreza-brecha-severidad" xfId="5822"/>
    <cellStyle name="Normal_RANGO" xfId="5827"/>
    <cellStyle name="Normal_SUNARP" xfId="5828"/>
    <cellStyle name="NOTAS - Style3" xfId="1588"/>
    <cellStyle name="NOTAS - Style3 2" xfId="1589"/>
    <cellStyle name="Notas 10" xfId="1590"/>
    <cellStyle name="Notas 10 10" xfId="4937"/>
    <cellStyle name="Notas 10 11" xfId="5351"/>
    <cellStyle name="Notas 10 12" xfId="5302"/>
    <cellStyle name="Notas 10 2" xfId="1591"/>
    <cellStyle name="Notas 10 2 10" xfId="5174"/>
    <cellStyle name="Notas 10 2 11" xfId="5034"/>
    <cellStyle name="Notas 10 2 2" xfId="1592"/>
    <cellStyle name="Notas 10 2 2 2" xfId="3167"/>
    <cellStyle name="Notas 10 2 3" xfId="3166"/>
    <cellStyle name="Notas 10 2 4" xfId="4777"/>
    <cellStyle name="Notas 10 2 5" xfId="5008"/>
    <cellStyle name="Notas 10 2 6" xfId="5204"/>
    <cellStyle name="Notas 10 2 7" xfId="5051"/>
    <cellStyle name="Notas 10 2 8" xfId="5381"/>
    <cellStyle name="Notas 10 2 9" xfId="4856"/>
    <cellStyle name="Notas 10 3" xfId="1593"/>
    <cellStyle name="Notas 10 3 2" xfId="3168"/>
    <cellStyle name="Notas 10 4" xfId="3165"/>
    <cellStyle name="Notas 10 5" xfId="4776"/>
    <cellStyle name="Notas 10 6" xfId="4443"/>
    <cellStyle name="Notas 10 7" xfId="5107"/>
    <cellStyle name="Notas 10 8" xfId="4265"/>
    <cellStyle name="Notas 10 9" xfId="4932"/>
    <cellStyle name="Notas 11" xfId="1594"/>
    <cellStyle name="Notas 11 10" xfId="5207"/>
    <cellStyle name="Notas 11 11" xfId="5322"/>
    <cellStyle name="Notas 11 12" xfId="4887"/>
    <cellStyle name="Notas 11 2" xfId="1595"/>
    <cellStyle name="Notas 11 2 10" xfId="4842"/>
    <cellStyle name="Notas 11 2 11" xfId="4057"/>
    <cellStyle name="Notas 11 2 2" xfId="1596"/>
    <cellStyle name="Notas 11 2 2 2" xfId="3171"/>
    <cellStyle name="Notas 11 2 3" xfId="3170"/>
    <cellStyle name="Notas 11 2 4" xfId="4779"/>
    <cellStyle name="Notas 11 2 5" xfId="5007"/>
    <cellStyle name="Notas 11 2 6" xfId="4921"/>
    <cellStyle name="Notas 11 2 7" xfId="5139"/>
    <cellStyle name="Notas 11 2 8" xfId="5045"/>
    <cellStyle name="Notas 11 2 9" xfId="5057"/>
    <cellStyle name="Notas 11 3" xfId="1597"/>
    <cellStyle name="Notas 11 3 2" xfId="3172"/>
    <cellStyle name="Notas 11 4" xfId="3169"/>
    <cellStyle name="Notas 11 5" xfId="4778"/>
    <cellStyle name="Notas 11 6" xfId="5006"/>
    <cellStyle name="Notas 11 7" xfId="5038"/>
    <cellStyle name="Notas 11 8" xfId="5095"/>
    <cellStyle name="Notas 11 9" xfId="5058"/>
    <cellStyle name="Notas 12" xfId="1598"/>
    <cellStyle name="Notas 12 10" xfId="5068"/>
    <cellStyle name="Notas 12 11" xfId="3999"/>
    <cellStyle name="Notas 12 12" xfId="5303"/>
    <cellStyle name="Notas 12 2" xfId="1599"/>
    <cellStyle name="Notas 12 2 10" xfId="5055"/>
    <cellStyle name="Notas 12 2 11" xfId="4925"/>
    <cellStyle name="Notas 12 2 2" xfId="1600"/>
    <cellStyle name="Notas 12 2 2 2" xfId="3175"/>
    <cellStyle name="Notas 12 2 3" xfId="3174"/>
    <cellStyle name="Notas 12 2 4" xfId="4781"/>
    <cellStyle name="Notas 12 2 5" xfId="4439"/>
    <cellStyle name="Notas 12 2 6" xfId="4918"/>
    <cellStyle name="Notas 12 2 7" xfId="4841"/>
    <cellStyle name="Notas 12 2 8" xfId="4729"/>
    <cellStyle name="Notas 12 2 9" xfId="5388"/>
    <cellStyle name="Notas 12 3" xfId="1601"/>
    <cellStyle name="Notas 12 3 2" xfId="3176"/>
    <cellStyle name="Notas 12 4" xfId="3173"/>
    <cellStyle name="Notas 12 5" xfId="4780"/>
    <cellStyle name="Notas 12 6" xfId="5005"/>
    <cellStyle name="Notas 12 7" xfId="5154"/>
    <cellStyle name="Notas 12 8" xfId="5355"/>
    <cellStyle name="Notas 12 9" xfId="4975"/>
    <cellStyle name="Notas 13" xfId="5866"/>
    <cellStyle name="Notas 14" xfId="5882"/>
    <cellStyle name="Notas 15" xfId="5875"/>
    <cellStyle name="Notas 16" xfId="5881"/>
    <cellStyle name="Notas 17" xfId="5876"/>
    <cellStyle name="Notas 18" xfId="5880"/>
    <cellStyle name="Notas 19" xfId="5877"/>
    <cellStyle name="Notas 2" xfId="1602"/>
    <cellStyle name="Notas 2 10" xfId="5215"/>
    <cellStyle name="Notas 2 11" xfId="5473"/>
    <cellStyle name="Notas 2 12" xfId="5413"/>
    <cellStyle name="Notas 2 2" xfId="1603"/>
    <cellStyle name="Notas 2 2 10" xfId="5165"/>
    <cellStyle name="Notas 2 2 11" xfId="5541"/>
    <cellStyle name="Notas 2 2 2" xfId="1604"/>
    <cellStyle name="Notas 2 2 2 2" xfId="3179"/>
    <cellStyle name="Notas 2 2 3" xfId="3178"/>
    <cellStyle name="Notas 2 2 4" xfId="4783"/>
    <cellStyle name="Notas 2 2 5" xfId="5004"/>
    <cellStyle name="Notas 2 2 6" xfId="4920"/>
    <cellStyle name="Notas 2 2 7" xfId="5227"/>
    <cellStyle name="Notas 2 2 8" xfId="4930"/>
    <cellStyle name="Notas 2 2 9" xfId="4752"/>
    <cellStyle name="Notas 2 3" xfId="1605"/>
    <cellStyle name="Notas 2 3 2" xfId="3180"/>
    <cellStyle name="Notas 2 4" xfId="3177"/>
    <cellStyle name="Notas 2 5" xfId="4782"/>
    <cellStyle name="Notas 2 6" xfId="4437"/>
    <cellStyle name="Notas 2 7" xfId="5203"/>
    <cellStyle name="Notas 2 8" xfId="4883"/>
    <cellStyle name="Notas 2 9" xfId="5098"/>
    <cellStyle name="Notas 20" xfId="5879"/>
    <cellStyle name="Notas 21" xfId="5878"/>
    <cellStyle name="Notas 3" xfId="1606"/>
    <cellStyle name="Notas 3 10" xfId="5252"/>
    <cellStyle name="Notas 3 11" xfId="5100"/>
    <cellStyle name="Notas 3 12" xfId="5466"/>
    <cellStyle name="Notas 3 2" xfId="1607"/>
    <cellStyle name="Notas 3 2 10" xfId="4733"/>
    <cellStyle name="Notas 3 2 11" xfId="4911"/>
    <cellStyle name="Notas 3 2 2" xfId="1608"/>
    <cellStyle name="Notas 3 2 2 2" xfId="3183"/>
    <cellStyle name="Notas 3 2 3" xfId="3182"/>
    <cellStyle name="Notas 3 2 4" xfId="4786"/>
    <cellStyle name="Notas 3 2 5" xfId="5003"/>
    <cellStyle name="Notas 3 2 6" xfId="5088"/>
    <cellStyle name="Notas 3 2 7" xfId="5052"/>
    <cellStyle name="Notas 3 2 8" xfId="5011"/>
    <cellStyle name="Notas 3 2 9" xfId="5462"/>
    <cellStyle name="Notas 3 3" xfId="1609"/>
    <cellStyle name="Notas 3 3 2" xfId="3184"/>
    <cellStyle name="Notas 3 4" xfId="3181"/>
    <cellStyle name="Notas 3 5" xfId="4785"/>
    <cellStyle name="Notas 3 6" xfId="5002"/>
    <cellStyle name="Notas 3 7" xfId="4214"/>
    <cellStyle name="Notas 3 8" xfId="4938"/>
    <cellStyle name="Notas 3 9" xfId="5218"/>
    <cellStyle name="Notas 4" xfId="1610"/>
    <cellStyle name="Notas 4 10" xfId="5295"/>
    <cellStyle name="Notas 4 11" xfId="4875"/>
    <cellStyle name="Notas 4 12" xfId="5410"/>
    <cellStyle name="Notas 4 2" xfId="1611"/>
    <cellStyle name="Notas 4 2 10" xfId="5283"/>
    <cellStyle name="Notas 4 2 11" xfId="4901"/>
    <cellStyle name="Notas 4 2 2" xfId="1612"/>
    <cellStyle name="Notas 4 2 2 2" xfId="3187"/>
    <cellStyle name="Notas 4 2 3" xfId="3186"/>
    <cellStyle name="Notas 4 2 4" xfId="4789"/>
    <cellStyle name="Notas 4 2 5" xfId="4433"/>
    <cellStyle name="Notas 4 2 6" xfId="4211"/>
    <cellStyle name="Notas 4 2 7" xfId="5140"/>
    <cellStyle name="Notas 4 2 8" xfId="4835"/>
    <cellStyle name="Notas 4 2 9" xfId="5306"/>
    <cellStyle name="Notas 4 3" xfId="1613"/>
    <cellStyle name="Notas 4 3 2" xfId="3188"/>
    <cellStyle name="Notas 4 4" xfId="3185"/>
    <cellStyle name="Notas 4 5" xfId="4788"/>
    <cellStyle name="Notas 4 6" xfId="5001"/>
    <cellStyle name="Notas 4 7" xfId="5037"/>
    <cellStyle name="Notas 4 8" xfId="5093"/>
    <cellStyle name="Notas 4 9" xfId="5324"/>
    <cellStyle name="Notas 5" xfId="1614"/>
    <cellStyle name="Notas 5 10" xfId="5403"/>
    <cellStyle name="Notas 5 11" xfId="5178"/>
    <cellStyle name="Notas 5 12" xfId="4830"/>
    <cellStyle name="Notas 5 2" xfId="1615"/>
    <cellStyle name="Notas 5 2 10" xfId="5372"/>
    <cellStyle name="Notas 5 2 11" xfId="5031"/>
    <cellStyle name="Notas 5 2 2" xfId="1616"/>
    <cellStyle name="Notas 5 2 2 2" xfId="3191"/>
    <cellStyle name="Notas 5 2 3" xfId="3190"/>
    <cellStyle name="Notas 5 2 4" xfId="4793"/>
    <cellStyle name="Notas 5 2 5" xfId="4999"/>
    <cellStyle name="Notas 5 2 6" xfId="4923"/>
    <cellStyle name="Notas 5 2 7" xfId="4843"/>
    <cellStyle name="Notas 5 2 8" xfId="4873"/>
    <cellStyle name="Notas 5 2 9" xfId="4075"/>
    <cellStyle name="Notas 5 3" xfId="1617"/>
    <cellStyle name="Notas 5 3 2" xfId="3192"/>
    <cellStyle name="Notas 5 4" xfId="3189"/>
    <cellStyle name="Notas 5 5" xfId="4792"/>
    <cellStyle name="Notas 5 6" xfId="4431"/>
    <cellStyle name="Notas 5 7" xfId="4922"/>
    <cellStyle name="Notas 5 8" xfId="5228"/>
    <cellStyle name="Notas 5 9" xfId="4834"/>
    <cellStyle name="Notas 6" xfId="1618"/>
    <cellStyle name="Notas 6 10" xfId="4929"/>
    <cellStyle name="Notas 6 11" xfId="5428"/>
    <cellStyle name="Notas 6 12" xfId="5073"/>
    <cellStyle name="Notas 6 2" xfId="1619"/>
    <cellStyle name="Notas 6 2 10" xfId="5317"/>
    <cellStyle name="Notas 6 2 11" xfId="5492"/>
    <cellStyle name="Notas 6 2 2" xfId="1620"/>
    <cellStyle name="Notas 6 2 2 2" xfId="3195"/>
    <cellStyle name="Notas 6 2 3" xfId="3194"/>
    <cellStyle name="Notas 6 2 4" xfId="4796"/>
    <cellStyle name="Notas 6 2 5" xfId="4998"/>
    <cellStyle name="Notas 6 2 6" xfId="4546"/>
    <cellStyle name="Notas 6 2 7" xfId="5229"/>
    <cellStyle name="Notas 6 2 8" xfId="5217"/>
    <cellStyle name="Notas 6 2 9" xfId="5472"/>
    <cellStyle name="Notas 6 3" xfId="1621"/>
    <cellStyle name="Notas 6 3 2" xfId="3196"/>
    <cellStyle name="Notas 6 4" xfId="3193"/>
    <cellStyle name="Notas 6 5" xfId="4795"/>
    <cellStyle name="Notas 6 6" xfId="4997"/>
    <cellStyle name="Notas 6 7" xfId="5206"/>
    <cellStyle name="Notas 6 8" xfId="4107"/>
    <cellStyle name="Notas 6 9" xfId="3911"/>
    <cellStyle name="Notas 7" xfId="1622"/>
    <cellStyle name="Notas 7 10" xfId="4888"/>
    <cellStyle name="Notas 7 11" xfId="4087"/>
    <cellStyle name="Notas 7 12" xfId="5192"/>
    <cellStyle name="Notas 7 2" xfId="1623"/>
    <cellStyle name="Notas 7 2 10" xfId="5244"/>
    <cellStyle name="Notas 7 2 11" xfId="4961"/>
    <cellStyle name="Notas 7 2 2" xfId="1624"/>
    <cellStyle name="Notas 7 2 2 2" xfId="3199"/>
    <cellStyle name="Notas 7 2 3" xfId="3198"/>
    <cellStyle name="Notas 7 2 4" xfId="4799"/>
    <cellStyle name="Notas 7 2 5" xfId="4425"/>
    <cellStyle name="Notas 7 2 6" xfId="5198"/>
    <cellStyle name="Notas 7 2 7" xfId="4601"/>
    <cellStyle name="Notas 7 2 8" xfId="5010"/>
    <cellStyle name="Notas 7 2 9" xfId="4305"/>
    <cellStyle name="Notas 7 3" xfId="1625"/>
    <cellStyle name="Notas 7 3 2" xfId="3200"/>
    <cellStyle name="Notas 7 4" xfId="3197"/>
    <cellStyle name="Notas 7 5" xfId="4798"/>
    <cellStyle name="Notas 7 6" xfId="4996"/>
    <cellStyle name="Notas 7 7" xfId="5161"/>
    <cellStyle name="Notas 7 8" xfId="5138"/>
    <cellStyle name="Notas 7 9" xfId="4239"/>
    <cellStyle name="Notas 8" xfId="1626"/>
    <cellStyle name="Notas 8 10" xfId="5081"/>
    <cellStyle name="Notas 8 11" xfId="4892"/>
    <cellStyle name="Notas 8 12" xfId="5548"/>
    <cellStyle name="Notas 8 2" xfId="1627"/>
    <cellStyle name="Notas 8 2 10" xfId="4899"/>
    <cellStyle name="Notas 8 2 11" xfId="4854"/>
    <cellStyle name="Notas 8 2 2" xfId="1628"/>
    <cellStyle name="Notas 8 2 2 2" xfId="3203"/>
    <cellStyle name="Notas 8 2 3" xfId="3202"/>
    <cellStyle name="Notas 8 2 4" xfId="4802"/>
    <cellStyle name="Notas 8 2 5" xfId="4994"/>
    <cellStyle name="Notas 8 2 6" xfId="4198"/>
    <cellStyle name="Notas 8 2 7" xfId="4942"/>
    <cellStyle name="Notas 8 2 8" xfId="5043"/>
    <cellStyle name="Notas 8 2 9" xfId="5084"/>
    <cellStyle name="Notas 8 3" xfId="1629"/>
    <cellStyle name="Notas 8 3 2" xfId="3204"/>
    <cellStyle name="Notas 8 4" xfId="3201"/>
    <cellStyle name="Notas 8 5" xfId="4801"/>
    <cellStyle name="Notas 8 6" xfId="4423"/>
    <cellStyle name="Notas 8 7" xfId="4544"/>
    <cellStyle name="Notas 8 8" xfId="4745"/>
    <cellStyle name="Notas 8 9" xfId="5331"/>
    <cellStyle name="Notas 9" xfId="1630"/>
    <cellStyle name="Notas 9 10" xfId="5365"/>
    <cellStyle name="Notas 9 11" xfId="5053"/>
    <cellStyle name="Notas 9 12" xfId="5339"/>
    <cellStyle name="Notas 9 2" xfId="1631"/>
    <cellStyle name="Notas 9 2 10" xfId="5338"/>
    <cellStyle name="Notas 9 2 11" xfId="5449"/>
    <cellStyle name="Notas 9 2 2" xfId="1632"/>
    <cellStyle name="Notas 9 2 2 2" xfId="3207"/>
    <cellStyle name="Notas 9 2 3" xfId="3206"/>
    <cellStyle name="Notas 9 2 4" xfId="4804"/>
    <cellStyle name="Notas 9 2 5" xfId="4993"/>
    <cellStyle name="Notas 9 2 6" xfId="4919"/>
    <cellStyle name="Notas 9 2 7" xfId="3985"/>
    <cellStyle name="Notas 9 2 8" xfId="4728"/>
    <cellStyle name="Notas 9 2 9" xfId="5310"/>
    <cellStyle name="Notas 9 3" xfId="1633"/>
    <cellStyle name="Notas 9 3 2" xfId="3208"/>
    <cellStyle name="Notas 9 4" xfId="3205"/>
    <cellStyle name="Notas 9 5" xfId="4803"/>
    <cellStyle name="Notas 9 6" xfId="4992"/>
    <cellStyle name="Notas 9 7" xfId="5105"/>
    <cellStyle name="Notas 9 8" xfId="5230"/>
    <cellStyle name="Notas 9 9" xfId="5044"/>
    <cellStyle name="Note" xfId="1634"/>
    <cellStyle name="Note 10" xfId="4325"/>
    <cellStyle name="Note 11" xfId="4880"/>
    <cellStyle name="Note 12" xfId="4970"/>
    <cellStyle name="Note 2" xfId="1635"/>
    <cellStyle name="Note 2 10" xfId="5269"/>
    <cellStyle name="Note 2 11" xfId="5273"/>
    <cellStyle name="Note 2 12" xfId="5070"/>
    <cellStyle name="Note 2 2" xfId="1636"/>
    <cellStyle name="Note 2 2 10" xfId="5384"/>
    <cellStyle name="Note 2 2 11" xfId="5099"/>
    <cellStyle name="Note 2 2 2" xfId="1637"/>
    <cellStyle name="Note 2 2 2 2" xfId="3212"/>
    <cellStyle name="Note 2 2 3" xfId="3211"/>
    <cellStyle name="Note 2 2 4" xfId="4808"/>
    <cellStyle name="Note 2 2 5" xfId="4989"/>
    <cellStyle name="Note 2 2 6" xfId="5035"/>
    <cellStyle name="Note 2 2 7" xfId="5360"/>
    <cellStyle name="Note 2 2 8" xfId="4971"/>
    <cellStyle name="Note 2 2 9" xfId="4860"/>
    <cellStyle name="Note 2 3" xfId="1638"/>
    <cellStyle name="Note 2 3 2" xfId="3213"/>
    <cellStyle name="Note 2 4" xfId="3210"/>
    <cellStyle name="Note 2 5" xfId="4807"/>
    <cellStyle name="Note 2 6" xfId="4419"/>
    <cellStyle name="Note 2 7" xfId="5101"/>
    <cellStyle name="Note 2 8" xfId="5231"/>
    <cellStyle name="Note 2 9" xfId="4236"/>
    <cellStyle name="Note 3" xfId="1639"/>
    <cellStyle name="Note 3 2" xfId="3214"/>
    <cellStyle name="Note 4" xfId="3209"/>
    <cellStyle name="Note 5" xfId="4806"/>
    <cellStyle name="Note 6" xfId="4991"/>
    <cellStyle name="Note 7" xfId="4209"/>
    <cellStyle name="Note 8" xfId="4884"/>
    <cellStyle name="Note 9" xfId="5111"/>
    <cellStyle name="Original" xfId="1640"/>
    <cellStyle name="Original 2" xfId="1641"/>
    <cellStyle name="Original 2 2" xfId="3216"/>
    <cellStyle name="Original 3" xfId="3215"/>
    <cellStyle name="Output" xfId="1642"/>
    <cellStyle name="Output 10" xfId="4285"/>
    <cellStyle name="Output 2" xfId="1643"/>
    <cellStyle name="Output 3" xfId="4809"/>
    <cellStyle name="Output 4" xfId="4988"/>
    <cellStyle name="Output 5" xfId="4917"/>
    <cellStyle name="Output 6" xfId="5091"/>
    <cellStyle name="Output 7" xfId="5018"/>
    <cellStyle name="Output 8" xfId="5329"/>
    <cellStyle name="Output 9" xfId="4495"/>
    <cellStyle name="PEN-Cuerpo-dec" xfId="1644"/>
    <cellStyle name="PEN-Cuerpo-dec 2" xfId="1645"/>
    <cellStyle name="PEN-Cuerpo-dec 3" xfId="4810"/>
    <cellStyle name="PEN-Cuerpo-dec 3 2" xfId="5972"/>
    <cellStyle name="PEN-Cuerpo-dec 4" xfId="5133"/>
    <cellStyle name="PEN-Cuerpo-dec 4 2" xfId="5977"/>
    <cellStyle name="PEN-Cuerpo-dec 5" xfId="5965"/>
    <cellStyle name="PEN-Cuerpo-no dec" xfId="1646"/>
    <cellStyle name="PEN-Cuerpo-no dec 2" xfId="1647"/>
    <cellStyle name="PEN-Cuerpo-no dec 3" xfId="4812"/>
    <cellStyle name="PEN-Cuerpo-no dec 3 2" xfId="5973"/>
    <cellStyle name="PEN-Cuerpo-no dec 4" xfId="4928"/>
    <cellStyle name="PEN-Cuerpo-no dec 4 2" xfId="5976"/>
    <cellStyle name="PEN-Cuerpo-no dec 5" xfId="5966"/>
    <cellStyle name="PEN-Encabezado" xfId="1648"/>
    <cellStyle name="PEN-Encabezado 2" xfId="1649"/>
    <cellStyle name="PEN-Encabezado 3" xfId="4814"/>
    <cellStyle name="PEN-Encabezado 3 2" xfId="5974"/>
    <cellStyle name="PEN-Encabezado 4" xfId="5275"/>
    <cellStyle name="PEN-Encabezado 4 2" xfId="5980"/>
    <cellStyle name="PEN-Encabezado 5" xfId="5967"/>
    <cellStyle name="PEN-Fuente" xfId="1650"/>
    <cellStyle name="PEN-Fuente 2" xfId="1651"/>
    <cellStyle name="PEN-Titulo" xfId="1652"/>
    <cellStyle name="PEN-Titulo 2" xfId="1653"/>
    <cellStyle name="PEN-Titulo 3" xfId="4815"/>
    <cellStyle name="PEN-Titulo 3 2" xfId="5975"/>
    <cellStyle name="PEN-Titulo 4" xfId="5176"/>
    <cellStyle name="PEN-Titulo 4 2" xfId="5979"/>
    <cellStyle name="PEN-Titulo 5" xfId="5968"/>
    <cellStyle name="Percent" xfId="1654"/>
    <cellStyle name="Percent 2" xfId="1655"/>
    <cellStyle name="Porcentaje 2" xfId="1656"/>
    <cellStyle name="Porcentaje 2 2" xfId="1657"/>
    <cellStyle name="Porcentaje 2 2 2" xfId="3227"/>
    <cellStyle name="Porcentaje 2 3" xfId="3226"/>
    <cellStyle name="Porcentaje 2 4" xfId="4816"/>
    <cellStyle name="Porcentaje 3" xfId="1658"/>
    <cellStyle name="Porcentaje 3 2" xfId="3228"/>
    <cellStyle name="Porcentual 2" xfId="1659"/>
    <cellStyle name="Porcentual 2 2" xfId="3229"/>
    <cellStyle name="Porcentual 2 3" xfId="4818"/>
    <cellStyle name="RECUAD - Style4" xfId="1660"/>
    <cellStyle name="RECUAD - Style4 2" xfId="1661"/>
    <cellStyle name="Salida 2" xfId="5867"/>
    <cellStyle name="SinDecimal" xfId="7"/>
    <cellStyle name="Style 1" xfId="1662"/>
    <cellStyle name="Style 1 2" xfId="1663"/>
    <cellStyle name="Style 1 2 2" xfId="3231"/>
    <cellStyle name="Style 1 3" xfId="3230"/>
    <cellStyle name="Style 1 4" xfId="4819"/>
    <cellStyle name="Texto de advertencia 2" xfId="5868"/>
    <cellStyle name="Texto explicativo 2" xfId="5869"/>
    <cellStyle name="Title" xfId="1664"/>
    <cellStyle name="Title 2" xfId="1665"/>
    <cellStyle name="TITULO - Style5" xfId="1666"/>
    <cellStyle name="TITULO - Style5 2" xfId="1667"/>
    <cellStyle name="Título 10" xfId="5886"/>
    <cellStyle name="Título 11" xfId="5887"/>
    <cellStyle name="Título 12" xfId="5888"/>
    <cellStyle name="Título 2 2" xfId="5871"/>
    <cellStyle name="Título 3 2" xfId="5872"/>
    <cellStyle name="Título 4" xfId="5870"/>
    <cellStyle name="Título 5" xfId="5883"/>
    <cellStyle name="Título 6" xfId="5874"/>
    <cellStyle name="Título 7" xfId="5884"/>
    <cellStyle name="Título 8" xfId="5831"/>
    <cellStyle name="Título 9" xfId="5885"/>
    <cellStyle name="Total 2" xfId="5873"/>
    <cellStyle name="Warning Text" xfId="1668"/>
    <cellStyle name="Warning Text 2" xfId="1669"/>
  </cellStyles>
  <dxfs count="0"/>
  <tableStyles count="0" defaultTableStyle="TableStyleMedium9" defaultPivotStyle="PivotStyleLight16"/>
  <colors>
    <mruColors>
      <color rgb="FF33CCCC"/>
      <color rgb="FF00FFCC"/>
      <color rgb="FF00FF9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externalLink" Target="externalLinks/externalLink7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s-PE" sz="900">
                <a:latin typeface="Arial Narrow" pitchFamily="34" charset="0"/>
              </a:rPr>
              <a:t>PUNO: INMUNIZACIONES,</a:t>
            </a:r>
            <a:r>
              <a:rPr lang="es-PE" sz="900" baseline="0">
                <a:latin typeface="Arial Narrow" pitchFamily="34" charset="0"/>
              </a:rPr>
              <a:t> </a:t>
            </a:r>
            <a:r>
              <a:rPr lang="es-PE" sz="900">
                <a:latin typeface="Arial Narrow" pitchFamily="34" charset="0"/>
              </a:rPr>
              <a:t>SEGÚN TIPO DE VACUNA, 2022</a:t>
            </a:r>
          </a:p>
        </c:rich>
      </c:tx>
      <c:layout>
        <c:manualLayout>
          <c:xMode val="edge"/>
          <c:yMode val="edge"/>
          <c:x val="0.25825209698683532"/>
          <c:y val="4.9030529213914605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373532254751769E-2"/>
          <c:y val="0.13329866843242727"/>
          <c:w val="0.97500000000000064"/>
          <c:h val="0.62218932035204999"/>
        </c:manualLayout>
      </c:layout>
      <c:bar3DChart>
        <c:barDir val="col"/>
        <c:grouping val="clustered"/>
        <c:varyColors val="1"/>
        <c:ser>
          <c:idx val="1"/>
          <c:order val="0"/>
          <c:tx>
            <c:strRef>
              <c:f>'6.4'!$O$3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36603254312593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ADB-4CAF-B9A1-59236ED0F33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7.2797447312608222E-3"/>
                  <c:y val="-2.65985538699057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A99-4621-AE24-3E5FEE9CD17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-1.36603254312593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E13-4A84-BE51-CA5167AD228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041034386138813E-16"/>
                  <c:y val="-1.203665398079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19A-4076-B6CF-7664B90962D6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1.36603254312593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3E13-4A84-BE51-CA5167AD2283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 Narrow" panose="020B060602020203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'6.4'!$A$6:$A$10</c:f>
              <c:strCache>
                <c:ptCount val="5"/>
                <c:pt idx="0">
                  <c:v>Antipoliomelítica</c:v>
                </c:pt>
                <c:pt idx="1">
                  <c:v>Antisarampionosa</c:v>
                </c:pt>
                <c:pt idx="2">
                  <c:v>DPT (triple)</c:v>
                </c:pt>
                <c:pt idx="3">
                  <c:v>Pentavalente</c:v>
                </c:pt>
                <c:pt idx="4">
                  <c:v>BCG (antituberculosis)</c:v>
                </c:pt>
              </c:strCache>
            </c:strRef>
          </c:cat>
          <c:val>
            <c:numRef>
              <c:f>'6.4'!$O$6:$O$10</c:f>
              <c:numCache>
                <c:formatCode>#\ ###</c:formatCode>
                <c:ptCount val="5"/>
                <c:pt idx="0">
                  <c:v>40168</c:v>
                </c:pt>
                <c:pt idx="1">
                  <c:v>21254</c:v>
                </c:pt>
                <c:pt idx="2">
                  <c:v>17534</c:v>
                </c:pt>
                <c:pt idx="3">
                  <c:v>38989</c:v>
                </c:pt>
                <c:pt idx="4">
                  <c:v>13803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19A-4076-B6CF-7664B90962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-1519773824"/>
        <c:axId val="-1735584640"/>
        <c:axId val="0"/>
      </c:bar3DChart>
      <c:catAx>
        <c:axId val="-15197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es-PE"/>
          </a:p>
        </c:txPr>
        <c:crossAx val="-1735584640"/>
        <c:crosses val="autoZero"/>
        <c:auto val="1"/>
        <c:lblAlgn val="ctr"/>
        <c:lblOffset val="100"/>
        <c:noMultiLvlLbl val="0"/>
      </c:catAx>
      <c:valAx>
        <c:axId val="-1735584640"/>
        <c:scaling>
          <c:orientation val="minMax"/>
        </c:scaling>
        <c:delete val="1"/>
        <c:axPos val="l"/>
        <c:numFmt formatCode="#\ ###" sourceLinked="1"/>
        <c:majorTickMark val="out"/>
        <c:minorTickMark val="none"/>
        <c:tickLblPos val="none"/>
        <c:crossAx val="-1519773824"/>
        <c:crosses val="autoZero"/>
        <c:crossBetween val="between"/>
      </c:valAx>
      <c:spPr>
        <a:noFill/>
        <a:ln w="127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s-PE" sz="900"/>
              <a:t>PUNO: PREVALENCIA DE ANEMIA EN NIÑAS Y NIÑOS DE 6 A 59 MESES DE EDAD, 2015 - 2021</a:t>
            </a:r>
          </a:p>
          <a:p>
            <a:pPr>
              <a:defRPr sz="9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s-PE" sz="900" b="0"/>
              <a:t>(Porcentaje)</a:t>
            </a:r>
          </a:p>
        </c:rich>
      </c:tx>
      <c:layout>
        <c:manualLayout>
          <c:xMode val="edge"/>
          <c:yMode val="edge"/>
          <c:x val="0.109219937747702"/>
          <c:y val="3.720268304741069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"/>
          <c:y val="0.27455559191121148"/>
          <c:w val="0.99120871228205065"/>
          <c:h val="0.56301722223151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'6.15'!$B$4:$H$4</c:f>
              <c:strCach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strCache>
            </c:strRef>
          </c:tx>
          <c:spPr>
            <a:solidFill>
              <a:srgbClr val="3399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'6.15'!$B$4:$H$4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'6.15'!$B$47:$H$47</c:f>
              <c:numCache>
                <c:formatCode>0.00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26-410D-AC57-A1377059B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522966720"/>
        <c:axId val="-1522964544"/>
      </c:barChart>
      <c:catAx>
        <c:axId val="-15229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/>
                </a:pPr>
                <a:r>
                  <a:rPr lang="es-PE" sz="700">
                    <a:latin typeface="Arial Narrow" panose="020B0606020202030204" pitchFamily="34" charset="0"/>
                  </a:rPr>
                  <a:t>Fuente: Instituto Nacional de Estadística e Informática - Encuesta Demográfica y de Salud Familiar (ENDES).</a:t>
                </a:r>
              </a:p>
            </c:rich>
          </c:tx>
          <c:layout>
            <c:manualLayout>
              <c:xMode val="edge"/>
              <c:yMode val="edge"/>
              <c:x val="1.7068273451206931E-2"/>
              <c:y val="0.908524205295408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PE"/>
          </a:p>
        </c:txPr>
        <c:crossAx val="-1522964544"/>
        <c:crosses val="autoZero"/>
        <c:auto val="1"/>
        <c:lblAlgn val="ctr"/>
        <c:lblOffset val="100"/>
        <c:noMultiLvlLbl val="0"/>
      </c:catAx>
      <c:valAx>
        <c:axId val="-1522964544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-1522966720"/>
        <c:crosses val="autoZero"/>
        <c:crossBetween val="between"/>
      </c:valAx>
    </c:plotArea>
    <c:plotVisOnly val="1"/>
    <c:dispBlanksAs val="gap"/>
    <c:showDLblsOverMax val="0"/>
  </c:chart>
  <c:spPr>
    <a:ln w="19050">
      <a:noFill/>
    </a:ln>
  </c:spPr>
  <c:txPr>
    <a:bodyPr/>
    <a:lstStyle/>
    <a:p>
      <a:pPr>
        <a:defRPr sz="900" b="1" i="0" baseline="0">
          <a:latin typeface="Fuente: Ministerio Público, Oficina de Registro y Evaluación de Fiecalías"/>
        </a:defRPr>
      </a:pPr>
      <a:endParaRPr lang="es-PE"/>
    </a:p>
  </c:txPr>
  <c:printSettings>
    <c:headerFooter/>
    <c:pageMargins b="0.7480314960629928" l="0.70866141732283539" r="0.70866141732283539" t="0.7480314960629928" header="0.31496062992126039" footer="0.3149606299212603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>
                <a:latin typeface="Arial Narrow" pitchFamily="34" charset="0"/>
              </a:rPr>
              <a:t>PUNO:</a:t>
            </a:r>
            <a:r>
              <a:rPr lang="en-US" sz="800" baseline="0">
                <a:latin typeface="Arial Narrow" pitchFamily="34" charset="0"/>
              </a:rPr>
              <a:t> </a:t>
            </a:r>
            <a:r>
              <a:rPr lang="en-US" sz="800">
                <a:latin typeface="Arial Narrow" pitchFamily="34" charset="0"/>
              </a:rPr>
              <a:t>DIEZ PRIMERAS CAUSAS DE MORBILIDAD EN ADOLESCENTES</a:t>
            </a:r>
          </a:p>
        </c:rich>
      </c:tx>
      <c:layout>
        <c:manualLayout>
          <c:xMode val="edge"/>
          <c:yMode val="edge"/>
          <c:x val="0.21073600174978141"/>
          <c:y val="4.1666666666666664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9023884514435903"/>
          <c:y val="0.14597117042635271"/>
          <c:w val="0.55385848643920044"/>
          <c:h val="0.69413658443243598"/>
        </c:manualLayout>
      </c:layout>
      <c:bar3DChart>
        <c:barDir val="bar"/>
        <c:grouping val="stacked"/>
        <c:varyColors val="0"/>
        <c:ser>
          <c:idx val="0"/>
          <c:order val="0"/>
          <c:spPr>
            <a:gradFill flip="none" rotWithShape="1">
              <a:gsLst>
                <a:gs pos="0">
                  <a:srgbClr val="8488C4"/>
                </a:gs>
                <a:gs pos="53000">
                  <a:srgbClr val="D4DEFF"/>
                </a:gs>
                <a:gs pos="83000">
                  <a:srgbClr val="D4DEFF"/>
                </a:gs>
                <a:gs pos="100000">
                  <a:srgbClr val="96AB94"/>
                </a:gs>
              </a:gsLst>
              <a:lin ang="16200000" scaled="1"/>
              <a:tileRect/>
            </a:gradFill>
          </c:spPr>
          <c:invertIfNegative val="0"/>
          <c:cat>
            <c:strRef>
              <c:f>'6.19-6.25'!$M$106:$M$115</c:f>
              <c:strCache>
                <c:ptCount val="10"/>
                <c:pt idx="0">
                  <c:v>Enfermedades De La Cavidad Bucal, De Las Glándulas Salivales Y De Los Maxilares (K00 - K14)</c:v>
                </c:pt>
                <c:pt idx="1">
                  <c:v>Infecciones Agudas De Las Vías Respiratorias Superiores (J00 - J06)</c:v>
                </c:pt>
                <c:pt idx="2">
                  <c:v>Trastornos De La Personalidad Y Del Comportamiento En Adultos (F60 - F69)</c:v>
                </c:pt>
                <c:pt idx="3">
                  <c:v>Desnutrición (E40 - E46)</c:v>
                </c:pt>
                <c:pt idx="4">
                  <c:v>Otras Infecciones Agudas De Las Vías Respiratorias Inferiores (J20 - J22)</c:v>
                </c:pt>
                <c:pt idx="5">
                  <c:v>Enfermedades Crónicas De Las Vías Respiratorias Inferiores (J40 - J47)</c:v>
                </c:pt>
                <c:pt idx="6">
                  <c:v>Dermatitis Y Eczema (L20 - L30)</c:v>
                </c:pt>
                <c:pt idx="7">
                  <c:v>Enfermedades Del Esófago, Del Estomago Y Del Duodeno(K20 - K31)</c:v>
                </c:pt>
                <c:pt idx="8">
                  <c:v>Obesidad Y Otros De Hiperalimentación (E65 - E68)</c:v>
                </c:pt>
                <c:pt idx="9">
                  <c:v>Otros Trastornos Del Oído (H90 - H95)</c:v>
                </c:pt>
              </c:strCache>
            </c:strRef>
          </c:cat>
          <c:val>
            <c:numRef>
              <c:f>'6.19-6.25'!$N$106:$N$115</c:f>
              <c:numCache>
                <c:formatCode>General</c:formatCode>
                <c:ptCount val="10"/>
                <c:pt idx="0">
                  <c:v>24942</c:v>
                </c:pt>
                <c:pt idx="1">
                  <c:v>16904</c:v>
                </c:pt>
                <c:pt idx="2">
                  <c:v>11772</c:v>
                </c:pt>
                <c:pt idx="3">
                  <c:v>7734</c:v>
                </c:pt>
                <c:pt idx="4">
                  <c:v>2524</c:v>
                </c:pt>
                <c:pt idx="5">
                  <c:v>1765</c:v>
                </c:pt>
                <c:pt idx="6">
                  <c:v>1561</c:v>
                </c:pt>
                <c:pt idx="7">
                  <c:v>1485</c:v>
                </c:pt>
                <c:pt idx="8">
                  <c:v>1483</c:v>
                </c:pt>
                <c:pt idx="9">
                  <c:v>1476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2C-49C1-8E8F-8360EDBE1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cylinder"/>
        <c:axId val="-1522968896"/>
        <c:axId val="-1522968352"/>
        <c:axId val="0"/>
      </c:bar3DChart>
      <c:catAx>
        <c:axId val="-1522968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600">
                <a:latin typeface="Arial Narrow" pitchFamily="34" charset="0"/>
              </a:defRPr>
            </a:pPr>
            <a:endParaRPr lang="es-PE"/>
          </a:p>
        </c:txPr>
        <c:crossAx val="-1522968352"/>
        <c:crosses val="autoZero"/>
        <c:auto val="1"/>
        <c:lblAlgn val="ctr"/>
        <c:lblOffset val="100"/>
        <c:noMultiLvlLbl val="0"/>
      </c:catAx>
      <c:valAx>
        <c:axId val="-1522968352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es-PE"/>
          </a:p>
        </c:txPr>
        <c:crossAx val="-152296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207818</xdr:colOff>
      <xdr:row>13</xdr:row>
      <xdr:rowOff>154992</xdr:rowOff>
    </xdr:from>
    <xdr:to>
      <xdr:col>14</xdr:col>
      <xdr:colOff>337705</xdr:colOff>
      <xdr:row>31</xdr:row>
      <xdr:rowOff>86591</xdr:rowOff>
    </xdr:to>
    <xdr:graphicFrame macro="">
      <xdr:nvGraphicFramePr>
        <xdr:cNvPr id="4" name="1 Gráfico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0.04274</cdr:x>
      <cdr:y>0.8697</cdr:y>
    </cdr:from>
    <cdr:to>
      <cdr:x>0.69619</cdr:x>
      <cdr:y>0.92099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223688" y="2425670"/>
          <a:ext cx="3419962" cy="14305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700" b="1">
              <a:latin typeface="Arial Narrow" pitchFamily="34" charset="0"/>
            </a:rPr>
            <a:t>Fuente:</a:t>
          </a:r>
          <a:r>
            <a:rPr lang="es-PE" sz="700" b="1" baseline="0">
              <a:latin typeface="Arial Narrow" pitchFamily="34" charset="0"/>
            </a:rPr>
            <a:t> Dirección Regional de Salud Puno - Oficina de Estadística.</a:t>
          </a:r>
          <a:endParaRPr lang="es-PE" sz="700" b="1">
            <a:latin typeface="Arial Narrow" pitchFamily="34" charset="0"/>
          </a:endParaRPr>
        </a:p>
      </cdr:txBody>
    </cdr:sp>
  </cdr:relSizeAnchor>
  <cdr:relSizeAnchor xmlns:cdr="http://schemas.openxmlformats.org/drawingml/2006/chartDrawing">
    <cdr:from>
      <cdr:x>0.04156</cdr:x>
      <cdr:y>0.82645</cdr:y>
    </cdr:from>
    <cdr:to>
      <cdr:x>0.69501</cdr:x>
      <cdr:y>0.87774</cdr:y>
    </cdr:to>
    <cdr:sp macro="" textlink="">
      <cdr:nvSpPr>
        <cdr:cNvPr id="4" name="2 CuadroTexto">
          <a:extLst xmlns:a="http://schemas.openxmlformats.org/drawingml/2006/main">
            <a:ext uri="{FF2B5EF4-FFF2-40B4-BE49-F238E27FC236}">
              <a16:creationId xmlns="" xmlns:a16="http://schemas.microsoft.com/office/drawing/2014/main" id="{846FA4C7-4F7A-4940-9FB0-C46710C8C96B}"/>
            </a:ext>
          </a:extLst>
        </cdr:cNvPr>
        <cdr:cNvSpPr txBox="1"/>
      </cdr:nvSpPr>
      <cdr:spPr>
        <a:xfrm xmlns:a="http://schemas.openxmlformats.org/drawingml/2006/main">
          <a:off x="217487" y="2305058"/>
          <a:ext cx="3419962" cy="14305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PE" sz="700" b="0">
              <a:latin typeface="Arial Narrow" pitchFamily="34" charset="0"/>
            </a:rPr>
            <a:t>a/ Informacion comprendida hasta el 31 de julio del 2022.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93</xdr:row>
      <xdr:rowOff>79376</xdr:rowOff>
    </xdr:from>
    <xdr:to>
      <xdr:col>8</xdr:col>
      <xdr:colOff>341313</xdr:colOff>
      <xdr:row>114</xdr:row>
      <xdr:rowOff>95250</xdr:rowOff>
    </xdr:to>
    <xdr:graphicFrame macro="">
      <xdr:nvGraphicFramePr>
        <xdr:cNvPr id="2" name="2 Gráfico">
          <a:extLst>
            <a:ext uri="{FF2B5EF4-FFF2-40B4-BE49-F238E27FC236}">
              <a16:creationId xmlns="" xmlns:a16="http://schemas.microsoft.com/office/drawing/2014/main" id="{3BE8729A-A8CE-4085-A782-B285207F12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101</xdr:row>
      <xdr:rowOff>76200</xdr:rowOff>
    </xdr:from>
    <xdr:to>
      <xdr:col>6</xdr:col>
      <xdr:colOff>161925</xdr:colOff>
      <xdr:row>120</xdr:row>
      <xdr:rowOff>95250</xdr:rowOff>
    </xdr:to>
    <xdr:graphicFrame macro="">
      <xdr:nvGraphicFramePr>
        <xdr:cNvPr id="13330" name="3 Gráfico">
          <a:extLst>
            <a:ext uri="{FF2B5EF4-FFF2-40B4-BE49-F238E27FC236}">
              <a16:creationId xmlns="" xmlns:a16="http://schemas.microsoft.com/office/drawing/2014/main" id="{00000000-0008-0000-1400-000012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0.025</cdr:x>
      <cdr:y>0.89913</cdr:y>
    </cdr:from>
    <cdr:to>
      <cdr:x>0.65208</cdr:x>
      <cdr:y>0.97217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4300" y="2462213"/>
          <a:ext cx="28670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PE" sz="700" b="1">
              <a:latin typeface="Arial Narrow" pitchFamily="34" charset="0"/>
            </a:rPr>
            <a:t>Fuente:</a:t>
          </a:r>
          <a:r>
            <a:rPr lang="es-PE" sz="700" b="1" baseline="0">
              <a:latin typeface="Arial Narrow" pitchFamily="34" charset="0"/>
            </a:rPr>
            <a:t> Dirección Regional de Salud Puno - Oficina  de Estadística </a:t>
          </a:r>
          <a:endParaRPr lang="es-PE" sz="700" b="1">
            <a:latin typeface="Arial Narrow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arvaez\factor%20cpv\Pedidos%20abruptos\caval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matrices\Llegados\Hidrandina\BALANCE-SERVICIOS-ELECTRICOS-1999-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7.36\Indicadores\Pedidos%20abruptos\cav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inei.gob.pe/Documents%20and%20Settings/APOLO/Configuraci&#243;n%20local/Archivos%20temporales%20de%20Internet/OLKC/PRODUCCI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7.36\Indicadores\DATA\ANUARIO%202002\ANUARIO_TRADUCCION\ANUARIO_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7.36\Indicadores\Users\cgutierrez\AppData\Local\Microsoft\Windows\Temporary%20Internet%20Files\Content.Outlook\6JMMTVJ1\Pedidos%20abruptos\caval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7.36\Indicadores\Users\cgutierrez\AppData\Local\Microsoft\Windows\Temporary%20Internet%20Files\Content.Outlook\6JMMTVJ1\WINNT\TEMP\notes0ED6CD\Graf%20cebolla%20(Rep%20May%2005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orres\datos\MINERIA\Mineria%201990-20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inei.gob.pe/Estudios%20econ&#243;micos/SAE/SEP/construcci&#243;n/1999/asfalto-barr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  <sheetName val="pag_35"/>
      <sheetName val="c1"/>
      <sheetName val="c3"/>
      <sheetName val="c5"/>
      <sheetName val="c6"/>
      <sheetName val="AhoF"/>
      <sheetName val="Bon"/>
      <sheetName val="BVL"/>
      <sheetName val="Anex-SFN"/>
      <sheetName val="Fechas"/>
      <sheetName val="Menu"/>
      <sheetName val="Inputs"/>
      <sheetName val="Titles"/>
      <sheetName val="PAG19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"/>
      <sheetName val="BALANCE AJUST"/>
      <sheetName val="ANTERIOR AJUSTADO"/>
      <sheetName val="ASP. RELEV"/>
      <sheetName val="TEMBLADERA"/>
      <sheetName val="CHILETE"/>
      <sheetName val="SAN PABLO"/>
      <sheetName val="SAN MIGUEL"/>
      <sheetName val="CONTUMAZA"/>
      <sheetName val="CASCAS"/>
      <sheetName val="CAJAMARCA"/>
      <sheetName val="CAJABAMBA"/>
      <sheetName val="SAN MARCOS"/>
      <sheetName val="CELENDIN"/>
      <sheetName val="CONSOLIDADO"/>
      <sheetName val="SISTEMA ELECTRICO Nº 2"/>
      <sheetName val="SISTEMA ELECTRICO Nº11"/>
      <sheetName val="SISTEMA ELECTRICO Nº12"/>
      <sheetName val="CONSOLIDA SISTEMAS ELECTRICOS"/>
      <sheetName val="GPER"/>
      <sheetName val="D10 - Sist. Cajamarca Sect. 2"/>
      <sheetName val="U1"/>
      <sheetName val="PREVIOS"/>
      <sheetName val="informacomercial"/>
      <sheetName val="indicesgestión"/>
      <sheetName val="NOTAS"/>
      <sheetName val="PREVIOS REALES"/>
      <sheetName val="LEEME"/>
      <sheetName val="BALANCE_AJUST"/>
      <sheetName val="ANTERIOR_AJUSTADO"/>
      <sheetName val="ASP__RELEV"/>
      <sheetName val="SAN_PABLO"/>
      <sheetName val="SAN_MIGUEL"/>
      <sheetName val="SAN_MARCOS"/>
      <sheetName val="SISTEMA_ELECTRICO_Nº_2"/>
      <sheetName val="SISTEMA_ELECTRICO_Nº11"/>
      <sheetName val="SISTEMA_ELECTRICO_Nº12"/>
      <sheetName val="CONSOLIDA_SISTEMAS_ELECTRICOS"/>
      <sheetName val="D10_-_Sist__Cajamarca_Sect__2"/>
      <sheetName val="PREVIOS_REAL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O_METALICA"/>
      <sheetName val="FINO_METALURG"/>
      <sheetName val="GRAF_PRODUCTOS"/>
      <sheetName val="PROD_AU"/>
      <sheetName val="PROD_CU"/>
      <sheetName val="PROD_ZN"/>
      <sheetName val="PROD_PB"/>
      <sheetName val="PROD_AG"/>
      <sheetName val="HIERRO"/>
      <sheetName val="ESTAÑO"/>
      <sheetName val="NO_METALICA"/>
      <sheetName val="COTIZA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_ECON"/>
      <sheetName val="PANOROMA_ECONO."/>
      <sheetName val="PBI_%"/>
      <sheetName val="COSTOS"/>
      <sheetName val="FINO_METALICA"/>
      <sheetName val="FINO_METALURG"/>
      <sheetName val="PROD_METALUR"/>
      <sheetName val="UBICACION"/>
      <sheetName val="NO_METALICA"/>
      <sheetName val="RESERVAS"/>
      <sheetName val="CONSUMO"/>
      <sheetName val="VALOR_MAT"/>
      <sheetName val=" EXPLOSIVOS"/>
      <sheetName val="EXPORT."/>
      <sheetName val="EXPORTAC_FOB"/>
      <sheetName val="COTIZAC"/>
      <sheetName val="PROYECTOS"/>
      <sheetName val="PROD_AU"/>
      <sheetName val="EST_AU"/>
      <sheetName val="DPTO_AU"/>
      <sheetName val="MUND_AU"/>
      <sheetName val="PROD_CU"/>
      <sheetName val="EST_CU"/>
      <sheetName val="DPTO_CU"/>
      <sheetName val="MUND_CU"/>
      <sheetName val="PROD_ZN"/>
      <sheetName val="EST_ZN"/>
      <sheetName val="DPTO_ZN"/>
      <sheetName val="MUND_ZN"/>
      <sheetName val="PROD_PB"/>
      <sheetName val="EST_PB"/>
      <sheetName val="DPTO_PB"/>
      <sheetName val="MUND_PB"/>
      <sheetName val="PROD_AG"/>
      <sheetName val="EST_AG"/>
      <sheetName val="DPTO_AG"/>
      <sheetName val="MUND_AG"/>
      <sheetName val="HIERRO"/>
      <sheetName val="ESTAÑO"/>
      <sheetName val="DERECHOS MINEROS"/>
      <sheetName val="INDIC_LAB"/>
      <sheetName val="GRAF_ACCID"/>
      <sheetName val="DIRECTORIO_CONTRATISTAS_2001"/>
      <sheetName val="DIRECTORIO_CONTRATISTAS_2002"/>
      <sheetName val="DIRECTORIO_PERITOS_MINEROS"/>
      <sheetName val="DIRECTORIO_COM_2002"/>
      <sheetName val="DIRECTORIO_AUDITORIA_E_INSPECT"/>
      <sheetName val="PROYECTO"/>
      <sheetName val="OPERATIVA"/>
      <sheetName val="PARALIZ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CONSUMO LOCAL DE PRODUCTOS MINEROS 1992 - 2001 /  LOCAL CONSUPTION OF  MINING PRODUCTS 1992 - 2001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2">
          <cell r="A2" t="str">
            <v>PRODUCCION MINERA DE COBRE A NIVEL CONCENTRADOS, SEGUN ESTRATOS 1992 - 2001 / COPPER MINING PRODUCTION BY CONCENTRATED ACCORDING TO LAYERS 1992 - 2001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1">
          <cell r="A1" t="str">
            <v>PRODUCCION MINERA DE PLOMO A NIVEL CONCENTRADOS, SEGUN ESTRATOS  1992  -  2001 / LEAD MINING PRODUCTION BY CONCENTRATED ACCORDING TO LAYERS 1992 - 2001</v>
          </cell>
        </row>
        <row r="18">
          <cell r="B18">
            <v>118103</v>
          </cell>
          <cell r="C18">
            <v>118131</v>
          </cell>
          <cell r="D18">
            <v>133258</v>
          </cell>
        </row>
        <row r="19">
          <cell r="B19">
            <v>16743</v>
          </cell>
          <cell r="C19">
            <v>18324</v>
          </cell>
          <cell r="D19">
            <v>12203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ALI"/>
      <sheetName val="REsumen"/>
      <sheetName val="Hoja3"/>
      <sheetName val="CDBCRP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bre"/>
      <sheetName val="zinc"/>
      <sheetName val="plomo"/>
      <sheetName val="oro"/>
      <sheetName val="plata"/>
      <sheetName val="hierro"/>
      <sheetName val="pag_37"/>
      <sheetName val="DatosBase"/>
    </sheetNames>
    <sheetDataSet>
      <sheetData sheetId="0"/>
      <sheetData sheetId="1">
        <row r="7">
          <cell r="J7">
            <v>634</v>
          </cell>
        </row>
      </sheetData>
      <sheetData sheetId="2">
        <row r="7">
          <cell r="J7">
            <v>634</v>
          </cell>
        </row>
        <row r="8">
          <cell r="J8">
            <v>2857</v>
          </cell>
        </row>
        <row r="9">
          <cell r="J9">
            <v>3577</v>
          </cell>
        </row>
        <row r="10">
          <cell r="J10">
            <v>3688</v>
          </cell>
        </row>
        <row r="11">
          <cell r="J11" t="str">
            <v xml:space="preserve">- </v>
          </cell>
        </row>
        <row r="12">
          <cell r="J12">
            <v>7674</v>
          </cell>
        </row>
        <row r="13">
          <cell r="J13">
            <v>21785</v>
          </cell>
        </row>
        <row r="14">
          <cell r="J14" t="str">
            <v xml:space="preserve">- </v>
          </cell>
        </row>
        <row r="15">
          <cell r="J15">
            <v>29994</v>
          </cell>
        </row>
        <row r="16">
          <cell r="J16">
            <v>7502</v>
          </cell>
        </row>
        <row r="17">
          <cell r="J17">
            <v>27715</v>
          </cell>
        </row>
      </sheetData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falto"/>
      <sheetName val="Barras"/>
      <sheetName val="cdr7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YESENIA/user/AppData/Local/Microsoft/Windows/INetCache/Content.Outlook/Recovered%20data%2004-27%2022_56_07/Resultado%20de%20Escaneo%20Profundo/M&#225;s%20archivos%20perdidos(RAW)/Access%20Database%20file/732396985-732402097_006.MDB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showGridLines="0" tabSelected="1" zoomScaleNormal="100" workbookViewId="0"/>
  </sheetViews>
  <sheetFormatPr baseColWidth="10" defaultRowHeight="12.75"/>
  <cols>
    <col min="1" max="1" width="148.5703125" style="10" customWidth="1"/>
    <col min="2" max="16384" width="11.42578125" style="10"/>
  </cols>
  <sheetData>
    <row r="1" spans="1:1" ht="15.75">
      <c r="A1" s="603" t="s">
        <v>386</v>
      </c>
    </row>
    <row r="2" spans="1:1" s="601" customFormat="1" ht="18" customHeight="1">
      <c r="A2" s="600" t="str">
        <f>TRIM('6.1'!A63:E63)</f>
        <v>6.1 PUNO: ESTABLECIMIENTOS DE SALUD, SEGÚN UNIDAD TERRITORIAL, 2020 - 2024</v>
      </c>
    </row>
    <row r="3" spans="1:1" s="601" customFormat="1" ht="18" customHeight="1">
      <c r="A3" s="628" t="str">
        <f>TRIM('6.2'!A117&amp;'6.2'!A118)</f>
        <v>6.2 PUNO: PROFESIONAL DE LA SALUD COLEGIADA/DO POR ESPECIALIDAD, 2017 - 2023</v>
      </c>
    </row>
    <row r="4" spans="1:1" s="601" customFormat="1" ht="18" customHeight="1">
      <c r="A4" s="600" t="str">
        <f>TRIM('6.3'!A1)</f>
        <v>6.3 PUNO: MÉDICOS DEL SEGURO SOCIAL DE SALUD, SEGÚN RED ASISTENCIAL, 2015 - 2023</v>
      </c>
    </row>
    <row r="5" spans="1:1" s="601" customFormat="1" ht="18" customHeight="1">
      <c r="A5" s="600" t="str">
        <f>TRIM('6.4'!A1)</f>
        <v>6.4 PUNO: DOSIS APLICADA DE INMUNIZACIÓN, SEGÚN TIPO DE VACUNA, 2016 - 2024</v>
      </c>
    </row>
    <row r="6" spans="1:1" s="601" customFormat="1" ht="18" customHeight="1">
      <c r="A6" s="630" t="str">
        <f>TRIM('6.5'!A1&amp;'6.5'!A2)</f>
        <v>6.5 PUNO: DOSIS APLICADA DE VACUNA ANTIPOLIOMIELÍTICA POR UNIDAD TERRITORIAL DE ESTABLECIMIENTOS DE SALUD, SEGÚN GRUPOS DE EDAD, 2020 - 2024</v>
      </c>
    </row>
    <row r="7" spans="1:1" s="601" customFormat="1" ht="18" customHeight="1">
      <c r="A7" s="600" t="str">
        <f>TRIM('6.6'!A58&amp;'6.6'!A59)</f>
        <v>6.6 PUNO: DOSIS APLICADA DE VACUNA PENTAVALENTE POR UNIDAD TERRITORIAL DE ESTABLECIMIENTOS DE SALUD, SEGÚN GRUPOS DE EDAD, 2020 - 2024</v>
      </c>
    </row>
    <row r="8" spans="1:1" s="601" customFormat="1" ht="18" customHeight="1">
      <c r="A8" s="602" t="str">
        <f>TRIM('6.7'!A1&amp;'6.7'!A2)</f>
        <v>6.7 PUNO: DOSIS APLICADA DE VACUNAS BCG (ANTITUBERCULOSIS) POR UNIDAD TERRITORIAL DE ESTABLECIMIENTOS DE SALUD, SEGÚN GRUPOS DE EDAD, 2016 - 2024</v>
      </c>
    </row>
    <row r="9" spans="1:1" s="601" customFormat="1" ht="18" customHeight="1">
      <c r="A9" s="600" t="str">
        <f>TRIM('6.8 - 6.10'!A1)</f>
        <v>6.8 PUNO: ATENCIONES DE PRIMERAS CAUSAS DE MORBILIDAD INFANTIL EN CONSULTORIO EXTERNO, 2022 - 2024</v>
      </c>
    </row>
    <row r="10" spans="1:1" s="601" customFormat="1" ht="18" customHeight="1">
      <c r="A10" s="630" t="str">
        <f>TRIM('6.8 - 6.10'!A88)</f>
        <v>6.9 PUNO: ATENCIONES DE PRIMERAS CAUSAS DE MORBILIDAD INFANTIL EN EMERGENCIA, 2022 - 2024</v>
      </c>
    </row>
    <row r="11" spans="1:1" s="601" customFormat="1" ht="18" customHeight="1">
      <c r="A11" s="630" t="str">
        <f>TRIM('6.8 - 6.10'!A177)</f>
        <v>6.10 PUNO: ATENCIONES DE PRIMERAS CAUSAS DE MORBILIDAD INFANTIL EN HOSPITALIZACIÓN, 2022 - 2024</v>
      </c>
    </row>
    <row r="12" spans="1:1" s="601" customFormat="1" ht="18" customHeight="1">
      <c r="A12" s="602" t="str">
        <f>TRIM('6.11'!A1)</f>
        <v>6.11 PUNO: MORTALIDAD MATERNA, SEGÚN REDES DE LA DIRECCIÓN REGIONAL DE SALUD PUNO, 2017 - 2024</v>
      </c>
    </row>
    <row r="13" spans="1:1" s="601" customFormat="1" ht="18" customHeight="1">
      <c r="A13" s="602" t="str">
        <f>TRIM('6.12'!A1)</f>
        <v>6.12 PUNO: CASOS NOTIFICADOS, SEGÚN TIPO DE ENFERMEDAD, 2016 - 2023</v>
      </c>
    </row>
    <row r="14" spans="1:1" s="601" customFormat="1" ht="18" customHeight="1">
      <c r="A14" s="630" t="str">
        <f>TRIM('6.13'!A1)</f>
        <v>6.13 PUNO: PARTOS ATENDIDOS POR PERSONAL DE LA SALUD, SEGÚN ÁMBITO GEOGRÁFICO, 2018 - 2023</v>
      </c>
    </row>
    <row r="15" spans="1:1" s="601" customFormat="1" ht="18" customHeight="1">
      <c r="A15" s="602" t="str">
        <f>TRIM('6.14'!A41:J41)</f>
        <v>6.14 PUNO: TASA DE DESNUTRICIÓN CRÓNICA DE NIÑOS/AS MENORES DE 5 AÑOS, SEGÚN ÁMBITO GEOGRÁFICO, 2017 - 2023</v>
      </c>
    </row>
    <row r="16" spans="1:1" s="601" customFormat="1" ht="18" customHeight="1">
      <c r="A16" s="602" t="str">
        <f>TRIM('6.15'!A1:H1)</f>
        <v>6.15 PUNO: PREVALENCIA DE ANEMIA EN NIÑAS Y NIÑOS DE 6 A 59 MESES DE EDAD, SEGÚN ÁMBITO GEOGRÁFICO,
 2017 - 2023</v>
      </c>
    </row>
    <row r="17" spans="1:1" s="601" customFormat="1" ht="18" customHeight="1">
      <c r="A17" s="630" t="str">
        <f>TRIM('6.16'!A99&amp;'6.16'!A100)</f>
        <v>6.16 PUNO: USUARIOS DEL PROGRAMA DE PLANIFICACIÓN FAMILIAR POR TIPO DE MÉTODO ANTICONCEPTIVO, SEGÚN UNIDAD TERRITORIAL DE ESTABLECIMIENTOS DE SALUD, 2021 - 2024</v>
      </c>
    </row>
    <row r="18" spans="1:1" s="601" customFormat="1" ht="18" customHeight="1">
      <c r="A18" s="602" t="str">
        <f>TRIM('6.17'!A1)</f>
        <v>6.17 PUNO: POBLACIÓN CENSADA POR AFILIACIÓN A SEGURO DE SALUD, SEGÚN PROVINCIA Y DISTRITO, 2017</v>
      </c>
    </row>
    <row r="19" spans="1:1" s="601" customFormat="1" ht="18" customHeight="1">
      <c r="A19" s="602" t="str">
        <f>TRIM('6.18'!A1:H1)</f>
        <v>6.18 PUNO: POBLACIÓN ASEGURADA EN EL SEGURO INTEGRAL DE SALUD SUBSIDIADO, SEGÚN NIVEL DEL
 ESTABLECIMIENTO DE SALUD, 2017 - 2023</v>
      </c>
    </row>
    <row r="20" spans="1:1" s="601" customFormat="1" ht="18" customHeight="1">
      <c r="A20" s="602" t="str">
        <f>TRIM('6.19'!A1)</f>
        <v>6.19 PUNO: POBLACIÓN ASEGURADA EN EL SEGURO SOCIAL DE SALUD, SEGÚN RED ASISTENCIAL, 2017 - 2023</v>
      </c>
    </row>
    <row r="21" spans="1:1" s="601" customFormat="1" ht="18" customHeight="1">
      <c r="A21" s="602" t="str">
        <f>TRIM('6.20'!A1)</f>
        <v>6.20 PUNO: POBLACIÓN ASEGURADA EN EL SEGURO SOCIAL DE SALUD, SEGÚN RED ASISTENCIAL, 2017 - 2023</v>
      </c>
    </row>
    <row r="22" spans="1:1" s="601" customFormat="1" ht="16.5"/>
  </sheetData>
  <hyperlinks>
    <hyperlink ref="A2" location="'6.1'!A63" display="'6.1'!A63"/>
    <hyperlink ref="A3" location="'6.2'!A117" display="'6.2'!A117"/>
    <hyperlink ref="A5" location="'6.4'!A1" display="'6.4'!A1"/>
    <hyperlink ref="A7" location="'6.6'!A58" display="'6.6'!A58"/>
    <hyperlink ref="A4" location="'6.3'!A1" display="6.3   PUNO: PROFESIONALES DE LA SALUD EN LA DIRECCIÓN REGIONAL DE SALUD, POR ESPECIALIDAD, SEGÚN UNIDAD TERRITORIAL, 2012 - 2014"/>
    <hyperlink ref="A1" r:id="rId1"/>
    <hyperlink ref="A9" location="'6.8 - 6.10'!A1" display="'6.8 - 6.10'!A1"/>
    <hyperlink ref="A21" location="'6.20'!A1" display="'6.20'!A1"/>
    <hyperlink ref="A20" location="'6.19'!A1" display="'6.19'!A1"/>
    <hyperlink ref="A19" location="'6.18'!A1" display="'6.18'!A1"/>
    <hyperlink ref="A18" location="'6.17'!A1" display="'6.17'!A1"/>
    <hyperlink ref="A16" location="'6.15'!A1" display="'6.15'!A1"/>
    <hyperlink ref="A15" location="'6.14'!A41" display="'6.14'!A41"/>
    <hyperlink ref="A14" location="'6.13'!A1" display="'6.13'!A1"/>
    <hyperlink ref="A13" location="'6.12'!A1" display="'6.12'!A1"/>
    <hyperlink ref="A12" location="'6.11'!A1" display="'6.11'!A1"/>
    <hyperlink ref="A10" location="'6.8 - 6.10'!A88" display="'6.8 - 6.10'!A88"/>
    <hyperlink ref="A11" location="'6.8 - 6.10'!A177" display="'6.8 - 6.10'!A177"/>
    <hyperlink ref="A6" location="'6.5'!A1" display="'6.5'!A1"/>
    <hyperlink ref="A8" location="'6.7'!A1" display="'6.7'!A1"/>
    <hyperlink ref="A17" location="'6.16'!A99" display="'6.16'!A99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showOutlineSymbols="0" zoomScaleNormal="100" zoomScaleSheetLayoutView="120" workbookViewId="0">
      <selection sqref="A1:P1"/>
    </sheetView>
  </sheetViews>
  <sheetFormatPr baseColWidth="10" defaultColWidth="11.42578125" defaultRowHeight="11.25"/>
  <cols>
    <col min="1" max="1" width="17" style="250" customWidth="1"/>
    <col min="2" max="2" width="9.7109375" style="1" hidden="1" customWidth="1"/>
    <col min="3" max="3" width="9.28515625" style="1" hidden="1" customWidth="1"/>
    <col min="4" max="6" width="9.7109375" style="1" hidden="1" customWidth="1"/>
    <col min="7" max="8" width="8.140625" style="1" hidden="1" customWidth="1"/>
    <col min="9" max="16" width="8.28515625" style="1" customWidth="1"/>
    <col min="17" max="16384" width="11.42578125" style="1"/>
  </cols>
  <sheetData>
    <row r="1" spans="1:16" ht="17.100000000000001" customHeight="1">
      <c r="A1" s="700" t="s">
        <v>818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  <c r="L1" s="700"/>
      <c r="M1" s="700"/>
      <c r="N1" s="700"/>
      <c r="O1" s="700"/>
      <c r="P1" s="700"/>
    </row>
    <row r="2" spans="1:16" s="597" customFormat="1" ht="12.95" customHeight="1">
      <c r="A2" s="598" t="s">
        <v>740</v>
      </c>
      <c r="B2" s="596"/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596"/>
    </row>
    <row r="3" spans="1:16" s="100" customFormat="1" ht="5.0999999999999996" customHeight="1">
      <c r="A3" s="99"/>
      <c r="B3" s="156"/>
      <c r="C3" s="156"/>
      <c r="D3" s="156"/>
      <c r="E3" s="156"/>
      <c r="F3" s="156"/>
    </row>
    <row r="4" spans="1:16" s="6" customFormat="1" ht="30" customHeight="1">
      <c r="A4" s="254" t="s">
        <v>854</v>
      </c>
      <c r="B4" s="45">
        <v>2004</v>
      </c>
      <c r="C4" s="45">
        <v>2005</v>
      </c>
      <c r="D4" s="45">
        <v>2006</v>
      </c>
      <c r="E4" s="45">
        <v>2007</v>
      </c>
      <c r="F4" s="45">
        <v>2008</v>
      </c>
      <c r="G4" s="45">
        <v>2015</v>
      </c>
      <c r="H4" s="45">
        <v>2016</v>
      </c>
      <c r="I4" s="45">
        <v>2017</v>
      </c>
      <c r="J4" s="45">
        <v>2018</v>
      </c>
      <c r="K4" s="45">
        <v>2019</v>
      </c>
      <c r="L4" s="45">
        <v>2020</v>
      </c>
      <c r="M4" s="45">
        <v>2021</v>
      </c>
      <c r="N4" s="45">
        <v>2022</v>
      </c>
      <c r="O4" s="45">
        <v>2023</v>
      </c>
      <c r="P4" s="45" t="s">
        <v>754</v>
      </c>
    </row>
    <row r="5" spans="1:16" s="6" customFormat="1" ht="5.0999999999999996" customHeight="1">
      <c r="A5" s="239"/>
      <c r="B5" s="43"/>
      <c r="C5" s="43"/>
      <c r="D5" s="43"/>
      <c r="E5" s="43"/>
      <c r="F5" s="43"/>
    </row>
    <row r="6" spans="1:16" s="6" customFormat="1" ht="21.95" customHeight="1">
      <c r="A6" s="239" t="s">
        <v>736</v>
      </c>
      <c r="B6" s="75">
        <f t="shared" ref="B6:N6" si="0">SUM(B7:B18)</f>
        <v>71</v>
      </c>
      <c r="C6" s="75">
        <f t="shared" si="0"/>
        <v>50</v>
      </c>
      <c r="D6" s="75">
        <f t="shared" si="0"/>
        <v>56</v>
      </c>
      <c r="E6" s="75">
        <f t="shared" si="0"/>
        <v>37</v>
      </c>
      <c r="F6" s="75">
        <f t="shared" si="0"/>
        <v>43</v>
      </c>
      <c r="G6" s="75">
        <f t="shared" si="0"/>
        <v>22</v>
      </c>
      <c r="H6" s="75">
        <f t="shared" si="0"/>
        <v>7</v>
      </c>
      <c r="I6" s="75">
        <f t="shared" si="0"/>
        <v>9</v>
      </c>
      <c r="J6" s="75">
        <f t="shared" si="0"/>
        <v>25</v>
      </c>
      <c r="K6" s="75">
        <f t="shared" si="0"/>
        <v>23</v>
      </c>
      <c r="L6" s="75">
        <f t="shared" si="0"/>
        <v>17</v>
      </c>
      <c r="M6" s="75">
        <f t="shared" si="0"/>
        <v>21</v>
      </c>
      <c r="N6" s="75">
        <f t="shared" si="0"/>
        <v>15</v>
      </c>
      <c r="O6" s="75">
        <f t="shared" ref="O6" si="1">SUM(O7:O18)</f>
        <v>14</v>
      </c>
      <c r="P6" s="75">
        <f t="shared" ref="P6" si="2">SUM(P7:P18)</f>
        <v>13</v>
      </c>
    </row>
    <row r="7" spans="1:16" s="6" customFormat="1" ht="21.95" customHeight="1">
      <c r="A7" s="245" t="s">
        <v>100</v>
      </c>
      <c r="B7" s="65">
        <v>9</v>
      </c>
      <c r="C7" s="65">
        <v>12</v>
      </c>
      <c r="D7" s="65">
        <v>18</v>
      </c>
      <c r="E7" s="65">
        <v>13</v>
      </c>
      <c r="F7" s="65">
        <v>8</v>
      </c>
      <c r="G7" s="24">
        <v>3</v>
      </c>
      <c r="H7" s="24" t="s">
        <v>13</v>
      </c>
      <c r="I7" s="24">
        <v>2</v>
      </c>
      <c r="J7" s="24">
        <v>6</v>
      </c>
      <c r="K7" s="24">
        <v>5</v>
      </c>
      <c r="L7" s="24">
        <v>4</v>
      </c>
      <c r="M7" s="24">
        <v>7</v>
      </c>
      <c r="N7" s="24">
        <v>4</v>
      </c>
      <c r="O7" s="24">
        <v>3</v>
      </c>
      <c r="P7" s="24">
        <v>4</v>
      </c>
    </row>
    <row r="8" spans="1:16" s="6" customFormat="1" ht="21.95" customHeight="1">
      <c r="A8" s="245" t="s">
        <v>101</v>
      </c>
      <c r="B8" s="65">
        <v>8</v>
      </c>
      <c r="C8" s="65">
        <v>6</v>
      </c>
      <c r="D8" s="65">
        <v>4</v>
      </c>
      <c r="E8" s="65">
        <v>2</v>
      </c>
      <c r="F8" s="65">
        <v>6</v>
      </c>
      <c r="G8" s="24">
        <v>2</v>
      </c>
      <c r="H8" s="6">
        <v>2</v>
      </c>
      <c r="I8" s="24">
        <v>1</v>
      </c>
      <c r="J8" s="24">
        <v>1</v>
      </c>
      <c r="K8" s="24">
        <v>1</v>
      </c>
      <c r="L8" s="65" t="s">
        <v>13</v>
      </c>
      <c r="M8" s="65" t="s">
        <v>13</v>
      </c>
      <c r="N8" s="65" t="s">
        <v>13</v>
      </c>
      <c r="O8" s="65" t="s">
        <v>13</v>
      </c>
      <c r="P8" s="65">
        <v>1</v>
      </c>
    </row>
    <row r="9" spans="1:16" s="6" customFormat="1" ht="21.95" customHeight="1">
      <c r="A9" s="245" t="s">
        <v>102</v>
      </c>
      <c r="B9" s="65">
        <v>3</v>
      </c>
      <c r="C9" s="65">
        <v>1</v>
      </c>
      <c r="D9" s="65">
        <v>5</v>
      </c>
      <c r="E9" s="65">
        <v>3</v>
      </c>
      <c r="F9" s="65">
        <v>2</v>
      </c>
      <c r="G9" s="24">
        <v>1</v>
      </c>
      <c r="H9" s="6">
        <v>1</v>
      </c>
      <c r="I9" s="24">
        <v>1</v>
      </c>
      <c r="J9" s="24">
        <v>1</v>
      </c>
      <c r="K9" s="24">
        <v>1</v>
      </c>
      <c r="L9" s="65" t="s">
        <v>13</v>
      </c>
      <c r="M9" s="65" t="s">
        <v>13</v>
      </c>
      <c r="N9" s="65" t="s">
        <v>13</v>
      </c>
      <c r="O9" s="65">
        <v>1</v>
      </c>
      <c r="P9" s="65" t="s">
        <v>13</v>
      </c>
    </row>
    <row r="10" spans="1:16" s="6" customFormat="1" ht="21.95" customHeight="1">
      <c r="A10" s="245" t="s">
        <v>103</v>
      </c>
      <c r="B10" s="65">
        <v>5</v>
      </c>
      <c r="C10" s="65">
        <v>1</v>
      </c>
      <c r="D10" s="65">
        <v>3</v>
      </c>
      <c r="E10" s="65">
        <v>3</v>
      </c>
      <c r="F10" s="65">
        <v>1</v>
      </c>
      <c r="G10" s="24">
        <v>2</v>
      </c>
      <c r="H10" s="65" t="s">
        <v>13</v>
      </c>
      <c r="I10" s="65" t="s">
        <v>13</v>
      </c>
      <c r="J10" s="24" t="s">
        <v>13</v>
      </c>
      <c r="K10" s="65">
        <v>1</v>
      </c>
      <c r="L10" s="65" t="s">
        <v>13</v>
      </c>
      <c r="M10" s="65" t="s">
        <v>13</v>
      </c>
      <c r="N10" s="65">
        <v>2</v>
      </c>
      <c r="O10" s="65" t="s">
        <v>13</v>
      </c>
      <c r="P10" s="65">
        <v>1</v>
      </c>
    </row>
    <row r="11" spans="1:16" s="6" customFormat="1" ht="21.95" customHeight="1">
      <c r="A11" s="245" t="s">
        <v>104</v>
      </c>
      <c r="B11" s="65">
        <v>7</v>
      </c>
      <c r="C11" s="65">
        <v>5</v>
      </c>
      <c r="D11" s="65">
        <v>1</v>
      </c>
      <c r="E11" s="65" t="s">
        <v>13</v>
      </c>
      <c r="F11" s="65">
        <v>1</v>
      </c>
      <c r="G11" s="65" t="s">
        <v>13</v>
      </c>
      <c r="H11" s="65" t="s">
        <v>13</v>
      </c>
      <c r="I11" s="65" t="s">
        <v>13</v>
      </c>
      <c r="J11" s="65">
        <v>1</v>
      </c>
      <c r="K11" s="65" t="s">
        <v>13</v>
      </c>
      <c r="L11" s="65">
        <v>1</v>
      </c>
      <c r="M11" s="65" t="s">
        <v>13</v>
      </c>
      <c r="N11" s="65" t="s">
        <v>13</v>
      </c>
      <c r="O11" s="65">
        <v>2</v>
      </c>
      <c r="P11" s="65" t="s">
        <v>13</v>
      </c>
    </row>
    <row r="12" spans="1:16" s="6" customFormat="1" ht="21.95" customHeight="1">
      <c r="A12" s="245" t="s">
        <v>105</v>
      </c>
      <c r="B12" s="65">
        <v>11</v>
      </c>
      <c r="C12" s="65">
        <v>3</v>
      </c>
      <c r="D12" s="65">
        <v>5</v>
      </c>
      <c r="E12" s="65">
        <v>1</v>
      </c>
      <c r="F12" s="65">
        <v>1</v>
      </c>
      <c r="G12" s="24">
        <v>2</v>
      </c>
      <c r="H12" s="6">
        <v>1</v>
      </c>
      <c r="I12" s="65" t="s">
        <v>13</v>
      </c>
      <c r="J12" s="65" t="s">
        <v>13</v>
      </c>
      <c r="K12" s="65" t="s">
        <v>13</v>
      </c>
      <c r="L12" s="65">
        <v>2</v>
      </c>
      <c r="M12" s="65">
        <v>1</v>
      </c>
      <c r="N12" s="65">
        <v>1</v>
      </c>
      <c r="O12" s="65" t="s">
        <v>13</v>
      </c>
      <c r="P12" s="65" t="s">
        <v>13</v>
      </c>
    </row>
    <row r="13" spans="1:16" s="6" customFormat="1" ht="21.95" customHeight="1">
      <c r="A13" s="245" t="s">
        <v>106</v>
      </c>
      <c r="B13" s="65">
        <v>2</v>
      </c>
      <c r="C13" s="65">
        <v>4</v>
      </c>
      <c r="D13" s="65">
        <v>1</v>
      </c>
      <c r="E13" s="65">
        <v>1</v>
      </c>
      <c r="F13" s="65" t="s">
        <v>13</v>
      </c>
      <c r="G13" s="24">
        <v>1</v>
      </c>
      <c r="H13" s="65" t="s">
        <v>13</v>
      </c>
      <c r="I13" s="65" t="s">
        <v>13</v>
      </c>
      <c r="J13" s="65">
        <v>1</v>
      </c>
      <c r="K13" s="65" t="s">
        <v>13</v>
      </c>
      <c r="L13" s="65" t="s">
        <v>13</v>
      </c>
      <c r="M13" s="65" t="s">
        <v>13</v>
      </c>
      <c r="N13" s="65" t="s">
        <v>13</v>
      </c>
      <c r="O13" s="65" t="s">
        <v>13</v>
      </c>
      <c r="P13" s="65" t="s">
        <v>13</v>
      </c>
    </row>
    <row r="14" spans="1:16" s="6" customFormat="1" ht="21.95" customHeight="1">
      <c r="A14" s="245" t="s">
        <v>107</v>
      </c>
      <c r="B14" s="65">
        <v>8</v>
      </c>
      <c r="C14" s="65">
        <v>5</v>
      </c>
      <c r="D14" s="65">
        <v>2</v>
      </c>
      <c r="E14" s="65">
        <v>4</v>
      </c>
      <c r="F14" s="65">
        <v>4</v>
      </c>
      <c r="G14" s="24">
        <v>9</v>
      </c>
      <c r="H14" s="6">
        <v>1</v>
      </c>
      <c r="I14" s="24">
        <v>1</v>
      </c>
      <c r="J14" s="24">
        <v>2</v>
      </c>
      <c r="K14" s="24">
        <v>2</v>
      </c>
      <c r="L14" s="24">
        <v>1</v>
      </c>
      <c r="M14" s="65">
        <v>4</v>
      </c>
      <c r="N14" s="65">
        <v>2</v>
      </c>
      <c r="O14" s="65">
        <v>2</v>
      </c>
      <c r="P14" s="65" t="s">
        <v>13</v>
      </c>
    </row>
    <row r="15" spans="1:16" s="6" customFormat="1" ht="21.95" customHeight="1">
      <c r="A15" s="245" t="s">
        <v>108</v>
      </c>
      <c r="B15" s="65">
        <v>13</v>
      </c>
      <c r="C15" s="65">
        <v>13</v>
      </c>
      <c r="D15" s="65">
        <v>17</v>
      </c>
      <c r="E15" s="65">
        <v>6</v>
      </c>
      <c r="F15" s="65">
        <v>18</v>
      </c>
      <c r="G15" s="24">
        <v>2</v>
      </c>
      <c r="H15" s="6">
        <v>2</v>
      </c>
      <c r="I15" s="24">
        <v>4</v>
      </c>
      <c r="J15" s="24">
        <v>13</v>
      </c>
      <c r="K15" s="24">
        <v>13</v>
      </c>
      <c r="L15" s="24">
        <v>9</v>
      </c>
      <c r="M15" s="24">
        <v>9</v>
      </c>
      <c r="N15" s="24">
        <v>6</v>
      </c>
      <c r="O15" s="24">
        <v>4</v>
      </c>
      <c r="P15" s="24">
        <v>7</v>
      </c>
    </row>
    <row r="16" spans="1:16" s="6" customFormat="1" ht="21.95" customHeight="1">
      <c r="A16" s="245" t="s">
        <v>109</v>
      </c>
      <c r="B16" s="65">
        <v>2</v>
      </c>
      <c r="C16" s="65" t="s">
        <v>13</v>
      </c>
      <c r="D16" s="65" t="s">
        <v>13</v>
      </c>
      <c r="E16" s="65">
        <v>3</v>
      </c>
      <c r="F16" s="65">
        <v>2</v>
      </c>
      <c r="G16" s="65" t="s">
        <v>13</v>
      </c>
      <c r="H16" s="65" t="s">
        <v>13</v>
      </c>
      <c r="I16" s="65" t="s">
        <v>13</v>
      </c>
      <c r="J16" s="24" t="s">
        <v>13</v>
      </c>
      <c r="K16" s="65" t="s">
        <v>13</v>
      </c>
      <c r="L16" s="65" t="s">
        <v>13</v>
      </c>
      <c r="M16" s="24" t="s">
        <v>13</v>
      </c>
      <c r="N16" s="24" t="s">
        <v>13</v>
      </c>
      <c r="O16" s="24">
        <v>1</v>
      </c>
      <c r="P16" s="65" t="s">
        <v>13</v>
      </c>
    </row>
    <row r="17" spans="1:16" s="6" customFormat="1" ht="21.95" customHeight="1">
      <c r="A17" s="245" t="s">
        <v>110</v>
      </c>
      <c r="B17" s="65">
        <v>3</v>
      </c>
      <c r="C17" s="65" t="s">
        <v>13</v>
      </c>
      <c r="D17" s="65" t="s">
        <v>13</v>
      </c>
      <c r="E17" s="65">
        <v>1</v>
      </c>
      <c r="F17" s="65" t="s">
        <v>13</v>
      </c>
      <c r="G17" s="65" t="s">
        <v>13</v>
      </c>
      <c r="H17" s="65" t="s">
        <v>13</v>
      </c>
      <c r="I17" s="65" t="s">
        <v>13</v>
      </c>
      <c r="J17" s="24" t="s">
        <v>13</v>
      </c>
      <c r="K17" s="65" t="s">
        <v>13</v>
      </c>
      <c r="L17" s="65" t="s">
        <v>13</v>
      </c>
      <c r="M17" s="24" t="s">
        <v>13</v>
      </c>
      <c r="N17" s="24" t="s">
        <v>13</v>
      </c>
      <c r="O17" s="24">
        <v>1</v>
      </c>
      <c r="P17" s="24" t="s">
        <v>13</v>
      </c>
    </row>
    <row r="18" spans="1:16" s="6" customFormat="1" ht="5.0999999999999996" customHeight="1">
      <c r="A18" s="42"/>
      <c r="B18" s="66"/>
      <c r="C18" s="66"/>
      <c r="D18" s="66"/>
      <c r="E18" s="66"/>
      <c r="F18" s="66"/>
      <c r="G18" s="66"/>
      <c r="H18" s="66"/>
      <c r="I18" s="396"/>
      <c r="J18" s="66"/>
      <c r="K18" s="66"/>
      <c r="L18" s="396"/>
      <c r="M18" s="66"/>
      <c r="N18" s="66"/>
      <c r="O18" s="66"/>
      <c r="P18" s="66"/>
    </row>
    <row r="19" spans="1:16" ht="11.1" customHeight="1">
      <c r="A19" s="406" t="s">
        <v>792</v>
      </c>
      <c r="B19" s="406"/>
      <c r="C19" s="406"/>
      <c r="D19" s="406"/>
      <c r="E19" s="406"/>
      <c r="F19" s="406"/>
    </row>
    <row r="20" spans="1:16" ht="11.1" customHeight="1">
      <c r="A20" s="284" t="s">
        <v>654</v>
      </c>
    </row>
  </sheetData>
  <mergeCells count="1">
    <mergeCell ref="A1:P1"/>
  </mergeCells>
  <phoneticPr fontId="0" type="noConversion"/>
  <printOptions gridLinesSet="0"/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zoomScaleNormal="100" workbookViewId="0">
      <selection sqref="A1:P1"/>
    </sheetView>
  </sheetViews>
  <sheetFormatPr baseColWidth="10" defaultRowHeight="12.75"/>
  <cols>
    <col min="1" max="1" width="4.7109375" customWidth="1"/>
    <col min="2" max="2" width="27.140625" customWidth="1"/>
    <col min="3" max="8" width="6.42578125" hidden="1" customWidth="1"/>
    <col min="9" max="16" width="6.5703125" customWidth="1"/>
  </cols>
  <sheetData>
    <row r="1" spans="1:20" ht="15.95" customHeight="1">
      <c r="A1" s="765" t="s">
        <v>819</v>
      </c>
      <c r="B1" s="765"/>
      <c r="C1" s="765"/>
      <c r="D1" s="765"/>
      <c r="E1" s="765"/>
      <c r="F1" s="765"/>
      <c r="G1" s="765"/>
      <c r="H1" s="765"/>
      <c r="I1" s="765"/>
      <c r="J1" s="765"/>
      <c r="K1" s="765"/>
      <c r="L1" s="765"/>
      <c r="M1" s="765"/>
      <c r="N1" s="765"/>
      <c r="O1" s="765"/>
      <c r="P1" s="765"/>
    </row>
    <row r="2" spans="1:20" ht="5.0999999999999996" customHeight="1">
      <c r="B2" s="168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</row>
    <row r="3" spans="1:20" ht="26.1" customHeight="1">
      <c r="A3" s="761" t="s">
        <v>816</v>
      </c>
      <c r="B3" s="762"/>
      <c r="C3" s="343">
        <v>2010</v>
      </c>
      <c r="D3" s="343">
        <v>2011</v>
      </c>
      <c r="E3" s="343">
        <v>2012</v>
      </c>
      <c r="F3" s="343">
        <v>2013</v>
      </c>
      <c r="G3" s="343">
        <v>2014</v>
      </c>
      <c r="H3" s="343">
        <v>2015</v>
      </c>
      <c r="I3" s="343">
        <v>2016</v>
      </c>
      <c r="J3" s="343">
        <v>2017</v>
      </c>
      <c r="K3" s="343">
        <v>2018</v>
      </c>
      <c r="L3" s="343">
        <v>2019</v>
      </c>
      <c r="M3" s="343">
        <v>2020</v>
      </c>
      <c r="N3" s="343">
        <v>2021</v>
      </c>
      <c r="O3" s="343">
        <v>2022</v>
      </c>
      <c r="P3" s="343">
        <v>2023</v>
      </c>
    </row>
    <row r="4" spans="1:20" ht="26.1" customHeight="1">
      <c r="A4" s="143" t="s">
        <v>566</v>
      </c>
      <c r="B4" s="553"/>
      <c r="C4" s="143">
        <v>1</v>
      </c>
      <c r="D4" s="143">
        <v>2</v>
      </c>
      <c r="E4" s="345" t="s">
        <v>13</v>
      </c>
      <c r="F4" s="143">
        <v>3</v>
      </c>
      <c r="G4" s="554">
        <v>4</v>
      </c>
      <c r="H4" s="143">
        <v>8</v>
      </c>
      <c r="I4" s="554">
        <v>7</v>
      </c>
      <c r="J4" s="143">
        <v>8</v>
      </c>
      <c r="K4" s="143">
        <v>11</v>
      </c>
      <c r="L4" s="143">
        <v>7</v>
      </c>
      <c r="M4" s="143">
        <v>2</v>
      </c>
      <c r="N4" s="143">
        <v>2</v>
      </c>
      <c r="O4" s="143">
        <v>12</v>
      </c>
      <c r="P4" s="143">
        <v>17</v>
      </c>
    </row>
    <row r="5" spans="1:20" ht="26.1" customHeight="1">
      <c r="A5" s="349" t="s">
        <v>567</v>
      </c>
      <c r="B5" s="349"/>
      <c r="C5" s="345" t="s">
        <v>65</v>
      </c>
      <c r="D5" s="345" t="s">
        <v>65</v>
      </c>
      <c r="E5" s="345" t="s">
        <v>65</v>
      </c>
      <c r="F5" s="24">
        <v>8</v>
      </c>
      <c r="G5" s="345">
        <v>28</v>
      </c>
      <c r="H5" s="345">
        <v>25</v>
      </c>
      <c r="I5" s="345">
        <v>74</v>
      </c>
      <c r="J5" s="345">
        <v>80</v>
      </c>
      <c r="K5" s="345">
        <v>93</v>
      </c>
      <c r="L5" s="345">
        <v>76</v>
      </c>
      <c r="M5" s="345">
        <v>65</v>
      </c>
      <c r="N5" s="345">
        <v>104</v>
      </c>
      <c r="O5" s="345">
        <v>119</v>
      </c>
      <c r="P5" s="345">
        <v>100</v>
      </c>
    </row>
    <row r="6" spans="1:20" ht="26.1" customHeight="1">
      <c r="A6" s="349" t="s">
        <v>568</v>
      </c>
      <c r="B6" s="349"/>
      <c r="C6" s="143">
        <v>398</v>
      </c>
      <c r="D6" s="143">
        <v>430</v>
      </c>
      <c r="E6" s="143">
        <v>383</v>
      </c>
      <c r="F6" s="6">
        <v>430</v>
      </c>
      <c r="G6" s="6">
        <v>494</v>
      </c>
      <c r="H6" s="6">
        <v>420</v>
      </c>
      <c r="I6" s="6">
        <v>425</v>
      </c>
      <c r="J6" s="6">
        <v>467</v>
      </c>
      <c r="K6" s="6">
        <v>446</v>
      </c>
      <c r="L6" s="6">
        <v>425</v>
      </c>
      <c r="M6" s="6">
        <v>291</v>
      </c>
      <c r="N6" s="6">
        <v>401</v>
      </c>
      <c r="O6" s="6">
        <v>383</v>
      </c>
      <c r="P6" s="6">
        <v>406</v>
      </c>
    </row>
    <row r="7" spans="1:20" ht="26.1" customHeight="1">
      <c r="A7" s="349" t="s">
        <v>569</v>
      </c>
      <c r="B7" s="349"/>
      <c r="C7" s="143">
        <v>325</v>
      </c>
      <c r="D7" s="143">
        <v>237</v>
      </c>
      <c r="E7" s="143">
        <v>230</v>
      </c>
      <c r="F7" s="410">
        <v>226</v>
      </c>
      <c r="G7" s="6">
        <v>286</v>
      </c>
      <c r="H7" s="6">
        <v>225</v>
      </c>
      <c r="I7" s="6">
        <v>247</v>
      </c>
      <c r="J7" s="6">
        <v>283</v>
      </c>
      <c r="K7" s="6">
        <v>250</v>
      </c>
      <c r="L7" s="6">
        <v>229</v>
      </c>
      <c r="M7" s="6">
        <v>166</v>
      </c>
      <c r="N7" s="6">
        <v>202</v>
      </c>
      <c r="O7" s="6">
        <v>206</v>
      </c>
      <c r="P7" s="6">
        <v>225</v>
      </c>
    </row>
    <row r="8" spans="1:20" ht="26.1" customHeight="1">
      <c r="A8" s="349" t="s">
        <v>570</v>
      </c>
      <c r="B8" s="349"/>
      <c r="C8" s="345" t="s">
        <v>13</v>
      </c>
      <c r="D8" s="143">
        <v>2</v>
      </c>
      <c r="E8" s="344">
        <v>1</v>
      </c>
      <c r="F8" s="410">
        <v>2</v>
      </c>
      <c r="G8" s="615">
        <v>13</v>
      </c>
      <c r="H8" s="615" t="s">
        <v>571</v>
      </c>
      <c r="I8" s="615" t="s">
        <v>13</v>
      </c>
      <c r="J8" s="615" t="s">
        <v>13</v>
      </c>
      <c r="K8" s="615" t="s">
        <v>13</v>
      </c>
      <c r="L8" s="616">
        <v>65</v>
      </c>
      <c r="M8" s="616">
        <v>20</v>
      </c>
      <c r="N8" s="616">
        <v>51</v>
      </c>
      <c r="O8" s="616">
        <v>25</v>
      </c>
      <c r="P8" s="616">
        <v>267</v>
      </c>
    </row>
    <row r="9" spans="1:20" ht="26.1" customHeight="1">
      <c r="A9" s="349" t="s">
        <v>572</v>
      </c>
      <c r="B9" s="349"/>
      <c r="C9" s="143">
        <v>29</v>
      </c>
      <c r="D9" s="143">
        <v>2</v>
      </c>
      <c r="E9" s="143">
        <v>1</v>
      </c>
      <c r="F9" s="6">
        <v>2</v>
      </c>
      <c r="G9" s="143">
        <v>6</v>
      </c>
      <c r="H9" s="143">
        <v>6</v>
      </c>
      <c r="I9" s="143">
        <v>11</v>
      </c>
      <c r="J9" s="143">
        <v>11</v>
      </c>
      <c r="K9" s="143">
        <v>11</v>
      </c>
      <c r="L9" s="143">
        <v>11</v>
      </c>
      <c r="M9" s="143">
        <v>10</v>
      </c>
      <c r="N9" s="143">
        <v>8</v>
      </c>
      <c r="O9" s="143">
        <v>6</v>
      </c>
      <c r="P9" s="143">
        <v>4</v>
      </c>
    </row>
    <row r="10" spans="1:20" ht="30" customHeight="1">
      <c r="A10" s="759" t="s">
        <v>741</v>
      </c>
      <c r="B10" s="760"/>
      <c r="C10" s="311">
        <v>12162</v>
      </c>
      <c r="D10" s="311">
        <v>10810</v>
      </c>
      <c r="E10" s="311">
        <v>6245</v>
      </c>
      <c r="F10" s="410">
        <v>14330</v>
      </c>
      <c r="G10" s="410">
        <v>13582</v>
      </c>
      <c r="H10" s="410">
        <v>12289</v>
      </c>
      <c r="I10" s="410">
        <v>10527</v>
      </c>
      <c r="J10" s="410">
        <v>7207</v>
      </c>
      <c r="K10" s="410">
        <v>9531</v>
      </c>
      <c r="L10" s="24">
        <v>9241</v>
      </c>
      <c r="M10" s="410">
        <v>5958</v>
      </c>
      <c r="N10" s="410">
        <v>7428</v>
      </c>
      <c r="O10" s="410">
        <v>7010</v>
      </c>
      <c r="P10" s="410">
        <v>11617</v>
      </c>
    </row>
    <row r="11" spans="1:20" ht="33.75" customHeight="1">
      <c r="A11" s="759" t="s">
        <v>815</v>
      </c>
      <c r="B11" s="760"/>
      <c r="C11" s="344">
        <v>145926</v>
      </c>
      <c r="D11" s="344">
        <v>112161</v>
      </c>
      <c r="E11" s="344">
        <v>92038</v>
      </c>
      <c r="F11" s="410">
        <v>89446</v>
      </c>
      <c r="G11" s="344">
        <v>71243</v>
      </c>
      <c r="H11" s="344">
        <v>103638</v>
      </c>
      <c r="I11" s="344">
        <v>80900</v>
      </c>
      <c r="J11" s="344">
        <v>64583</v>
      </c>
      <c r="K11" s="344">
        <v>79773</v>
      </c>
      <c r="L11" s="344">
        <v>68774</v>
      </c>
      <c r="M11" s="344">
        <v>25983</v>
      </c>
      <c r="N11" s="344">
        <v>32611</v>
      </c>
      <c r="O11" s="344">
        <v>53125</v>
      </c>
      <c r="P11" s="344">
        <v>79565</v>
      </c>
      <c r="T11" s="434"/>
    </row>
    <row r="12" spans="1:20" ht="26.1" customHeight="1">
      <c r="A12" s="143" t="s">
        <v>573</v>
      </c>
      <c r="B12" s="227"/>
      <c r="C12" s="350">
        <v>66</v>
      </c>
      <c r="D12" s="350">
        <v>55</v>
      </c>
      <c r="E12" s="350">
        <v>66</v>
      </c>
      <c r="F12" s="411">
        <v>73</v>
      </c>
      <c r="G12" s="474">
        <v>51</v>
      </c>
      <c r="H12" s="475">
        <v>85</v>
      </c>
      <c r="I12" s="475">
        <v>82</v>
      </c>
      <c r="J12" s="475">
        <v>85</v>
      </c>
      <c r="K12" s="476">
        <v>81</v>
      </c>
      <c r="L12" s="476">
        <v>77</v>
      </c>
      <c r="M12" s="344">
        <v>76</v>
      </c>
      <c r="N12" s="344">
        <v>92</v>
      </c>
      <c r="O12" s="344" t="s">
        <v>65</v>
      </c>
      <c r="P12" s="344" t="s">
        <v>65</v>
      </c>
      <c r="T12" s="434"/>
    </row>
    <row r="13" spans="1:20" ht="5.0999999999999996" customHeight="1">
      <c r="A13" s="416"/>
      <c r="B13" s="346"/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T13" s="434"/>
    </row>
    <row r="14" spans="1:20" ht="27" customHeight="1">
      <c r="A14" s="763" t="s">
        <v>855</v>
      </c>
      <c r="B14" s="763"/>
      <c r="C14" s="763"/>
      <c r="D14" s="763"/>
      <c r="E14" s="763"/>
      <c r="F14" s="763"/>
      <c r="G14" s="763"/>
      <c r="H14" s="763"/>
      <c r="I14" s="763"/>
      <c r="J14" s="763"/>
      <c r="K14" s="763"/>
      <c r="L14" s="763"/>
      <c r="M14" s="763"/>
      <c r="N14" s="763"/>
      <c r="O14" s="763"/>
      <c r="P14" s="763"/>
      <c r="Q14" s="644"/>
    </row>
    <row r="15" spans="1:20" ht="9" customHeight="1">
      <c r="A15" s="764" t="s">
        <v>856</v>
      </c>
      <c r="B15" s="764"/>
      <c r="C15" s="764"/>
      <c r="D15" s="764"/>
      <c r="E15" s="764"/>
      <c r="F15" s="764"/>
      <c r="G15" s="764"/>
      <c r="H15" s="764"/>
      <c r="I15" s="764"/>
      <c r="J15" s="764"/>
      <c r="K15" s="764"/>
      <c r="L15" s="764"/>
      <c r="M15" s="764"/>
      <c r="N15" s="764"/>
      <c r="O15" s="764"/>
      <c r="P15" s="764"/>
    </row>
    <row r="16" spans="1:20" ht="6.95" customHeight="1">
      <c r="B16" s="631"/>
      <c r="C16" s="631"/>
      <c r="D16" s="631"/>
      <c r="E16" s="631"/>
      <c r="F16" s="631"/>
      <c r="G16" s="631"/>
      <c r="H16" s="631"/>
      <c r="I16" s="631"/>
      <c r="J16" s="631"/>
      <c r="K16" s="631"/>
      <c r="L16" s="631"/>
      <c r="M16" s="631"/>
      <c r="N16" s="631"/>
      <c r="O16" s="631"/>
      <c r="P16" s="631"/>
    </row>
    <row r="17" spans="2:16" ht="6.75" customHeight="1">
      <c r="B17" s="631"/>
      <c r="C17" s="631"/>
      <c r="D17" s="631"/>
      <c r="E17" s="631"/>
      <c r="F17" s="631"/>
      <c r="G17" s="631"/>
      <c r="H17" s="631"/>
      <c r="I17" s="631"/>
      <c r="J17" s="631"/>
      <c r="K17" s="631"/>
      <c r="L17" s="631"/>
      <c r="M17" s="631"/>
      <c r="N17" s="631"/>
      <c r="O17" s="631"/>
      <c r="P17" s="631"/>
    </row>
    <row r="18" spans="2:16">
      <c r="B18" s="133"/>
    </row>
    <row r="19" spans="2:16">
      <c r="B19" s="477"/>
    </row>
    <row r="20" spans="2:16">
      <c r="B20" s="133"/>
    </row>
    <row r="21" spans="2:16">
      <c r="B21" s="133"/>
    </row>
    <row r="22" spans="2:16">
      <c r="B22" s="133"/>
    </row>
    <row r="23" spans="2:16">
      <c r="B23" s="133"/>
    </row>
    <row r="24" spans="2:16">
      <c r="B24" s="133"/>
    </row>
    <row r="25" spans="2:16" ht="9.9499999999999993" customHeight="1">
      <c r="B25" s="758"/>
      <c r="C25" s="758"/>
      <c r="D25" s="758"/>
      <c r="E25" s="758"/>
      <c r="F25" s="758"/>
      <c r="G25" s="758"/>
      <c r="H25" s="758"/>
      <c r="I25" s="758"/>
      <c r="J25" s="758"/>
      <c r="K25" s="758"/>
    </row>
    <row r="26" spans="2:16" ht="9.9499999999999993" customHeight="1">
      <c r="B26" s="758"/>
      <c r="C26" s="758"/>
      <c r="D26" s="758"/>
      <c r="E26" s="758"/>
      <c r="F26" s="758"/>
      <c r="G26" s="758"/>
      <c r="H26" s="758"/>
      <c r="I26" s="758"/>
      <c r="J26" s="758"/>
      <c r="K26" s="758"/>
    </row>
    <row r="27" spans="2:16" ht="9.9499999999999993" customHeight="1">
      <c r="B27" s="758"/>
      <c r="C27" s="758"/>
      <c r="D27" s="758"/>
      <c r="E27" s="758"/>
      <c r="F27" s="758"/>
      <c r="G27" s="758"/>
      <c r="H27" s="758"/>
      <c r="I27" s="758"/>
      <c r="J27" s="758"/>
      <c r="K27" s="758"/>
    </row>
    <row r="28" spans="2:16">
      <c r="B28" s="133"/>
    </row>
    <row r="29" spans="2:16">
      <c r="B29" s="133"/>
    </row>
    <row r="30" spans="2:16">
      <c r="B30" s="133"/>
    </row>
    <row r="31" spans="2:16">
      <c r="B31" s="133"/>
    </row>
    <row r="32" spans="2:16">
      <c r="B32" s="133"/>
    </row>
  </sheetData>
  <mergeCells count="7">
    <mergeCell ref="A1:P1"/>
    <mergeCell ref="B25:K27"/>
    <mergeCell ref="A10:B10"/>
    <mergeCell ref="A11:B11"/>
    <mergeCell ref="A3:B3"/>
    <mergeCell ref="A14:P14"/>
    <mergeCell ref="A15:P15"/>
  </mergeCells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"/>
  <sheetViews>
    <sheetView showGridLines="0" workbookViewId="0">
      <selection activeCell="K21" sqref="K21"/>
    </sheetView>
  </sheetViews>
  <sheetFormatPr baseColWidth="10" defaultRowHeight="12.75"/>
  <cols>
    <col min="1" max="1" width="11.28515625" customWidth="1"/>
    <col min="2" max="11" width="7.42578125" customWidth="1"/>
  </cols>
  <sheetData>
    <row r="1" spans="1:11" ht="13.5">
      <c r="A1" s="297" t="s">
        <v>605</v>
      </c>
      <c r="B1" s="351"/>
      <c r="C1" s="351"/>
      <c r="D1" s="351"/>
      <c r="E1" s="351"/>
      <c r="F1" s="351"/>
      <c r="G1" s="351"/>
      <c r="H1" s="351"/>
      <c r="I1" s="351"/>
      <c r="J1" s="351"/>
      <c r="K1" s="158"/>
    </row>
    <row r="2" spans="1:11" ht="18" customHeight="1">
      <c r="A2" s="407" t="s">
        <v>577</v>
      </c>
      <c r="B2" s="351"/>
      <c r="C2" s="351"/>
      <c r="D2" s="351"/>
      <c r="E2" s="351"/>
      <c r="F2" s="351"/>
      <c r="G2" s="351"/>
      <c r="H2" s="351"/>
      <c r="I2" s="351"/>
      <c r="J2" s="351"/>
      <c r="K2" s="158"/>
    </row>
    <row r="3" spans="1:11" ht="35.25" customHeight="1">
      <c r="A3" s="171" t="s">
        <v>578</v>
      </c>
      <c r="B3" s="352">
        <v>2009</v>
      </c>
      <c r="C3" s="353">
        <v>2010</v>
      </c>
      <c r="D3" s="353">
        <v>2011</v>
      </c>
      <c r="E3" s="353">
        <v>2012</v>
      </c>
      <c r="F3" s="353">
        <v>2013</v>
      </c>
      <c r="G3" s="353">
        <v>2014</v>
      </c>
      <c r="H3" s="353">
        <v>2015</v>
      </c>
      <c r="I3" s="353">
        <v>2016</v>
      </c>
      <c r="J3" s="353">
        <v>2017</v>
      </c>
      <c r="K3" s="353">
        <v>2018</v>
      </c>
    </row>
    <row r="4" spans="1:11" ht="13.5">
      <c r="A4" s="354"/>
      <c r="B4" s="355"/>
      <c r="C4" s="356"/>
      <c r="D4" s="357"/>
      <c r="E4" s="357"/>
      <c r="F4" s="358"/>
      <c r="G4" s="358"/>
      <c r="H4" s="358"/>
      <c r="I4" s="358"/>
      <c r="J4" s="358"/>
      <c r="K4" s="358"/>
    </row>
    <row r="5" spans="1:11" ht="33.75" customHeight="1">
      <c r="A5" s="354" t="s">
        <v>575</v>
      </c>
      <c r="B5" s="359">
        <v>27.1</v>
      </c>
      <c r="C5" s="360">
        <v>27.7</v>
      </c>
      <c r="D5" s="361">
        <v>40.299999999999997</v>
      </c>
      <c r="E5" s="361">
        <v>39.299999999999997</v>
      </c>
      <c r="F5" s="360">
        <v>37.075437661896181</v>
      </c>
      <c r="G5" s="360">
        <v>37.1</v>
      </c>
      <c r="H5" s="360">
        <v>46.411626190807851</v>
      </c>
      <c r="I5" s="360">
        <v>58.116552329229364</v>
      </c>
      <c r="J5" s="360">
        <v>60.883843344287449</v>
      </c>
      <c r="K5" s="360" t="s">
        <v>65</v>
      </c>
    </row>
    <row r="6" spans="1:11" ht="33.75" customHeight="1">
      <c r="A6" s="354" t="s">
        <v>576</v>
      </c>
      <c r="B6" s="362">
        <v>32.200000000000003</v>
      </c>
      <c r="C6" s="360">
        <v>42</v>
      </c>
      <c r="D6" s="361">
        <v>33.4</v>
      </c>
      <c r="E6" s="361">
        <v>31.6</v>
      </c>
      <c r="F6" s="360">
        <v>41.759466882041927</v>
      </c>
      <c r="G6" s="360">
        <v>40.799999999999997</v>
      </c>
      <c r="H6" s="360">
        <v>34.867242177026945</v>
      </c>
      <c r="I6" s="360">
        <v>30.83182710777853</v>
      </c>
      <c r="J6" s="360">
        <v>30.91922963948069</v>
      </c>
      <c r="K6" s="360" t="s">
        <v>65</v>
      </c>
    </row>
    <row r="7" spans="1:11" ht="33.75" customHeight="1">
      <c r="A7" s="354" t="s">
        <v>574</v>
      </c>
      <c r="B7" s="359">
        <v>4.9000000000000004</v>
      </c>
      <c r="C7" s="360">
        <v>2.8</v>
      </c>
      <c r="D7" s="361">
        <v>1.5</v>
      </c>
      <c r="E7" s="361">
        <v>3.6</v>
      </c>
      <c r="F7" s="360">
        <v>1.776473612593622</v>
      </c>
      <c r="G7" s="360">
        <v>1.8</v>
      </c>
      <c r="H7" s="360">
        <v>4.1323280931469784</v>
      </c>
      <c r="I7" s="360">
        <v>2.8621187072739547</v>
      </c>
      <c r="J7" s="360">
        <v>1.3354992509090362</v>
      </c>
      <c r="K7" s="360" t="s">
        <v>65</v>
      </c>
    </row>
    <row r="8" spans="1:11" ht="13.5">
      <c r="A8" s="408"/>
      <c r="B8" s="363"/>
      <c r="C8" s="364"/>
      <c r="D8" s="364"/>
      <c r="E8" s="364"/>
      <c r="F8" s="365"/>
      <c r="G8" s="365"/>
      <c r="H8" s="365"/>
      <c r="I8" s="365"/>
      <c r="J8" s="365"/>
      <c r="K8" s="365"/>
    </row>
    <row r="9" spans="1:11">
      <c r="A9" s="187" t="s">
        <v>579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</row>
    <row r="10" spans="1:11">
      <c r="A10" s="168" t="s">
        <v>580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Normal="100" workbookViewId="0">
      <selection sqref="A1:E1"/>
    </sheetView>
  </sheetViews>
  <sheetFormatPr baseColWidth="10" defaultColWidth="11.42578125" defaultRowHeight="12.75"/>
  <cols>
    <col min="1" max="1" width="20.7109375" customWidth="1"/>
    <col min="2" max="5" width="15.7109375" style="158" customWidth="1"/>
  </cols>
  <sheetData>
    <row r="1" spans="1:7" ht="12.95" customHeight="1">
      <c r="A1" s="765" t="s">
        <v>817</v>
      </c>
      <c r="B1" s="765"/>
      <c r="C1" s="765"/>
      <c r="D1" s="765"/>
      <c r="E1" s="765"/>
    </row>
    <row r="2" spans="1:7" ht="15" customHeight="1">
      <c r="A2" s="599" t="s">
        <v>728</v>
      </c>
      <c r="B2" s="351"/>
      <c r="C2" s="351"/>
      <c r="D2" s="351"/>
      <c r="E2" s="351"/>
    </row>
    <row r="3" spans="1:7" ht="5.0999999999999996" customHeight="1">
      <c r="A3" s="599"/>
      <c r="B3" s="351"/>
      <c r="C3" s="351"/>
      <c r="D3" s="351"/>
      <c r="E3" s="351"/>
    </row>
    <row r="4" spans="1:7" ht="43.5" customHeight="1">
      <c r="A4" s="592" t="s">
        <v>557</v>
      </c>
      <c r="B4" s="552" t="s">
        <v>55</v>
      </c>
      <c r="C4" s="343" t="s">
        <v>646</v>
      </c>
      <c r="D4" s="343" t="s">
        <v>54</v>
      </c>
      <c r="E4" s="343" t="s">
        <v>820</v>
      </c>
      <c r="G4" s="438"/>
    </row>
    <row r="5" spans="1:7" ht="12.95" customHeight="1">
      <c r="A5" s="414">
        <v>2018</v>
      </c>
      <c r="B5" s="441"/>
      <c r="C5" s="360"/>
      <c r="D5" s="361"/>
      <c r="E5" s="361"/>
    </row>
    <row r="6" spans="1:7" ht="12.95" customHeight="1">
      <c r="A6" s="399" t="s">
        <v>725</v>
      </c>
      <c r="B6" s="442">
        <v>67.058559784122181</v>
      </c>
      <c r="C6" s="442">
        <v>25.297533597851903</v>
      </c>
      <c r="D6" s="442">
        <v>1.3386353201959322</v>
      </c>
      <c r="E6" s="400">
        <v>19.589060256005439</v>
      </c>
    </row>
    <row r="7" spans="1:7" ht="12.95" customHeight="1">
      <c r="A7" s="401" t="s">
        <v>602</v>
      </c>
      <c r="B7" s="443">
        <v>64.523368362626883</v>
      </c>
      <c r="C7" s="443">
        <v>26.093551889828408</v>
      </c>
      <c r="D7" s="443">
        <v>1.5389671876003521</v>
      </c>
      <c r="E7" s="398">
        <v>13.850788252096999</v>
      </c>
    </row>
    <row r="8" spans="1:7" ht="12.95" customHeight="1">
      <c r="A8" s="414">
        <v>2019</v>
      </c>
      <c r="B8" s="645"/>
      <c r="C8" s="443"/>
      <c r="D8" s="345"/>
      <c r="E8" s="345"/>
    </row>
    <row r="9" spans="1:7" ht="12.95" customHeight="1">
      <c r="A9" s="399" t="s">
        <v>725</v>
      </c>
      <c r="B9" s="442">
        <v>67.763155269718794</v>
      </c>
      <c r="C9" s="442">
        <v>25.560159753689199</v>
      </c>
      <c r="D9" s="442">
        <v>1</v>
      </c>
      <c r="E9" s="400">
        <v>19.987050236025102</v>
      </c>
    </row>
    <row r="10" spans="1:7" ht="12.95" customHeight="1">
      <c r="A10" s="401" t="s">
        <v>602</v>
      </c>
      <c r="B10" s="443">
        <v>57.9</v>
      </c>
      <c r="C10" s="443">
        <v>34.4</v>
      </c>
      <c r="D10" s="443">
        <v>0.5</v>
      </c>
      <c r="E10" s="398">
        <v>14.840768152993</v>
      </c>
    </row>
    <row r="11" spans="1:7" ht="12.95" customHeight="1">
      <c r="A11" s="414">
        <v>2020</v>
      </c>
      <c r="B11" s="645"/>
      <c r="C11" s="443"/>
      <c r="D11" s="345"/>
      <c r="E11" s="345"/>
    </row>
    <row r="12" spans="1:7" ht="12.95" customHeight="1">
      <c r="A12" s="399" t="s">
        <v>725</v>
      </c>
      <c r="B12" s="444">
        <v>66.324745307749993</v>
      </c>
      <c r="C12" s="444">
        <v>28.429796676788811</v>
      </c>
      <c r="D12" s="444">
        <v>0.98110946846344982</v>
      </c>
      <c r="E12" s="400">
        <v>17.5850302260021</v>
      </c>
    </row>
    <row r="13" spans="1:7" ht="12.95" customHeight="1">
      <c r="A13" s="401" t="s">
        <v>602</v>
      </c>
      <c r="B13" s="445">
        <v>68.930282593839948</v>
      </c>
      <c r="C13" s="445">
        <v>25.519216281724049</v>
      </c>
      <c r="D13" s="445">
        <v>0.64356990040137707</v>
      </c>
      <c r="E13" s="398">
        <v>11.250282252053999</v>
      </c>
    </row>
    <row r="14" spans="1:7" ht="12.95" customHeight="1">
      <c r="A14" s="414">
        <v>2021</v>
      </c>
      <c r="B14" s="645"/>
      <c r="C14" s="443"/>
      <c r="D14" s="345"/>
      <c r="E14" s="345"/>
    </row>
    <row r="15" spans="1:7" ht="12.95" customHeight="1">
      <c r="A15" s="399" t="s">
        <v>725</v>
      </c>
      <c r="B15" s="444">
        <v>68</v>
      </c>
      <c r="C15" s="444">
        <v>26.2</v>
      </c>
      <c r="D15" s="444">
        <v>0.7</v>
      </c>
      <c r="E15" s="400">
        <v>18.3</v>
      </c>
    </row>
    <row r="16" spans="1:7" ht="12.95" customHeight="1">
      <c r="A16" s="401" t="s">
        <v>602</v>
      </c>
      <c r="B16" s="445">
        <v>66.099999999999994</v>
      </c>
      <c r="C16" s="445">
        <v>29.2</v>
      </c>
      <c r="D16" s="445">
        <v>0.7</v>
      </c>
      <c r="E16" s="398">
        <v>14.2</v>
      </c>
    </row>
    <row r="17" spans="1:9" ht="12.95" customHeight="1">
      <c r="A17" s="414">
        <v>2022</v>
      </c>
      <c r="B17" s="645"/>
      <c r="C17" s="443"/>
      <c r="D17" s="345"/>
      <c r="E17" s="345"/>
    </row>
    <row r="18" spans="1:9" ht="12.95" customHeight="1">
      <c r="A18" s="399" t="s">
        <v>725</v>
      </c>
      <c r="B18" s="444">
        <v>69.400000000000006</v>
      </c>
      <c r="C18" s="444">
        <v>24.4</v>
      </c>
      <c r="D18" s="444">
        <v>0.8</v>
      </c>
      <c r="E18" s="400">
        <v>18.8</v>
      </c>
    </row>
    <row r="19" spans="1:9" ht="12.95" customHeight="1">
      <c r="A19" s="401" t="s">
        <v>602</v>
      </c>
      <c r="B19" s="445">
        <v>70.900000000000006</v>
      </c>
      <c r="C19" s="445">
        <v>24.7</v>
      </c>
      <c r="D19" s="445">
        <v>0.5</v>
      </c>
      <c r="E19" s="398">
        <v>14.9</v>
      </c>
    </row>
    <row r="20" spans="1:9" ht="12.95" customHeight="1">
      <c r="A20" s="414">
        <v>2023</v>
      </c>
      <c r="B20" s="645"/>
      <c r="C20" s="443"/>
      <c r="D20" s="345"/>
      <c r="E20" s="345"/>
    </row>
    <row r="21" spans="1:9" ht="12.95" customHeight="1">
      <c r="A21" s="399" t="s">
        <v>725</v>
      </c>
      <c r="B21" s="624">
        <v>70</v>
      </c>
      <c r="C21" s="624">
        <v>23.9</v>
      </c>
      <c r="D21" s="624">
        <v>0.9</v>
      </c>
      <c r="E21" s="625">
        <v>19.100000000000001</v>
      </c>
    </row>
    <row r="22" spans="1:9" ht="12.95" customHeight="1">
      <c r="A22" s="401" t="s">
        <v>602</v>
      </c>
      <c r="B22" s="626">
        <v>81</v>
      </c>
      <c r="C22" s="626">
        <v>17.3</v>
      </c>
      <c r="D22" s="626">
        <v>0.4</v>
      </c>
      <c r="E22" s="627">
        <v>15</v>
      </c>
    </row>
    <row r="23" spans="1:9" ht="5.0999999999999996" customHeight="1">
      <c r="A23" s="402"/>
      <c r="B23" s="363"/>
      <c r="C23" s="364"/>
      <c r="D23" s="364"/>
      <c r="E23" s="364"/>
    </row>
    <row r="24" spans="1:9" ht="9" customHeight="1">
      <c r="A24" s="766" t="s">
        <v>857</v>
      </c>
      <c r="B24" s="766"/>
      <c r="C24" s="766"/>
      <c r="D24" s="766"/>
      <c r="E24" s="766"/>
    </row>
    <row r="25" spans="1:9" ht="8.25" customHeight="1">
      <c r="A25" s="767" t="s">
        <v>858</v>
      </c>
      <c r="B25" s="767"/>
      <c r="C25" s="767"/>
      <c r="D25" s="767"/>
      <c r="E25" s="767"/>
    </row>
    <row r="26" spans="1:9" ht="11.1" customHeight="1">
      <c r="A26" s="168" t="s">
        <v>580</v>
      </c>
    </row>
    <row r="27" spans="1:9">
      <c r="H27" s="604"/>
      <c r="I27" s="604"/>
    </row>
    <row r="28" spans="1:9">
      <c r="A28" s="133"/>
      <c r="H28" s="604"/>
      <c r="I28" s="604"/>
    </row>
    <row r="29" spans="1:9">
      <c r="H29" s="604"/>
      <c r="I29" s="604"/>
    </row>
  </sheetData>
  <mergeCells count="3">
    <mergeCell ref="A1:E1"/>
    <mergeCell ref="A24:E24"/>
    <mergeCell ref="A25:E25"/>
  </mergeCells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2"/>
  <sheetViews>
    <sheetView showGridLines="0" topLeftCell="A41" zoomScaleNormal="100" zoomScaleSheetLayoutView="100" workbookViewId="0">
      <selection activeCell="A41" sqref="A41:L41"/>
    </sheetView>
  </sheetViews>
  <sheetFormatPr baseColWidth="10" defaultColWidth="11.42578125" defaultRowHeight="12.75"/>
  <cols>
    <col min="1" max="1" width="13.42578125" style="335" customWidth="1"/>
    <col min="2" max="2" width="8.5703125" style="335" hidden="1" customWidth="1"/>
    <col min="3" max="3" width="9.28515625" style="648" customWidth="1"/>
    <col min="4" max="4" width="8.7109375" style="478" hidden="1" customWidth="1"/>
    <col min="5" max="5" width="9.28515625" style="687" customWidth="1"/>
    <col min="6" max="6" width="8.5703125" style="478" customWidth="1"/>
    <col min="7" max="7" width="9.28515625" style="687" customWidth="1"/>
    <col min="8" max="8" width="8.5703125" style="478" customWidth="1"/>
    <col min="9" max="9" width="9.28515625" style="687" customWidth="1"/>
    <col min="10" max="10" width="8.5703125" style="478" customWidth="1"/>
    <col min="11" max="11" width="9.28515625" style="648" customWidth="1"/>
    <col min="12" max="12" width="8.5703125" style="335" customWidth="1"/>
    <col min="13" max="16384" width="11.42578125" style="335"/>
  </cols>
  <sheetData>
    <row r="1" spans="1:12" ht="13.5" hidden="1">
      <c r="A1" s="555" t="s">
        <v>695</v>
      </c>
      <c r="B1" s="556"/>
      <c r="C1" s="664"/>
      <c r="D1" s="556"/>
      <c r="E1" s="664"/>
      <c r="F1" s="556"/>
      <c r="G1" s="683"/>
      <c r="H1" s="556"/>
      <c r="I1" s="664"/>
      <c r="J1" s="557"/>
    </row>
    <row r="2" spans="1:12" ht="13.5" hidden="1">
      <c r="A2" s="558" t="s">
        <v>651</v>
      </c>
      <c r="B2" s="556"/>
      <c r="C2" s="664"/>
      <c r="D2" s="557"/>
      <c r="E2" s="683"/>
      <c r="F2" s="557"/>
      <c r="G2" s="683"/>
      <c r="H2" s="557"/>
      <c r="I2" s="683"/>
      <c r="J2" s="557"/>
    </row>
    <row r="3" spans="1:12" hidden="1">
      <c r="A3" s="558" t="s">
        <v>652</v>
      </c>
      <c r="B3" s="558"/>
      <c r="C3" s="665"/>
      <c r="D3" s="557"/>
      <c r="E3" s="683"/>
      <c r="F3" s="557"/>
      <c r="G3" s="683"/>
      <c r="H3" s="557"/>
      <c r="I3" s="683"/>
      <c r="J3" s="557"/>
    </row>
    <row r="4" spans="1:12" ht="6.75" hidden="1" customHeight="1">
      <c r="A4" s="559"/>
      <c r="B4" s="560"/>
      <c r="C4" s="666"/>
      <c r="D4" s="557"/>
      <c r="E4" s="683"/>
      <c r="F4" s="557"/>
      <c r="G4" s="683"/>
      <c r="H4" s="557"/>
      <c r="I4" s="683"/>
      <c r="J4" s="557"/>
    </row>
    <row r="5" spans="1:12" ht="27" hidden="1" customHeight="1">
      <c r="A5" s="561" t="s">
        <v>529</v>
      </c>
      <c r="B5" s="562" t="s">
        <v>530</v>
      </c>
      <c r="C5" s="667">
        <v>2009</v>
      </c>
      <c r="D5" s="563">
        <v>2015</v>
      </c>
      <c r="E5" s="667">
        <v>2016</v>
      </c>
      <c r="F5" s="563">
        <v>2017</v>
      </c>
      <c r="G5" s="667">
        <v>2018</v>
      </c>
      <c r="H5" s="563">
        <v>2019</v>
      </c>
      <c r="I5" s="667">
        <v>2020</v>
      </c>
      <c r="J5" s="563">
        <v>2021</v>
      </c>
    </row>
    <row r="6" spans="1:12" hidden="1">
      <c r="A6" s="564"/>
      <c r="B6" s="565"/>
      <c r="C6" s="668"/>
      <c r="D6" s="566"/>
      <c r="E6" s="668"/>
      <c r="F6" s="566"/>
      <c r="G6" s="668"/>
      <c r="H6" s="566"/>
      <c r="I6" s="668"/>
      <c r="J6" s="566"/>
    </row>
    <row r="7" spans="1:12" ht="18.75" hidden="1" customHeight="1">
      <c r="A7" s="567" t="s">
        <v>14</v>
      </c>
      <c r="B7" s="568">
        <v>28.5</v>
      </c>
      <c r="C7" s="669">
        <v>23.8</v>
      </c>
      <c r="D7" s="569">
        <v>14.436245764145973</v>
      </c>
      <c r="E7" s="684">
        <v>13.124900857775312</v>
      </c>
      <c r="F7" s="569">
        <v>12.9</v>
      </c>
      <c r="G7" s="684">
        <v>12.235995511269678</v>
      </c>
      <c r="H7" s="569" t="s">
        <v>608</v>
      </c>
      <c r="I7" s="684">
        <v>12.067980556996362</v>
      </c>
      <c r="J7" s="570">
        <v>11.467767265956992</v>
      </c>
      <c r="L7" s="438" t="s">
        <v>722</v>
      </c>
    </row>
    <row r="8" spans="1:12" ht="18.75" hidden="1" customHeight="1">
      <c r="A8" s="571" t="s">
        <v>531</v>
      </c>
      <c r="B8" s="572">
        <v>37.4</v>
      </c>
      <c r="C8" s="670">
        <v>26.8</v>
      </c>
      <c r="D8" s="573">
        <v>22.728663203361187</v>
      </c>
      <c r="E8" s="685">
        <v>19.262329642834271</v>
      </c>
      <c r="F8" s="573">
        <v>17.100000000000001</v>
      </c>
      <c r="G8" s="685">
        <v>20.373905768203453</v>
      </c>
      <c r="H8" s="573">
        <v>17.899999999999999</v>
      </c>
      <c r="I8" s="685">
        <v>17.467388803056629</v>
      </c>
      <c r="J8" s="574">
        <v>19.239315017221674</v>
      </c>
    </row>
    <row r="9" spans="1:12" ht="18.75" hidden="1" customHeight="1">
      <c r="A9" s="571" t="s">
        <v>532</v>
      </c>
      <c r="B9" s="572">
        <v>38.6</v>
      </c>
      <c r="C9" s="670">
        <v>28.2</v>
      </c>
      <c r="D9" s="573">
        <v>18.725618158010242</v>
      </c>
      <c r="E9" s="685">
        <v>17.123469566620933</v>
      </c>
      <c r="F9" s="573">
        <v>16.100000000000001</v>
      </c>
      <c r="G9" s="685">
        <v>16.399382043922792</v>
      </c>
      <c r="H9" s="575">
        <v>16.2</v>
      </c>
      <c r="I9" s="685">
        <v>16.754613582542202</v>
      </c>
      <c r="J9" s="574">
        <v>16.540228776774555</v>
      </c>
    </row>
    <row r="10" spans="1:12" ht="18.75" hidden="1" customHeight="1">
      <c r="A10" s="571" t="s">
        <v>533</v>
      </c>
      <c r="B10" s="572">
        <v>41.7</v>
      </c>
      <c r="C10" s="670">
        <v>34.799999999999997</v>
      </c>
      <c r="D10" s="573">
        <v>22.337469581686769</v>
      </c>
      <c r="E10" s="685">
        <v>19.991802992377895</v>
      </c>
      <c r="F10" s="573">
        <v>20.9</v>
      </c>
      <c r="G10" s="685">
        <v>20.101689286673555</v>
      </c>
      <c r="H10" s="575">
        <v>16.100000000000001</v>
      </c>
      <c r="I10" s="685">
        <v>17.536141501642629</v>
      </c>
      <c r="J10" s="574">
        <v>19.379623900678791</v>
      </c>
    </row>
    <row r="11" spans="1:12" ht="18.75" hidden="1" customHeight="1">
      <c r="A11" s="571" t="s">
        <v>534</v>
      </c>
      <c r="B11" s="572">
        <v>12.4</v>
      </c>
      <c r="C11" s="670">
        <v>12.2</v>
      </c>
      <c r="D11" s="573">
        <v>7.5</v>
      </c>
      <c r="E11" s="685">
        <v>6.3</v>
      </c>
      <c r="F11" s="573">
        <v>4.9000000000000004</v>
      </c>
      <c r="G11" s="685">
        <v>5.3</v>
      </c>
      <c r="H11" s="575">
        <v>6.1</v>
      </c>
      <c r="I11" s="685" t="s">
        <v>609</v>
      </c>
      <c r="J11" s="574">
        <v>4.8829676031930989</v>
      </c>
    </row>
    <row r="12" spans="1:12" ht="18.75" hidden="1" customHeight="1">
      <c r="A12" s="571" t="s">
        <v>535</v>
      </c>
      <c r="B12" s="572">
        <v>42.2</v>
      </c>
      <c r="C12" s="670">
        <v>41.4</v>
      </c>
      <c r="D12" s="573">
        <v>21.729504241251512</v>
      </c>
      <c r="E12" s="685">
        <v>18.877212086086214</v>
      </c>
      <c r="F12" s="573">
        <v>20</v>
      </c>
      <c r="G12" s="685">
        <v>20.214939861976859</v>
      </c>
      <c r="H12" s="575" t="s">
        <v>610</v>
      </c>
      <c r="I12" s="685">
        <v>18.083924553814455</v>
      </c>
      <c r="J12" s="574">
        <v>16.017804748548119</v>
      </c>
    </row>
    <row r="13" spans="1:12" ht="18.75" hidden="1" customHeight="1">
      <c r="A13" s="571" t="s">
        <v>536</v>
      </c>
      <c r="B13" s="572">
        <v>46.6</v>
      </c>
      <c r="C13" s="670">
        <v>39.799999999999997</v>
      </c>
      <c r="D13" s="573">
        <v>23.884235426206661</v>
      </c>
      <c r="E13" s="685">
        <v>26.043992501768827</v>
      </c>
      <c r="F13" s="573">
        <v>26.6</v>
      </c>
      <c r="G13" s="685">
        <v>27.386271414620406</v>
      </c>
      <c r="H13" s="575" t="s">
        <v>611</v>
      </c>
      <c r="I13" s="685">
        <v>24.413811482043453</v>
      </c>
      <c r="J13" s="574">
        <v>20.942933326221201</v>
      </c>
    </row>
    <row r="14" spans="1:12" ht="18.75" hidden="1" customHeight="1">
      <c r="A14" s="571" t="s">
        <v>537</v>
      </c>
      <c r="B14" s="572" t="s">
        <v>13</v>
      </c>
      <c r="C14" s="670" t="s">
        <v>13</v>
      </c>
      <c r="D14" s="573">
        <v>6.4771530659475136</v>
      </c>
      <c r="E14" s="685">
        <v>5.9</v>
      </c>
      <c r="F14" s="573">
        <v>5.2</v>
      </c>
      <c r="G14" s="685">
        <v>5.9982080781616052</v>
      </c>
      <c r="H14" s="575" t="s">
        <v>612</v>
      </c>
      <c r="I14" s="685">
        <v>5.6150229633088706</v>
      </c>
      <c r="J14" s="574">
        <v>4.3562538162049282</v>
      </c>
    </row>
    <row r="15" spans="1:12" ht="18.75" hidden="1" customHeight="1">
      <c r="A15" s="571" t="s">
        <v>538</v>
      </c>
      <c r="B15" s="572">
        <v>36.9</v>
      </c>
      <c r="C15" s="670">
        <v>38.4</v>
      </c>
      <c r="D15" s="573">
        <v>16.687531623007583</v>
      </c>
      <c r="E15" s="685">
        <v>14.609634790428034</v>
      </c>
      <c r="F15" s="573">
        <v>13.4</v>
      </c>
      <c r="G15" s="685">
        <v>14.013802049567506</v>
      </c>
      <c r="H15" s="575" t="s">
        <v>613</v>
      </c>
      <c r="I15" s="685">
        <v>13.497342380570748</v>
      </c>
      <c r="J15" s="574">
        <v>12.726449199391562</v>
      </c>
    </row>
    <row r="16" spans="1:12" ht="18.75" hidden="1" customHeight="1">
      <c r="A16" s="571" t="s">
        <v>539</v>
      </c>
      <c r="B16" s="572">
        <v>59.2</v>
      </c>
      <c r="C16" s="670">
        <v>53.6</v>
      </c>
      <c r="D16" s="573">
        <v>33.978974402803416</v>
      </c>
      <c r="E16" s="685">
        <v>33.399379419009165</v>
      </c>
      <c r="F16" s="573">
        <v>31.2</v>
      </c>
      <c r="G16" s="685">
        <v>31.98976930513998</v>
      </c>
      <c r="H16" s="575" t="s">
        <v>614</v>
      </c>
      <c r="I16" s="685">
        <v>31.532994497573075</v>
      </c>
      <c r="J16" s="574">
        <v>27.110066216667192</v>
      </c>
    </row>
    <row r="17" spans="1:12" ht="18.75" hidden="1" customHeight="1">
      <c r="A17" s="571" t="s">
        <v>540</v>
      </c>
      <c r="B17" s="572">
        <v>49.4</v>
      </c>
      <c r="C17" s="670">
        <v>39.200000000000003</v>
      </c>
      <c r="D17" s="573">
        <v>24.1860167682614</v>
      </c>
      <c r="E17" s="685">
        <v>19.178692813302899</v>
      </c>
      <c r="F17" s="573">
        <v>19.600000000000001</v>
      </c>
      <c r="G17" s="685">
        <v>22.444670952735887</v>
      </c>
      <c r="H17" s="575" t="s">
        <v>615</v>
      </c>
      <c r="I17" s="685">
        <v>19.231187016046313</v>
      </c>
      <c r="J17" s="574">
        <v>17.847547219173055</v>
      </c>
    </row>
    <row r="18" spans="1:12" ht="18.75" hidden="1" customHeight="1">
      <c r="A18" s="571" t="s">
        <v>541</v>
      </c>
      <c r="B18" s="572">
        <v>13</v>
      </c>
      <c r="C18" s="670">
        <v>10.3</v>
      </c>
      <c r="D18" s="573">
        <v>6.6793653211386665</v>
      </c>
      <c r="E18" s="685">
        <v>7.0607861985979472</v>
      </c>
      <c r="F18" s="573">
        <v>8.3000000000000007</v>
      </c>
      <c r="G18" s="685">
        <v>5</v>
      </c>
      <c r="H18" s="575" t="s">
        <v>616</v>
      </c>
      <c r="I18" s="685">
        <v>5.8682197419093498</v>
      </c>
      <c r="J18" s="574">
        <v>4.3715013142681984</v>
      </c>
    </row>
    <row r="19" spans="1:12" ht="18.75" hidden="1" customHeight="1">
      <c r="A19" s="571" t="s">
        <v>542</v>
      </c>
      <c r="B19" s="572">
        <v>31.9</v>
      </c>
      <c r="C19" s="670">
        <v>33.700000000000003</v>
      </c>
      <c r="D19" s="573">
        <v>19.846255981981898</v>
      </c>
      <c r="E19" s="685">
        <v>20.52423215962072</v>
      </c>
      <c r="F19" s="573">
        <v>17.3</v>
      </c>
      <c r="G19" s="685">
        <v>19.224650516451867</v>
      </c>
      <c r="H19" s="573" t="s">
        <v>617</v>
      </c>
      <c r="I19" s="685">
        <v>17.465527519298931</v>
      </c>
      <c r="J19" s="574">
        <v>14.309811355231606</v>
      </c>
    </row>
    <row r="20" spans="1:12" ht="18.75" hidden="1" customHeight="1">
      <c r="A20" s="571" t="s">
        <v>543</v>
      </c>
      <c r="B20" s="572">
        <v>31.2</v>
      </c>
      <c r="C20" s="670">
        <v>27.2</v>
      </c>
      <c r="D20" s="573">
        <v>15.935026312351111</v>
      </c>
      <c r="E20" s="685">
        <v>12.170386060094343</v>
      </c>
      <c r="F20" s="573">
        <v>15.6</v>
      </c>
      <c r="G20" s="685">
        <v>14.768859587009564</v>
      </c>
      <c r="H20" s="573" t="s">
        <v>618</v>
      </c>
      <c r="I20" s="685">
        <v>13.355671640755496</v>
      </c>
      <c r="J20" s="574">
        <v>14.873605061599699</v>
      </c>
    </row>
    <row r="21" spans="1:12" ht="18.75" hidden="1" customHeight="1">
      <c r="A21" s="571" t="s">
        <v>544</v>
      </c>
      <c r="B21" s="572">
        <v>20.100000000000001</v>
      </c>
      <c r="C21" s="670">
        <v>18.2</v>
      </c>
      <c r="D21" s="573">
        <v>14.145602636107213</v>
      </c>
      <c r="E21" s="685">
        <v>11.8</v>
      </c>
      <c r="F21" s="573">
        <v>10.5</v>
      </c>
      <c r="G21" s="685">
        <v>9.3000000000000007</v>
      </c>
      <c r="H21" s="573" t="s">
        <v>619</v>
      </c>
      <c r="I21" s="685">
        <v>9.5066695318766818</v>
      </c>
      <c r="J21" s="574">
        <v>9.2485769075299817</v>
      </c>
    </row>
    <row r="22" spans="1:12" ht="18.75" hidden="1" customHeight="1">
      <c r="A22" s="571" t="s">
        <v>561</v>
      </c>
      <c r="B22" s="572" t="s">
        <v>13</v>
      </c>
      <c r="C22" s="670" t="s">
        <v>13</v>
      </c>
      <c r="D22" s="573">
        <v>5.3136166254454897</v>
      </c>
      <c r="E22" s="685">
        <v>4.9372936016322724</v>
      </c>
      <c r="F22" s="573">
        <v>5.0999999999999996</v>
      </c>
      <c r="G22" s="685">
        <v>4.5172854871875359</v>
      </c>
      <c r="H22" s="573" t="s">
        <v>620</v>
      </c>
      <c r="I22" s="685">
        <v>4.6059428961155184</v>
      </c>
      <c r="J22" s="574">
        <v>3.4705493225452333</v>
      </c>
    </row>
    <row r="23" spans="1:12" ht="18.75" hidden="1" customHeight="1">
      <c r="A23" s="571" t="s">
        <v>635</v>
      </c>
      <c r="B23" s="572" t="s">
        <v>13</v>
      </c>
      <c r="C23" s="670" t="s">
        <v>13</v>
      </c>
      <c r="D23" s="573">
        <v>9.6884231162771943</v>
      </c>
      <c r="E23" s="685">
        <v>5.8683791476660545</v>
      </c>
      <c r="F23" s="573">
        <v>9.6</v>
      </c>
      <c r="G23" s="685">
        <v>6.7477405864761222</v>
      </c>
      <c r="H23" s="573" t="s">
        <v>621</v>
      </c>
      <c r="I23" s="685">
        <v>8.5633447217373018</v>
      </c>
      <c r="J23" s="574">
        <v>6.2722039142541561</v>
      </c>
    </row>
    <row r="24" spans="1:12" ht="18.75" hidden="1" customHeight="1">
      <c r="A24" s="571" t="s">
        <v>545</v>
      </c>
      <c r="B24" s="572">
        <v>32.299999999999997</v>
      </c>
      <c r="C24" s="670">
        <v>29.1</v>
      </c>
      <c r="D24" s="573">
        <v>23.200463367866071</v>
      </c>
      <c r="E24" s="685">
        <v>23.61863202468496</v>
      </c>
      <c r="F24" s="573">
        <v>23.8</v>
      </c>
      <c r="G24" s="685">
        <v>19.968684329550911</v>
      </c>
      <c r="H24" s="573" t="s">
        <v>622</v>
      </c>
      <c r="I24" s="685">
        <v>25.16513202659872</v>
      </c>
      <c r="J24" s="574">
        <v>23.59250322608737</v>
      </c>
    </row>
    <row r="25" spans="1:12" ht="18.75" hidden="1" customHeight="1">
      <c r="A25" s="571" t="s">
        <v>546</v>
      </c>
      <c r="B25" s="572">
        <v>15.7</v>
      </c>
      <c r="C25" s="670">
        <v>12.5</v>
      </c>
      <c r="D25" s="573">
        <v>10.22665021581764</v>
      </c>
      <c r="E25" s="685">
        <v>8.3344078399559809</v>
      </c>
      <c r="F25" s="573">
        <v>7.3</v>
      </c>
      <c r="G25" s="685">
        <v>7</v>
      </c>
      <c r="H25" s="573" t="s">
        <v>623</v>
      </c>
      <c r="I25" s="685" t="s">
        <v>624</v>
      </c>
      <c r="J25" s="574">
        <v>6.2372953571865333</v>
      </c>
    </row>
    <row r="26" spans="1:12" ht="18.75" hidden="1" customHeight="1">
      <c r="A26" s="571" t="s">
        <v>547</v>
      </c>
      <c r="B26" s="572">
        <v>9.5</v>
      </c>
      <c r="C26" s="670">
        <v>5.0999999999999996</v>
      </c>
      <c r="D26" s="573">
        <v>3.5</v>
      </c>
      <c r="E26" s="685">
        <v>4.5</v>
      </c>
      <c r="F26" s="573">
        <v>3.4</v>
      </c>
      <c r="G26" s="685">
        <v>2.2999999999999998</v>
      </c>
      <c r="H26" s="573" t="s">
        <v>625</v>
      </c>
      <c r="I26" s="685" t="s">
        <v>626</v>
      </c>
      <c r="J26" s="574">
        <v>2.8958513911940598</v>
      </c>
    </row>
    <row r="27" spans="1:12" ht="18.75" hidden="1" customHeight="1">
      <c r="A27" s="571" t="s">
        <v>548</v>
      </c>
      <c r="B27" s="572">
        <v>39.5</v>
      </c>
      <c r="C27" s="670">
        <v>38.4</v>
      </c>
      <c r="D27" s="573">
        <v>22.41866041825153</v>
      </c>
      <c r="E27" s="685">
        <v>24.787598163527086</v>
      </c>
      <c r="F27" s="573">
        <v>22.8</v>
      </c>
      <c r="G27" s="685">
        <v>19.330318248049792</v>
      </c>
      <c r="H27" s="573" t="s">
        <v>627</v>
      </c>
      <c r="I27" s="685">
        <v>18.000638345840201</v>
      </c>
      <c r="J27" s="574">
        <v>16.715085745969738</v>
      </c>
    </row>
    <row r="28" spans="1:12" ht="18.75" hidden="1" customHeight="1">
      <c r="A28" s="571" t="s">
        <v>549</v>
      </c>
      <c r="B28" s="572">
        <v>29.6</v>
      </c>
      <c r="C28" s="670">
        <v>23</v>
      </c>
      <c r="D28" s="573">
        <v>20.321009303539917</v>
      </c>
      <c r="E28" s="685">
        <v>15.3</v>
      </c>
      <c r="F28" s="573">
        <v>15.9</v>
      </c>
      <c r="G28" s="685">
        <v>13.136774871377426</v>
      </c>
      <c r="H28" s="573" t="s">
        <v>628</v>
      </c>
      <c r="I28" s="685">
        <v>12.985936359269736</v>
      </c>
      <c r="J28" s="574">
        <v>16.401666491174581</v>
      </c>
    </row>
    <row r="29" spans="1:12" ht="18.75" hidden="1" customHeight="1">
      <c r="A29" s="576" t="s">
        <v>15</v>
      </c>
      <c r="B29" s="577">
        <v>36.700000000000003</v>
      </c>
      <c r="C29" s="671">
        <v>27.3</v>
      </c>
      <c r="D29" s="573">
        <v>14.540209647804044</v>
      </c>
      <c r="E29" s="685">
        <v>16.390866880596715</v>
      </c>
      <c r="F29" s="573">
        <v>16.100000000000001</v>
      </c>
      <c r="G29" s="685">
        <v>14.964711481169038</v>
      </c>
      <c r="H29" s="573" t="s">
        <v>629</v>
      </c>
      <c r="I29" s="685">
        <v>14.233570972676549</v>
      </c>
      <c r="J29" s="574">
        <v>12.491070213197235</v>
      </c>
      <c r="L29" s="335" t="s">
        <v>391</v>
      </c>
    </row>
    <row r="30" spans="1:12" ht="18.75" hidden="1" customHeight="1">
      <c r="A30" s="571" t="s">
        <v>550</v>
      </c>
      <c r="B30" s="572">
        <v>25.1</v>
      </c>
      <c r="C30" s="670">
        <v>28.2</v>
      </c>
      <c r="D30" s="573">
        <v>16.313550544881515</v>
      </c>
      <c r="E30" s="685">
        <v>12.071738666798824</v>
      </c>
      <c r="F30" s="573">
        <v>12.1</v>
      </c>
      <c r="G30" s="685">
        <v>10.539147852339358</v>
      </c>
      <c r="H30" s="573" t="s">
        <v>630</v>
      </c>
      <c r="I30" s="685">
        <v>10.786866414152747</v>
      </c>
      <c r="J30" s="574">
        <v>11.656194666458376</v>
      </c>
    </row>
    <row r="31" spans="1:12" ht="18.75" hidden="1" customHeight="1">
      <c r="A31" s="571" t="s">
        <v>551</v>
      </c>
      <c r="B31" s="572">
        <v>6.3</v>
      </c>
      <c r="C31" s="670">
        <v>2.1</v>
      </c>
      <c r="D31" s="573">
        <v>2.6</v>
      </c>
      <c r="E31" s="685">
        <v>2.2999999999999998</v>
      </c>
      <c r="F31" s="573">
        <v>3.2</v>
      </c>
      <c r="G31" s="685">
        <v>1.3</v>
      </c>
      <c r="H31" s="573" t="s">
        <v>631</v>
      </c>
      <c r="I31" s="685" t="s">
        <v>632</v>
      </c>
      <c r="J31" s="574">
        <v>1.5200984587184818</v>
      </c>
    </row>
    <row r="32" spans="1:12" ht="18.75" hidden="1" customHeight="1">
      <c r="A32" s="571" t="s">
        <v>552</v>
      </c>
      <c r="B32" s="572">
        <v>12.2</v>
      </c>
      <c r="C32" s="670">
        <v>13.5</v>
      </c>
      <c r="D32" s="573">
        <v>9.1137913605696816</v>
      </c>
      <c r="E32" s="685">
        <v>7.3520634124962019</v>
      </c>
      <c r="F32" s="573">
        <v>8.1999999999999993</v>
      </c>
      <c r="G32" s="685">
        <v>8.0821416336678809</v>
      </c>
      <c r="H32" s="573" t="s">
        <v>633</v>
      </c>
      <c r="I32" s="685">
        <v>7.2949358998618123</v>
      </c>
      <c r="J32" s="574">
        <v>7.7073308721069012</v>
      </c>
    </row>
    <row r="33" spans="1:14" ht="19.5" hidden="1" customHeight="1">
      <c r="A33" s="571" t="s">
        <v>553</v>
      </c>
      <c r="B33" s="572">
        <v>30.5</v>
      </c>
      <c r="C33" s="670">
        <v>29.9</v>
      </c>
      <c r="D33" s="573">
        <v>24.002733966409938</v>
      </c>
      <c r="E33" s="685">
        <v>24.834365099337035</v>
      </c>
      <c r="F33" s="573">
        <v>19.399999999999999</v>
      </c>
      <c r="G33" s="685">
        <v>17.76692583926442</v>
      </c>
      <c r="H33" s="573" t="s">
        <v>634</v>
      </c>
      <c r="I33" s="685">
        <v>17.371534618352182</v>
      </c>
      <c r="J33" s="574">
        <v>17.541049234459447</v>
      </c>
      <c r="L33" s="436"/>
    </row>
    <row r="34" spans="1:14" ht="6.95" hidden="1" customHeight="1">
      <c r="A34" s="578"/>
      <c r="B34" s="579"/>
      <c r="C34" s="672"/>
      <c r="D34" s="580"/>
      <c r="E34" s="686"/>
      <c r="F34" s="580"/>
      <c r="G34" s="686"/>
      <c r="H34" s="580"/>
      <c r="I34" s="686"/>
      <c r="J34" s="580"/>
    </row>
    <row r="35" spans="1:14" ht="50.1" hidden="1" customHeight="1">
      <c r="A35" s="768" t="s">
        <v>636</v>
      </c>
      <c r="B35" s="768"/>
      <c r="C35" s="768"/>
      <c r="D35" s="768"/>
      <c r="E35" s="768"/>
      <c r="F35" s="768"/>
      <c r="G35" s="768"/>
      <c r="H35" s="768"/>
      <c r="I35" s="768"/>
      <c r="J35" s="768"/>
    </row>
    <row r="36" spans="1:14" ht="11.1" hidden="1" customHeight="1">
      <c r="A36" s="559" t="s">
        <v>554</v>
      </c>
      <c r="B36" s="560"/>
      <c r="C36" s="666"/>
      <c r="D36" s="557"/>
      <c r="E36" s="683"/>
      <c r="F36" s="557"/>
      <c r="G36" s="683"/>
      <c r="H36" s="557"/>
      <c r="I36" s="683"/>
      <c r="J36" s="557"/>
    </row>
    <row r="37" spans="1:14" ht="11.1" hidden="1" customHeight="1">
      <c r="A37" s="559" t="s">
        <v>555</v>
      </c>
      <c r="B37" s="560"/>
      <c r="C37" s="666"/>
      <c r="D37" s="557"/>
      <c r="E37" s="683"/>
      <c r="F37" s="557"/>
      <c r="G37" s="683"/>
      <c r="H37" s="557"/>
      <c r="I37" s="683"/>
      <c r="J37" s="557"/>
    </row>
    <row r="38" spans="1:14" ht="11.1" hidden="1" customHeight="1">
      <c r="A38" s="581" t="s">
        <v>556</v>
      </c>
      <c r="B38" s="582"/>
      <c r="C38" s="673"/>
      <c r="D38" s="557"/>
      <c r="E38" s="683"/>
      <c r="F38" s="557"/>
      <c r="G38" s="683"/>
      <c r="H38" s="557"/>
      <c r="I38" s="683"/>
      <c r="J38" s="557"/>
    </row>
    <row r="39" spans="1:14" ht="6" hidden="1" customHeight="1"/>
    <row r="40" spans="1:14" hidden="1"/>
    <row r="41" spans="1:14" ht="13.5">
      <c r="A41" s="770" t="s">
        <v>823</v>
      </c>
      <c r="B41" s="770"/>
      <c r="C41" s="770"/>
      <c r="D41" s="770"/>
      <c r="E41" s="770"/>
      <c r="F41" s="770"/>
      <c r="G41" s="770"/>
      <c r="H41" s="770"/>
      <c r="I41" s="770"/>
      <c r="J41" s="770"/>
      <c r="K41" s="770"/>
      <c r="L41" s="770"/>
    </row>
    <row r="42" spans="1:14" ht="11.1" customHeight="1">
      <c r="A42" s="321" t="s">
        <v>729</v>
      </c>
      <c r="B42" s="324"/>
      <c r="C42" s="674"/>
    </row>
    <row r="43" spans="1:14" ht="11.1" customHeight="1">
      <c r="A43" s="321" t="s">
        <v>822</v>
      </c>
      <c r="B43" s="321"/>
      <c r="C43" s="675"/>
    </row>
    <row r="44" spans="1:14" ht="5.0999999999999996" customHeight="1">
      <c r="A44" s="336"/>
      <c r="B44" s="320"/>
      <c r="C44" s="676"/>
    </row>
    <row r="45" spans="1:14" ht="26.1" customHeight="1">
      <c r="A45" s="551" t="s">
        <v>557</v>
      </c>
      <c r="B45" s="423" t="s">
        <v>530</v>
      </c>
      <c r="C45" s="331">
        <v>2009</v>
      </c>
      <c r="D45" s="479">
        <v>2015</v>
      </c>
      <c r="E45" s="448">
        <v>2016</v>
      </c>
      <c r="F45" s="479">
        <v>2017</v>
      </c>
      <c r="G45" s="448">
        <v>2018</v>
      </c>
      <c r="H45" s="479">
        <v>2019</v>
      </c>
      <c r="I45" s="448">
        <v>2020</v>
      </c>
      <c r="J45" s="479">
        <v>2021</v>
      </c>
      <c r="K45" s="448">
        <v>2022</v>
      </c>
      <c r="L45" s="479">
        <v>2023</v>
      </c>
      <c r="M45"/>
      <c r="N45"/>
    </row>
    <row r="46" spans="1:14" ht="8.25" customHeight="1">
      <c r="A46" s="373"/>
      <c r="B46" s="424"/>
      <c r="C46" s="677"/>
      <c r="D46" s="480"/>
      <c r="E46" s="688"/>
      <c r="F46" s="480"/>
      <c r="G46" s="688"/>
      <c r="H46" s="480"/>
      <c r="I46" s="688"/>
      <c r="J46" s="480"/>
      <c r="K46" s="688"/>
      <c r="L46" s="480"/>
      <c r="M46"/>
      <c r="N46"/>
    </row>
    <row r="47" spans="1:14" ht="26.1" customHeight="1">
      <c r="A47" s="374" t="s">
        <v>730</v>
      </c>
      <c r="B47" s="425">
        <v>28.5</v>
      </c>
      <c r="C47" s="678">
        <v>23.8</v>
      </c>
      <c r="D47" s="442">
        <v>14.436245764145973</v>
      </c>
      <c r="E47" s="689">
        <v>13.124900857775312</v>
      </c>
      <c r="F47" s="442">
        <v>12.9</v>
      </c>
      <c r="G47" s="689">
        <v>12.235995511269678</v>
      </c>
      <c r="H47" s="442" t="s">
        <v>608</v>
      </c>
      <c r="I47" s="689">
        <v>12.067980556996362</v>
      </c>
      <c r="J47" s="481">
        <v>11.467767265957045</v>
      </c>
      <c r="K47" s="481">
        <v>11.681795438063743</v>
      </c>
      <c r="L47" s="481">
        <v>11.546661378774841</v>
      </c>
      <c r="M47"/>
      <c r="N47"/>
    </row>
    <row r="48" spans="1:14" ht="13.5" hidden="1">
      <c r="A48" s="375" t="s">
        <v>531</v>
      </c>
      <c r="B48" s="426">
        <v>37.4</v>
      </c>
      <c r="C48" s="679">
        <v>26.8</v>
      </c>
      <c r="D48" s="443">
        <v>22.728663203361187</v>
      </c>
      <c r="E48" s="465">
        <v>19.262329642834271</v>
      </c>
      <c r="F48" s="443">
        <v>17.100000000000001</v>
      </c>
      <c r="G48" s="465">
        <v>20.373905768203453</v>
      </c>
      <c r="H48" s="443">
        <v>17.899999999999999</v>
      </c>
      <c r="I48" s="465">
        <v>17.467388803056629</v>
      </c>
      <c r="J48" s="432">
        <v>19.239315017221674</v>
      </c>
      <c r="K48" s="432">
        <v>19.239315017221674</v>
      </c>
      <c r="L48" s="432">
        <v>19.239315017221674</v>
      </c>
    </row>
    <row r="49" spans="1:12" ht="13.5" hidden="1">
      <c r="A49" s="375" t="s">
        <v>532</v>
      </c>
      <c r="B49" s="426">
        <v>38.6</v>
      </c>
      <c r="C49" s="679">
        <v>28.2</v>
      </c>
      <c r="D49" s="443">
        <v>18.725618158010242</v>
      </c>
      <c r="E49" s="465">
        <v>17.123469566620933</v>
      </c>
      <c r="F49" s="443">
        <v>16.100000000000001</v>
      </c>
      <c r="G49" s="465">
        <v>16.399382043922792</v>
      </c>
      <c r="H49" s="443">
        <v>16.2</v>
      </c>
      <c r="I49" s="465">
        <v>16.754613582542202</v>
      </c>
      <c r="J49" s="432">
        <v>16.540228776774555</v>
      </c>
      <c r="K49" s="432">
        <v>16.540228776774555</v>
      </c>
      <c r="L49" s="432">
        <v>16.540228776774555</v>
      </c>
    </row>
    <row r="50" spans="1:12" ht="13.5" hidden="1">
      <c r="A50" s="375" t="s">
        <v>533</v>
      </c>
      <c r="B50" s="426">
        <v>41.7</v>
      </c>
      <c r="C50" s="679">
        <v>34.799999999999997</v>
      </c>
      <c r="D50" s="443">
        <v>22.337469581686769</v>
      </c>
      <c r="E50" s="465">
        <v>19.991802992377895</v>
      </c>
      <c r="F50" s="443">
        <v>20.9</v>
      </c>
      <c r="G50" s="465">
        <v>20.101689286673555</v>
      </c>
      <c r="H50" s="443">
        <v>16.100000000000001</v>
      </c>
      <c r="I50" s="465">
        <v>17.536141501642629</v>
      </c>
      <c r="J50" s="432">
        <v>19.379623900678791</v>
      </c>
      <c r="K50" s="432">
        <v>19.379623900678791</v>
      </c>
      <c r="L50" s="432">
        <v>19.379623900678791</v>
      </c>
    </row>
    <row r="51" spans="1:12" ht="13.5" hidden="1">
      <c r="A51" s="375" t="s">
        <v>534</v>
      </c>
      <c r="B51" s="426">
        <v>12.4</v>
      </c>
      <c r="C51" s="679">
        <v>12.2</v>
      </c>
      <c r="D51" s="443">
        <v>7.5</v>
      </c>
      <c r="E51" s="465">
        <v>6.3</v>
      </c>
      <c r="F51" s="443">
        <v>4.9000000000000004</v>
      </c>
      <c r="G51" s="465">
        <v>5.3</v>
      </c>
      <c r="H51" s="443">
        <v>6.1</v>
      </c>
      <c r="I51" s="465" t="s">
        <v>609</v>
      </c>
      <c r="J51" s="432">
        <v>4.8829676031930989</v>
      </c>
      <c r="K51" s="432">
        <v>4.8829676031930989</v>
      </c>
      <c r="L51" s="432">
        <v>4.8829676031930989</v>
      </c>
    </row>
    <row r="52" spans="1:12" ht="13.5" hidden="1">
      <c r="A52" s="375" t="s">
        <v>535</v>
      </c>
      <c r="B52" s="426">
        <v>42.2</v>
      </c>
      <c r="C52" s="679">
        <v>41.4</v>
      </c>
      <c r="D52" s="443">
        <v>21.729504241251512</v>
      </c>
      <c r="E52" s="465">
        <v>18.877212086086214</v>
      </c>
      <c r="F52" s="443">
        <v>20</v>
      </c>
      <c r="G52" s="465">
        <v>20.214939861976859</v>
      </c>
      <c r="H52" s="443" t="s">
        <v>610</v>
      </c>
      <c r="I52" s="465">
        <v>18.083924553814455</v>
      </c>
      <c r="J52" s="432">
        <v>16.017804748548119</v>
      </c>
      <c r="K52" s="432">
        <v>16.017804748548119</v>
      </c>
      <c r="L52" s="432">
        <v>16.017804748548119</v>
      </c>
    </row>
    <row r="53" spans="1:12" ht="13.5" hidden="1">
      <c r="A53" s="375" t="s">
        <v>536</v>
      </c>
      <c r="B53" s="426">
        <v>46.6</v>
      </c>
      <c r="C53" s="679">
        <v>39.799999999999997</v>
      </c>
      <c r="D53" s="443">
        <v>23.884235426206661</v>
      </c>
      <c r="E53" s="465">
        <v>26.043992501768827</v>
      </c>
      <c r="F53" s="443">
        <v>26.6</v>
      </c>
      <c r="G53" s="465">
        <v>27.386271414620406</v>
      </c>
      <c r="H53" s="443" t="s">
        <v>611</v>
      </c>
      <c r="I53" s="465">
        <v>24.413811482043453</v>
      </c>
      <c r="J53" s="432">
        <v>20.942933326221201</v>
      </c>
      <c r="K53" s="432">
        <v>20.942933326221201</v>
      </c>
      <c r="L53" s="432">
        <v>20.942933326221201</v>
      </c>
    </row>
    <row r="54" spans="1:12" ht="13.5" hidden="1">
      <c r="A54" s="375" t="s">
        <v>537</v>
      </c>
      <c r="B54" s="426" t="s">
        <v>13</v>
      </c>
      <c r="C54" s="679" t="s">
        <v>13</v>
      </c>
      <c r="D54" s="443">
        <v>6.4771530659475136</v>
      </c>
      <c r="E54" s="465">
        <v>5.9</v>
      </c>
      <c r="F54" s="443">
        <v>5.2</v>
      </c>
      <c r="G54" s="465">
        <v>5.9982080781616052</v>
      </c>
      <c r="H54" s="443" t="s">
        <v>612</v>
      </c>
      <c r="I54" s="465">
        <v>5.6150229633088706</v>
      </c>
      <c r="J54" s="432">
        <v>4.3562538162049282</v>
      </c>
      <c r="K54" s="432">
        <v>4.3562538162049282</v>
      </c>
      <c r="L54" s="432">
        <v>4.3562538162049282</v>
      </c>
    </row>
    <row r="55" spans="1:12" ht="13.5" hidden="1">
      <c r="A55" s="366" t="s">
        <v>538</v>
      </c>
      <c r="B55" s="426">
        <v>36.9</v>
      </c>
      <c r="C55" s="679">
        <v>38.4</v>
      </c>
      <c r="D55" s="443">
        <v>16.687531623007583</v>
      </c>
      <c r="E55" s="465">
        <v>14.609634790428034</v>
      </c>
      <c r="F55" s="443">
        <v>13.4</v>
      </c>
      <c r="G55" s="465">
        <v>14.013802049567506</v>
      </c>
      <c r="H55" s="443" t="s">
        <v>613</v>
      </c>
      <c r="I55" s="465">
        <v>13.497342380570748</v>
      </c>
      <c r="J55" s="432">
        <v>12.726449199391562</v>
      </c>
      <c r="K55" s="432">
        <v>12.726449199391562</v>
      </c>
      <c r="L55" s="432">
        <v>12.726449199391562</v>
      </c>
    </row>
    <row r="56" spans="1:12" ht="13.5" hidden="1">
      <c r="A56" s="366" t="s">
        <v>539</v>
      </c>
      <c r="B56" s="426">
        <v>59.2</v>
      </c>
      <c r="C56" s="679">
        <v>53.6</v>
      </c>
      <c r="D56" s="443">
        <v>33.978974402803416</v>
      </c>
      <c r="E56" s="465">
        <v>33.399379419009165</v>
      </c>
      <c r="F56" s="443">
        <v>31.2</v>
      </c>
      <c r="G56" s="465">
        <v>31.98976930513998</v>
      </c>
      <c r="H56" s="443" t="s">
        <v>614</v>
      </c>
      <c r="I56" s="465">
        <v>31.532994497573075</v>
      </c>
      <c r="J56" s="432">
        <v>27.110066216667192</v>
      </c>
      <c r="K56" s="432">
        <v>27.110066216667192</v>
      </c>
      <c r="L56" s="432">
        <v>27.110066216667192</v>
      </c>
    </row>
    <row r="57" spans="1:12" ht="13.5" hidden="1">
      <c r="A57" s="366" t="s">
        <v>540</v>
      </c>
      <c r="B57" s="426">
        <v>49.4</v>
      </c>
      <c r="C57" s="679">
        <v>39.200000000000003</v>
      </c>
      <c r="D57" s="443">
        <v>24.1860167682614</v>
      </c>
      <c r="E57" s="465">
        <v>19.178692813302899</v>
      </c>
      <c r="F57" s="443">
        <v>19.600000000000001</v>
      </c>
      <c r="G57" s="465">
        <v>22.444670952735887</v>
      </c>
      <c r="H57" s="443" t="s">
        <v>615</v>
      </c>
      <c r="I57" s="465">
        <v>19.231187016046313</v>
      </c>
      <c r="J57" s="432">
        <v>17.847547219173055</v>
      </c>
      <c r="K57" s="432">
        <v>17.847547219173055</v>
      </c>
      <c r="L57" s="432">
        <v>17.847547219173055</v>
      </c>
    </row>
    <row r="58" spans="1:12" ht="13.5" hidden="1">
      <c r="A58" s="366" t="s">
        <v>541</v>
      </c>
      <c r="B58" s="426">
        <v>13</v>
      </c>
      <c r="C58" s="679">
        <v>10.3</v>
      </c>
      <c r="D58" s="443">
        <v>6.6793653211386665</v>
      </c>
      <c r="E58" s="465">
        <v>7.0607861985979472</v>
      </c>
      <c r="F58" s="443">
        <v>8.3000000000000007</v>
      </c>
      <c r="G58" s="465">
        <v>5</v>
      </c>
      <c r="H58" s="443" t="s">
        <v>616</v>
      </c>
      <c r="I58" s="465">
        <v>5.8682197419093498</v>
      </c>
      <c r="J58" s="432">
        <v>4.3715013142681984</v>
      </c>
      <c r="K58" s="432">
        <v>4.3715013142681984</v>
      </c>
      <c r="L58" s="432">
        <v>4.3715013142681984</v>
      </c>
    </row>
    <row r="59" spans="1:12" ht="13.5" hidden="1">
      <c r="A59" s="366" t="s">
        <v>542</v>
      </c>
      <c r="B59" s="426">
        <v>31.9</v>
      </c>
      <c r="C59" s="679">
        <v>33.700000000000003</v>
      </c>
      <c r="D59" s="443">
        <v>19.846255981981898</v>
      </c>
      <c r="E59" s="465">
        <v>20.52423215962072</v>
      </c>
      <c r="F59" s="443">
        <v>17.3</v>
      </c>
      <c r="G59" s="465">
        <v>19.224650516451867</v>
      </c>
      <c r="H59" s="443" t="s">
        <v>617</v>
      </c>
      <c r="I59" s="465">
        <v>17.465527519298931</v>
      </c>
      <c r="J59" s="432">
        <v>14.309811355231606</v>
      </c>
      <c r="K59" s="432">
        <v>14.309811355231606</v>
      </c>
      <c r="L59" s="432">
        <v>14.309811355231606</v>
      </c>
    </row>
    <row r="60" spans="1:12" ht="13.5" hidden="1">
      <c r="A60" s="366" t="s">
        <v>543</v>
      </c>
      <c r="B60" s="426">
        <v>31.2</v>
      </c>
      <c r="C60" s="679">
        <v>27.2</v>
      </c>
      <c r="D60" s="443">
        <v>15.935026312351111</v>
      </c>
      <c r="E60" s="465">
        <v>12.170386060094343</v>
      </c>
      <c r="F60" s="443">
        <v>15.6</v>
      </c>
      <c r="G60" s="465">
        <v>14.768859587009564</v>
      </c>
      <c r="H60" s="443" t="s">
        <v>618</v>
      </c>
      <c r="I60" s="465">
        <v>13.355671640755496</v>
      </c>
      <c r="J60" s="432">
        <v>14.873605061599699</v>
      </c>
      <c r="K60" s="432">
        <v>14.873605061599699</v>
      </c>
      <c r="L60" s="432">
        <v>14.873605061599699</v>
      </c>
    </row>
    <row r="61" spans="1:12" ht="13.5" hidden="1">
      <c r="A61" s="366" t="s">
        <v>544</v>
      </c>
      <c r="B61" s="426">
        <v>20.100000000000001</v>
      </c>
      <c r="C61" s="679">
        <v>18.2</v>
      </c>
      <c r="D61" s="443">
        <v>14.145602636107213</v>
      </c>
      <c r="E61" s="465">
        <v>11.8</v>
      </c>
      <c r="F61" s="443">
        <v>10.5</v>
      </c>
      <c r="G61" s="465">
        <v>9.3000000000000007</v>
      </c>
      <c r="H61" s="443" t="s">
        <v>619</v>
      </c>
      <c r="I61" s="465">
        <v>9.5066695318766818</v>
      </c>
      <c r="J61" s="432">
        <v>9.2485769075299817</v>
      </c>
      <c r="K61" s="432">
        <v>9.2485769075299817</v>
      </c>
      <c r="L61" s="432">
        <v>9.2485769075299817</v>
      </c>
    </row>
    <row r="62" spans="1:12" ht="13.5" hidden="1">
      <c r="A62" s="366" t="s">
        <v>561</v>
      </c>
      <c r="B62" s="426" t="s">
        <v>13</v>
      </c>
      <c r="C62" s="679" t="s">
        <v>13</v>
      </c>
      <c r="D62" s="443">
        <v>5.3136166254454897</v>
      </c>
      <c r="E62" s="465">
        <v>4.9372936016322724</v>
      </c>
      <c r="F62" s="443">
        <v>5.0999999999999996</v>
      </c>
      <c r="G62" s="465">
        <v>4.5172854871875359</v>
      </c>
      <c r="H62" s="443" t="s">
        <v>620</v>
      </c>
      <c r="I62" s="465">
        <v>4.6059428961155184</v>
      </c>
      <c r="J62" s="432">
        <v>3.4705493225452333</v>
      </c>
      <c r="K62" s="432">
        <v>3.4705493225452333</v>
      </c>
      <c r="L62" s="432">
        <v>3.4705493225452333</v>
      </c>
    </row>
    <row r="63" spans="1:12" ht="13.5" hidden="1">
      <c r="A63" s="366" t="s">
        <v>635</v>
      </c>
      <c r="B63" s="426" t="s">
        <v>13</v>
      </c>
      <c r="C63" s="679" t="s">
        <v>13</v>
      </c>
      <c r="D63" s="443">
        <v>9.6884231162771943</v>
      </c>
      <c r="E63" s="465">
        <v>5.8683791476660545</v>
      </c>
      <c r="F63" s="443">
        <v>9.6</v>
      </c>
      <c r="G63" s="465">
        <v>6.7477405864761222</v>
      </c>
      <c r="H63" s="443" t="s">
        <v>621</v>
      </c>
      <c r="I63" s="465">
        <v>8.5633447217373018</v>
      </c>
      <c r="J63" s="432">
        <v>6.2722039142541561</v>
      </c>
      <c r="K63" s="432">
        <v>6.2722039142541561</v>
      </c>
      <c r="L63" s="432">
        <v>6.2722039142541561</v>
      </c>
    </row>
    <row r="64" spans="1:12" ht="13.5" hidden="1">
      <c r="A64" s="366" t="s">
        <v>545</v>
      </c>
      <c r="B64" s="426">
        <v>32.299999999999997</v>
      </c>
      <c r="C64" s="679">
        <v>29.1</v>
      </c>
      <c r="D64" s="443">
        <v>23.200463367866071</v>
      </c>
      <c r="E64" s="465">
        <v>23.61863202468496</v>
      </c>
      <c r="F64" s="443">
        <v>23.8</v>
      </c>
      <c r="G64" s="465">
        <v>19.968684329550911</v>
      </c>
      <c r="H64" s="443" t="s">
        <v>622</v>
      </c>
      <c r="I64" s="465">
        <v>25.16513202659872</v>
      </c>
      <c r="J64" s="432">
        <v>23.59250322608737</v>
      </c>
      <c r="K64" s="432">
        <v>23.59250322608737</v>
      </c>
      <c r="L64" s="432">
        <v>23.59250322608737</v>
      </c>
    </row>
    <row r="65" spans="1:12" ht="13.5" hidden="1">
      <c r="A65" s="366" t="s">
        <v>546</v>
      </c>
      <c r="B65" s="426">
        <v>15.7</v>
      </c>
      <c r="C65" s="679">
        <v>12.5</v>
      </c>
      <c r="D65" s="443">
        <v>10.22665021581764</v>
      </c>
      <c r="E65" s="465">
        <v>8.3344078399559809</v>
      </c>
      <c r="F65" s="443">
        <v>7.3</v>
      </c>
      <c r="G65" s="465">
        <v>7</v>
      </c>
      <c r="H65" s="443" t="s">
        <v>623</v>
      </c>
      <c r="I65" s="465" t="s">
        <v>624</v>
      </c>
      <c r="J65" s="432">
        <v>6.2372953571865333</v>
      </c>
      <c r="K65" s="432">
        <v>6.2372953571865333</v>
      </c>
      <c r="L65" s="432">
        <v>6.2372953571865333</v>
      </c>
    </row>
    <row r="66" spans="1:12" ht="13.5" hidden="1">
      <c r="A66" s="366" t="s">
        <v>547</v>
      </c>
      <c r="B66" s="426">
        <v>9.5</v>
      </c>
      <c r="C66" s="679">
        <v>5.0999999999999996</v>
      </c>
      <c r="D66" s="443">
        <v>3.5</v>
      </c>
      <c r="E66" s="465">
        <v>4.5</v>
      </c>
      <c r="F66" s="443">
        <v>3.4</v>
      </c>
      <c r="G66" s="465">
        <v>2.2999999999999998</v>
      </c>
      <c r="H66" s="443" t="s">
        <v>625</v>
      </c>
      <c r="I66" s="465" t="s">
        <v>626</v>
      </c>
      <c r="J66" s="432">
        <v>2.8958513911940598</v>
      </c>
      <c r="K66" s="432">
        <v>2.8958513911940598</v>
      </c>
      <c r="L66" s="432">
        <v>2.8958513911940598</v>
      </c>
    </row>
    <row r="67" spans="1:12" ht="13.5" hidden="1">
      <c r="A67" s="366" t="s">
        <v>548</v>
      </c>
      <c r="B67" s="426">
        <v>39.5</v>
      </c>
      <c r="C67" s="679">
        <v>38.4</v>
      </c>
      <c r="D67" s="443">
        <v>22.41866041825153</v>
      </c>
      <c r="E67" s="465">
        <v>24.787598163527086</v>
      </c>
      <c r="F67" s="443">
        <v>22.8</v>
      </c>
      <c r="G67" s="465">
        <v>19.330318248049792</v>
      </c>
      <c r="H67" s="443" t="s">
        <v>627</v>
      </c>
      <c r="I67" s="465">
        <v>18.000638345840201</v>
      </c>
      <c r="J67" s="432">
        <v>16.715085745969738</v>
      </c>
      <c r="K67" s="432">
        <v>16.715085745969738</v>
      </c>
      <c r="L67" s="432">
        <v>16.715085745969738</v>
      </c>
    </row>
    <row r="68" spans="1:12" ht="13.5" hidden="1">
      <c r="A68" s="366" t="s">
        <v>549</v>
      </c>
      <c r="B68" s="426">
        <v>29.6</v>
      </c>
      <c r="C68" s="679">
        <v>23</v>
      </c>
      <c r="D68" s="443">
        <v>20.321009303539917</v>
      </c>
      <c r="E68" s="465">
        <v>15.3</v>
      </c>
      <c r="F68" s="443">
        <v>15.9</v>
      </c>
      <c r="G68" s="465">
        <v>13.136774871377426</v>
      </c>
      <c r="H68" s="443" t="s">
        <v>628</v>
      </c>
      <c r="I68" s="465">
        <v>12.985936359269736</v>
      </c>
      <c r="J68" s="432">
        <v>16.401666491174581</v>
      </c>
      <c r="K68" s="432">
        <v>16.401666491174581</v>
      </c>
      <c r="L68" s="432">
        <v>16.401666491174581</v>
      </c>
    </row>
    <row r="69" spans="1:12" ht="26.1" customHeight="1">
      <c r="A69" s="409" t="s">
        <v>15</v>
      </c>
      <c r="B69" s="427">
        <v>36.700000000000003</v>
      </c>
      <c r="C69" s="680">
        <v>27.3</v>
      </c>
      <c r="D69" s="443">
        <v>14.540209647804044</v>
      </c>
      <c r="E69" s="465">
        <v>16.390866880596715</v>
      </c>
      <c r="F69" s="443">
        <v>16.100000000000001</v>
      </c>
      <c r="G69" s="465">
        <v>14.964711481169038</v>
      </c>
      <c r="H69" s="443" t="s">
        <v>629</v>
      </c>
      <c r="I69" s="465">
        <v>14.233570972676549</v>
      </c>
      <c r="J69" s="432">
        <v>12.491070213197251</v>
      </c>
      <c r="K69" s="432">
        <v>11.192085569991736</v>
      </c>
      <c r="L69" s="432">
        <v>11.42545472506001</v>
      </c>
    </row>
    <row r="70" spans="1:12" ht="13.5" hidden="1">
      <c r="A70" s="366" t="s">
        <v>550</v>
      </c>
      <c r="B70" s="426">
        <v>25.1</v>
      </c>
      <c r="C70" s="679">
        <v>28.2</v>
      </c>
      <c r="D70" s="482">
        <v>16.313550544881515</v>
      </c>
      <c r="E70" s="690">
        <v>12.071738666798824</v>
      </c>
      <c r="F70" s="482">
        <v>12.1</v>
      </c>
      <c r="G70" s="690">
        <v>10.539147852339358</v>
      </c>
      <c r="H70" s="482" t="s">
        <v>630</v>
      </c>
      <c r="I70" s="690">
        <v>10.786866414152747</v>
      </c>
      <c r="J70" s="432">
        <v>11.656194666458376</v>
      </c>
      <c r="K70" s="432">
        <v>11.656194666458376</v>
      </c>
      <c r="L70" s="432">
        <v>11.656194666458376</v>
      </c>
    </row>
    <row r="71" spans="1:12" ht="13.5" hidden="1">
      <c r="A71" s="366" t="s">
        <v>551</v>
      </c>
      <c r="B71" s="426">
        <v>6.3</v>
      </c>
      <c r="C71" s="679">
        <v>2.1</v>
      </c>
      <c r="D71" s="482">
        <v>2.6</v>
      </c>
      <c r="E71" s="690">
        <v>2.2999999999999998</v>
      </c>
      <c r="F71" s="482">
        <v>3.2</v>
      </c>
      <c r="G71" s="690">
        <v>1.3</v>
      </c>
      <c r="H71" s="482" t="s">
        <v>631</v>
      </c>
      <c r="I71" s="690" t="s">
        <v>632</v>
      </c>
      <c r="J71" s="432">
        <v>1.5200984587184818</v>
      </c>
      <c r="K71" s="432">
        <v>1.5200984587184818</v>
      </c>
      <c r="L71" s="432">
        <v>1.5200984587184818</v>
      </c>
    </row>
    <row r="72" spans="1:12" ht="13.5" hidden="1">
      <c r="A72" s="366" t="s">
        <v>552</v>
      </c>
      <c r="B72" s="426">
        <v>12.2</v>
      </c>
      <c r="C72" s="679">
        <v>13.5</v>
      </c>
      <c r="D72" s="482">
        <v>9.1137913605696816</v>
      </c>
      <c r="E72" s="690">
        <v>7.3520634124962019</v>
      </c>
      <c r="F72" s="482">
        <v>8.1999999999999993</v>
      </c>
      <c r="G72" s="690">
        <v>8.0821416336678809</v>
      </c>
      <c r="H72" s="482" t="s">
        <v>633</v>
      </c>
      <c r="I72" s="690">
        <v>7.2949358998618123</v>
      </c>
      <c r="J72" s="432">
        <v>7.7073308721069012</v>
      </c>
      <c r="K72" s="432">
        <v>7.7073308721069012</v>
      </c>
      <c r="L72" s="432">
        <v>7.7073308721069012</v>
      </c>
    </row>
    <row r="73" spans="1:12" ht="13.5" hidden="1">
      <c r="A73" s="366" t="s">
        <v>553</v>
      </c>
      <c r="B73" s="426">
        <v>30.5</v>
      </c>
      <c r="C73" s="679">
        <v>29.9</v>
      </c>
      <c r="D73" s="482">
        <v>24.002733966409938</v>
      </c>
      <c r="E73" s="690">
        <v>24.834365099337035</v>
      </c>
      <c r="F73" s="482">
        <v>19.399999999999999</v>
      </c>
      <c r="G73" s="690">
        <v>17.76692583926442</v>
      </c>
      <c r="H73" s="482" t="s">
        <v>634</v>
      </c>
      <c r="I73" s="690">
        <v>17.371534618352182</v>
      </c>
      <c r="J73" s="432">
        <v>17.541049234459447</v>
      </c>
      <c r="K73" s="432">
        <v>17.541049234459447</v>
      </c>
      <c r="L73" s="432">
        <v>17.541049234459447</v>
      </c>
    </row>
    <row r="74" spans="1:12" ht="5.0999999999999996" customHeight="1">
      <c r="A74" s="367"/>
      <c r="B74" s="377"/>
      <c r="C74" s="681"/>
      <c r="D74" s="483"/>
      <c r="E74" s="691"/>
      <c r="F74" s="483"/>
      <c r="G74" s="691"/>
      <c r="H74" s="483"/>
      <c r="I74" s="691"/>
      <c r="J74" s="483"/>
      <c r="K74" s="691"/>
      <c r="L74" s="483"/>
    </row>
    <row r="75" spans="1:12" ht="50.25" customHeight="1">
      <c r="A75" s="769" t="s">
        <v>821</v>
      </c>
      <c r="B75" s="769"/>
      <c r="C75" s="769"/>
      <c r="D75" s="769"/>
      <c r="E75" s="769"/>
      <c r="F75" s="769"/>
      <c r="G75" s="769"/>
      <c r="H75" s="769"/>
      <c r="I75" s="769"/>
      <c r="J75" s="769"/>
      <c r="K75" s="769"/>
      <c r="L75" s="769"/>
    </row>
    <row r="76" spans="1:12" hidden="1">
      <c r="A76" s="336" t="s">
        <v>554</v>
      </c>
      <c r="B76" s="320"/>
      <c r="C76" s="676"/>
    </row>
    <row r="77" spans="1:12" hidden="1">
      <c r="A77" s="336" t="s">
        <v>555</v>
      </c>
      <c r="B77" s="320"/>
      <c r="C77" s="676"/>
    </row>
    <row r="78" spans="1:12">
      <c r="A78" s="325" t="s">
        <v>556</v>
      </c>
      <c r="B78" s="337"/>
      <c r="C78" s="682"/>
    </row>
    <row r="89" spans="1:16">
      <c r="A89" s="695"/>
      <c r="B89" s="695"/>
      <c r="C89" s="696"/>
      <c r="D89" s="697"/>
      <c r="E89" s="698"/>
      <c r="F89" s="697"/>
      <c r="G89" s="698"/>
      <c r="H89" s="697"/>
      <c r="I89" s="698"/>
      <c r="J89" s="697"/>
      <c r="K89" s="696"/>
      <c r="L89" s="695"/>
      <c r="M89" s="695"/>
      <c r="N89" s="695"/>
      <c r="O89" s="695"/>
      <c r="P89" s="695"/>
    </row>
    <row r="90" spans="1:16">
      <c r="A90" s="695"/>
      <c r="B90" s="695"/>
      <c r="C90" s="696"/>
      <c r="D90" s="697"/>
      <c r="E90" s="698"/>
      <c r="F90" s="697"/>
      <c r="G90" s="698"/>
      <c r="H90" s="697"/>
      <c r="I90" s="698"/>
      <c r="J90" s="697"/>
      <c r="K90" s="696"/>
      <c r="L90" s="695"/>
      <c r="M90" s="695"/>
      <c r="N90" s="695"/>
      <c r="O90" s="695"/>
      <c r="P90" s="695"/>
    </row>
    <row r="91" spans="1:16">
      <c r="A91" s="695"/>
      <c r="B91" s="695"/>
      <c r="C91" s="696"/>
      <c r="D91" s="697"/>
      <c r="E91" s="698"/>
      <c r="F91" s="697"/>
      <c r="G91" s="698"/>
      <c r="H91" s="697"/>
      <c r="I91" s="698"/>
      <c r="J91" s="697"/>
      <c r="K91" s="696"/>
      <c r="L91" s="695"/>
      <c r="M91" s="695"/>
      <c r="N91" s="695"/>
      <c r="O91" s="695"/>
      <c r="P91" s="695"/>
    </row>
    <row r="92" spans="1:16">
      <c r="A92" s="695"/>
      <c r="B92" s="695"/>
      <c r="C92" s="696"/>
      <c r="D92" s="697"/>
      <c r="E92" s="698"/>
      <c r="F92" s="697"/>
      <c r="G92" s="698"/>
      <c r="H92" s="697"/>
      <c r="I92" s="698"/>
      <c r="J92" s="697"/>
      <c r="K92" s="696"/>
      <c r="L92" s="695"/>
      <c r="M92" s="695"/>
      <c r="N92" s="695"/>
      <c r="O92" s="695"/>
      <c r="P92" s="695"/>
    </row>
    <row r="93" spans="1:16">
      <c r="A93" s="695"/>
      <c r="B93" s="695"/>
      <c r="C93" s="696"/>
      <c r="D93" s="697"/>
      <c r="E93" s="698"/>
      <c r="F93" s="697"/>
      <c r="G93" s="698"/>
      <c r="H93" s="697"/>
      <c r="I93" s="698"/>
      <c r="J93" s="697"/>
      <c r="K93" s="696"/>
      <c r="L93" s="695"/>
      <c r="M93" s="695"/>
      <c r="N93" s="695"/>
      <c r="O93" s="695"/>
      <c r="P93" s="695"/>
    </row>
    <row r="94" spans="1:16">
      <c r="A94" s="695"/>
      <c r="B94" s="695"/>
      <c r="C94" s="696"/>
      <c r="D94" s="697"/>
      <c r="E94" s="698"/>
      <c r="F94" s="697"/>
      <c r="G94" s="698"/>
      <c r="H94" s="697"/>
      <c r="I94" s="698"/>
      <c r="J94" s="697"/>
      <c r="K94" s="696"/>
      <c r="L94" s="695"/>
      <c r="M94" s="695"/>
      <c r="N94" s="695"/>
      <c r="O94" s="695"/>
      <c r="P94" s="695"/>
    </row>
    <row r="95" spans="1:16">
      <c r="A95" s="695"/>
      <c r="B95" s="695"/>
      <c r="C95" s="696"/>
      <c r="D95" s="697"/>
      <c r="E95" s="698"/>
      <c r="F95" s="697"/>
      <c r="G95" s="698"/>
      <c r="H95" s="697"/>
      <c r="I95" s="698"/>
      <c r="J95" s="697"/>
      <c r="K95" s="696"/>
      <c r="L95" s="695"/>
      <c r="M95" s="695"/>
      <c r="N95" s="695"/>
      <c r="O95" s="695"/>
      <c r="P95" s="695"/>
    </row>
    <row r="96" spans="1:16">
      <c r="A96" s="695"/>
      <c r="B96" s="695"/>
      <c r="C96" s="696"/>
      <c r="D96" s="697"/>
      <c r="E96" s="698"/>
      <c r="F96" s="697"/>
      <c r="G96" s="698"/>
      <c r="H96" s="697"/>
      <c r="I96" s="698"/>
      <c r="J96" s="697"/>
      <c r="K96" s="696"/>
      <c r="L96" s="695"/>
      <c r="M96" s="695"/>
      <c r="N96" s="695"/>
      <c r="O96" s="695"/>
      <c r="P96" s="695"/>
    </row>
    <row r="97" spans="1:16">
      <c r="A97" s="695"/>
      <c r="B97" s="695"/>
      <c r="C97" s="696"/>
      <c r="D97" s="697"/>
      <c r="E97" s="698"/>
      <c r="F97" s="697"/>
      <c r="G97" s="698"/>
      <c r="H97" s="697"/>
      <c r="I97" s="698"/>
      <c r="J97" s="697"/>
      <c r="K97" s="696"/>
      <c r="L97" s="695"/>
      <c r="M97" s="695"/>
      <c r="N97" s="695"/>
      <c r="O97" s="695"/>
      <c r="P97" s="695"/>
    </row>
    <row r="98" spans="1:16">
      <c r="A98" s="695"/>
      <c r="B98" s="695"/>
      <c r="C98" s="696"/>
      <c r="D98" s="697"/>
      <c r="E98" s="698"/>
      <c r="F98" s="697"/>
      <c r="G98" s="698"/>
      <c r="H98" s="697"/>
      <c r="I98" s="698"/>
      <c r="J98" s="697"/>
      <c r="K98" s="696"/>
      <c r="L98" s="695"/>
      <c r="M98" s="695"/>
      <c r="N98" s="695"/>
      <c r="O98" s="695"/>
      <c r="P98" s="695"/>
    </row>
    <row r="99" spans="1:16">
      <c r="A99" s="695" t="s">
        <v>830</v>
      </c>
      <c r="B99" s="695"/>
      <c r="C99" s="696"/>
      <c r="D99" s="697"/>
      <c r="E99" s="698"/>
      <c r="F99" s="697"/>
      <c r="G99" s="698"/>
      <c r="H99" s="697"/>
      <c r="I99" s="698"/>
      <c r="J99" s="697"/>
      <c r="K99" s="696"/>
      <c r="L99" s="695"/>
      <c r="M99" s="695"/>
      <c r="N99" s="695"/>
      <c r="O99" s="695"/>
      <c r="P99" s="695"/>
    </row>
    <row r="100" spans="1:16">
      <c r="A100" s="695" t="s">
        <v>831</v>
      </c>
      <c r="B100" s="695"/>
      <c r="C100" s="696"/>
      <c r="D100" s="697"/>
      <c r="E100" s="698"/>
      <c r="F100" s="697"/>
      <c r="G100" s="698"/>
      <c r="H100" s="697"/>
      <c r="I100" s="698"/>
      <c r="J100" s="697"/>
      <c r="K100" s="696"/>
      <c r="L100" s="695"/>
      <c r="M100" s="695"/>
      <c r="N100" s="695"/>
      <c r="O100" s="695"/>
      <c r="P100" s="695"/>
    </row>
    <row r="101" spans="1:16" ht="5.0999999999999996" customHeight="1">
      <c r="A101" s="695"/>
      <c r="B101" s="695"/>
      <c r="C101" s="696"/>
      <c r="D101" s="697"/>
      <c r="E101" s="698"/>
      <c r="F101" s="697"/>
      <c r="G101" s="698"/>
      <c r="H101" s="697"/>
      <c r="I101" s="698"/>
      <c r="J101" s="697"/>
      <c r="K101" s="696"/>
      <c r="L101" s="695"/>
      <c r="M101" s="695"/>
      <c r="N101" s="695"/>
      <c r="O101" s="695"/>
      <c r="P101" s="695"/>
    </row>
    <row r="102" spans="1:16">
      <c r="A102" s="699"/>
      <c r="B102" s="695"/>
      <c r="C102" s="696"/>
      <c r="D102" s="697"/>
      <c r="E102" s="698"/>
      <c r="F102" s="697"/>
      <c r="G102" s="698"/>
      <c r="H102" s="697"/>
      <c r="I102" s="698"/>
      <c r="J102" s="697"/>
      <c r="K102" s="696"/>
      <c r="L102" s="695"/>
      <c r="M102" s="695"/>
      <c r="N102" s="695"/>
      <c r="O102" s="695"/>
      <c r="P102" s="695"/>
    </row>
    <row r="103" spans="1:16">
      <c r="A103" s="699"/>
      <c r="B103" s="695"/>
      <c r="C103" s="696"/>
      <c r="D103" s="697"/>
      <c r="E103" s="698"/>
      <c r="F103" s="697"/>
      <c r="G103" s="698"/>
      <c r="H103" s="697"/>
      <c r="I103" s="698"/>
      <c r="J103" s="697"/>
      <c r="K103" s="696"/>
      <c r="L103" s="695"/>
      <c r="M103" s="695"/>
      <c r="N103" s="695"/>
      <c r="O103" s="695"/>
      <c r="P103" s="695"/>
    </row>
    <row r="104" spans="1:16">
      <c r="A104" s="699"/>
      <c r="B104" s="695"/>
      <c r="C104" s="696"/>
      <c r="D104" s="697"/>
      <c r="E104" s="698"/>
      <c r="F104" s="697"/>
      <c r="G104" s="698"/>
      <c r="H104" s="697"/>
      <c r="I104" s="698"/>
      <c r="J104" s="697"/>
      <c r="K104" s="696"/>
      <c r="L104" s="695"/>
      <c r="M104" s="695"/>
      <c r="N104" s="695"/>
      <c r="O104" s="695"/>
      <c r="P104" s="695"/>
    </row>
    <row r="105" spans="1:16" ht="9.75" customHeight="1">
      <c r="A105" s="699"/>
      <c r="B105" s="695"/>
      <c r="C105" s="696"/>
      <c r="D105" s="697"/>
      <c r="E105" s="698"/>
      <c r="F105" s="697"/>
      <c r="G105" s="698"/>
      <c r="H105" s="697"/>
      <c r="I105" s="698"/>
      <c r="J105" s="697"/>
      <c r="K105" s="696"/>
      <c r="L105" s="695"/>
      <c r="M105" s="695"/>
      <c r="N105" s="695"/>
      <c r="O105" s="695"/>
      <c r="P105" s="695"/>
    </row>
    <row r="106" spans="1:16">
      <c r="A106" s="695"/>
      <c r="B106" s="695"/>
      <c r="C106" s="696"/>
      <c r="D106" s="697"/>
      <c r="E106" s="698"/>
      <c r="F106" s="697"/>
      <c r="G106" s="698"/>
      <c r="H106" s="697"/>
      <c r="I106" s="698"/>
      <c r="J106" s="697"/>
      <c r="K106" s="696"/>
      <c r="L106" s="695"/>
      <c r="M106" s="695"/>
      <c r="N106" s="695"/>
      <c r="O106" s="695"/>
      <c r="P106" s="695"/>
    </row>
    <row r="107" spans="1:16">
      <c r="A107" s="695"/>
      <c r="B107" s="695"/>
      <c r="C107" s="696"/>
      <c r="D107" s="697"/>
      <c r="E107" s="698"/>
      <c r="F107" s="697"/>
      <c r="G107" s="698"/>
      <c r="H107" s="697"/>
      <c r="I107" s="698"/>
      <c r="J107" s="697"/>
      <c r="K107" s="696"/>
      <c r="L107" s="695"/>
      <c r="M107" s="695"/>
      <c r="N107" s="695"/>
      <c r="O107" s="695"/>
      <c r="P107" s="695"/>
    </row>
    <row r="209" spans="1:1" ht="51">
      <c r="A209" s="648" t="s">
        <v>829</v>
      </c>
    </row>
    <row r="210" spans="1:1" ht="10.5" customHeight="1"/>
    <row r="211" spans="1:1" ht="10.5" customHeight="1"/>
    <row r="212" spans="1:1" ht="10.5" customHeight="1"/>
    <row r="213" spans="1:1" ht="10.5" customHeight="1"/>
    <row r="214" spans="1:1" ht="10.5" customHeight="1"/>
    <row r="215" spans="1:1" ht="10.5" customHeight="1"/>
    <row r="216" spans="1:1" ht="10.5" customHeight="1"/>
    <row r="217" spans="1:1" ht="10.5" customHeight="1"/>
    <row r="218" spans="1:1" ht="10.5" customHeight="1"/>
    <row r="219" spans="1:1" ht="10.5" customHeight="1"/>
    <row r="220" spans="1:1" ht="10.5" customHeight="1"/>
    <row r="223" spans="1:1" ht="51">
      <c r="A223" s="648" t="s">
        <v>829</v>
      </c>
    </row>
    <row r="224" spans="1:1" ht="10.5" customHeight="1"/>
    <row r="225" spans="1:1" ht="10.5" customHeight="1"/>
    <row r="226" spans="1:1" ht="10.5" customHeight="1"/>
    <row r="227" spans="1:1" ht="10.5" customHeight="1"/>
    <row r="228" spans="1:1" ht="10.5" customHeight="1"/>
    <row r="229" spans="1:1" ht="10.5" customHeight="1"/>
    <row r="230" spans="1:1" ht="10.5" customHeight="1"/>
    <row r="231" spans="1:1" ht="10.5" customHeight="1"/>
    <row r="232" spans="1:1" ht="10.5" customHeight="1"/>
    <row r="233" spans="1:1" ht="10.5" customHeight="1"/>
    <row r="234" spans="1:1" ht="10.5" customHeight="1"/>
    <row r="237" spans="1:1" ht="51">
      <c r="A237" s="648" t="s">
        <v>829</v>
      </c>
    </row>
    <row r="238" spans="1:1" ht="10.5" customHeight="1"/>
    <row r="239" spans="1:1" ht="10.5" customHeight="1"/>
    <row r="240" spans="1:1" ht="10.5" customHeight="1"/>
    <row r="241" spans="1:1" ht="10.5" customHeight="1"/>
    <row r="242" spans="1:1" ht="10.5" customHeight="1"/>
    <row r="243" spans="1:1" ht="10.5" customHeight="1"/>
    <row r="244" spans="1:1" ht="10.5" customHeight="1"/>
    <row r="245" spans="1:1" ht="10.5" customHeight="1"/>
    <row r="246" spans="1:1" ht="10.5" customHeight="1"/>
    <row r="247" spans="1:1" ht="10.5" customHeight="1"/>
    <row r="248" spans="1:1" ht="10.5" customHeight="1"/>
    <row r="249" spans="1:1" ht="5.0999999999999996" customHeight="1"/>
    <row r="251" spans="1:1" ht="51">
      <c r="A251" s="648" t="s">
        <v>829</v>
      </c>
    </row>
    <row r="252" spans="1:1" ht="10.5" customHeight="1"/>
    <row r="253" spans="1:1" ht="10.5" customHeight="1"/>
    <row r="254" spans="1:1" ht="10.5" customHeight="1"/>
    <row r="255" spans="1:1" ht="10.5" customHeight="1"/>
    <row r="256" spans="1:1" ht="10.5" customHeight="1"/>
    <row r="257" ht="10.5" customHeight="1"/>
    <row r="258" ht="10.5" customHeight="1"/>
    <row r="259" ht="10.5" customHeight="1"/>
    <row r="260" ht="10.5" customHeight="1"/>
    <row r="261" ht="10.5" customHeight="1"/>
    <row r="262" ht="10.5" customHeight="1"/>
  </sheetData>
  <mergeCells count="3">
    <mergeCell ref="A35:J35"/>
    <mergeCell ref="A75:L75"/>
    <mergeCell ref="A41:L41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  <ignoredErrors>
    <ignoredError sqref="H7:I33 H47:H69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zoomScaleNormal="100" zoomScaleSheetLayoutView="100" workbookViewId="0">
      <selection sqref="A1:J1"/>
    </sheetView>
  </sheetViews>
  <sheetFormatPr baseColWidth="10" defaultRowHeight="12.75"/>
  <cols>
    <col min="1" max="1" width="18" style="338" customWidth="1"/>
    <col min="2" max="3" width="8.7109375" style="484" hidden="1" customWidth="1"/>
    <col min="4" max="8" width="9.28515625" style="484" customWidth="1"/>
    <col min="9" max="10" width="9.28515625" style="338" customWidth="1"/>
    <col min="11" max="253" width="11.42578125" style="338"/>
    <col min="254" max="254" width="18.140625" style="338" customWidth="1"/>
    <col min="255" max="258" width="14.140625" style="338" customWidth="1"/>
    <col min="259" max="509" width="11.42578125" style="338"/>
    <col min="510" max="510" width="18.140625" style="338" customWidth="1"/>
    <col min="511" max="514" width="14.140625" style="338" customWidth="1"/>
    <col min="515" max="765" width="11.42578125" style="338"/>
    <col min="766" max="766" width="18.140625" style="338" customWidth="1"/>
    <col min="767" max="770" width="14.140625" style="338" customWidth="1"/>
    <col min="771" max="1021" width="11.42578125" style="338"/>
    <col min="1022" max="1022" width="18.140625" style="338" customWidth="1"/>
    <col min="1023" max="1026" width="14.140625" style="338" customWidth="1"/>
    <col min="1027" max="1277" width="11.42578125" style="338"/>
    <col min="1278" max="1278" width="18.140625" style="338" customWidth="1"/>
    <col min="1279" max="1282" width="14.140625" style="338" customWidth="1"/>
    <col min="1283" max="1533" width="11.42578125" style="338"/>
    <col min="1534" max="1534" width="18.140625" style="338" customWidth="1"/>
    <col min="1535" max="1538" width="14.140625" style="338" customWidth="1"/>
    <col min="1539" max="1789" width="11.42578125" style="338"/>
    <col min="1790" max="1790" width="18.140625" style="338" customWidth="1"/>
    <col min="1791" max="1794" width="14.140625" style="338" customWidth="1"/>
    <col min="1795" max="2045" width="11.42578125" style="338"/>
    <col min="2046" max="2046" width="18.140625" style="338" customWidth="1"/>
    <col min="2047" max="2050" width="14.140625" style="338" customWidth="1"/>
    <col min="2051" max="2301" width="11.42578125" style="338"/>
    <col min="2302" max="2302" width="18.140625" style="338" customWidth="1"/>
    <col min="2303" max="2306" width="14.140625" style="338" customWidth="1"/>
    <col min="2307" max="2557" width="11.42578125" style="338"/>
    <col min="2558" max="2558" width="18.140625" style="338" customWidth="1"/>
    <col min="2559" max="2562" width="14.140625" style="338" customWidth="1"/>
    <col min="2563" max="2813" width="11.42578125" style="338"/>
    <col min="2814" max="2814" width="18.140625" style="338" customWidth="1"/>
    <col min="2815" max="2818" width="14.140625" style="338" customWidth="1"/>
    <col min="2819" max="3069" width="11.42578125" style="338"/>
    <col min="3070" max="3070" width="18.140625" style="338" customWidth="1"/>
    <col min="3071" max="3074" width="14.140625" style="338" customWidth="1"/>
    <col min="3075" max="3325" width="11.42578125" style="338"/>
    <col min="3326" max="3326" width="18.140625" style="338" customWidth="1"/>
    <col min="3327" max="3330" width="14.140625" style="338" customWidth="1"/>
    <col min="3331" max="3581" width="11.42578125" style="338"/>
    <col min="3582" max="3582" width="18.140625" style="338" customWidth="1"/>
    <col min="3583" max="3586" width="14.140625" style="338" customWidth="1"/>
    <col min="3587" max="3837" width="11.42578125" style="338"/>
    <col min="3838" max="3838" width="18.140625" style="338" customWidth="1"/>
    <col min="3839" max="3842" width="14.140625" style="338" customWidth="1"/>
    <col min="3843" max="4093" width="11.42578125" style="338"/>
    <col min="4094" max="4094" width="18.140625" style="338" customWidth="1"/>
    <col min="4095" max="4098" width="14.140625" style="338" customWidth="1"/>
    <col min="4099" max="4349" width="11.42578125" style="338"/>
    <col min="4350" max="4350" width="18.140625" style="338" customWidth="1"/>
    <col min="4351" max="4354" width="14.140625" style="338" customWidth="1"/>
    <col min="4355" max="4605" width="11.42578125" style="338"/>
    <col min="4606" max="4606" width="18.140625" style="338" customWidth="1"/>
    <col min="4607" max="4610" width="14.140625" style="338" customWidth="1"/>
    <col min="4611" max="4861" width="11.42578125" style="338"/>
    <col min="4862" max="4862" width="18.140625" style="338" customWidth="1"/>
    <col min="4863" max="4866" width="14.140625" style="338" customWidth="1"/>
    <col min="4867" max="5117" width="11.42578125" style="338"/>
    <col min="5118" max="5118" width="18.140625" style="338" customWidth="1"/>
    <col min="5119" max="5122" width="14.140625" style="338" customWidth="1"/>
    <col min="5123" max="5373" width="11.42578125" style="338"/>
    <col min="5374" max="5374" width="18.140625" style="338" customWidth="1"/>
    <col min="5375" max="5378" width="14.140625" style="338" customWidth="1"/>
    <col min="5379" max="5629" width="11.42578125" style="338"/>
    <col min="5630" max="5630" width="18.140625" style="338" customWidth="1"/>
    <col min="5631" max="5634" width="14.140625" style="338" customWidth="1"/>
    <col min="5635" max="5885" width="11.42578125" style="338"/>
    <col min="5886" max="5886" width="18.140625" style="338" customWidth="1"/>
    <col min="5887" max="5890" width="14.140625" style="338" customWidth="1"/>
    <col min="5891" max="6141" width="11.42578125" style="338"/>
    <col min="6142" max="6142" width="18.140625" style="338" customWidth="1"/>
    <col min="6143" max="6146" width="14.140625" style="338" customWidth="1"/>
    <col min="6147" max="6397" width="11.42578125" style="338"/>
    <col min="6398" max="6398" width="18.140625" style="338" customWidth="1"/>
    <col min="6399" max="6402" width="14.140625" style="338" customWidth="1"/>
    <col min="6403" max="6653" width="11.42578125" style="338"/>
    <col min="6654" max="6654" width="18.140625" style="338" customWidth="1"/>
    <col min="6655" max="6658" width="14.140625" style="338" customWidth="1"/>
    <col min="6659" max="6909" width="11.42578125" style="338"/>
    <col min="6910" max="6910" width="18.140625" style="338" customWidth="1"/>
    <col min="6911" max="6914" width="14.140625" style="338" customWidth="1"/>
    <col min="6915" max="7165" width="11.42578125" style="338"/>
    <col min="7166" max="7166" width="18.140625" style="338" customWidth="1"/>
    <col min="7167" max="7170" width="14.140625" style="338" customWidth="1"/>
    <col min="7171" max="7421" width="11.42578125" style="338"/>
    <col min="7422" max="7422" width="18.140625" style="338" customWidth="1"/>
    <col min="7423" max="7426" width="14.140625" style="338" customWidth="1"/>
    <col min="7427" max="7677" width="11.42578125" style="338"/>
    <col min="7678" max="7678" width="18.140625" style="338" customWidth="1"/>
    <col min="7679" max="7682" width="14.140625" style="338" customWidth="1"/>
    <col min="7683" max="7933" width="11.42578125" style="338"/>
    <col min="7934" max="7934" width="18.140625" style="338" customWidth="1"/>
    <col min="7935" max="7938" width="14.140625" style="338" customWidth="1"/>
    <col min="7939" max="8189" width="11.42578125" style="338"/>
    <col min="8190" max="8190" width="18.140625" style="338" customWidth="1"/>
    <col min="8191" max="8194" width="14.140625" style="338" customWidth="1"/>
    <col min="8195" max="8445" width="11.42578125" style="338"/>
    <col min="8446" max="8446" width="18.140625" style="338" customWidth="1"/>
    <col min="8447" max="8450" width="14.140625" style="338" customWidth="1"/>
    <col min="8451" max="8701" width="11.42578125" style="338"/>
    <col min="8702" max="8702" width="18.140625" style="338" customWidth="1"/>
    <col min="8703" max="8706" width="14.140625" style="338" customWidth="1"/>
    <col min="8707" max="8957" width="11.42578125" style="338"/>
    <col min="8958" max="8958" width="18.140625" style="338" customWidth="1"/>
    <col min="8959" max="8962" width="14.140625" style="338" customWidth="1"/>
    <col min="8963" max="9213" width="11.42578125" style="338"/>
    <col min="9214" max="9214" width="18.140625" style="338" customWidth="1"/>
    <col min="9215" max="9218" width="14.140625" style="338" customWidth="1"/>
    <col min="9219" max="9469" width="11.42578125" style="338"/>
    <col min="9470" max="9470" width="18.140625" style="338" customWidth="1"/>
    <col min="9471" max="9474" width="14.140625" style="338" customWidth="1"/>
    <col min="9475" max="9725" width="11.42578125" style="338"/>
    <col min="9726" max="9726" width="18.140625" style="338" customWidth="1"/>
    <col min="9727" max="9730" width="14.140625" style="338" customWidth="1"/>
    <col min="9731" max="9981" width="11.42578125" style="338"/>
    <col min="9982" max="9982" width="18.140625" style="338" customWidth="1"/>
    <col min="9983" max="9986" width="14.140625" style="338" customWidth="1"/>
    <col min="9987" max="10237" width="11.42578125" style="338"/>
    <col min="10238" max="10238" width="18.140625" style="338" customWidth="1"/>
    <col min="10239" max="10242" width="14.140625" style="338" customWidth="1"/>
    <col min="10243" max="10493" width="11.42578125" style="338"/>
    <col min="10494" max="10494" width="18.140625" style="338" customWidth="1"/>
    <col min="10495" max="10498" width="14.140625" style="338" customWidth="1"/>
    <col min="10499" max="10749" width="11.42578125" style="338"/>
    <col min="10750" max="10750" width="18.140625" style="338" customWidth="1"/>
    <col min="10751" max="10754" width="14.140625" style="338" customWidth="1"/>
    <col min="10755" max="11005" width="11.42578125" style="338"/>
    <col min="11006" max="11006" width="18.140625" style="338" customWidth="1"/>
    <col min="11007" max="11010" width="14.140625" style="338" customWidth="1"/>
    <col min="11011" max="11261" width="11.42578125" style="338"/>
    <col min="11262" max="11262" width="18.140625" style="338" customWidth="1"/>
    <col min="11263" max="11266" width="14.140625" style="338" customWidth="1"/>
    <col min="11267" max="11517" width="11.42578125" style="338"/>
    <col min="11518" max="11518" width="18.140625" style="338" customWidth="1"/>
    <col min="11519" max="11522" width="14.140625" style="338" customWidth="1"/>
    <col min="11523" max="11773" width="11.42578125" style="338"/>
    <col min="11774" max="11774" width="18.140625" style="338" customWidth="1"/>
    <col min="11775" max="11778" width="14.140625" style="338" customWidth="1"/>
    <col min="11779" max="12029" width="11.42578125" style="338"/>
    <col min="12030" max="12030" width="18.140625" style="338" customWidth="1"/>
    <col min="12031" max="12034" width="14.140625" style="338" customWidth="1"/>
    <col min="12035" max="12285" width="11.42578125" style="338"/>
    <col min="12286" max="12286" width="18.140625" style="338" customWidth="1"/>
    <col min="12287" max="12290" width="14.140625" style="338" customWidth="1"/>
    <col min="12291" max="12541" width="11.42578125" style="338"/>
    <col min="12542" max="12542" width="18.140625" style="338" customWidth="1"/>
    <col min="12543" max="12546" width="14.140625" style="338" customWidth="1"/>
    <col min="12547" max="12797" width="11.42578125" style="338"/>
    <col min="12798" max="12798" width="18.140625" style="338" customWidth="1"/>
    <col min="12799" max="12802" width="14.140625" style="338" customWidth="1"/>
    <col min="12803" max="13053" width="11.42578125" style="338"/>
    <col min="13054" max="13054" width="18.140625" style="338" customWidth="1"/>
    <col min="13055" max="13058" width="14.140625" style="338" customWidth="1"/>
    <col min="13059" max="13309" width="11.42578125" style="338"/>
    <col min="13310" max="13310" width="18.140625" style="338" customWidth="1"/>
    <col min="13311" max="13314" width="14.140625" style="338" customWidth="1"/>
    <col min="13315" max="13565" width="11.42578125" style="338"/>
    <col min="13566" max="13566" width="18.140625" style="338" customWidth="1"/>
    <col min="13567" max="13570" width="14.140625" style="338" customWidth="1"/>
    <col min="13571" max="13821" width="11.42578125" style="338"/>
    <col min="13822" max="13822" width="18.140625" style="338" customWidth="1"/>
    <col min="13823" max="13826" width="14.140625" style="338" customWidth="1"/>
    <col min="13827" max="14077" width="11.42578125" style="338"/>
    <col min="14078" max="14078" width="18.140625" style="338" customWidth="1"/>
    <col min="14079" max="14082" width="14.140625" style="338" customWidth="1"/>
    <col min="14083" max="14333" width="11.42578125" style="338"/>
    <col min="14334" max="14334" width="18.140625" style="338" customWidth="1"/>
    <col min="14335" max="14338" width="14.140625" style="338" customWidth="1"/>
    <col min="14339" max="14589" width="11.42578125" style="338"/>
    <col min="14590" max="14590" width="18.140625" style="338" customWidth="1"/>
    <col min="14591" max="14594" width="14.140625" style="338" customWidth="1"/>
    <col min="14595" max="14845" width="11.42578125" style="338"/>
    <col min="14846" max="14846" width="18.140625" style="338" customWidth="1"/>
    <col min="14847" max="14850" width="14.140625" style="338" customWidth="1"/>
    <col min="14851" max="15101" width="11.42578125" style="338"/>
    <col min="15102" max="15102" width="18.140625" style="338" customWidth="1"/>
    <col min="15103" max="15106" width="14.140625" style="338" customWidth="1"/>
    <col min="15107" max="15357" width="11.42578125" style="338"/>
    <col min="15358" max="15358" width="18.140625" style="338" customWidth="1"/>
    <col min="15359" max="15362" width="14.140625" style="338" customWidth="1"/>
    <col min="15363" max="15613" width="11.42578125" style="338"/>
    <col min="15614" max="15614" width="18.140625" style="338" customWidth="1"/>
    <col min="15615" max="15618" width="14.140625" style="338" customWidth="1"/>
    <col min="15619" max="15869" width="11.42578125" style="338"/>
    <col min="15870" max="15870" width="18.140625" style="338" customWidth="1"/>
    <col min="15871" max="15874" width="14.140625" style="338" customWidth="1"/>
    <col min="15875" max="16125" width="11.42578125" style="338"/>
    <col min="16126" max="16126" width="18.140625" style="338" customWidth="1"/>
    <col min="16127" max="16130" width="14.140625" style="338" customWidth="1"/>
    <col min="16131" max="16384" width="11.42578125" style="338"/>
  </cols>
  <sheetData>
    <row r="1" spans="1:10" ht="26.25" customHeight="1">
      <c r="A1" s="771" t="s">
        <v>824</v>
      </c>
      <c r="B1" s="771"/>
      <c r="C1" s="771"/>
      <c r="D1" s="771"/>
      <c r="E1" s="771"/>
      <c r="F1" s="771"/>
      <c r="G1" s="771"/>
      <c r="H1" s="771"/>
      <c r="I1" s="771"/>
      <c r="J1" s="771"/>
    </row>
    <row r="2" spans="1:10" ht="13.5">
      <c r="A2" s="491" t="s">
        <v>822</v>
      </c>
      <c r="B2" s="550"/>
      <c r="C2" s="550"/>
      <c r="D2" s="550"/>
      <c r="E2" s="550"/>
      <c r="F2" s="550"/>
      <c r="G2" s="550"/>
    </row>
    <row r="3" spans="1:10" ht="5.0999999999999996" customHeight="1">
      <c r="B3" s="485"/>
    </row>
    <row r="4" spans="1:10" ht="26.1" customHeight="1">
      <c r="A4" s="378" t="s">
        <v>557</v>
      </c>
      <c r="B4" s="428">
        <v>2015</v>
      </c>
      <c r="C4" s="428">
        <v>2016</v>
      </c>
      <c r="D4" s="428">
        <v>2017</v>
      </c>
      <c r="E4" s="428">
        <v>2018</v>
      </c>
      <c r="F4" s="428">
        <v>2019</v>
      </c>
      <c r="G4" s="428">
        <v>2020</v>
      </c>
      <c r="H4" s="428">
        <v>2021</v>
      </c>
      <c r="I4" s="428">
        <v>2022</v>
      </c>
      <c r="J4" s="428">
        <v>2023</v>
      </c>
    </row>
    <row r="5" spans="1:10" ht="7.5" customHeight="1">
      <c r="A5" s="379"/>
      <c r="B5" s="486"/>
      <c r="C5" s="486"/>
      <c r="D5" s="486"/>
      <c r="E5" s="486"/>
      <c r="F5" s="486"/>
      <c r="G5" s="486"/>
      <c r="H5" s="486"/>
      <c r="I5" s="486"/>
      <c r="J5" s="486"/>
    </row>
    <row r="6" spans="1:10" ht="26.1" customHeight="1">
      <c r="A6" s="380" t="s">
        <v>730</v>
      </c>
      <c r="B6" s="429">
        <v>32.610646957012193</v>
      </c>
      <c r="C6" s="429">
        <v>33.251929494426761</v>
      </c>
      <c r="D6" s="429">
        <v>34.063432508311038</v>
      </c>
      <c r="E6" s="429">
        <v>32.765526434774202</v>
      </c>
      <c r="F6" s="487">
        <v>29.537997327364756</v>
      </c>
      <c r="G6" s="487">
        <v>28.975866931242333</v>
      </c>
      <c r="H6" s="481">
        <v>28.43440932748096</v>
      </c>
      <c r="I6" s="481">
        <v>33.597316878607032</v>
      </c>
      <c r="J6" s="481">
        <v>33.359731535209846</v>
      </c>
    </row>
    <row r="7" spans="1:10" hidden="1">
      <c r="A7" s="380"/>
      <c r="B7" s="429"/>
      <c r="C7" s="429"/>
      <c r="D7" s="429"/>
      <c r="E7" s="488"/>
      <c r="F7" s="429"/>
      <c r="G7" s="488"/>
      <c r="H7" s="488"/>
      <c r="I7" s="488"/>
      <c r="J7" s="488"/>
    </row>
    <row r="8" spans="1:10" hidden="1">
      <c r="A8" s="380" t="s">
        <v>558</v>
      </c>
      <c r="B8" s="429"/>
      <c r="C8" s="429"/>
      <c r="D8" s="429"/>
      <c r="E8" s="488"/>
      <c r="F8" s="429"/>
      <c r="G8" s="488"/>
      <c r="H8" s="488"/>
      <c r="I8" s="488"/>
      <c r="J8" s="488"/>
    </row>
    <row r="9" spans="1:10" hidden="1">
      <c r="A9" s="381" t="s">
        <v>559</v>
      </c>
      <c r="B9" s="430">
        <v>29.806251957735984</v>
      </c>
      <c r="C9" s="430">
        <v>30.102612945511073</v>
      </c>
      <c r="D9" s="430">
        <v>30.705787278446103</v>
      </c>
      <c r="E9" s="430">
        <v>30.238670619185118</v>
      </c>
      <c r="F9" s="431">
        <v>26.395985871952124</v>
      </c>
      <c r="G9" s="431">
        <v>26.413555196706305</v>
      </c>
      <c r="H9" s="432">
        <v>25.220315227997329</v>
      </c>
      <c r="I9" s="432">
        <v>25.220315227997329</v>
      </c>
      <c r="J9" s="432">
        <v>25.220315227997329</v>
      </c>
    </row>
    <row r="10" spans="1:10" hidden="1">
      <c r="A10" s="381" t="s">
        <v>560</v>
      </c>
      <c r="B10" s="430">
        <v>39.715378041833546</v>
      </c>
      <c r="C10" s="430">
        <v>41.41224723116084</v>
      </c>
      <c r="D10" s="430">
        <v>43.004083592264692</v>
      </c>
      <c r="E10" s="430">
        <v>39.642076128309071</v>
      </c>
      <c r="F10" s="431">
        <v>37.915028209957754</v>
      </c>
      <c r="G10" s="431">
        <v>35.729506706145756</v>
      </c>
      <c r="H10" s="432">
        <v>37.49243389982027</v>
      </c>
      <c r="I10" s="432">
        <v>37.49243389982027</v>
      </c>
      <c r="J10" s="432">
        <v>37.49243389982027</v>
      </c>
    </row>
    <row r="11" spans="1:10" hidden="1">
      <c r="A11" s="381"/>
      <c r="B11" s="430"/>
      <c r="C11" s="430"/>
      <c r="D11" s="430"/>
      <c r="E11" s="488"/>
      <c r="F11" s="430"/>
      <c r="G11" s="488"/>
      <c r="H11" s="488"/>
      <c r="I11" s="488"/>
      <c r="J11" s="488"/>
    </row>
    <row r="12" spans="1:10" hidden="1">
      <c r="A12" s="380" t="s">
        <v>529</v>
      </c>
      <c r="B12" s="430"/>
      <c r="C12" s="430"/>
      <c r="D12" s="430"/>
      <c r="E12" s="488"/>
      <c r="F12" s="430"/>
      <c r="G12" s="488"/>
      <c r="H12" s="488"/>
      <c r="I12" s="488"/>
      <c r="J12" s="488"/>
    </row>
    <row r="13" spans="1:10" hidden="1">
      <c r="A13" s="381" t="s">
        <v>531</v>
      </c>
      <c r="B13" s="430">
        <v>35.028875823911463</v>
      </c>
      <c r="C13" s="430">
        <v>33.797988856127169</v>
      </c>
      <c r="D13" s="430">
        <v>38.084375444863184</v>
      </c>
      <c r="E13" s="431">
        <v>34.447799639881936</v>
      </c>
      <c r="F13" s="431">
        <v>28.366913573666974</v>
      </c>
      <c r="G13" s="431">
        <v>25.220292413253258</v>
      </c>
      <c r="H13" s="432">
        <v>28.017910207190138</v>
      </c>
      <c r="I13" s="432">
        <v>28.017910207190138</v>
      </c>
      <c r="J13" s="432">
        <v>28.017910207190138</v>
      </c>
    </row>
    <row r="14" spans="1:10" hidden="1">
      <c r="A14" s="381" t="s">
        <v>532</v>
      </c>
      <c r="B14" s="430">
        <v>37.125824772095953</v>
      </c>
      <c r="C14" s="430">
        <v>28.787414920513054</v>
      </c>
      <c r="D14" s="430">
        <v>34.57426538053938</v>
      </c>
      <c r="E14" s="431">
        <v>33.425376079251315</v>
      </c>
      <c r="F14" s="431">
        <v>29.311894308585934</v>
      </c>
      <c r="G14" s="431">
        <v>26.969366795602902</v>
      </c>
      <c r="H14" s="432">
        <v>29.221016111063598</v>
      </c>
      <c r="I14" s="432">
        <v>29.221016111063598</v>
      </c>
      <c r="J14" s="432">
        <v>29.221016111063598</v>
      </c>
    </row>
    <row r="15" spans="1:10" hidden="1">
      <c r="A15" s="381" t="s">
        <v>533</v>
      </c>
      <c r="B15" s="430">
        <v>43.290856068728175</v>
      </c>
      <c r="C15" s="430">
        <v>39.66519213537989</v>
      </c>
      <c r="D15" s="430">
        <v>42.624248422131771</v>
      </c>
      <c r="E15" s="431">
        <v>39.375351892270452</v>
      </c>
      <c r="F15" s="431">
        <v>38.020465354956109</v>
      </c>
      <c r="G15" s="431">
        <v>38.126809006914669</v>
      </c>
      <c r="H15" s="432">
        <v>38.354978033348544</v>
      </c>
      <c r="I15" s="432">
        <v>38.354978033348544</v>
      </c>
      <c r="J15" s="432">
        <v>38.354978033348544</v>
      </c>
    </row>
    <row r="16" spans="1:10" hidden="1">
      <c r="A16" s="381" t="s">
        <v>534</v>
      </c>
      <c r="B16" s="430">
        <v>31.151663791240154</v>
      </c>
      <c r="C16" s="430">
        <v>32.213991436172783</v>
      </c>
      <c r="D16" s="430">
        <v>24.20519614886835</v>
      </c>
      <c r="E16" s="431">
        <v>27.813298358783921</v>
      </c>
      <c r="F16" s="431">
        <v>25.833972553313163</v>
      </c>
      <c r="G16" s="431">
        <v>29.622529455550929</v>
      </c>
      <c r="H16" s="432">
        <v>27.308767694742887</v>
      </c>
      <c r="I16" s="432">
        <v>27.308767694742887</v>
      </c>
      <c r="J16" s="432">
        <v>27.308767694742887</v>
      </c>
    </row>
    <row r="17" spans="1:10" hidden="1">
      <c r="A17" s="381" t="s">
        <v>535</v>
      </c>
      <c r="B17" s="430">
        <v>35.468683616761695</v>
      </c>
      <c r="C17" s="430">
        <v>41.084859792264766</v>
      </c>
      <c r="D17" s="430">
        <v>36.589576492621433</v>
      </c>
      <c r="E17" s="431">
        <v>36.694867813459162</v>
      </c>
      <c r="F17" s="431">
        <v>34.207557070308575</v>
      </c>
      <c r="G17" s="431">
        <v>34.118382029611347</v>
      </c>
      <c r="H17" s="432">
        <v>35.782043061220428</v>
      </c>
      <c r="I17" s="432">
        <v>35.782043061220428</v>
      </c>
      <c r="J17" s="432">
        <v>35.782043061220428</v>
      </c>
    </row>
    <row r="18" spans="1:10" hidden="1">
      <c r="A18" s="381" t="s">
        <v>536</v>
      </c>
      <c r="B18" s="430">
        <v>25.752980955755454</v>
      </c>
      <c r="C18" s="430">
        <v>22.872726812553594</v>
      </c>
      <c r="D18" s="430">
        <v>25.335676397609948</v>
      </c>
      <c r="E18" s="431">
        <v>22.828767977203288</v>
      </c>
      <c r="F18" s="431">
        <v>20.390934939549862</v>
      </c>
      <c r="G18" s="431">
        <v>22.807485720169431</v>
      </c>
      <c r="H18" s="432">
        <v>23.936727304060653</v>
      </c>
      <c r="I18" s="432">
        <v>23.936727304060653</v>
      </c>
      <c r="J18" s="432">
        <v>23.936727304060653</v>
      </c>
    </row>
    <row r="19" spans="1:10" hidden="1">
      <c r="A19" s="381" t="s">
        <v>562</v>
      </c>
      <c r="B19" s="430">
        <v>27.306241739293867</v>
      </c>
      <c r="C19" s="430">
        <v>34.594672279768702</v>
      </c>
      <c r="D19" s="430">
        <v>24.762645074827628</v>
      </c>
      <c r="E19" s="431">
        <v>28.238844360789098</v>
      </c>
      <c r="F19" s="431">
        <v>23.934468931552015</v>
      </c>
      <c r="G19" s="431">
        <v>22.481685967477063</v>
      </c>
      <c r="H19" s="432">
        <v>20.58790969615368</v>
      </c>
      <c r="I19" s="432">
        <v>20.58790969615368</v>
      </c>
      <c r="J19" s="432">
        <v>20.58790969615368</v>
      </c>
    </row>
    <row r="20" spans="1:10" hidden="1">
      <c r="A20" s="381" t="s">
        <v>538</v>
      </c>
      <c r="B20" s="430">
        <v>41.651299510324272</v>
      </c>
      <c r="C20" s="430">
        <v>46.775105537465009</v>
      </c>
      <c r="D20" s="430">
        <v>49.273991558390108</v>
      </c>
      <c r="E20" s="431">
        <v>44.744416819861556</v>
      </c>
      <c r="F20" s="431">
        <v>46.546618726024832</v>
      </c>
      <c r="G20" s="431">
        <v>41.890321090174041</v>
      </c>
      <c r="H20" s="432">
        <v>40.777341502919022</v>
      </c>
      <c r="I20" s="432">
        <v>40.777341502919022</v>
      </c>
      <c r="J20" s="432">
        <v>40.777341502919022</v>
      </c>
    </row>
    <row r="21" spans="1:10" hidden="1">
      <c r="A21" s="381" t="s">
        <v>539</v>
      </c>
      <c r="B21" s="430">
        <v>42.487636414054172</v>
      </c>
      <c r="C21" s="430">
        <v>45.364354074771555</v>
      </c>
      <c r="D21" s="430">
        <v>43.430571438175669</v>
      </c>
      <c r="E21" s="431">
        <v>46.556028748573283</v>
      </c>
      <c r="F21" s="431">
        <v>45.26394580900957</v>
      </c>
      <c r="G21" s="431">
        <v>40.947559907925253</v>
      </c>
      <c r="H21" s="432">
        <v>45.077777962028314</v>
      </c>
      <c r="I21" s="432">
        <v>45.077777962028314</v>
      </c>
      <c r="J21" s="432">
        <v>45.077777962028314</v>
      </c>
    </row>
    <row r="22" spans="1:10" hidden="1">
      <c r="A22" s="381" t="s">
        <v>540</v>
      </c>
      <c r="B22" s="430">
        <v>33.41857974935202</v>
      </c>
      <c r="C22" s="430">
        <v>35.687830335704369</v>
      </c>
      <c r="D22" s="430">
        <v>34.810478795291694</v>
      </c>
      <c r="E22" s="431">
        <v>32.796447024344445</v>
      </c>
      <c r="F22" s="431">
        <v>28.057940392717299</v>
      </c>
      <c r="G22" s="431">
        <v>29.313996140404079</v>
      </c>
      <c r="H22" s="432">
        <v>29.611500618443909</v>
      </c>
      <c r="I22" s="432">
        <v>29.611500618443909</v>
      </c>
      <c r="J22" s="432">
        <v>29.611500618443909</v>
      </c>
    </row>
    <row r="23" spans="1:10" hidden="1">
      <c r="A23" s="381" t="s">
        <v>563</v>
      </c>
      <c r="B23" s="430">
        <v>33.387512281052118</v>
      </c>
      <c r="C23" s="430">
        <v>31.080184834742909</v>
      </c>
      <c r="D23" s="430">
        <v>30.182932978731753</v>
      </c>
      <c r="E23" s="431">
        <v>30.828955647452958</v>
      </c>
      <c r="F23" s="431">
        <v>26.713749635827988</v>
      </c>
      <c r="G23" s="431">
        <v>25.136349241444467</v>
      </c>
      <c r="H23" s="432">
        <v>25.037501507388988</v>
      </c>
      <c r="I23" s="432">
        <v>25.037501507388988</v>
      </c>
      <c r="J23" s="432">
        <v>25.037501507388988</v>
      </c>
    </row>
    <row r="24" spans="1:10" hidden="1">
      <c r="A24" s="381" t="s">
        <v>542</v>
      </c>
      <c r="B24" s="430">
        <v>40.343662474110999</v>
      </c>
      <c r="C24" s="430">
        <v>41.943648243942455</v>
      </c>
      <c r="D24" s="430">
        <v>44.025746674684399</v>
      </c>
      <c r="E24" s="431">
        <v>42.349805705322211</v>
      </c>
      <c r="F24" s="431">
        <v>42.365433561651301</v>
      </c>
      <c r="G24" s="431">
        <v>39.650516923998495</v>
      </c>
      <c r="H24" s="432">
        <v>33.675730790669405</v>
      </c>
      <c r="I24" s="432">
        <v>33.675730790669405</v>
      </c>
      <c r="J24" s="432">
        <v>33.675730790669405</v>
      </c>
    </row>
    <row r="25" spans="1:10" hidden="1">
      <c r="A25" s="381" t="s">
        <v>543</v>
      </c>
      <c r="B25" s="430">
        <v>24.744520172782131</v>
      </c>
      <c r="C25" s="430">
        <v>23.843667709955124</v>
      </c>
      <c r="D25" s="430">
        <v>30.678493324395244</v>
      </c>
      <c r="E25" s="431">
        <v>26.1059833675588</v>
      </c>
      <c r="F25" s="431">
        <v>22.596475453092534</v>
      </c>
      <c r="G25" s="431">
        <v>25.426944536165109</v>
      </c>
      <c r="H25" s="432">
        <v>25.255552575774686</v>
      </c>
      <c r="I25" s="432">
        <v>25.255552575774686</v>
      </c>
      <c r="J25" s="432">
        <v>25.255552575774686</v>
      </c>
    </row>
    <row r="26" spans="1:10" hidden="1">
      <c r="A26" s="381" t="s">
        <v>544</v>
      </c>
      <c r="B26" s="430">
        <v>23.693413894490469</v>
      </c>
      <c r="C26" s="430">
        <v>26.908488759039166</v>
      </c>
      <c r="D26" s="430">
        <v>25.824354689942712</v>
      </c>
      <c r="E26" s="431">
        <v>27.486898873926695</v>
      </c>
      <c r="F26" s="431">
        <v>25.99088056331281</v>
      </c>
      <c r="G26" s="431">
        <v>26.842398717074111</v>
      </c>
      <c r="H26" s="432">
        <v>24.75548554310657</v>
      </c>
      <c r="I26" s="432">
        <v>24.75548554310657</v>
      </c>
      <c r="J26" s="432">
        <v>24.75548554310657</v>
      </c>
    </row>
    <row r="27" spans="1:10" hidden="1">
      <c r="A27" s="381" t="s">
        <v>561</v>
      </c>
      <c r="B27" s="430">
        <v>25.71617918593212</v>
      </c>
      <c r="C27" s="430">
        <v>24.886186378370535</v>
      </c>
      <c r="D27" s="430">
        <v>26.649436677310824</v>
      </c>
      <c r="E27" s="431">
        <v>26.641081614939264</v>
      </c>
      <c r="F27" s="431">
        <v>21.450728851262792</v>
      </c>
      <c r="G27" s="431">
        <v>21.251877292076745</v>
      </c>
      <c r="H27" s="432">
        <v>19.260095468400582</v>
      </c>
      <c r="I27" s="432">
        <v>19.260095468400582</v>
      </c>
      <c r="J27" s="432">
        <v>19.260095468400582</v>
      </c>
    </row>
    <row r="28" spans="1:10" hidden="1">
      <c r="A28" s="381" t="s">
        <v>648</v>
      </c>
      <c r="B28" s="430">
        <v>34.817406068787562</v>
      </c>
      <c r="C28" s="430">
        <v>30.437929972846341</v>
      </c>
      <c r="D28" s="430">
        <v>33.324826253786917</v>
      </c>
      <c r="E28" s="431">
        <v>29.217203749274713</v>
      </c>
      <c r="F28" s="431">
        <v>27.107820322870637</v>
      </c>
      <c r="G28" s="431">
        <v>24.826561669364764</v>
      </c>
      <c r="H28" s="432">
        <v>26.623973689284629</v>
      </c>
      <c r="I28" s="432">
        <v>26.623973689284629</v>
      </c>
      <c r="J28" s="432">
        <v>26.623973689284629</v>
      </c>
    </row>
    <row r="29" spans="1:10" hidden="1">
      <c r="A29" s="381" t="s">
        <v>545</v>
      </c>
      <c r="B29" s="430">
        <v>44.043643223679766</v>
      </c>
      <c r="C29" s="430">
        <v>49.943686025365167</v>
      </c>
      <c r="D29" s="430">
        <v>52.111337796785001</v>
      </c>
      <c r="E29" s="431">
        <v>48.587544889698734</v>
      </c>
      <c r="F29" s="431">
        <v>41.394504561215676</v>
      </c>
      <c r="G29" s="431">
        <v>39.04519621008096</v>
      </c>
      <c r="H29" s="432">
        <v>44.206007848923271</v>
      </c>
      <c r="I29" s="432">
        <v>44.206007848923271</v>
      </c>
      <c r="J29" s="432">
        <v>44.206007848923271</v>
      </c>
    </row>
    <row r="30" spans="1:10" hidden="1">
      <c r="A30" s="381" t="s">
        <v>546</v>
      </c>
      <c r="B30" s="430">
        <v>44.29938710573105</v>
      </c>
      <c r="C30" s="430">
        <v>42.892009355803907</v>
      </c>
      <c r="D30" s="430">
        <v>44.855737441026747</v>
      </c>
      <c r="E30" s="431">
        <v>41.590349023460632</v>
      </c>
      <c r="F30" s="431">
        <v>43.171061749018413</v>
      </c>
      <c r="G30" s="431">
        <v>43.809626924590866</v>
      </c>
      <c r="H30" s="432">
        <v>44.14250088685791</v>
      </c>
      <c r="I30" s="432">
        <v>44.14250088685791</v>
      </c>
      <c r="J30" s="432">
        <v>44.14250088685791</v>
      </c>
    </row>
    <row r="31" spans="1:10" hidden="1">
      <c r="A31" s="381" t="s">
        <v>547</v>
      </c>
      <c r="B31" s="430">
        <v>28.552255105780016</v>
      </c>
      <c r="C31" s="430">
        <v>29.215714175931332</v>
      </c>
      <c r="D31" s="430">
        <v>26.906827494712005</v>
      </c>
      <c r="E31" s="431">
        <v>26.419836358888716</v>
      </c>
      <c r="F31" s="431">
        <v>26.403412440784798</v>
      </c>
      <c r="G31" s="431">
        <v>23.670372355914555</v>
      </c>
      <c r="H31" s="432">
        <v>24.633170008190255</v>
      </c>
      <c r="I31" s="432">
        <v>24.633170008190255</v>
      </c>
      <c r="J31" s="432">
        <v>24.633170008190255</v>
      </c>
    </row>
    <row r="32" spans="1:10" hidden="1">
      <c r="A32" s="381" t="s">
        <v>548</v>
      </c>
      <c r="B32" s="430">
        <v>45.893910126814944</v>
      </c>
      <c r="C32" s="430">
        <v>49.366893244075634</v>
      </c>
      <c r="D32" s="430">
        <v>47.049772673354475</v>
      </c>
      <c r="E32" s="431">
        <v>42.679815050235604</v>
      </c>
      <c r="F32" s="431">
        <v>39.697497244475137</v>
      </c>
      <c r="G32" s="431">
        <v>39.594957076460361</v>
      </c>
      <c r="H32" s="432">
        <v>38.975508742065863</v>
      </c>
      <c r="I32" s="432">
        <v>38.975508742065863</v>
      </c>
      <c r="J32" s="432">
        <v>38.975508742065863</v>
      </c>
    </row>
    <row r="33" spans="1:10" hidden="1">
      <c r="A33" s="381" t="s">
        <v>549</v>
      </c>
      <c r="B33" s="430">
        <v>26.859155402652224</v>
      </c>
      <c r="C33" s="430">
        <v>30.357344328465199</v>
      </c>
      <c r="D33" s="430">
        <v>31.192609968030798</v>
      </c>
      <c r="E33" s="431">
        <v>30.808799491320467</v>
      </c>
      <c r="F33" s="431">
        <v>28.597534221140908</v>
      </c>
      <c r="G33" s="431">
        <v>28.799199632884793</v>
      </c>
      <c r="H33" s="432">
        <v>25.133245378382973</v>
      </c>
      <c r="I33" s="432">
        <v>25.133245378382973</v>
      </c>
      <c r="J33" s="432">
        <v>25.133245378382973</v>
      </c>
    </row>
    <row r="34" spans="1:10" ht="26.1" customHeight="1">
      <c r="A34" s="380" t="s">
        <v>15</v>
      </c>
      <c r="B34" s="430">
        <v>61.821691384019125</v>
      </c>
      <c r="C34" s="430">
        <v>62.258994282985135</v>
      </c>
      <c r="D34" s="430">
        <v>66.291489119724019</v>
      </c>
      <c r="E34" s="431">
        <v>55.781053546936107</v>
      </c>
      <c r="F34" s="431">
        <v>58.557350944596564</v>
      </c>
      <c r="G34" s="431">
        <v>58.032013889528891</v>
      </c>
      <c r="H34" s="432">
        <v>54.703232893075452</v>
      </c>
      <c r="I34" s="432">
        <v>57.898469552679579</v>
      </c>
      <c r="J34" s="432">
        <v>62.59192991297985</v>
      </c>
    </row>
    <row r="35" spans="1:10" hidden="1">
      <c r="A35" s="381" t="s">
        <v>564</v>
      </c>
      <c r="B35" s="430">
        <v>32.694150021283328</v>
      </c>
      <c r="C35" s="430">
        <v>35.837877000200947</v>
      </c>
      <c r="D35" s="430">
        <v>36.455358382298556</v>
      </c>
      <c r="E35" s="431">
        <v>38.138689864209788</v>
      </c>
      <c r="F35" s="431">
        <v>31.939668779160371</v>
      </c>
      <c r="G35" s="431">
        <v>32.644092887599513</v>
      </c>
      <c r="H35" s="432">
        <v>29.36744947943405</v>
      </c>
      <c r="I35" s="432">
        <v>29.36744947943405</v>
      </c>
      <c r="J35" s="432">
        <v>29.36744947943405</v>
      </c>
    </row>
    <row r="36" spans="1:10" hidden="1">
      <c r="A36" s="381" t="s">
        <v>551</v>
      </c>
      <c r="B36" s="430">
        <v>27.88527832629384</v>
      </c>
      <c r="C36" s="430">
        <v>25.500217146332425</v>
      </c>
      <c r="D36" s="430">
        <v>25.348695358611014</v>
      </c>
      <c r="E36" s="431">
        <v>26.049069755413807</v>
      </c>
      <c r="F36" s="431">
        <v>22.671287588179492</v>
      </c>
      <c r="G36" s="431">
        <v>20.681882744696683</v>
      </c>
      <c r="H36" s="432">
        <v>18.024594982594181</v>
      </c>
      <c r="I36" s="432">
        <v>18.024594982594181</v>
      </c>
      <c r="J36" s="432">
        <v>18.024594982594181</v>
      </c>
    </row>
    <row r="37" spans="1:10" hidden="1">
      <c r="A37" s="381" t="s">
        <v>552</v>
      </c>
      <c r="B37" s="430">
        <v>36.837833701716043</v>
      </c>
      <c r="C37" s="430">
        <v>37.843311685172168</v>
      </c>
      <c r="D37" s="430">
        <v>36.646115679766552</v>
      </c>
      <c r="E37" s="431">
        <v>34.89586056607844</v>
      </c>
      <c r="F37" s="431">
        <v>32.197604243479169</v>
      </c>
      <c r="G37" s="431">
        <v>30.991103930471514</v>
      </c>
      <c r="H37" s="432">
        <v>30.442037877950405</v>
      </c>
      <c r="I37" s="432">
        <v>30.442037877950405</v>
      </c>
      <c r="J37" s="432">
        <v>30.442037877950405</v>
      </c>
    </row>
    <row r="38" spans="1:10" hidden="1">
      <c r="A38" s="381" t="s">
        <v>553</v>
      </c>
      <c r="B38" s="430">
        <v>43.343340578315207</v>
      </c>
      <c r="C38" s="430">
        <v>47.234180869932906</v>
      </c>
      <c r="D38" s="430">
        <v>48.296959268427557</v>
      </c>
      <c r="E38" s="431">
        <v>45.502056673521388</v>
      </c>
      <c r="F38" s="431">
        <v>42.791076668866324</v>
      </c>
      <c r="G38" s="431">
        <v>45.058924438501855</v>
      </c>
      <c r="H38" s="432">
        <v>48.384518020699211</v>
      </c>
      <c r="I38" s="432">
        <v>48.384518020699211</v>
      </c>
      <c r="J38" s="432">
        <v>48.384518020699211</v>
      </c>
    </row>
    <row r="39" spans="1:10" ht="7.5" customHeight="1">
      <c r="A39" s="367"/>
      <c r="B39" s="486"/>
      <c r="C39" s="486"/>
      <c r="D39" s="486"/>
      <c r="E39" s="486"/>
      <c r="F39" s="486"/>
      <c r="G39" s="486"/>
      <c r="H39" s="486"/>
      <c r="I39" s="486"/>
      <c r="J39" s="486"/>
    </row>
    <row r="40" spans="1:10" ht="11.1" customHeight="1">
      <c r="A40" s="772" t="s">
        <v>699</v>
      </c>
      <c r="B40" s="772"/>
      <c r="C40" s="772"/>
      <c r="D40" s="772"/>
      <c r="E40" s="772"/>
      <c r="F40" s="772"/>
      <c r="G40" s="772"/>
      <c r="H40" s="772"/>
      <c r="I40" s="772"/>
      <c r="J40" s="772"/>
    </row>
    <row r="41" spans="1:10" hidden="1">
      <c r="A41" s="339" t="s">
        <v>554</v>
      </c>
      <c r="B41" s="489"/>
      <c r="C41" s="489"/>
      <c r="D41" s="489"/>
      <c r="E41" s="489"/>
      <c r="F41" s="489"/>
      <c r="G41" s="489"/>
      <c r="H41" s="340"/>
    </row>
    <row r="42" spans="1:10" hidden="1">
      <c r="A42" s="339" t="s">
        <v>647</v>
      </c>
      <c r="B42" s="489"/>
      <c r="C42" s="489"/>
      <c r="D42" s="489"/>
      <c r="E42" s="489"/>
      <c r="F42" s="489"/>
      <c r="G42" s="489"/>
      <c r="H42" s="340"/>
    </row>
    <row r="43" spans="1:10" ht="11.1" customHeight="1">
      <c r="A43" s="341" t="s">
        <v>565</v>
      </c>
      <c r="B43" s="490"/>
      <c r="C43" s="490"/>
      <c r="D43" s="490"/>
      <c r="E43" s="490"/>
      <c r="F43" s="490"/>
      <c r="G43" s="490"/>
    </row>
    <row r="47" spans="1:10">
      <c r="B47" s="587"/>
      <c r="C47" s="587"/>
      <c r="D47" s="587"/>
      <c r="E47" s="587"/>
      <c r="F47" s="587"/>
      <c r="G47" s="587"/>
      <c r="H47" s="587"/>
    </row>
  </sheetData>
  <mergeCells count="2">
    <mergeCell ref="A1:J1"/>
    <mergeCell ref="A40:J40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5"/>
  <sheetViews>
    <sheetView showGridLines="0" showOutlineSymbols="0" topLeftCell="A99" zoomScaleNormal="100" zoomScaleSheetLayoutView="120" workbookViewId="0">
      <selection activeCell="N254" sqref="N254"/>
    </sheetView>
  </sheetViews>
  <sheetFormatPr baseColWidth="10" defaultColWidth="11.42578125" defaultRowHeight="12.75"/>
  <cols>
    <col min="1" max="1" width="13.42578125" style="283" customWidth="1"/>
    <col min="2" max="2" width="5.85546875" style="260" customWidth="1"/>
    <col min="3" max="3" width="9.28515625" style="650" customWidth="1"/>
    <col min="4" max="4" width="5.85546875" style="260" customWidth="1"/>
    <col min="5" max="5" width="9.28515625" style="650" customWidth="1"/>
    <col min="6" max="6" width="6.140625" style="260" customWidth="1"/>
    <col min="7" max="7" width="9.28515625" style="650" customWidth="1"/>
    <col min="8" max="8" width="5.85546875" style="260" customWidth="1"/>
    <col min="9" max="9" width="9.28515625" style="650" customWidth="1"/>
    <col min="10" max="10" width="6.140625" style="260" customWidth="1"/>
    <col min="11" max="11" width="9.28515625" style="650" customWidth="1"/>
    <col min="12" max="20" width="11.42578125" style="260"/>
    <col min="21" max="21" width="5.140625" style="260" customWidth="1"/>
    <col min="22" max="22" width="8.28515625" style="260" customWidth="1"/>
    <col min="23" max="23" width="10.7109375" style="260" customWidth="1"/>
    <col min="24" max="24" width="8.28515625" style="260" customWidth="1"/>
    <col min="25" max="16384" width="11.42578125" style="260"/>
  </cols>
  <sheetData>
    <row r="1" spans="1:12" ht="13.5" hidden="1" customHeight="1">
      <c r="A1" s="788" t="s">
        <v>601</v>
      </c>
      <c r="B1" s="788"/>
      <c r="C1" s="788"/>
      <c r="D1" s="788"/>
      <c r="E1" s="788"/>
      <c r="F1" s="788"/>
      <c r="G1" s="788"/>
      <c r="H1" s="259"/>
      <c r="I1" s="661"/>
      <c r="J1" s="259"/>
      <c r="K1" s="661"/>
      <c r="L1" s="259"/>
    </row>
    <row r="2" spans="1:12" s="262" customFormat="1" ht="12" hidden="1" customHeight="1">
      <c r="A2" s="789" t="s">
        <v>604</v>
      </c>
      <c r="B2" s="790"/>
      <c r="C2" s="790"/>
      <c r="D2" s="790"/>
      <c r="E2" s="790"/>
      <c r="F2" s="790"/>
      <c r="G2" s="790"/>
      <c r="H2" s="261"/>
      <c r="I2" s="655"/>
      <c r="J2" s="261"/>
      <c r="K2" s="655"/>
      <c r="L2" s="261"/>
    </row>
    <row r="3" spans="1:12" ht="7.5" hidden="1" customHeight="1">
      <c r="A3" s="263"/>
      <c r="B3" s="264"/>
      <c r="C3" s="649"/>
      <c r="D3" s="264"/>
      <c r="E3" s="649"/>
      <c r="F3" s="265"/>
      <c r="G3" s="659"/>
      <c r="H3" s="265"/>
      <c r="I3" s="659"/>
      <c r="J3" s="265"/>
      <c r="K3" s="662" t="s">
        <v>603</v>
      </c>
    </row>
    <row r="4" spans="1:12" ht="13.5" hidden="1" customHeight="1">
      <c r="A4" s="791" t="s">
        <v>77</v>
      </c>
      <c r="B4" s="775" t="s">
        <v>62</v>
      </c>
      <c r="C4" s="776"/>
      <c r="D4" s="776"/>
      <c r="E4" s="776"/>
      <c r="F4" s="776"/>
      <c r="G4" s="776"/>
      <c r="H4" s="775" t="s">
        <v>62</v>
      </c>
      <c r="I4" s="776"/>
      <c r="J4" s="776"/>
      <c r="K4" s="776"/>
    </row>
    <row r="5" spans="1:12" ht="9.75" hidden="1" customHeight="1">
      <c r="A5" s="792"/>
      <c r="B5" s="780" t="s">
        <v>1</v>
      </c>
      <c r="C5" s="780"/>
      <c r="D5" s="782" t="s">
        <v>112</v>
      </c>
      <c r="E5" s="782"/>
      <c r="F5" s="780" t="s">
        <v>43</v>
      </c>
      <c r="G5" s="780"/>
      <c r="H5" s="793" t="s">
        <v>113</v>
      </c>
      <c r="I5" s="780"/>
      <c r="J5" s="777" t="s">
        <v>44</v>
      </c>
      <c r="K5" s="777"/>
    </row>
    <row r="6" spans="1:12" ht="9.75" hidden="1" customHeight="1">
      <c r="A6" s="792"/>
      <c r="B6" s="781"/>
      <c r="C6" s="781"/>
      <c r="D6" s="783"/>
      <c r="E6" s="783"/>
      <c r="F6" s="781"/>
      <c r="G6" s="781"/>
      <c r="H6" s="794"/>
      <c r="I6" s="781"/>
      <c r="J6" s="778"/>
      <c r="K6" s="778"/>
    </row>
    <row r="7" spans="1:12" hidden="1">
      <c r="A7" s="792"/>
      <c r="B7" s="266" t="s">
        <v>51</v>
      </c>
      <c r="C7" s="267" t="s">
        <v>56</v>
      </c>
      <c r="D7" s="266" t="s">
        <v>51</v>
      </c>
      <c r="E7" s="267" t="s">
        <v>56</v>
      </c>
      <c r="F7" s="266" t="s">
        <v>51</v>
      </c>
      <c r="G7" s="267" t="s">
        <v>56</v>
      </c>
      <c r="H7" s="266" t="s">
        <v>51</v>
      </c>
      <c r="I7" s="267" t="s">
        <v>56</v>
      </c>
      <c r="J7" s="266" t="s">
        <v>51</v>
      </c>
      <c r="K7" s="267" t="s">
        <v>56</v>
      </c>
    </row>
    <row r="8" spans="1:12" ht="4.5" hidden="1" customHeight="1">
      <c r="A8" s="268"/>
      <c r="B8" s="269"/>
      <c r="C8" s="270"/>
      <c r="D8" s="269"/>
      <c r="E8" s="270"/>
      <c r="F8" s="269"/>
      <c r="G8" s="270"/>
      <c r="H8" s="269"/>
      <c r="I8" s="270"/>
      <c r="J8" s="269"/>
      <c r="K8" s="270"/>
    </row>
    <row r="9" spans="1:12" hidden="1">
      <c r="A9" s="271">
        <v>2012</v>
      </c>
      <c r="B9" s="272"/>
      <c r="C9" s="272"/>
      <c r="D9" s="272"/>
      <c r="E9" s="272"/>
      <c r="F9" s="272"/>
      <c r="G9" s="272"/>
    </row>
    <row r="10" spans="1:12" hidden="1">
      <c r="A10" s="271" t="s">
        <v>42</v>
      </c>
      <c r="B10" s="273">
        <f t="shared" ref="B10:G10" si="0">SUM(B11:B22)</f>
        <v>202</v>
      </c>
      <c r="C10" s="273">
        <f t="shared" si="0"/>
        <v>333</v>
      </c>
      <c r="D10" s="273">
        <f t="shared" si="0"/>
        <v>7985</v>
      </c>
      <c r="E10" s="273">
        <f t="shared" si="0"/>
        <v>14859</v>
      </c>
      <c r="F10" s="273">
        <f t="shared" si="0"/>
        <v>10041</v>
      </c>
      <c r="G10" s="273">
        <f t="shared" si="0"/>
        <v>59946</v>
      </c>
      <c r="H10" s="274">
        <f>SUM(H11:H22)</f>
        <v>10734</v>
      </c>
      <c r="I10" s="652">
        <f>SUM(I11:I22)</f>
        <v>13766</v>
      </c>
      <c r="J10" s="274">
        <f>SUM(J11:J22)</f>
        <v>2872</v>
      </c>
      <c r="K10" s="652">
        <f>SUM(K11:K22)</f>
        <v>1533</v>
      </c>
    </row>
    <row r="11" spans="1:12" ht="38.25" hidden="1">
      <c r="A11" s="268" t="s">
        <v>300</v>
      </c>
      <c r="B11" s="272">
        <v>27</v>
      </c>
      <c r="C11" s="272">
        <v>21</v>
      </c>
      <c r="D11" s="272">
        <v>291</v>
      </c>
      <c r="E11" s="272">
        <v>384</v>
      </c>
      <c r="F11" s="272">
        <v>537</v>
      </c>
      <c r="G11" s="272">
        <v>774</v>
      </c>
      <c r="H11" s="275">
        <v>75</v>
      </c>
      <c r="I11" s="654">
        <v>67</v>
      </c>
      <c r="J11" s="275">
        <v>5</v>
      </c>
      <c r="K11" s="654">
        <v>1</v>
      </c>
    </row>
    <row r="12" spans="1:12" hidden="1">
      <c r="A12" s="276" t="s">
        <v>100</v>
      </c>
      <c r="B12" s="272">
        <v>8</v>
      </c>
      <c r="C12" s="272">
        <v>42</v>
      </c>
      <c r="D12" s="272">
        <v>1073</v>
      </c>
      <c r="E12" s="272">
        <v>2668</v>
      </c>
      <c r="F12" s="272">
        <v>1628</v>
      </c>
      <c r="G12" s="272">
        <v>11714</v>
      </c>
      <c r="H12" s="275">
        <v>1473</v>
      </c>
      <c r="I12" s="654">
        <v>1668</v>
      </c>
      <c r="J12" s="275">
        <v>723</v>
      </c>
      <c r="K12" s="654">
        <v>273</v>
      </c>
    </row>
    <row r="13" spans="1:12" hidden="1">
      <c r="A13" s="276" t="s">
        <v>101</v>
      </c>
      <c r="B13" s="272">
        <v>25</v>
      </c>
      <c r="C13" s="272">
        <v>33</v>
      </c>
      <c r="D13" s="272">
        <v>696</v>
      </c>
      <c r="E13" s="272">
        <v>1099</v>
      </c>
      <c r="F13" s="272">
        <v>476</v>
      </c>
      <c r="G13" s="272">
        <v>4308</v>
      </c>
      <c r="H13" s="275">
        <v>1007</v>
      </c>
      <c r="I13" s="654">
        <v>1561</v>
      </c>
      <c r="J13" s="275">
        <v>89</v>
      </c>
      <c r="K13" s="654">
        <v>45</v>
      </c>
    </row>
    <row r="14" spans="1:12" hidden="1">
      <c r="A14" s="276" t="s">
        <v>102</v>
      </c>
      <c r="B14" s="272"/>
      <c r="C14" s="272">
        <v>38</v>
      </c>
      <c r="D14" s="272">
        <v>357</v>
      </c>
      <c r="E14" s="272">
        <v>777</v>
      </c>
      <c r="F14" s="272">
        <v>707</v>
      </c>
      <c r="G14" s="272">
        <v>3922</v>
      </c>
      <c r="H14" s="275">
        <v>612</v>
      </c>
      <c r="I14" s="654">
        <v>544</v>
      </c>
      <c r="J14" s="275">
        <v>100</v>
      </c>
      <c r="K14" s="654">
        <v>19</v>
      </c>
    </row>
    <row r="15" spans="1:12" hidden="1">
      <c r="A15" s="276" t="s">
        <v>103</v>
      </c>
      <c r="B15" s="272">
        <v>12</v>
      </c>
      <c r="C15" s="272">
        <v>49</v>
      </c>
      <c r="D15" s="272">
        <v>885</v>
      </c>
      <c r="E15" s="272">
        <v>1205</v>
      </c>
      <c r="F15" s="272">
        <v>426</v>
      </c>
      <c r="G15" s="272">
        <v>3812</v>
      </c>
      <c r="H15" s="275">
        <v>516</v>
      </c>
      <c r="I15" s="654">
        <v>662</v>
      </c>
      <c r="J15" s="275">
        <v>335</v>
      </c>
      <c r="K15" s="654">
        <v>238</v>
      </c>
    </row>
    <row r="16" spans="1:12" hidden="1">
      <c r="A16" s="276" t="s">
        <v>104</v>
      </c>
      <c r="B16" s="272">
        <v>3</v>
      </c>
      <c r="C16" s="272">
        <v>2</v>
      </c>
      <c r="D16" s="272">
        <v>439</v>
      </c>
      <c r="E16" s="272">
        <v>1272</v>
      </c>
      <c r="F16" s="272">
        <v>823</v>
      </c>
      <c r="G16" s="272">
        <v>6268</v>
      </c>
      <c r="H16" s="275">
        <v>928</v>
      </c>
      <c r="I16" s="654">
        <v>1119</v>
      </c>
      <c r="J16" s="275">
        <v>222</v>
      </c>
      <c r="K16" s="654">
        <v>53</v>
      </c>
    </row>
    <row r="17" spans="1:11" hidden="1">
      <c r="A17" s="276" t="s">
        <v>105</v>
      </c>
      <c r="B17" s="272">
        <v>34</v>
      </c>
      <c r="C17" s="272">
        <v>23</v>
      </c>
      <c r="D17" s="272">
        <v>695</v>
      </c>
      <c r="E17" s="272">
        <v>1086</v>
      </c>
      <c r="F17" s="272">
        <v>998</v>
      </c>
      <c r="G17" s="272">
        <v>5101</v>
      </c>
      <c r="H17" s="275">
        <v>971</v>
      </c>
      <c r="I17" s="654">
        <v>1877</v>
      </c>
      <c r="J17" s="275">
        <v>226</v>
      </c>
      <c r="K17" s="654">
        <v>211</v>
      </c>
    </row>
    <row r="18" spans="1:11" hidden="1">
      <c r="A18" s="276" t="s">
        <v>106</v>
      </c>
      <c r="B18" s="272">
        <v>8</v>
      </c>
      <c r="C18" s="272">
        <v>18</v>
      </c>
      <c r="D18" s="272">
        <v>413</v>
      </c>
      <c r="E18" s="272">
        <v>881</v>
      </c>
      <c r="F18" s="272">
        <v>351</v>
      </c>
      <c r="G18" s="272">
        <v>2271</v>
      </c>
      <c r="H18" s="275">
        <v>593</v>
      </c>
      <c r="I18" s="654">
        <v>760</v>
      </c>
      <c r="J18" s="275">
        <v>123</v>
      </c>
      <c r="K18" s="654">
        <v>83</v>
      </c>
    </row>
    <row r="19" spans="1:11" hidden="1">
      <c r="A19" s="276" t="s">
        <v>107</v>
      </c>
      <c r="B19" s="272">
        <v>21</v>
      </c>
      <c r="C19" s="272">
        <v>31</v>
      </c>
      <c r="D19" s="272">
        <v>732</v>
      </c>
      <c r="E19" s="272">
        <v>1642</v>
      </c>
      <c r="F19" s="272">
        <v>1108</v>
      </c>
      <c r="G19" s="272">
        <v>7406</v>
      </c>
      <c r="H19" s="275">
        <v>1473</v>
      </c>
      <c r="I19" s="654">
        <v>2340</v>
      </c>
      <c r="J19" s="275">
        <v>314</v>
      </c>
      <c r="K19" s="654">
        <v>241</v>
      </c>
    </row>
    <row r="20" spans="1:11" hidden="1">
      <c r="A20" s="276" t="s">
        <v>108</v>
      </c>
      <c r="B20" s="272">
        <v>56</v>
      </c>
      <c r="C20" s="272">
        <v>54</v>
      </c>
      <c r="D20" s="272">
        <v>1609</v>
      </c>
      <c r="E20" s="272">
        <v>2450</v>
      </c>
      <c r="F20" s="272">
        <v>1963</v>
      </c>
      <c r="G20" s="272">
        <v>9715</v>
      </c>
      <c r="H20" s="275">
        <v>2013</v>
      </c>
      <c r="I20" s="654">
        <v>1978</v>
      </c>
      <c r="J20" s="275">
        <v>391</v>
      </c>
      <c r="K20" s="654">
        <v>157</v>
      </c>
    </row>
    <row r="21" spans="1:11" hidden="1">
      <c r="A21" s="276" t="s">
        <v>109</v>
      </c>
      <c r="B21" s="272">
        <v>4</v>
      </c>
      <c r="C21" s="272">
        <v>3</v>
      </c>
      <c r="D21" s="272">
        <v>668</v>
      </c>
      <c r="E21" s="272">
        <v>915</v>
      </c>
      <c r="F21" s="272">
        <v>745</v>
      </c>
      <c r="G21" s="272">
        <v>2327</v>
      </c>
      <c r="H21" s="275">
        <v>862</v>
      </c>
      <c r="I21" s="654">
        <v>777</v>
      </c>
      <c r="J21" s="275">
        <v>288</v>
      </c>
      <c r="K21" s="654">
        <v>162</v>
      </c>
    </row>
    <row r="22" spans="1:11" hidden="1">
      <c r="A22" s="276" t="s">
        <v>110</v>
      </c>
      <c r="B22" s="260">
        <v>4</v>
      </c>
      <c r="C22" s="650">
        <v>19</v>
      </c>
      <c r="D22" s="260">
        <v>127</v>
      </c>
      <c r="E22" s="650">
        <v>480</v>
      </c>
      <c r="F22" s="272">
        <v>279</v>
      </c>
      <c r="G22" s="650">
        <v>2328</v>
      </c>
      <c r="H22" s="275">
        <v>211</v>
      </c>
      <c r="I22" s="654">
        <v>413</v>
      </c>
      <c r="J22" s="275">
        <v>56</v>
      </c>
      <c r="K22" s="654">
        <v>50</v>
      </c>
    </row>
    <row r="23" spans="1:11" hidden="1">
      <c r="A23" s="276"/>
      <c r="H23" s="275"/>
      <c r="I23" s="654"/>
      <c r="J23" s="275"/>
      <c r="K23" s="654"/>
    </row>
    <row r="24" spans="1:11" hidden="1">
      <c r="A24" s="271">
        <v>2013</v>
      </c>
      <c r="B24" s="272"/>
      <c r="C24" s="272"/>
      <c r="D24" s="272"/>
      <c r="E24" s="272"/>
      <c r="F24" s="272"/>
      <c r="G24" s="272"/>
      <c r="H24" s="275"/>
      <c r="I24" s="654"/>
      <c r="J24" s="275"/>
      <c r="K24" s="654"/>
    </row>
    <row r="25" spans="1:11" s="277" customFormat="1" hidden="1">
      <c r="A25" s="271" t="s">
        <v>42</v>
      </c>
      <c r="B25" s="277">
        <f t="shared" ref="B25:G25" si="1">SUM(B26:B38)</f>
        <v>313</v>
      </c>
      <c r="C25" s="651">
        <f t="shared" si="1"/>
        <v>337</v>
      </c>
      <c r="D25" s="277">
        <f t="shared" si="1"/>
        <v>6063</v>
      </c>
      <c r="E25" s="651">
        <f t="shared" si="1"/>
        <v>13359</v>
      </c>
      <c r="F25" s="277">
        <f t="shared" si="1"/>
        <v>10173</v>
      </c>
      <c r="G25" s="651">
        <f t="shared" si="1"/>
        <v>54969</v>
      </c>
      <c r="H25" s="277">
        <f>SUM(H26:H38)</f>
        <v>126502</v>
      </c>
      <c r="I25" s="651">
        <f>SUM(I26:I38)</f>
        <v>480826</v>
      </c>
      <c r="J25" s="277">
        <f>SUM(J26:J38)</f>
        <v>2632</v>
      </c>
      <c r="K25" s="651">
        <f>SUM(K26:K38)</f>
        <v>1531</v>
      </c>
    </row>
    <row r="26" spans="1:11" ht="38.25" hidden="1">
      <c r="A26" s="268" t="s">
        <v>300</v>
      </c>
      <c r="B26" s="272">
        <v>30</v>
      </c>
      <c r="C26" s="272">
        <v>36</v>
      </c>
      <c r="D26" s="272">
        <v>280</v>
      </c>
      <c r="E26" s="272">
        <v>335</v>
      </c>
      <c r="F26" s="272">
        <v>582</v>
      </c>
      <c r="G26" s="272">
        <v>641</v>
      </c>
      <c r="H26" s="275">
        <v>1567</v>
      </c>
      <c r="I26" s="654">
        <v>2649</v>
      </c>
      <c r="J26" s="275">
        <v>33</v>
      </c>
      <c r="K26" s="654">
        <v>0</v>
      </c>
    </row>
    <row r="27" spans="1:11" hidden="1">
      <c r="A27" s="276" t="s">
        <v>100</v>
      </c>
      <c r="B27" s="272">
        <v>46</v>
      </c>
      <c r="C27" s="272">
        <v>44</v>
      </c>
      <c r="D27" s="272">
        <v>915</v>
      </c>
      <c r="E27" s="272">
        <v>2195</v>
      </c>
      <c r="F27" s="272">
        <v>1646</v>
      </c>
      <c r="G27" s="272">
        <v>10954</v>
      </c>
      <c r="H27" s="275">
        <v>21087</v>
      </c>
      <c r="I27" s="654">
        <v>63953</v>
      </c>
      <c r="J27" s="275">
        <v>217</v>
      </c>
      <c r="K27" s="654">
        <v>116</v>
      </c>
    </row>
    <row r="28" spans="1:11" hidden="1">
      <c r="A28" s="276" t="s">
        <v>101</v>
      </c>
      <c r="B28" s="272">
        <v>27</v>
      </c>
      <c r="C28" s="272">
        <v>18</v>
      </c>
      <c r="D28" s="272">
        <v>391</v>
      </c>
      <c r="E28" s="272">
        <v>998</v>
      </c>
      <c r="F28" s="272">
        <v>768</v>
      </c>
      <c r="G28" s="272">
        <v>4581</v>
      </c>
      <c r="H28" s="275">
        <v>10725</v>
      </c>
      <c r="I28" s="654">
        <v>53816</v>
      </c>
      <c r="J28" s="275">
        <v>36</v>
      </c>
      <c r="K28" s="654">
        <v>22</v>
      </c>
    </row>
    <row r="29" spans="1:11" hidden="1">
      <c r="A29" s="276" t="s">
        <v>102</v>
      </c>
      <c r="B29" s="272">
        <v>11</v>
      </c>
      <c r="C29" s="272">
        <v>38</v>
      </c>
      <c r="D29" s="272">
        <v>416</v>
      </c>
      <c r="E29" s="272">
        <v>905</v>
      </c>
      <c r="F29" s="272">
        <v>666</v>
      </c>
      <c r="G29" s="272">
        <v>3794</v>
      </c>
      <c r="H29" s="275">
        <v>7874</v>
      </c>
      <c r="I29" s="654">
        <v>20405</v>
      </c>
      <c r="J29" s="275">
        <v>158</v>
      </c>
      <c r="K29" s="654">
        <v>29</v>
      </c>
    </row>
    <row r="30" spans="1:11" hidden="1">
      <c r="A30" s="276" t="s">
        <v>103</v>
      </c>
      <c r="B30" s="272">
        <v>21</v>
      </c>
      <c r="C30" s="272">
        <v>32</v>
      </c>
      <c r="D30" s="272">
        <v>486</v>
      </c>
      <c r="E30" s="272">
        <v>1491</v>
      </c>
      <c r="F30" s="272">
        <v>797</v>
      </c>
      <c r="G30" s="272">
        <v>5490</v>
      </c>
      <c r="H30" s="275">
        <v>7833</v>
      </c>
      <c r="I30" s="654">
        <v>40435</v>
      </c>
      <c r="J30" s="275">
        <v>507</v>
      </c>
      <c r="K30" s="654">
        <v>251</v>
      </c>
    </row>
    <row r="31" spans="1:11" hidden="1">
      <c r="A31" s="276" t="s">
        <v>104</v>
      </c>
      <c r="B31" s="272">
        <v>3</v>
      </c>
      <c r="C31" s="272">
        <v>8</v>
      </c>
      <c r="D31" s="272">
        <v>306</v>
      </c>
      <c r="E31" s="272">
        <v>1144</v>
      </c>
      <c r="F31" s="272">
        <v>354</v>
      </c>
      <c r="G31" s="272">
        <v>4003</v>
      </c>
      <c r="H31" s="275">
        <v>9329</v>
      </c>
      <c r="I31" s="654">
        <v>38864</v>
      </c>
      <c r="J31" s="275">
        <v>378</v>
      </c>
      <c r="K31" s="654">
        <v>171</v>
      </c>
    </row>
    <row r="32" spans="1:11" hidden="1">
      <c r="A32" s="276" t="s">
        <v>105</v>
      </c>
      <c r="B32" s="272">
        <v>22</v>
      </c>
      <c r="C32" s="272">
        <v>18</v>
      </c>
      <c r="D32" s="272">
        <v>454</v>
      </c>
      <c r="E32" s="272">
        <v>689</v>
      </c>
      <c r="F32" s="272">
        <v>960</v>
      </c>
      <c r="G32" s="272">
        <v>4654</v>
      </c>
      <c r="H32" s="275">
        <v>9955</v>
      </c>
      <c r="I32" s="654">
        <v>38812</v>
      </c>
      <c r="J32" s="275">
        <v>178</v>
      </c>
      <c r="K32" s="654">
        <v>156</v>
      </c>
    </row>
    <row r="33" spans="1:11" hidden="1">
      <c r="A33" s="276" t="s">
        <v>106</v>
      </c>
      <c r="B33" s="272">
        <v>14</v>
      </c>
      <c r="C33" s="272">
        <v>18</v>
      </c>
      <c r="D33" s="272">
        <v>374</v>
      </c>
      <c r="E33" s="272">
        <v>856</v>
      </c>
      <c r="F33" s="272">
        <v>378</v>
      </c>
      <c r="G33" s="272">
        <v>2268</v>
      </c>
      <c r="H33" s="275">
        <v>7238</v>
      </c>
      <c r="I33" s="654">
        <v>26660</v>
      </c>
      <c r="J33" s="275">
        <v>103</v>
      </c>
      <c r="K33" s="654">
        <v>107</v>
      </c>
    </row>
    <row r="34" spans="1:11" hidden="1">
      <c r="A34" s="276" t="s">
        <v>107</v>
      </c>
      <c r="B34" s="272">
        <v>40</v>
      </c>
      <c r="C34" s="272">
        <v>46</v>
      </c>
      <c r="D34" s="272">
        <v>638</v>
      </c>
      <c r="E34" s="272">
        <v>1607</v>
      </c>
      <c r="F34" s="272">
        <v>1120</v>
      </c>
      <c r="G34" s="272">
        <v>7343</v>
      </c>
      <c r="H34" s="275">
        <v>18370</v>
      </c>
      <c r="I34" s="654">
        <v>92070</v>
      </c>
      <c r="J34" s="275">
        <v>378</v>
      </c>
      <c r="K34" s="654">
        <v>286</v>
      </c>
    </row>
    <row r="35" spans="1:11" hidden="1">
      <c r="A35" s="276" t="s">
        <v>108</v>
      </c>
      <c r="B35" s="272">
        <v>77</v>
      </c>
      <c r="C35" s="272">
        <v>61</v>
      </c>
      <c r="D35" s="272">
        <v>1206</v>
      </c>
      <c r="E35" s="272">
        <v>2019</v>
      </c>
      <c r="F35" s="272">
        <v>1858</v>
      </c>
      <c r="G35" s="272">
        <v>6789</v>
      </c>
      <c r="H35" s="275">
        <v>19206</v>
      </c>
      <c r="I35" s="654">
        <v>56203</v>
      </c>
      <c r="J35" s="275">
        <v>257</v>
      </c>
      <c r="K35" s="654">
        <v>135</v>
      </c>
    </row>
    <row r="36" spans="1:11" hidden="1">
      <c r="A36" s="276" t="s">
        <v>109</v>
      </c>
      <c r="B36" s="272">
        <v>12</v>
      </c>
      <c r="C36" s="272">
        <v>6</v>
      </c>
      <c r="D36" s="272">
        <v>471</v>
      </c>
      <c r="E36" s="272">
        <v>686</v>
      </c>
      <c r="F36" s="272">
        <v>777</v>
      </c>
      <c r="G36" s="272">
        <v>2350</v>
      </c>
      <c r="H36" s="275">
        <v>10296</v>
      </c>
      <c r="I36" s="654">
        <v>32891</v>
      </c>
      <c r="J36" s="275">
        <v>343</v>
      </c>
      <c r="K36" s="654">
        <v>131</v>
      </c>
    </row>
    <row r="37" spans="1:11" hidden="1">
      <c r="A37" s="276" t="s">
        <v>110</v>
      </c>
      <c r="B37" s="260">
        <v>10</v>
      </c>
      <c r="C37" s="650">
        <v>12</v>
      </c>
      <c r="D37" s="260">
        <v>126</v>
      </c>
      <c r="E37" s="650">
        <v>434</v>
      </c>
      <c r="F37" s="272">
        <v>267</v>
      </c>
      <c r="G37" s="650">
        <v>2102</v>
      </c>
      <c r="H37" s="275">
        <v>3022</v>
      </c>
      <c r="I37" s="654">
        <v>14068</v>
      </c>
      <c r="J37" s="275">
        <v>44</v>
      </c>
      <c r="K37" s="654">
        <v>127</v>
      </c>
    </row>
    <row r="38" spans="1:11" hidden="1">
      <c r="A38" s="271">
        <v>2014</v>
      </c>
      <c r="B38" s="272"/>
      <c r="C38" s="272"/>
      <c r="D38" s="272"/>
      <c r="E38" s="272"/>
      <c r="F38" s="272"/>
      <c r="G38" s="272"/>
      <c r="H38" s="275"/>
      <c r="I38" s="654"/>
      <c r="J38" s="275"/>
      <c r="K38" s="654"/>
    </row>
    <row r="39" spans="1:11" hidden="1">
      <c r="A39" s="271" t="s">
        <v>42</v>
      </c>
      <c r="B39" s="274">
        <f t="shared" ref="B39:I39" si="2">SUM(B40:B95)</f>
        <v>3575</v>
      </c>
      <c r="C39" s="652">
        <f t="shared" si="2"/>
        <v>2560</v>
      </c>
      <c r="D39" s="277">
        <f t="shared" si="2"/>
        <v>76678</v>
      </c>
      <c r="E39" s="651">
        <f t="shared" si="2"/>
        <v>408708</v>
      </c>
      <c r="F39" s="277">
        <f t="shared" si="2"/>
        <v>225536</v>
      </c>
      <c r="G39" s="651">
        <f t="shared" si="2"/>
        <v>877783</v>
      </c>
      <c r="H39" s="277">
        <f t="shared" si="2"/>
        <v>1270366</v>
      </c>
      <c r="I39" s="651">
        <f t="shared" si="2"/>
        <v>4731722</v>
      </c>
      <c r="J39" s="277">
        <f>SUM(J40:J95)</f>
        <v>27562</v>
      </c>
      <c r="K39" s="651">
        <f>SUM(K40:K95)</f>
        <v>19976</v>
      </c>
    </row>
    <row r="40" spans="1:11" ht="38.25" hidden="1">
      <c r="A40" s="268" t="s">
        <v>300</v>
      </c>
      <c r="B40" s="272">
        <v>21</v>
      </c>
      <c r="C40" s="272">
        <v>15</v>
      </c>
      <c r="D40" s="272">
        <v>160</v>
      </c>
      <c r="E40" s="272">
        <v>268</v>
      </c>
      <c r="F40" s="272">
        <v>336</v>
      </c>
      <c r="G40" s="272">
        <v>410</v>
      </c>
      <c r="H40" s="275">
        <v>852</v>
      </c>
      <c r="I40" s="654">
        <v>1960</v>
      </c>
      <c r="J40" s="275">
        <v>6</v>
      </c>
      <c r="K40" s="654">
        <v>0</v>
      </c>
    </row>
    <row r="41" spans="1:11" hidden="1">
      <c r="A41" s="276" t="s">
        <v>100</v>
      </c>
      <c r="B41" s="272">
        <v>30</v>
      </c>
      <c r="C41" s="272">
        <v>48</v>
      </c>
      <c r="D41" s="272">
        <v>838</v>
      </c>
      <c r="E41" s="272">
        <v>2299</v>
      </c>
      <c r="F41" s="272">
        <v>1487</v>
      </c>
      <c r="G41" s="272">
        <v>9868</v>
      </c>
      <c r="H41" s="275">
        <v>18708</v>
      </c>
      <c r="I41" s="654">
        <v>60885</v>
      </c>
      <c r="J41" s="275">
        <v>434</v>
      </c>
      <c r="K41" s="654">
        <v>273</v>
      </c>
    </row>
    <row r="42" spans="1:11" hidden="1">
      <c r="A42" s="276" t="s">
        <v>101</v>
      </c>
      <c r="B42" s="272">
        <v>16</v>
      </c>
      <c r="C42" s="272">
        <v>21</v>
      </c>
      <c r="D42" s="272">
        <v>319</v>
      </c>
      <c r="E42" s="272">
        <v>831</v>
      </c>
      <c r="F42" s="272">
        <v>786</v>
      </c>
      <c r="G42" s="272">
        <v>4043</v>
      </c>
      <c r="H42" s="275">
        <v>9661</v>
      </c>
      <c r="I42" s="654">
        <v>37225</v>
      </c>
      <c r="J42" s="275">
        <v>29</v>
      </c>
      <c r="K42" s="654">
        <v>12</v>
      </c>
    </row>
    <row r="43" spans="1:11" hidden="1">
      <c r="A43" s="276" t="s">
        <v>102</v>
      </c>
      <c r="B43" s="272">
        <v>15</v>
      </c>
      <c r="C43" s="272">
        <v>14</v>
      </c>
      <c r="D43" s="272">
        <v>336</v>
      </c>
      <c r="E43" s="272">
        <v>1024</v>
      </c>
      <c r="F43" s="272">
        <v>668</v>
      </c>
      <c r="G43" s="272">
        <v>3849</v>
      </c>
      <c r="H43" s="275">
        <v>8786</v>
      </c>
      <c r="I43" s="654">
        <v>34553</v>
      </c>
      <c r="J43" s="275">
        <v>191</v>
      </c>
      <c r="K43" s="654">
        <v>43</v>
      </c>
    </row>
    <row r="44" spans="1:11" hidden="1">
      <c r="A44" s="276" t="s">
        <v>103</v>
      </c>
      <c r="B44" s="272">
        <v>14</v>
      </c>
      <c r="C44" s="272">
        <v>7</v>
      </c>
      <c r="D44" s="272">
        <v>471</v>
      </c>
      <c r="E44" s="272">
        <v>1524</v>
      </c>
      <c r="F44" s="272">
        <v>762</v>
      </c>
      <c r="G44" s="272">
        <v>5571</v>
      </c>
      <c r="H44" s="275">
        <v>7798</v>
      </c>
      <c r="I44" s="654">
        <v>51086</v>
      </c>
      <c r="J44" s="275">
        <v>766</v>
      </c>
      <c r="K44" s="654">
        <v>232</v>
      </c>
    </row>
    <row r="45" spans="1:11" hidden="1">
      <c r="A45" s="276" t="s">
        <v>104</v>
      </c>
      <c r="B45" s="272">
        <v>4</v>
      </c>
      <c r="C45" s="272">
        <v>4</v>
      </c>
      <c r="D45" s="272">
        <v>287</v>
      </c>
      <c r="E45" s="272">
        <v>1089</v>
      </c>
      <c r="F45" s="272">
        <v>601</v>
      </c>
      <c r="G45" s="272">
        <v>5611</v>
      </c>
      <c r="H45" s="275">
        <v>12856</v>
      </c>
      <c r="I45" s="654">
        <v>48970</v>
      </c>
      <c r="J45" s="275">
        <v>997</v>
      </c>
      <c r="K45" s="654">
        <v>513</v>
      </c>
    </row>
    <row r="46" spans="1:11" hidden="1">
      <c r="A46" s="276" t="s">
        <v>105</v>
      </c>
      <c r="B46" s="272">
        <v>17</v>
      </c>
      <c r="C46" s="272">
        <v>16</v>
      </c>
      <c r="D46" s="272">
        <v>545</v>
      </c>
      <c r="E46" s="272">
        <v>1111</v>
      </c>
      <c r="F46" s="272">
        <v>1044</v>
      </c>
      <c r="G46" s="272">
        <v>5224</v>
      </c>
      <c r="H46" s="275">
        <v>7466</v>
      </c>
      <c r="I46" s="654">
        <v>34937</v>
      </c>
      <c r="J46" s="275">
        <v>144</v>
      </c>
      <c r="K46" s="654">
        <v>110</v>
      </c>
    </row>
    <row r="47" spans="1:11" hidden="1">
      <c r="A47" s="276" t="s">
        <v>106</v>
      </c>
      <c r="B47" s="272">
        <v>6</v>
      </c>
      <c r="C47" s="272">
        <v>15</v>
      </c>
      <c r="D47" s="272">
        <v>257</v>
      </c>
      <c r="E47" s="272">
        <v>1017</v>
      </c>
      <c r="F47" s="272">
        <v>329</v>
      </c>
      <c r="G47" s="272">
        <v>2455</v>
      </c>
      <c r="H47" s="275">
        <v>17589</v>
      </c>
      <c r="I47" s="654">
        <v>79143</v>
      </c>
      <c r="J47" s="275">
        <v>115</v>
      </c>
      <c r="K47" s="654">
        <v>123</v>
      </c>
    </row>
    <row r="48" spans="1:11" hidden="1">
      <c r="A48" s="276" t="s">
        <v>107</v>
      </c>
      <c r="B48" s="272">
        <v>12</v>
      </c>
      <c r="C48" s="272">
        <v>27</v>
      </c>
      <c r="D48" s="272">
        <v>559</v>
      </c>
      <c r="E48" s="272">
        <v>1462</v>
      </c>
      <c r="F48" s="272">
        <v>952</v>
      </c>
      <c r="G48" s="272">
        <v>7024</v>
      </c>
      <c r="H48" s="275">
        <v>24918</v>
      </c>
      <c r="I48" s="654">
        <v>61628</v>
      </c>
      <c r="J48" s="275">
        <v>296</v>
      </c>
      <c r="K48" s="654">
        <v>203</v>
      </c>
    </row>
    <row r="49" spans="1:11" hidden="1">
      <c r="A49" s="276" t="s">
        <v>108</v>
      </c>
      <c r="B49" s="272">
        <v>95</v>
      </c>
      <c r="C49" s="272">
        <v>40</v>
      </c>
      <c r="D49" s="272">
        <v>945</v>
      </c>
      <c r="E49" s="272">
        <v>1848</v>
      </c>
      <c r="F49" s="272">
        <v>2152</v>
      </c>
      <c r="G49" s="272">
        <v>8064</v>
      </c>
      <c r="H49" s="275">
        <v>12870</v>
      </c>
      <c r="I49" s="654">
        <v>27063</v>
      </c>
      <c r="J49" s="275">
        <v>256</v>
      </c>
      <c r="K49" s="654">
        <v>86</v>
      </c>
    </row>
    <row r="50" spans="1:11" hidden="1">
      <c r="A50" s="276" t="s">
        <v>109</v>
      </c>
      <c r="B50" s="272">
        <v>7</v>
      </c>
      <c r="C50" s="272">
        <v>1</v>
      </c>
      <c r="D50" s="272">
        <v>542</v>
      </c>
      <c r="E50" s="272">
        <v>734</v>
      </c>
      <c r="F50" s="272">
        <v>835</v>
      </c>
      <c r="G50" s="272">
        <v>2430</v>
      </c>
      <c r="H50" s="275">
        <v>2901</v>
      </c>
      <c r="I50" s="654">
        <v>11970</v>
      </c>
      <c r="J50" s="275">
        <v>458</v>
      </c>
      <c r="K50" s="654">
        <v>116</v>
      </c>
    </row>
    <row r="51" spans="1:11" hidden="1">
      <c r="A51" s="276" t="s">
        <v>110</v>
      </c>
      <c r="B51" s="260">
        <v>6</v>
      </c>
      <c r="C51" s="650">
        <v>14</v>
      </c>
      <c r="D51" s="260">
        <v>111</v>
      </c>
      <c r="E51" s="650">
        <v>487</v>
      </c>
      <c r="F51" s="272">
        <v>232</v>
      </c>
      <c r="G51" s="650">
        <v>1990</v>
      </c>
      <c r="H51" s="275">
        <v>279</v>
      </c>
      <c r="I51" s="654">
        <v>390</v>
      </c>
      <c r="J51" s="275">
        <v>86</v>
      </c>
      <c r="K51" s="654">
        <v>75</v>
      </c>
    </row>
    <row r="52" spans="1:11" hidden="1">
      <c r="A52" s="276"/>
      <c r="F52" s="272"/>
      <c r="H52" s="275"/>
      <c r="I52" s="654"/>
      <c r="J52" s="275"/>
      <c r="K52" s="654"/>
    </row>
    <row r="53" spans="1:11" hidden="1">
      <c r="A53" s="271">
        <v>2015</v>
      </c>
      <c r="F53" s="272"/>
      <c r="H53" s="275"/>
      <c r="I53" s="654"/>
      <c r="J53" s="275"/>
      <c r="K53" s="654"/>
    </row>
    <row r="54" spans="1:11" hidden="1">
      <c r="A54" s="271" t="s">
        <v>42</v>
      </c>
      <c r="B54" s="278">
        <f t="shared" ref="B54:I54" si="3">SUM(B55:B80)</f>
        <v>1484</v>
      </c>
      <c r="C54" s="653">
        <f t="shared" si="3"/>
        <v>1005</v>
      </c>
      <c r="D54" s="278">
        <f t="shared" si="3"/>
        <v>30957</v>
      </c>
      <c r="E54" s="653">
        <f t="shared" si="3"/>
        <v>186756</v>
      </c>
      <c r="F54" s="278">
        <f t="shared" si="3"/>
        <v>94940</v>
      </c>
      <c r="G54" s="653">
        <f t="shared" si="3"/>
        <v>349513</v>
      </c>
      <c r="H54" s="274">
        <f t="shared" si="3"/>
        <v>555180</v>
      </c>
      <c r="I54" s="652">
        <f t="shared" si="3"/>
        <v>2117049</v>
      </c>
      <c r="J54" s="274">
        <f>SUM(J55:J80)</f>
        <v>8737</v>
      </c>
      <c r="K54" s="652">
        <f>SUM(K55:K80)</f>
        <v>6934</v>
      </c>
    </row>
    <row r="55" spans="1:11" ht="38.25" hidden="1">
      <c r="A55" s="268" t="s">
        <v>300</v>
      </c>
      <c r="B55" s="272">
        <v>38</v>
      </c>
      <c r="C55" s="272">
        <v>35</v>
      </c>
      <c r="D55" s="272">
        <v>390</v>
      </c>
      <c r="E55" s="272">
        <v>1130</v>
      </c>
      <c r="F55" s="272">
        <v>802</v>
      </c>
      <c r="G55" s="272">
        <v>744</v>
      </c>
      <c r="H55" s="275">
        <v>1346</v>
      </c>
      <c r="I55" s="654">
        <v>2108</v>
      </c>
      <c r="J55" s="275">
        <v>8</v>
      </c>
      <c r="K55" s="654">
        <v>0</v>
      </c>
    </row>
    <row r="56" spans="1:11" hidden="1">
      <c r="A56" s="276" t="s">
        <v>100</v>
      </c>
      <c r="B56" s="272">
        <v>80</v>
      </c>
      <c r="C56" s="272">
        <v>46</v>
      </c>
      <c r="D56" s="272">
        <v>1638</v>
      </c>
      <c r="E56" s="272">
        <v>10015</v>
      </c>
      <c r="F56" s="272">
        <v>4147</v>
      </c>
      <c r="G56" s="272">
        <v>21956</v>
      </c>
      <c r="H56" s="275">
        <v>23996</v>
      </c>
      <c r="I56" s="654">
        <v>71297</v>
      </c>
      <c r="J56" s="275">
        <v>650</v>
      </c>
      <c r="K56" s="654">
        <v>435</v>
      </c>
    </row>
    <row r="57" spans="1:11" hidden="1">
      <c r="A57" s="276" t="s">
        <v>101</v>
      </c>
      <c r="B57" s="272">
        <v>15</v>
      </c>
      <c r="C57" s="272">
        <v>6</v>
      </c>
      <c r="D57" s="272">
        <v>760</v>
      </c>
      <c r="E57" s="272">
        <v>3780</v>
      </c>
      <c r="F57" s="272">
        <v>1898</v>
      </c>
      <c r="G57" s="272">
        <v>7816</v>
      </c>
      <c r="H57" s="275">
        <v>12386</v>
      </c>
      <c r="I57" s="654">
        <v>47709</v>
      </c>
      <c r="J57" s="275">
        <v>54</v>
      </c>
      <c r="K57" s="654">
        <v>60</v>
      </c>
    </row>
    <row r="58" spans="1:11" hidden="1">
      <c r="A58" s="276" t="s">
        <v>102</v>
      </c>
      <c r="B58" s="272">
        <v>23</v>
      </c>
      <c r="C58" s="272">
        <v>15</v>
      </c>
      <c r="D58" s="272">
        <v>692</v>
      </c>
      <c r="E58" s="272">
        <v>4710</v>
      </c>
      <c r="F58" s="272">
        <v>1516</v>
      </c>
      <c r="G58" s="272">
        <v>8560</v>
      </c>
      <c r="H58" s="275">
        <v>9645</v>
      </c>
      <c r="I58" s="654">
        <v>47737</v>
      </c>
      <c r="J58" s="275">
        <v>149</v>
      </c>
      <c r="K58" s="654">
        <v>38</v>
      </c>
    </row>
    <row r="59" spans="1:11" hidden="1">
      <c r="A59" s="276" t="s">
        <v>103</v>
      </c>
      <c r="B59" s="272">
        <v>32</v>
      </c>
      <c r="C59" s="272">
        <v>22</v>
      </c>
      <c r="D59" s="272">
        <v>880</v>
      </c>
      <c r="E59" s="272">
        <v>7650</v>
      </c>
      <c r="F59" s="272">
        <v>2098</v>
      </c>
      <c r="G59" s="272">
        <v>11752</v>
      </c>
      <c r="H59" s="275">
        <v>18325</v>
      </c>
      <c r="I59" s="654">
        <v>62150</v>
      </c>
      <c r="J59" s="275">
        <v>665</v>
      </c>
      <c r="K59" s="654">
        <v>256</v>
      </c>
    </row>
    <row r="60" spans="1:11" hidden="1">
      <c r="A60" s="276" t="s">
        <v>104</v>
      </c>
      <c r="B60" s="272">
        <v>5</v>
      </c>
      <c r="C60" s="272">
        <v>3</v>
      </c>
      <c r="D60" s="272">
        <v>521</v>
      </c>
      <c r="E60" s="272">
        <v>5652</v>
      </c>
      <c r="F60" s="272">
        <v>1493</v>
      </c>
      <c r="G60" s="272">
        <v>12970</v>
      </c>
      <c r="H60" s="275">
        <v>7915</v>
      </c>
      <c r="I60" s="654">
        <v>61071</v>
      </c>
      <c r="J60" s="275">
        <v>713</v>
      </c>
      <c r="K60" s="654">
        <v>548</v>
      </c>
    </row>
    <row r="61" spans="1:11" hidden="1">
      <c r="A61" s="276" t="s">
        <v>105</v>
      </c>
      <c r="B61" s="272">
        <v>12</v>
      </c>
      <c r="C61" s="272">
        <v>13</v>
      </c>
      <c r="D61" s="272">
        <v>1084</v>
      </c>
      <c r="E61" s="272">
        <v>4891</v>
      </c>
      <c r="F61" s="272">
        <v>2301</v>
      </c>
      <c r="G61" s="272">
        <v>11381</v>
      </c>
      <c r="H61" s="275">
        <v>13373</v>
      </c>
      <c r="I61" s="654">
        <v>73051</v>
      </c>
      <c r="J61" s="279" t="s">
        <v>13</v>
      </c>
      <c r="K61" s="654">
        <v>140</v>
      </c>
    </row>
    <row r="62" spans="1:11" hidden="1">
      <c r="A62" s="276" t="s">
        <v>106</v>
      </c>
      <c r="B62" s="272">
        <v>30</v>
      </c>
      <c r="C62" s="272">
        <v>8</v>
      </c>
      <c r="D62" s="272">
        <v>500</v>
      </c>
      <c r="E62" s="272">
        <v>5215</v>
      </c>
      <c r="F62" s="272">
        <v>880</v>
      </c>
      <c r="G62" s="272">
        <v>5878</v>
      </c>
      <c r="H62" s="275">
        <v>5812</v>
      </c>
      <c r="I62" s="654">
        <v>41261</v>
      </c>
      <c r="J62" s="275">
        <v>64</v>
      </c>
      <c r="K62" s="654">
        <v>86</v>
      </c>
    </row>
    <row r="63" spans="1:11" hidden="1">
      <c r="A63" s="276" t="s">
        <v>107</v>
      </c>
      <c r="B63" s="272">
        <v>30</v>
      </c>
      <c r="C63" s="272">
        <v>37</v>
      </c>
      <c r="D63" s="272">
        <v>1090</v>
      </c>
      <c r="E63" s="272">
        <v>7140</v>
      </c>
      <c r="F63" s="272">
        <v>1884</v>
      </c>
      <c r="G63" s="272">
        <v>13612</v>
      </c>
      <c r="H63" s="275">
        <v>16508</v>
      </c>
      <c r="I63" s="654">
        <v>81253</v>
      </c>
      <c r="J63" s="275">
        <v>436</v>
      </c>
      <c r="K63" s="654">
        <v>287</v>
      </c>
    </row>
    <row r="64" spans="1:11" hidden="1">
      <c r="A64" s="276" t="s">
        <v>108</v>
      </c>
      <c r="B64" s="272">
        <v>346</v>
      </c>
      <c r="C64" s="272">
        <v>305</v>
      </c>
      <c r="D64" s="272">
        <v>1896</v>
      </c>
      <c r="E64" s="272">
        <v>5289</v>
      </c>
      <c r="F64" s="272">
        <v>18814</v>
      </c>
      <c r="G64" s="272">
        <v>8064</v>
      </c>
      <c r="H64" s="275">
        <v>38274</v>
      </c>
      <c r="I64" s="654">
        <v>77097</v>
      </c>
      <c r="J64" s="275">
        <v>218</v>
      </c>
      <c r="K64" s="654">
        <v>58</v>
      </c>
    </row>
    <row r="65" spans="1:11" hidden="1">
      <c r="A65" s="276" t="s">
        <v>109</v>
      </c>
      <c r="B65" s="272">
        <v>7</v>
      </c>
      <c r="C65" s="272">
        <v>1</v>
      </c>
      <c r="D65" s="272">
        <v>718</v>
      </c>
      <c r="E65" s="272">
        <v>1736</v>
      </c>
      <c r="F65" s="272">
        <v>6755</v>
      </c>
      <c r="G65" s="272">
        <v>2430</v>
      </c>
      <c r="H65" s="275">
        <v>10197</v>
      </c>
      <c r="I65" s="654">
        <v>31992</v>
      </c>
      <c r="J65" s="275">
        <v>171</v>
      </c>
      <c r="K65" s="654">
        <v>90</v>
      </c>
    </row>
    <row r="66" spans="1:11" hidden="1">
      <c r="A66" s="276" t="s">
        <v>110</v>
      </c>
      <c r="B66" s="260">
        <v>18</v>
      </c>
      <c r="C66" s="650">
        <v>8</v>
      </c>
      <c r="D66" s="260">
        <v>202</v>
      </c>
      <c r="E66" s="650">
        <v>608</v>
      </c>
      <c r="F66" s="272">
        <v>5110</v>
      </c>
      <c r="G66" s="650">
        <v>1990</v>
      </c>
      <c r="H66" s="275">
        <v>2413</v>
      </c>
      <c r="I66" s="654">
        <v>14219</v>
      </c>
      <c r="J66" s="275">
        <v>85</v>
      </c>
      <c r="K66" s="654">
        <v>60</v>
      </c>
    </row>
    <row r="67" spans="1:11" hidden="1">
      <c r="A67" s="276"/>
      <c r="F67" s="272"/>
      <c r="H67" s="275"/>
      <c r="I67" s="654"/>
      <c r="J67" s="275"/>
      <c r="K67" s="654"/>
    </row>
    <row r="68" spans="1:11" hidden="1">
      <c r="A68" s="287">
        <v>2016</v>
      </c>
      <c r="B68" s="274">
        <f t="shared" ref="B68:G68" si="4">SUM(B69:B80)</f>
        <v>424</v>
      </c>
      <c r="C68" s="652">
        <f t="shared" si="4"/>
        <v>253</v>
      </c>
      <c r="D68" s="274">
        <f t="shared" si="4"/>
        <v>10293</v>
      </c>
      <c r="E68" s="652">
        <f t="shared" si="4"/>
        <v>64470</v>
      </c>
      <c r="F68" s="274">
        <f t="shared" si="4"/>
        <v>23621</v>
      </c>
      <c r="G68" s="652">
        <f t="shared" si="4"/>
        <v>121180</v>
      </c>
      <c r="H68" s="274">
        <f>SUM(H69:H80)</f>
        <v>197495</v>
      </c>
      <c r="I68" s="652">
        <f>SUM(I69:I80)</f>
        <v>753052</v>
      </c>
      <c r="J68" s="274">
        <f>SUM(J69:J80)</f>
        <v>2762</v>
      </c>
      <c r="K68" s="652">
        <f>SUM(K69:K80)</f>
        <v>2438</v>
      </c>
    </row>
    <row r="69" spans="1:11" ht="21.95" hidden="1" customHeight="1">
      <c r="A69" s="268" t="s">
        <v>300</v>
      </c>
      <c r="B69" s="275">
        <v>14</v>
      </c>
      <c r="C69" s="654">
        <v>44</v>
      </c>
      <c r="D69" s="275">
        <v>526</v>
      </c>
      <c r="E69" s="654">
        <v>900</v>
      </c>
      <c r="F69" s="275">
        <v>450</v>
      </c>
      <c r="G69" s="654">
        <v>726</v>
      </c>
      <c r="H69" s="275">
        <v>899</v>
      </c>
      <c r="I69" s="654">
        <v>1829</v>
      </c>
      <c r="J69" s="275">
        <v>6</v>
      </c>
      <c r="K69" s="654">
        <v>1</v>
      </c>
    </row>
    <row r="70" spans="1:11" ht="21.95" hidden="1" customHeight="1">
      <c r="A70" s="276" t="s">
        <v>100</v>
      </c>
      <c r="B70" s="275">
        <v>55</v>
      </c>
      <c r="C70" s="654">
        <v>61</v>
      </c>
      <c r="D70" s="275">
        <v>1696</v>
      </c>
      <c r="E70" s="654">
        <v>10805</v>
      </c>
      <c r="F70" s="275">
        <v>4666</v>
      </c>
      <c r="G70" s="654">
        <v>22368</v>
      </c>
      <c r="H70" s="275">
        <v>36872</v>
      </c>
      <c r="I70" s="654">
        <v>93359</v>
      </c>
      <c r="J70" s="275">
        <v>489</v>
      </c>
      <c r="K70" s="654">
        <v>240</v>
      </c>
    </row>
    <row r="71" spans="1:11" ht="21.95" hidden="1" customHeight="1">
      <c r="A71" s="276" t="s">
        <v>101</v>
      </c>
      <c r="B71" s="275">
        <v>16</v>
      </c>
      <c r="C71" s="654">
        <v>6</v>
      </c>
      <c r="D71" s="275">
        <v>638</v>
      </c>
      <c r="E71" s="654">
        <v>3585</v>
      </c>
      <c r="F71" s="275">
        <v>1816</v>
      </c>
      <c r="G71" s="654">
        <v>8440</v>
      </c>
      <c r="H71" s="275">
        <v>14344</v>
      </c>
      <c r="I71" s="654">
        <v>55025</v>
      </c>
      <c r="J71" s="275">
        <v>29</v>
      </c>
      <c r="K71" s="654">
        <v>95</v>
      </c>
    </row>
    <row r="72" spans="1:11" ht="21.95" hidden="1" customHeight="1">
      <c r="A72" s="276" t="s">
        <v>102</v>
      </c>
      <c r="B72" s="275">
        <v>21</v>
      </c>
      <c r="C72" s="654">
        <v>21</v>
      </c>
      <c r="D72" s="275">
        <v>814</v>
      </c>
      <c r="E72" s="654">
        <v>5395</v>
      </c>
      <c r="F72" s="275">
        <v>1562</v>
      </c>
      <c r="G72" s="654">
        <v>7730</v>
      </c>
      <c r="H72" s="275">
        <v>14766</v>
      </c>
      <c r="I72" s="654">
        <v>66805</v>
      </c>
      <c r="J72" s="275">
        <v>68</v>
      </c>
      <c r="K72" s="654">
        <v>24</v>
      </c>
    </row>
    <row r="73" spans="1:11" ht="21.95" hidden="1" customHeight="1">
      <c r="A73" s="276" t="s">
        <v>103</v>
      </c>
      <c r="B73" s="275">
        <v>18</v>
      </c>
      <c r="C73" s="654">
        <v>13</v>
      </c>
      <c r="D73" s="275">
        <v>868</v>
      </c>
      <c r="E73" s="654">
        <v>6935</v>
      </c>
      <c r="F73" s="275">
        <v>1848</v>
      </c>
      <c r="G73" s="654">
        <v>11306</v>
      </c>
      <c r="H73" s="275">
        <v>14444</v>
      </c>
      <c r="I73" s="654">
        <v>73923</v>
      </c>
      <c r="J73" s="275">
        <v>462</v>
      </c>
      <c r="K73" s="654">
        <v>369</v>
      </c>
    </row>
    <row r="74" spans="1:11" ht="21.95" hidden="1" customHeight="1">
      <c r="A74" s="276" t="s">
        <v>104</v>
      </c>
      <c r="B74" s="275">
        <v>7</v>
      </c>
      <c r="C74" s="654">
        <v>2</v>
      </c>
      <c r="D74" s="275">
        <v>626</v>
      </c>
      <c r="E74" s="654">
        <v>5215</v>
      </c>
      <c r="F74" s="275">
        <v>1350</v>
      </c>
      <c r="G74" s="654">
        <v>11934</v>
      </c>
      <c r="H74" s="275">
        <v>9467</v>
      </c>
      <c r="I74" s="654">
        <v>72701</v>
      </c>
      <c r="J74" s="275">
        <v>563</v>
      </c>
      <c r="K74" s="654">
        <v>833</v>
      </c>
    </row>
    <row r="75" spans="1:11" ht="21.95" hidden="1" customHeight="1">
      <c r="A75" s="276" t="s">
        <v>105</v>
      </c>
      <c r="B75" s="275">
        <v>26</v>
      </c>
      <c r="C75" s="654">
        <v>11</v>
      </c>
      <c r="D75" s="275">
        <v>858</v>
      </c>
      <c r="E75" s="654">
        <v>4945</v>
      </c>
      <c r="F75" s="275">
        <v>2550</v>
      </c>
      <c r="G75" s="654">
        <v>11172</v>
      </c>
      <c r="H75" s="275">
        <v>17578</v>
      </c>
      <c r="I75" s="654">
        <v>103654</v>
      </c>
      <c r="J75" s="275">
        <v>126</v>
      </c>
      <c r="K75" s="654">
        <v>160</v>
      </c>
    </row>
    <row r="76" spans="1:11" ht="21.95" hidden="1" customHeight="1">
      <c r="A76" s="276" t="s">
        <v>106</v>
      </c>
      <c r="B76" s="275">
        <v>11</v>
      </c>
      <c r="C76" s="654">
        <v>19</v>
      </c>
      <c r="D76" s="275">
        <v>538</v>
      </c>
      <c r="E76" s="654">
        <v>4760</v>
      </c>
      <c r="F76" s="275">
        <v>941</v>
      </c>
      <c r="G76" s="654">
        <v>5192</v>
      </c>
      <c r="H76" s="275">
        <v>6073</v>
      </c>
      <c r="I76" s="654">
        <v>33429</v>
      </c>
      <c r="J76" s="275">
        <v>41</v>
      </c>
      <c r="K76" s="654">
        <v>44</v>
      </c>
    </row>
    <row r="77" spans="1:11" ht="21.95" hidden="1" customHeight="1">
      <c r="A77" s="276" t="s">
        <v>107</v>
      </c>
      <c r="B77" s="275">
        <v>24</v>
      </c>
      <c r="C77" s="654">
        <v>19</v>
      </c>
      <c r="D77" s="275">
        <v>986</v>
      </c>
      <c r="E77" s="654">
        <v>7695</v>
      </c>
      <c r="F77" s="275">
        <v>1688</v>
      </c>
      <c r="G77" s="654">
        <v>12598</v>
      </c>
      <c r="H77" s="275">
        <v>19254</v>
      </c>
      <c r="I77" s="654">
        <v>93531</v>
      </c>
      <c r="J77" s="275">
        <v>350</v>
      </c>
      <c r="K77" s="654">
        <v>391</v>
      </c>
    </row>
    <row r="78" spans="1:11" ht="21.95" hidden="1" customHeight="1">
      <c r="A78" s="276" t="s">
        <v>108</v>
      </c>
      <c r="B78" s="275">
        <v>202</v>
      </c>
      <c r="C78" s="654">
        <v>49</v>
      </c>
      <c r="D78" s="275">
        <v>1774</v>
      </c>
      <c r="E78" s="654">
        <v>8690</v>
      </c>
      <c r="F78" s="275">
        <v>4658</v>
      </c>
      <c r="G78" s="654">
        <v>18606</v>
      </c>
      <c r="H78" s="275">
        <v>50793</v>
      </c>
      <c r="I78" s="654">
        <v>109585</v>
      </c>
      <c r="J78" s="275">
        <v>313</v>
      </c>
      <c r="K78" s="654">
        <v>122</v>
      </c>
    </row>
    <row r="79" spans="1:11" ht="21.95" hidden="1" customHeight="1">
      <c r="A79" s="276" t="s">
        <v>109</v>
      </c>
      <c r="B79" s="275">
        <v>20</v>
      </c>
      <c r="C79" s="654">
        <v>4</v>
      </c>
      <c r="D79" s="275">
        <v>725</v>
      </c>
      <c r="E79" s="654">
        <v>3285</v>
      </c>
      <c r="F79" s="275">
        <v>1660</v>
      </c>
      <c r="G79" s="654">
        <v>6574</v>
      </c>
      <c r="H79" s="275">
        <v>10717</v>
      </c>
      <c r="I79" s="654">
        <v>34317</v>
      </c>
      <c r="J79" s="275">
        <v>228</v>
      </c>
      <c r="K79" s="654">
        <v>96</v>
      </c>
    </row>
    <row r="80" spans="1:11" ht="21.95" hidden="1" customHeight="1">
      <c r="A80" s="276" t="s">
        <v>110</v>
      </c>
      <c r="B80" s="275">
        <v>10</v>
      </c>
      <c r="C80" s="654">
        <v>4</v>
      </c>
      <c r="D80" s="275">
        <v>244</v>
      </c>
      <c r="E80" s="654">
        <v>2260</v>
      </c>
      <c r="F80" s="275">
        <v>432</v>
      </c>
      <c r="G80" s="654">
        <v>4534</v>
      </c>
      <c r="H80" s="275">
        <v>2288</v>
      </c>
      <c r="I80" s="654">
        <v>14894</v>
      </c>
      <c r="J80" s="275">
        <v>87</v>
      </c>
      <c r="K80" s="654">
        <v>63</v>
      </c>
    </row>
    <row r="81" spans="1:24" ht="21.95" hidden="1" customHeight="1">
      <c r="A81" s="276"/>
      <c r="B81" s="274"/>
      <c r="C81" s="652"/>
      <c r="D81" s="274"/>
      <c r="E81" s="652"/>
      <c r="F81" s="274"/>
      <c r="G81" s="652"/>
      <c r="H81" s="275"/>
      <c r="I81" s="654"/>
      <c r="J81" s="275"/>
      <c r="K81" s="654"/>
    </row>
    <row r="82" spans="1:24" ht="21.95" hidden="1" customHeight="1">
      <c r="A82" s="287">
        <v>2017</v>
      </c>
      <c r="B82" s="274">
        <f t="shared" ref="B82:K82" si="5">SUM(B83:B94)</f>
        <v>182</v>
      </c>
      <c r="C82" s="652">
        <f t="shared" si="5"/>
        <v>164</v>
      </c>
      <c r="D82" s="274">
        <f t="shared" si="5"/>
        <v>4697</v>
      </c>
      <c r="E82" s="652">
        <f t="shared" si="5"/>
        <v>10751</v>
      </c>
      <c r="F82" s="274">
        <f t="shared" si="5"/>
        <v>12736</v>
      </c>
      <c r="G82" s="652">
        <f t="shared" si="5"/>
        <v>61109</v>
      </c>
      <c r="H82" s="274">
        <f t="shared" si="5"/>
        <v>17661</v>
      </c>
      <c r="I82" s="652">
        <f t="shared" si="5"/>
        <v>23907</v>
      </c>
      <c r="J82" s="274">
        <f t="shared" si="5"/>
        <v>3155</v>
      </c>
      <c r="K82" s="652">
        <f t="shared" si="5"/>
        <v>2161</v>
      </c>
    </row>
    <row r="83" spans="1:24" ht="21.95" hidden="1" customHeight="1">
      <c r="A83" s="268" t="s">
        <v>300</v>
      </c>
      <c r="B83" s="275">
        <v>6</v>
      </c>
      <c r="C83" s="654">
        <v>9</v>
      </c>
      <c r="D83" s="275">
        <v>237</v>
      </c>
      <c r="E83" s="654">
        <v>157</v>
      </c>
      <c r="F83" s="275">
        <v>133</v>
      </c>
      <c r="G83" s="654">
        <v>306</v>
      </c>
      <c r="H83" s="275">
        <v>141</v>
      </c>
      <c r="I83" s="654">
        <v>150</v>
      </c>
      <c r="J83" s="275">
        <v>43</v>
      </c>
      <c r="K83" s="272" t="s">
        <v>13</v>
      </c>
    </row>
    <row r="84" spans="1:24" ht="21.95" hidden="1" customHeight="1">
      <c r="A84" s="276" t="s">
        <v>100</v>
      </c>
      <c r="B84" s="275">
        <v>31</v>
      </c>
      <c r="C84" s="654">
        <v>49</v>
      </c>
      <c r="D84" s="275">
        <v>829</v>
      </c>
      <c r="E84" s="654">
        <v>2181</v>
      </c>
      <c r="F84" s="275">
        <v>2331</v>
      </c>
      <c r="G84" s="654">
        <v>12862</v>
      </c>
      <c r="H84" s="275">
        <v>2958</v>
      </c>
      <c r="I84" s="654">
        <v>2920</v>
      </c>
      <c r="J84" s="275">
        <v>513</v>
      </c>
      <c r="K84" s="654">
        <v>392</v>
      </c>
    </row>
    <row r="85" spans="1:24" ht="21.95" hidden="1" customHeight="1">
      <c r="A85" s="276" t="s">
        <v>101</v>
      </c>
      <c r="B85" s="275">
        <v>16</v>
      </c>
      <c r="C85" s="654">
        <v>6</v>
      </c>
      <c r="D85" s="275">
        <v>400</v>
      </c>
      <c r="E85" s="654">
        <v>637</v>
      </c>
      <c r="F85" s="275">
        <v>1001</v>
      </c>
      <c r="G85" s="654">
        <v>3733</v>
      </c>
      <c r="H85" s="275">
        <v>1588</v>
      </c>
      <c r="I85" s="654">
        <v>1767</v>
      </c>
      <c r="J85" s="275">
        <v>47</v>
      </c>
      <c r="K85" s="654">
        <v>63</v>
      </c>
    </row>
    <row r="86" spans="1:24" ht="21.95" hidden="1" customHeight="1">
      <c r="A86" s="276" t="s">
        <v>102</v>
      </c>
      <c r="B86" s="275">
        <v>7</v>
      </c>
      <c r="C86" s="654">
        <v>13</v>
      </c>
      <c r="D86" s="275">
        <v>335</v>
      </c>
      <c r="E86" s="654">
        <v>817</v>
      </c>
      <c r="F86" s="275">
        <v>800</v>
      </c>
      <c r="G86" s="654">
        <v>3405</v>
      </c>
      <c r="H86" s="275">
        <v>1158</v>
      </c>
      <c r="I86" s="654">
        <v>1556</v>
      </c>
      <c r="J86" s="275">
        <v>113</v>
      </c>
      <c r="K86" s="654">
        <v>36</v>
      </c>
    </row>
    <row r="87" spans="1:24" ht="21.95" hidden="1" customHeight="1">
      <c r="A87" s="276" t="s">
        <v>103</v>
      </c>
      <c r="B87" s="275">
        <v>3</v>
      </c>
      <c r="C87" s="654">
        <v>12</v>
      </c>
      <c r="D87" s="275">
        <v>406</v>
      </c>
      <c r="E87" s="654">
        <v>1275</v>
      </c>
      <c r="F87" s="275">
        <v>1030</v>
      </c>
      <c r="G87" s="654">
        <v>5521</v>
      </c>
      <c r="H87" s="275">
        <v>1815</v>
      </c>
      <c r="I87" s="654">
        <v>1766</v>
      </c>
      <c r="J87" s="275">
        <v>798</v>
      </c>
      <c r="K87" s="654">
        <v>275</v>
      </c>
    </row>
    <row r="88" spans="1:24" ht="21.95" hidden="1" customHeight="1">
      <c r="A88" s="276" t="s">
        <v>104</v>
      </c>
      <c r="B88" s="275">
        <v>1</v>
      </c>
      <c r="C88" s="654">
        <v>3</v>
      </c>
      <c r="D88" s="275">
        <v>268</v>
      </c>
      <c r="E88" s="654">
        <v>451</v>
      </c>
      <c r="F88" s="275">
        <v>779</v>
      </c>
      <c r="G88" s="654">
        <v>5928</v>
      </c>
      <c r="H88" s="275">
        <v>739</v>
      </c>
      <c r="I88" s="654">
        <v>1924</v>
      </c>
      <c r="J88" s="275">
        <v>401</v>
      </c>
      <c r="K88" s="654">
        <v>660</v>
      </c>
    </row>
    <row r="89" spans="1:24" ht="21.95" hidden="1" customHeight="1">
      <c r="A89" s="276" t="s">
        <v>105</v>
      </c>
      <c r="B89" s="275">
        <v>18</v>
      </c>
      <c r="C89" s="654">
        <v>8</v>
      </c>
      <c r="D89" s="275">
        <v>370</v>
      </c>
      <c r="E89" s="654">
        <v>573</v>
      </c>
      <c r="F89" s="275">
        <v>1335</v>
      </c>
      <c r="G89" s="654">
        <v>5658</v>
      </c>
      <c r="H89" s="275">
        <v>1638</v>
      </c>
      <c r="I89" s="654">
        <v>3906</v>
      </c>
      <c r="J89" s="275">
        <v>142</v>
      </c>
      <c r="K89" s="272">
        <v>100</v>
      </c>
    </row>
    <row r="90" spans="1:24" ht="21.95" hidden="1" customHeight="1">
      <c r="A90" s="276" t="s">
        <v>106</v>
      </c>
      <c r="B90" s="275">
        <v>5</v>
      </c>
      <c r="C90" s="654">
        <v>11</v>
      </c>
      <c r="D90" s="275">
        <v>216</v>
      </c>
      <c r="E90" s="654">
        <v>722</v>
      </c>
      <c r="F90" s="275">
        <v>430</v>
      </c>
      <c r="G90" s="654">
        <v>2493</v>
      </c>
      <c r="H90" s="275">
        <v>995</v>
      </c>
      <c r="I90" s="654">
        <v>1488</v>
      </c>
      <c r="J90" s="275">
        <v>115</v>
      </c>
      <c r="K90" s="654">
        <v>38</v>
      </c>
    </row>
    <row r="91" spans="1:24" ht="21.95" hidden="1" customHeight="1">
      <c r="A91" s="276" t="s">
        <v>107</v>
      </c>
      <c r="B91" s="275">
        <v>8</v>
      </c>
      <c r="C91" s="654">
        <v>9</v>
      </c>
      <c r="D91" s="275">
        <v>477</v>
      </c>
      <c r="E91" s="654">
        <v>1597</v>
      </c>
      <c r="F91" s="275">
        <v>846</v>
      </c>
      <c r="G91" s="654">
        <v>5493</v>
      </c>
      <c r="H91" s="275">
        <v>1664</v>
      </c>
      <c r="I91" s="654">
        <v>3172</v>
      </c>
      <c r="J91" s="275">
        <v>263</v>
      </c>
      <c r="K91" s="654">
        <v>238</v>
      </c>
    </row>
    <row r="92" spans="1:24" ht="21.95" hidden="1" customHeight="1">
      <c r="A92" s="276" t="s">
        <v>108</v>
      </c>
      <c r="B92" s="275">
        <v>78</v>
      </c>
      <c r="C92" s="654">
        <v>42</v>
      </c>
      <c r="D92" s="275">
        <v>727</v>
      </c>
      <c r="E92" s="654">
        <v>1533</v>
      </c>
      <c r="F92" s="275">
        <v>2886</v>
      </c>
      <c r="G92" s="654">
        <v>10453</v>
      </c>
      <c r="H92" s="275">
        <v>3773</v>
      </c>
      <c r="I92" s="654">
        <v>3702</v>
      </c>
      <c r="J92" s="275">
        <v>365</v>
      </c>
      <c r="K92" s="654">
        <v>251</v>
      </c>
    </row>
    <row r="93" spans="1:24" ht="21.95" hidden="1" customHeight="1">
      <c r="A93" s="276" t="s">
        <v>109</v>
      </c>
      <c r="B93" s="275">
        <v>7</v>
      </c>
      <c r="C93" s="654">
        <v>1</v>
      </c>
      <c r="D93" s="275">
        <v>342</v>
      </c>
      <c r="E93" s="654">
        <v>409</v>
      </c>
      <c r="F93" s="275">
        <v>952</v>
      </c>
      <c r="G93" s="654">
        <v>3101</v>
      </c>
      <c r="H93" s="275">
        <v>1015</v>
      </c>
      <c r="I93" s="654">
        <v>1057</v>
      </c>
      <c r="J93" s="275">
        <v>306</v>
      </c>
      <c r="K93" s="654">
        <v>90</v>
      </c>
    </row>
    <row r="94" spans="1:24" ht="21.95" hidden="1" customHeight="1">
      <c r="A94" s="276" t="s">
        <v>110</v>
      </c>
      <c r="B94" s="275">
        <v>2</v>
      </c>
      <c r="C94" s="654">
        <v>1</v>
      </c>
      <c r="D94" s="275">
        <v>90</v>
      </c>
      <c r="E94" s="654">
        <v>399</v>
      </c>
      <c r="F94" s="275">
        <v>213</v>
      </c>
      <c r="G94" s="654">
        <v>2156</v>
      </c>
      <c r="H94" s="275">
        <v>177</v>
      </c>
      <c r="I94" s="654">
        <v>499</v>
      </c>
      <c r="J94" s="275">
        <v>49</v>
      </c>
      <c r="K94" s="654">
        <v>18</v>
      </c>
    </row>
    <row r="95" spans="1:24" ht="4.5" hidden="1" customHeight="1">
      <c r="A95" s="280"/>
      <c r="B95" s="281"/>
      <c r="C95" s="130"/>
      <c r="D95" s="282"/>
      <c r="E95" s="657"/>
      <c r="F95" s="282"/>
      <c r="G95" s="657"/>
      <c r="H95" s="282"/>
      <c r="I95" s="657"/>
      <c r="J95" s="282"/>
      <c r="K95" s="657"/>
    </row>
    <row r="96" spans="1:24" ht="10.5" hidden="1" customHeight="1">
      <c r="G96" s="660" t="s">
        <v>353</v>
      </c>
      <c r="H96" s="403"/>
      <c r="I96" s="403"/>
      <c r="J96" s="403"/>
      <c r="K96" s="660" t="s">
        <v>353</v>
      </c>
      <c r="L96" s="289"/>
      <c r="V96" s="285"/>
      <c r="X96" s="285"/>
    </row>
    <row r="97" spans="1:13" hidden="1">
      <c r="M97" s="286"/>
    </row>
    <row r="98" spans="1:13" hidden="1">
      <c r="M98" s="286"/>
    </row>
    <row r="99" spans="1:13" ht="13.5" customHeight="1">
      <c r="A99" s="788" t="s">
        <v>830</v>
      </c>
      <c r="B99" s="788"/>
      <c r="C99" s="788"/>
      <c r="D99" s="788"/>
      <c r="E99" s="788"/>
      <c r="F99" s="788"/>
      <c r="G99" s="788"/>
      <c r="H99" s="788"/>
      <c r="I99" s="788"/>
      <c r="J99" s="788"/>
      <c r="K99" s="788"/>
      <c r="L99" s="259"/>
    </row>
    <row r="100" spans="1:13" s="262" customFormat="1" ht="12" customHeight="1">
      <c r="A100" s="789" t="s">
        <v>831</v>
      </c>
      <c r="B100" s="789"/>
      <c r="C100" s="789"/>
      <c r="D100" s="789"/>
      <c r="E100" s="789"/>
      <c r="F100" s="789"/>
      <c r="G100" s="789"/>
      <c r="H100" s="789"/>
      <c r="I100" s="789"/>
      <c r="J100" s="789"/>
      <c r="K100" s="789"/>
      <c r="L100" s="261"/>
    </row>
    <row r="101" spans="1:13" ht="5.0999999999999996" customHeight="1">
      <c r="A101" s="263"/>
      <c r="B101" s="264"/>
      <c r="C101" s="649"/>
      <c r="D101" s="264"/>
      <c r="E101" s="649"/>
      <c r="F101" s="265"/>
      <c r="G101" s="659"/>
      <c r="H101" s="265"/>
      <c r="I101" s="659"/>
      <c r="J101" s="265"/>
      <c r="K101" s="662"/>
    </row>
    <row r="102" spans="1:13" ht="13.5" customHeight="1">
      <c r="A102" s="773" t="s">
        <v>77</v>
      </c>
      <c r="B102" s="775" t="s">
        <v>825</v>
      </c>
      <c r="C102" s="776"/>
      <c r="D102" s="776"/>
      <c r="E102" s="776"/>
      <c r="F102" s="776"/>
      <c r="G102" s="776"/>
      <c r="H102" s="779" t="s">
        <v>825</v>
      </c>
      <c r="I102" s="776"/>
      <c r="J102" s="776"/>
      <c r="K102" s="776"/>
      <c r="M102" s="438"/>
    </row>
    <row r="103" spans="1:13" ht="8.1" customHeight="1">
      <c r="A103" s="774"/>
      <c r="B103" s="780" t="s">
        <v>1</v>
      </c>
      <c r="C103" s="780"/>
      <c r="D103" s="782" t="s">
        <v>828</v>
      </c>
      <c r="E103" s="782"/>
      <c r="F103" s="780" t="s">
        <v>43</v>
      </c>
      <c r="G103" s="780"/>
      <c r="H103" s="784" t="s">
        <v>826</v>
      </c>
      <c r="I103" s="780"/>
      <c r="J103" s="777" t="s">
        <v>827</v>
      </c>
      <c r="K103" s="777"/>
    </row>
    <row r="104" spans="1:13" ht="8.1" customHeight="1">
      <c r="A104" s="774"/>
      <c r="B104" s="781"/>
      <c r="C104" s="781"/>
      <c r="D104" s="783"/>
      <c r="E104" s="783"/>
      <c r="F104" s="781"/>
      <c r="G104" s="781"/>
      <c r="H104" s="785"/>
      <c r="I104" s="786"/>
      <c r="J104" s="787"/>
      <c r="K104" s="787"/>
    </row>
    <row r="105" spans="1:13" ht="9.75" customHeight="1">
      <c r="A105" s="774"/>
      <c r="B105" s="266" t="s">
        <v>51</v>
      </c>
      <c r="C105" s="267" t="s">
        <v>56</v>
      </c>
      <c r="D105" s="266" t="s">
        <v>51</v>
      </c>
      <c r="E105" s="267" t="s">
        <v>56</v>
      </c>
      <c r="F105" s="266" t="s">
        <v>51</v>
      </c>
      <c r="G105" s="267" t="s">
        <v>56</v>
      </c>
      <c r="H105" s="646" t="s">
        <v>51</v>
      </c>
      <c r="I105" s="647" t="s">
        <v>56</v>
      </c>
      <c r="J105" s="646" t="s">
        <v>51</v>
      </c>
      <c r="K105" s="647" t="s">
        <v>56</v>
      </c>
    </row>
    <row r="106" spans="1:13" ht="4.5" customHeight="1">
      <c r="A106" s="268"/>
      <c r="B106" s="269"/>
      <c r="C106" s="270"/>
      <c r="D106" s="269"/>
      <c r="E106" s="270"/>
      <c r="F106" s="269"/>
      <c r="G106" s="270"/>
      <c r="H106" s="269"/>
      <c r="I106" s="270"/>
      <c r="J106" s="269"/>
      <c r="K106" s="270"/>
    </row>
    <row r="107" spans="1:13" hidden="1">
      <c r="A107" s="271">
        <v>2012</v>
      </c>
      <c r="B107" s="272"/>
      <c r="C107" s="272"/>
      <c r="D107" s="272"/>
      <c r="E107" s="272"/>
      <c r="F107" s="272"/>
      <c r="G107" s="272"/>
    </row>
    <row r="108" spans="1:13" hidden="1">
      <c r="A108" s="271" t="s">
        <v>42</v>
      </c>
      <c r="B108" s="273">
        <f t="shared" ref="B108:G108" si="6">SUM(B109:B120)</f>
        <v>202</v>
      </c>
      <c r="C108" s="273">
        <f t="shared" si="6"/>
        <v>333</v>
      </c>
      <c r="D108" s="273">
        <f t="shared" si="6"/>
        <v>7985</v>
      </c>
      <c r="E108" s="273">
        <f t="shared" si="6"/>
        <v>14859</v>
      </c>
      <c r="F108" s="273">
        <f t="shared" si="6"/>
        <v>10041</v>
      </c>
      <c r="G108" s="273">
        <f t="shared" si="6"/>
        <v>59946</v>
      </c>
      <c r="H108" s="274">
        <f>SUM(H109:H120)</f>
        <v>10734</v>
      </c>
      <c r="I108" s="652">
        <f>SUM(I109:I120)</f>
        <v>13766</v>
      </c>
      <c r="J108" s="274">
        <f>SUM(J109:J120)</f>
        <v>2872</v>
      </c>
      <c r="K108" s="652">
        <f>SUM(K109:K120)</f>
        <v>1533</v>
      </c>
    </row>
    <row r="109" spans="1:13" ht="38.25" hidden="1">
      <c r="A109" s="268" t="s">
        <v>300</v>
      </c>
      <c r="B109" s="272">
        <v>27</v>
      </c>
      <c r="C109" s="272">
        <v>21</v>
      </c>
      <c r="D109" s="272">
        <v>291</v>
      </c>
      <c r="E109" s="272">
        <v>384</v>
      </c>
      <c r="F109" s="272">
        <v>537</v>
      </c>
      <c r="G109" s="272">
        <v>774</v>
      </c>
      <c r="H109" s="275">
        <v>75</v>
      </c>
      <c r="I109" s="654">
        <v>67</v>
      </c>
      <c r="J109" s="275">
        <v>5</v>
      </c>
      <c r="K109" s="654">
        <v>1</v>
      </c>
    </row>
    <row r="110" spans="1:13" hidden="1">
      <c r="A110" s="276" t="s">
        <v>100</v>
      </c>
      <c r="B110" s="272">
        <v>8</v>
      </c>
      <c r="C110" s="272">
        <v>42</v>
      </c>
      <c r="D110" s="272">
        <v>1073</v>
      </c>
      <c r="E110" s="272">
        <v>2668</v>
      </c>
      <c r="F110" s="272">
        <v>1628</v>
      </c>
      <c r="G110" s="272">
        <v>11714</v>
      </c>
      <c r="H110" s="275">
        <v>1473</v>
      </c>
      <c r="I110" s="654">
        <v>1668</v>
      </c>
      <c r="J110" s="275">
        <v>723</v>
      </c>
      <c r="K110" s="654">
        <v>273</v>
      </c>
    </row>
    <row r="111" spans="1:13" hidden="1">
      <c r="A111" s="276" t="s">
        <v>101</v>
      </c>
      <c r="B111" s="272">
        <v>25</v>
      </c>
      <c r="C111" s="272">
        <v>33</v>
      </c>
      <c r="D111" s="272">
        <v>696</v>
      </c>
      <c r="E111" s="272">
        <v>1099</v>
      </c>
      <c r="F111" s="272">
        <v>476</v>
      </c>
      <c r="G111" s="272">
        <v>4308</v>
      </c>
      <c r="H111" s="275">
        <v>1007</v>
      </c>
      <c r="I111" s="654">
        <v>1561</v>
      </c>
      <c r="J111" s="275">
        <v>89</v>
      </c>
      <c r="K111" s="654">
        <v>45</v>
      </c>
    </row>
    <row r="112" spans="1:13" hidden="1">
      <c r="A112" s="276" t="s">
        <v>102</v>
      </c>
      <c r="B112" s="272"/>
      <c r="C112" s="272">
        <v>38</v>
      </c>
      <c r="D112" s="272">
        <v>357</v>
      </c>
      <c r="E112" s="272">
        <v>777</v>
      </c>
      <c r="F112" s="272">
        <v>707</v>
      </c>
      <c r="G112" s="272">
        <v>3922</v>
      </c>
      <c r="H112" s="275">
        <v>612</v>
      </c>
      <c r="I112" s="654">
        <v>544</v>
      </c>
      <c r="J112" s="275">
        <v>100</v>
      </c>
      <c r="K112" s="654">
        <v>19</v>
      </c>
    </row>
    <row r="113" spans="1:11" hidden="1">
      <c r="A113" s="276" t="s">
        <v>103</v>
      </c>
      <c r="B113" s="272">
        <v>12</v>
      </c>
      <c r="C113" s="272">
        <v>49</v>
      </c>
      <c r="D113" s="272">
        <v>885</v>
      </c>
      <c r="E113" s="272">
        <v>1205</v>
      </c>
      <c r="F113" s="272">
        <v>426</v>
      </c>
      <c r="G113" s="272">
        <v>3812</v>
      </c>
      <c r="H113" s="275">
        <v>516</v>
      </c>
      <c r="I113" s="654">
        <v>662</v>
      </c>
      <c r="J113" s="275">
        <v>335</v>
      </c>
      <c r="K113" s="654">
        <v>238</v>
      </c>
    </row>
    <row r="114" spans="1:11" hidden="1">
      <c r="A114" s="276" t="s">
        <v>104</v>
      </c>
      <c r="B114" s="272">
        <v>3</v>
      </c>
      <c r="C114" s="272">
        <v>2</v>
      </c>
      <c r="D114" s="272">
        <v>439</v>
      </c>
      <c r="E114" s="272">
        <v>1272</v>
      </c>
      <c r="F114" s="272">
        <v>823</v>
      </c>
      <c r="G114" s="272">
        <v>6268</v>
      </c>
      <c r="H114" s="275">
        <v>928</v>
      </c>
      <c r="I114" s="654">
        <v>1119</v>
      </c>
      <c r="J114" s="275">
        <v>222</v>
      </c>
      <c r="K114" s="654">
        <v>53</v>
      </c>
    </row>
    <row r="115" spans="1:11" hidden="1">
      <c r="A115" s="276" t="s">
        <v>105</v>
      </c>
      <c r="B115" s="272">
        <v>34</v>
      </c>
      <c r="C115" s="272">
        <v>23</v>
      </c>
      <c r="D115" s="272">
        <v>695</v>
      </c>
      <c r="E115" s="272">
        <v>1086</v>
      </c>
      <c r="F115" s="272">
        <v>998</v>
      </c>
      <c r="G115" s="272">
        <v>5101</v>
      </c>
      <c r="H115" s="275">
        <v>971</v>
      </c>
      <c r="I115" s="654">
        <v>1877</v>
      </c>
      <c r="J115" s="275">
        <v>226</v>
      </c>
      <c r="K115" s="654">
        <v>211</v>
      </c>
    </row>
    <row r="116" spans="1:11" hidden="1">
      <c r="A116" s="276" t="s">
        <v>106</v>
      </c>
      <c r="B116" s="272">
        <v>8</v>
      </c>
      <c r="C116" s="272">
        <v>18</v>
      </c>
      <c r="D116" s="272">
        <v>413</v>
      </c>
      <c r="E116" s="272">
        <v>881</v>
      </c>
      <c r="F116" s="272">
        <v>351</v>
      </c>
      <c r="G116" s="272">
        <v>2271</v>
      </c>
      <c r="H116" s="275">
        <v>593</v>
      </c>
      <c r="I116" s="654">
        <v>760</v>
      </c>
      <c r="J116" s="275">
        <v>123</v>
      </c>
      <c r="K116" s="654">
        <v>83</v>
      </c>
    </row>
    <row r="117" spans="1:11" hidden="1">
      <c r="A117" s="276" t="s">
        <v>107</v>
      </c>
      <c r="B117" s="272">
        <v>21</v>
      </c>
      <c r="C117" s="272">
        <v>31</v>
      </c>
      <c r="D117" s="272">
        <v>732</v>
      </c>
      <c r="E117" s="272">
        <v>1642</v>
      </c>
      <c r="F117" s="272">
        <v>1108</v>
      </c>
      <c r="G117" s="272">
        <v>7406</v>
      </c>
      <c r="H117" s="275">
        <v>1473</v>
      </c>
      <c r="I117" s="654">
        <v>2340</v>
      </c>
      <c r="J117" s="275">
        <v>314</v>
      </c>
      <c r="K117" s="654">
        <v>241</v>
      </c>
    </row>
    <row r="118" spans="1:11" hidden="1">
      <c r="A118" s="276" t="s">
        <v>108</v>
      </c>
      <c r="B118" s="272">
        <v>56</v>
      </c>
      <c r="C118" s="272">
        <v>54</v>
      </c>
      <c r="D118" s="272">
        <v>1609</v>
      </c>
      <c r="E118" s="272">
        <v>2450</v>
      </c>
      <c r="F118" s="272">
        <v>1963</v>
      </c>
      <c r="G118" s="272">
        <v>9715</v>
      </c>
      <c r="H118" s="275">
        <v>2013</v>
      </c>
      <c r="I118" s="654">
        <v>1978</v>
      </c>
      <c r="J118" s="275">
        <v>391</v>
      </c>
      <c r="K118" s="654">
        <v>157</v>
      </c>
    </row>
    <row r="119" spans="1:11" hidden="1">
      <c r="A119" s="276" t="s">
        <v>109</v>
      </c>
      <c r="B119" s="272">
        <v>4</v>
      </c>
      <c r="C119" s="272">
        <v>3</v>
      </c>
      <c r="D119" s="272">
        <v>668</v>
      </c>
      <c r="E119" s="272">
        <v>915</v>
      </c>
      <c r="F119" s="272">
        <v>745</v>
      </c>
      <c r="G119" s="272">
        <v>2327</v>
      </c>
      <c r="H119" s="275">
        <v>862</v>
      </c>
      <c r="I119" s="654">
        <v>777</v>
      </c>
      <c r="J119" s="275">
        <v>288</v>
      </c>
      <c r="K119" s="654">
        <v>162</v>
      </c>
    </row>
    <row r="120" spans="1:11" hidden="1">
      <c r="A120" s="276" t="s">
        <v>110</v>
      </c>
      <c r="B120" s="260">
        <v>4</v>
      </c>
      <c r="C120" s="650">
        <v>19</v>
      </c>
      <c r="D120" s="260">
        <v>127</v>
      </c>
      <c r="E120" s="650">
        <v>480</v>
      </c>
      <c r="F120" s="272">
        <v>279</v>
      </c>
      <c r="G120" s="650">
        <v>2328</v>
      </c>
      <c r="H120" s="275">
        <v>211</v>
      </c>
      <c r="I120" s="654">
        <v>413</v>
      </c>
      <c r="J120" s="275">
        <v>56</v>
      </c>
      <c r="K120" s="654">
        <v>50</v>
      </c>
    </row>
    <row r="121" spans="1:11" hidden="1">
      <c r="A121" s="276"/>
      <c r="H121" s="275"/>
      <c r="I121" s="654"/>
      <c r="J121" s="275"/>
      <c r="K121" s="654"/>
    </row>
    <row r="122" spans="1:11" hidden="1">
      <c r="A122" s="271">
        <v>2013</v>
      </c>
      <c r="B122" s="272"/>
      <c r="C122" s="272"/>
      <c r="D122" s="272"/>
      <c r="E122" s="272"/>
      <c r="F122" s="272"/>
      <c r="G122" s="272"/>
      <c r="H122" s="275"/>
      <c r="I122" s="654"/>
      <c r="J122" s="275"/>
      <c r="K122" s="654"/>
    </row>
    <row r="123" spans="1:11" s="277" customFormat="1" hidden="1">
      <c r="A123" s="271" t="s">
        <v>42</v>
      </c>
      <c r="B123" s="277">
        <f t="shared" ref="B123:G123" si="7">SUM(B124:B136)</f>
        <v>313</v>
      </c>
      <c r="C123" s="651">
        <f t="shared" si="7"/>
        <v>337</v>
      </c>
      <c r="D123" s="277">
        <f t="shared" si="7"/>
        <v>6063</v>
      </c>
      <c r="E123" s="651">
        <f t="shared" si="7"/>
        <v>13359</v>
      </c>
      <c r="F123" s="277">
        <f t="shared" si="7"/>
        <v>10173</v>
      </c>
      <c r="G123" s="651">
        <f t="shared" si="7"/>
        <v>54969</v>
      </c>
      <c r="H123" s="277">
        <f>SUM(H124:H136)</f>
        <v>126502</v>
      </c>
      <c r="I123" s="651">
        <f>SUM(I124:I136)</f>
        <v>480826</v>
      </c>
      <c r="J123" s="277">
        <f>SUM(J124:J136)</f>
        <v>2632</v>
      </c>
      <c r="K123" s="651">
        <f>SUM(K124:K136)</f>
        <v>1531</v>
      </c>
    </row>
    <row r="124" spans="1:11" ht="38.25" hidden="1">
      <c r="A124" s="268" t="s">
        <v>300</v>
      </c>
      <c r="B124" s="272">
        <v>30</v>
      </c>
      <c r="C124" s="272">
        <v>36</v>
      </c>
      <c r="D124" s="272">
        <v>280</v>
      </c>
      <c r="E124" s="272">
        <v>335</v>
      </c>
      <c r="F124" s="272">
        <v>582</v>
      </c>
      <c r="G124" s="272">
        <v>641</v>
      </c>
      <c r="H124" s="275">
        <v>1567</v>
      </c>
      <c r="I124" s="654">
        <v>2649</v>
      </c>
      <c r="J124" s="275">
        <v>33</v>
      </c>
      <c r="K124" s="654">
        <v>0</v>
      </c>
    </row>
    <row r="125" spans="1:11" hidden="1">
      <c r="A125" s="276" t="s">
        <v>100</v>
      </c>
      <c r="B125" s="272">
        <v>46</v>
      </c>
      <c r="C125" s="272">
        <v>44</v>
      </c>
      <c r="D125" s="272">
        <v>915</v>
      </c>
      <c r="E125" s="272">
        <v>2195</v>
      </c>
      <c r="F125" s="272">
        <v>1646</v>
      </c>
      <c r="G125" s="272">
        <v>10954</v>
      </c>
      <c r="H125" s="275">
        <v>21087</v>
      </c>
      <c r="I125" s="654">
        <v>63953</v>
      </c>
      <c r="J125" s="275">
        <v>217</v>
      </c>
      <c r="K125" s="654">
        <v>116</v>
      </c>
    </row>
    <row r="126" spans="1:11" hidden="1">
      <c r="A126" s="276" t="s">
        <v>101</v>
      </c>
      <c r="B126" s="272">
        <v>27</v>
      </c>
      <c r="C126" s="272">
        <v>18</v>
      </c>
      <c r="D126" s="272">
        <v>391</v>
      </c>
      <c r="E126" s="272">
        <v>998</v>
      </c>
      <c r="F126" s="272">
        <v>768</v>
      </c>
      <c r="G126" s="272">
        <v>4581</v>
      </c>
      <c r="H126" s="275">
        <v>10725</v>
      </c>
      <c r="I126" s="654">
        <v>53816</v>
      </c>
      <c r="J126" s="275">
        <v>36</v>
      </c>
      <c r="K126" s="654">
        <v>22</v>
      </c>
    </row>
    <row r="127" spans="1:11" hidden="1">
      <c r="A127" s="276" t="s">
        <v>102</v>
      </c>
      <c r="B127" s="272">
        <v>11</v>
      </c>
      <c r="C127" s="272">
        <v>38</v>
      </c>
      <c r="D127" s="272">
        <v>416</v>
      </c>
      <c r="E127" s="272">
        <v>905</v>
      </c>
      <c r="F127" s="272">
        <v>666</v>
      </c>
      <c r="G127" s="272">
        <v>3794</v>
      </c>
      <c r="H127" s="275">
        <v>7874</v>
      </c>
      <c r="I127" s="654">
        <v>20405</v>
      </c>
      <c r="J127" s="275">
        <v>158</v>
      </c>
      <c r="K127" s="654">
        <v>29</v>
      </c>
    </row>
    <row r="128" spans="1:11" hidden="1">
      <c r="A128" s="276" t="s">
        <v>103</v>
      </c>
      <c r="B128" s="272">
        <v>21</v>
      </c>
      <c r="C128" s="272">
        <v>32</v>
      </c>
      <c r="D128" s="272">
        <v>486</v>
      </c>
      <c r="E128" s="272">
        <v>1491</v>
      </c>
      <c r="F128" s="272">
        <v>797</v>
      </c>
      <c r="G128" s="272">
        <v>5490</v>
      </c>
      <c r="H128" s="275">
        <v>7833</v>
      </c>
      <c r="I128" s="654">
        <v>40435</v>
      </c>
      <c r="J128" s="275">
        <v>507</v>
      </c>
      <c r="K128" s="654">
        <v>251</v>
      </c>
    </row>
    <row r="129" spans="1:11" hidden="1">
      <c r="A129" s="276" t="s">
        <v>104</v>
      </c>
      <c r="B129" s="272">
        <v>3</v>
      </c>
      <c r="C129" s="272">
        <v>8</v>
      </c>
      <c r="D129" s="272">
        <v>306</v>
      </c>
      <c r="E129" s="272">
        <v>1144</v>
      </c>
      <c r="F129" s="272">
        <v>354</v>
      </c>
      <c r="G129" s="272">
        <v>4003</v>
      </c>
      <c r="H129" s="275">
        <v>9329</v>
      </c>
      <c r="I129" s="654">
        <v>38864</v>
      </c>
      <c r="J129" s="275">
        <v>378</v>
      </c>
      <c r="K129" s="654">
        <v>171</v>
      </c>
    </row>
    <row r="130" spans="1:11" hidden="1">
      <c r="A130" s="276" t="s">
        <v>105</v>
      </c>
      <c r="B130" s="272">
        <v>22</v>
      </c>
      <c r="C130" s="272">
        <v>18</v>
      </c>
      <c r="D130" s="272">
        <v>454</v>
      </c>
      <c r="E130" s="272">
        <v>689</v>
      </c>
      <c r="F130" s="272">
        <v>960</v>
      </c>
      <c r="G130" s="272">
        <v>4654</v>
      </c>
      <c r="H130" s="275">
        <v>9955</v>
      </c>
      <c r="I130" s="654">
        <v>38812</v>
      </c>
      <c r="J130" s="275">
        <v>178</v>
      </c>
      <c r="K130" s="654">
        <v>156</v>
      </c>
    </row>
    <row r="131" spans="1:11" hidden="1">
      <c r="A131" s="276" t="s">
        <v>106</v>
      </c>
      <c r="B131" s="272">
        <v>14</v>
      </c>
      <c r="C131" s="272">
        <v>18</v>
      </c>
      <c r="D131" s="272">
        <v>374</v>
      </c>
      <c r="E131" s="272">
        <v>856</v>
      </c>
      <c r="F131" s="272">
        <v>378</v>
      </c>
      <c r="G131" s="272">
        <v>2268</v>
      </c>
      <c r="H131" s="275">
        <v>7238</v>
      </c>
      <c r="I131" s="654">
        <v>26660</v>
      </c>
      <c r="J131" s="275">
        <v>103</v>
      </c>
      <c r="K131" s="654">
        <v>107</v>
      </c>
    </row>
    <row r="132" spans="1:11" hidden="1">
      <c r="A132" s="276" t="s">
        <v>107</v>
      </c>
      <c r="B132" s="272">
        <v>40</v>
      </c>
      <c r="C132" s="272">
        <v>46</v>
      </c>
      <c r="D132" s="272">
        <v>638</v>
      </c>
      <c r="E132" s="272">
        <v>1607</v>
      </c>
      <c r="F132" s="272">
        <v>1120</v>
      </c>
      <c r="G132" s="272">
        <v>7343</v>
      </c>
      <c r="H132" s="275">
        <v>18370</v>
      </c>
      <c r="I132" s="654">
        <v>92070</v>
      </c>
      <c r="J132" s="275">
        <v>378</v>
      </c>
      <c r="K132" s="654">
        <v>286</v>
      </c>
    </row>
    <row r="133" spans="1:11" hidden="1">
      <c r="A133" s="276" t="s">
        <v>108</v>
      </c>
      <c r="B133" s="272">
        <v>77</v>
      </c>
      <c r="C133" s="272">
        <v>61</v>
      </c>
      <c r="D133" s="272">
        <v>1206</v>
      </c>
      <c r="E133" s="272">
        <v>2019</v>
      </c>
      <c r="F133" s="272">
        <v>1858</v>
      </c>
      <c r="G133" s="272">
        <v>6789</v>
      </c>
      <c r="H133" s="275">
        <v>19206</v>
      </c>
      <c r="I133" s="654">
        <v>56203</v>
      </c>
      <c r="J133" s="275">
        <v>257</v>
      </c>
      <c r="K133" s="654">
        <v>135</v>
      </c>
    </row>
    <row r="134" spans="1:11" hidden="1">
      <c r="A134" s="276" t="s">
        <v>109</v>
      </c>
      <c r="B134" s="272">
        <v>12</v>
      </c>
      <c r="C134" s="272">
        <v>6</v>
      </c>
      <c r="D134" s="272">
        <v>471</v>
      </c>
      <c r="E134" s="272">
        <v>686</v>
      </c>
      <c r="F134" s="272">
        <v>777</v>
      </c>
      <c r="G134" s="272">
        <v>2350</v>
      </c>
      <c r="H134" s="275">
        <v>10296</v>
      </c>
      <c r="I134" s="654">
        <v>32891</v>
      </c>
      <c r="J134" s="275">
        <v>343</v>
      </c>
      <c r="K134" s="654">
        <v>131</v>
      </c>
    </row>
    <row r="135" spans="1:11" hidden="1">
      <c r="A135" s="276" t="s">
        <v>110</v>
      </c>
      <c r="B135" s="260">
        <v>10</v>
      </c>
      <c r="C135" s="650">
        <v>12</v>
      </c>
      <c r="D135" s="260">
        <v>126</v>
      </c>
      <c r="E135" s="650">
        <v>434</v>
      </c>
      <c r="F135" s="272">
        <v>267</v>
      </c>
      <c r="G135" s="650">
        <v>2102</v>
      </c>
      <c r="H135" s="275">
        <v>3022</v>
      </c>
      <c r="I135" s="654">
        <v>14068</v>
      </c>
      <c r="J135" s="275">
        <v>44</v>
      </c>
      <c r="K135" s="654">
        <v>127</v>
      </c>
    </row>
    <row r="136" spans="1:11" hidden="1">
      <c r="A136" s="271">
        <v>2014</v>
      </c>
      <c r="B136" s="272"/>
      <c r="C136" s="272"/>
      <c r="D136" s="272"/>
      <c r="E136" s="272"/>
      <c r="F136" s="272"/>
      <c r="G136" s="272"/>
      <c r="H136" s="275"/>
      <c r="I136" s="654"/>
      <c r="J136" s="275"/>
      <c r="K136" s="654"/>
    </row>
    <row r="137" spans="1:11" hidden="1">
      <c r="A137" s="271" t="s">
        <v>42</v>
      </c>
      <c r="B137" s="274">
        <f t="shared" ref="B137:I137" si="8">SUM(B138:B249)</f>
        <v>5343</v>
      </c>
      <c r="C137" s="652">
        <f t="shared" si="8"/>
        <v>2754</v>
      </c>
      <c r="D137" s="277">
        <f t="shared" si="8"/>
        <v>99164</v>
      </c>
      <c r="E137" s="651">
        <f t="shared" si="8"/>
        <v>320198</v>
      </c>
      <c r="F137" s="277">
        <f t="shared" si="8"/>
        <v>242606</v>
      </c>
      <c r="G137" s="651">
        <f t="shared" si="8"/>
        <v>803391</v>
      </c>
      <c r="H137" s="277">
        <f t="shared" si="8"/>
        <v>776034</v>
      </c>
      <c r="I137" s="651">
        <f t="shared" si="8"/>
        <v>2089472</v>
      </c>
      <c r="J137" s="277">
        <f>SUM(J138:J249)</f>
        <v>30070</v>
      </c>
      <c r="K137" s="651">
        <f>SUM(K138:K249)</f>
        <v>17323</v>
      </c>
    </row>
    <row r="138" spans="1:11" ht="38.25" hidden="1">
      <c r="A138" s="268" t="s">
        <v>300</v>
      </c>
      <c r="B138" s="272">
        <v>21</v>
      </c>
      <c r="C138" s="272">
        <v>15</v>
      </c>
      <c r="D138" s="272">
        <v>160</v>
      </c>
      <c r="E138" s="272">
        <v>268</v>
      </c>
      <c r="F138" s="272">
        <v>336</v>
      </c>
      <c r="G138" s="272">
        <v>410</v>
      </c>
      <c r="H138" s="275">
        <v>852</v>
      </c>
      <c r="I138" s="654">
        <v>1960</v>
      </c>
      <c r="J138" s="275">
        <v>6</v>
      </c>
      <c r="K138" s="654">
        <v>0</v>
      </c>
    </row>
    <row r="139" spans="1:11" hidden="1">
      <c r="A139" s="276" t="s">
        <v>100</v>
      </c>
      <c r="B139" s="272">
        <v>30</v>
      </c>
      <c r="C139" s="272">
        <v>48</v>
      </c>
      <c r="D139" s="272">
        <v>838</v>
      </c>
      <c r="E139" s="272">
        <v>2299</v>
      </c>
      <c r="F139" s="272">
        <v>1487</v>
      </c>
      <c r="G139" s="272">
        <v>9868</v>
      </c>
      <c r="H139" s="275">
        <v>18708</v>
      </c>
      <c r="I139" s="654">
        <v>60885</v>
      </c>
      <c r="J139" s="275">
        <v>434</v>
      </c>
      <c r="K139" s="654">
        <v>273</v>
      </c>
    </row>
    <row r="140" spans="1:11" hidden="1">
      <c r="A140" s="276" t="s">
        <v>101</v>
      </c>
      <c r="B140" s="272">
        <v>16</v>
      </c>
      <c r="C140" s="272">
        <v>21</v>
      </c>
      <c r="D140" s="272">
        <v>319</v>
      </c>
      <c r="E140" s="272">
        <v>831</v>
      </c>
      <c r="F140" s="272">
        <v>786</v>
      </c>
      <c r="G140" s="272">
        <v>4043</v>
      </c>
      <c r="H140" s="275">
        <v>9661</v>
      </c>
      <c r="I140" s="654">
        <v>37225</v>
      </c>
      <c r="J140" s="275">
        <v>29</v>
      </c>
      <c r="K140" s="654">
        <v>12</v>
      </c>
    </row>
    <row r="141" spans="1:11" hidden="1">
      <c r="A141" s="276" t="s">
        <v>102</v>
      </c>
      <c r="B141" s="272">
        <v>15</v>
      </c>
      <c r="C141" s="272">
        <v>14</v>
      </c>
      <c r="D141" s="272">
        <v>336</v>
      </c>
      <c r="E141" s="272">
        <v>1024</v>
      </c>
      <c r="F141" s="272">
        <v>668</v>
      </c>
      <c r="G141" s="272">
        <v>3849</v>
      </c>
      <c r="H141" s="275">
        <v>8786</v>
      </c>
      <c r="I141" s="654">
        <v>34553</v>
      </c>
      <c r="J141" s="275">
        <v>191</v>
      </c>
      <c r="K141" s="654">
        <v>43</v>
      </c>
    </row>
    <row r="142" spans="1:11" hidden="1">
      <c r="A142" s="276" t="s">
        <v>103</v>
      </c>
      <c r="B142" s="272">
        <v>14</v>
      </c>
      <c r="C142" s="272">
        <v>7</v>
      </c>
      <c r="D142" s="272">
        <v>471</v>
      </c>
      <c r="E142" s="272">
        <v>1524</v>
      </c>
      <c r="F142" s="272">
        <v>762</v>
      </c>
      <c r="G142" s="272">
        <v>5571</v>
      </c>
      <c r="H142" s="275">
        <v>7798</v>
      </c>
      <c r="I142" s="654">
        <v>51086</v>
      </c>
      <c r="J142" s="275">
        <v>766</v>
      </c>
      <c r="K142" s="654">
        <v>232</v>
      </c>
    </row>
    <row r="143" spans="1:11" hidden="1">
      <c r="A143" s="276" t="s">
        <v>104</v>
      </c>
      <c r="B143" s="272">
        <v>4</v>
      </c>
      <c r="C143" s="272">
        <v>4</v>
      </c>
      <c r="D143" s="272">
        <v>287</v>
      </c>
      <c r="E143" s="272">
        <v>1089</v>
      </c>
      <c r="F143" s="272">
        <v>601</v>
      </c>
      <c r="G143" s="272">
        <v>5611</v>
      </c>
      <c r="H143" s="275">
        <v>12856</v>
      </c>
      <c r="I143" s="654">
        <v>48970</v>
      </c>
      <c r="J143" s="275">
        <v>997</v>
      </c>
      <c r="K143" s="654">
        <v>513</v>
      </c>
    </row>
    <row r="144" spans="1:11" hidden="1">
      <c r="A144" s="276" t="s">
        <v>105</v>
      </c>
      <c r="B144" s="272">
        <v>17</v>
      </c>
      <c r="C144" s="272">
        <v>16</v>
      </c>
      <c r="D144" s="272">
        <v>545</v>
      </c>
      <c r="E144" s="272">
        <v>1111</v>
      </c>
      <c r="F144" s="272">
        <v>1044</v>
      </c>
      <c r="G144" s="272">
        <v>5224</v>
      </c>
      <c r="H144" s="275">
        <v>7466</v>
      </c>
      <c r="I144" s="654">
        <v>34937</v>
      </c>
      <c r="J144" s="275">
        <v>144</v>
      </c>
      <c r="K144" s="654">
        <v>110</v>
      </c>
    </row>
    <row r="145" spans="1:11" hidden="1">
      <c r="A145" s="276" t="s">
        <v>106</v>
      </c>
      <c r="B145" s="272">
        <v>6</v>
      </c>
      <c r="C145" s="272">
        <v>15</v>
      </c>
      <c r="D145" s="272">
        <v>257</v>
      </c>
      <c r="E145" s="272">
        <v>1017</v>
      </c>
      <c r="F145" s="272">
        <v>329</v>
      </c>
      <c r="G145" s="272">
        <v>2455</v>
      </c>
      <c r="H145" s="275">
        <v>17589</v>
      </c>
      <c r="I145" s="654">
        <v>79143</v>
      </c>
      <c r="J145" s="275">
        <v>115</v>
      </c>
      <c r="K145" s="654">
        <v>123</v>
      </c>
    </row>
    <row r="146" spans="1:11" hidden="1">
      <c r="A146" s="276" t="s">
        <v>107</v>
      </c>
      <c r="B146" s="272">
        <v>12</v>
      </c>
      <c r="C146" s="272">
        <v>27</v>
      </c>
      <c r="D146" s="272">
        <v>559</v>
      </c>
      <c r="E146" s="272">
        <v>1462</v>
      </c>
      <c r="F146" s="272">
        <v>952</v>
      </c>
      <c r="G146" s="272">
        <v>7024</v>
      </c>
      <c r="H146" s="275">
        <v>24918</v>
      </c>
      <c r="I146" s="654">
        <v>61628</v>
      </c>
      <c r="J146" s="275">
        <v>296</v>
      </c>
      <c r="K146" s="654">
        <v>203</v>
      </c>
    </row>
    <row r="147" spans="1:11" hidden="1">
      <c r="A147" s="276" t="s">
        <v>108</v>
      </c>
      <c r="B147" s="272">
        <v>95</v>
      </c>
      <c r="C147" s="272">
        <v>40</v>
      </c>
      <c r="D147" s="272">
        <v>945</v>
      </c>
      <c r="E147" s="272">
        <v>1848</v>
      </c>
      <c r="F147" s="272">
        <v>2152</v>
      </c>
      <c r="G147" s="272">
        <v>8064</v>
      </c>
      <c r="H147" s="275">
        <v>12870</v>
      </c>
      <c r="I147" s="654">
        <v>27063</v>
      </c>
      <c r="J147" s="275">
        <v>256</v>
      </c>
      <c r="K147" s="654">
        <v>86</v>
      </c>
    </row>
    <row r="148" spans="1:11" hidden="1">
      <c r="A148" s="276" t="s">
        <v>109</v>
      </c>
      <c r="B148" s="272">
        <v>7</v>
      </c>
      <c r="C148" s="272">
        <v>1</v>
      </c>
      <c r="D148" s="272">
        <v>542</v>
      </c>
      <c r="E148" s="272">
        <v>734</v>
      </c>
      <c r="F148" s="272">
        <v>835</v>
      </c>
      <c r="G148" s="272">
        <v>2430</v>
      </c>
      <c r="H148" s="275">
        <v>2901</v>
      </c>
      <c r="I148" s="654">
        <v>11970</v>
      </c>
      <c r="J148" s="275">
        <v>458</v>
      </c>
      <c r="K148" s="654">
        <v>116</v>
      </c>
    </row>
    <row r="149" spans="1:11" hidden="1">
      <c r="A149" s="276" t="s">
        <v>110</v>
      </c>
      <c r="B149" s="260">
        <v>6</v>
      </c>
      <c r="C149" s="650">
        <v>14</v>
      </c>
      <c r="D149" s="260">
        <v>111</v>
      </c>
      <c r="E149" s="650">
        <v>487</v>
      </c>
      <c r="F149" s="272">
        <v>232</v>
      </c>
      <c r="G149" s="650">
        <v>1990</v>
      </c>
      <c r="H149" s="275">
        <v>279</v>
      </c>
      <c r="I149" s="654">
        <v>390</v>
      </c>
      <c r="J149" s="275">
        <v>86</v>
      </c>
      <c r="K149" s="654">
        <v>75</v>
      </c>
    </row>
    <row r="150" spans="1:11" hidden="1">
      <c r="A150" s="276"/>
      <c r="F150" s="272"/>
      <c r="H150" s="275"/>
      <c r="I150" s="654"/>
      <c r="J150" s="275"/>
      <c r="K150" s="654"/>
    </row>
    <row r="151" spans="1:11" hidden="1">
      <c r="A151" s="271">
        <v>2015</v>
      </c>
      <c r="F151" s="272"/>
      <c r="H151" s="275"/>
      <c r="I151" s="654"/>
      <c r="J151" s="275"/>
      <c r="K151" s="654"/>
    </row>
    <row r="152" spans="1:11" hidden="1">
      <c r="A152" s="271" t="s">
        <v>42</v>
      </c>
      <c r="B152" s="278">
        <f t="shared" ref="B152:I152" si="9">SUM(B153:B178)</f>
        <v>1156</v>
      </c>
      <c r="C152" s="653">
        <f t="shared" si="9"/>
        <v>821</v>
      </c>
      <c r="D152" s="278">
        <f t="shared" si="9"/>
        <v>20813</v>
      </c>
      <c r="E152" s="653">
        <f t="shared" si="9"/>
        <v>86984</v>
      </c>
      <c r="F152" s="278">
        <f t="shared" si="9"/>
        <v>73842</v>
      </c>
      <c r="G152" s="653">
        <f t="shared" si="9"/>
        <v>233991</v>
      </c>
      <c r="H152" s="274">
        <f t="shared" si="9"/>
        <v>206404</v>
      </c>
      <c r="I152" s="652">
        <f t="shared" si="9"/>
        <v>671949</v>
      </c>
      <c r="J152" s="274">
        <f>SUM(J153:J178)</f>
        <v>7605</v>
      </c>
      <c r="K152" s="652">
        <f>SUM(K153:K168)</f>
        <v>3615</v>
      </c>
    </row>
    <row r="153" spans="1:11" ht="38.25" hidden="1">
      <c r="A153" s="268" t="s">
        <v>300</v>
      </c>
      <c r="B153" s="272">
        <v>38</v>
      </c>
      <c r="C153" s="272">
        <v>35</v>
      </c>
      <c r="D153" s="272">
        <v>390</v>
      </c>
      <c r="E153" s="272">
        <v>1130</v>
      </c>
      <c r="F153" s="272">
        <v>802</v>
      </c>
      <c r="G153" s="272">
        <v>744</v>
      </c>
      <c r="H153" s="275">
        <v>1346</v>
      </c>
      <c r="I153" s="654">
        <v>2108</v>
      </c>
      <c r="J153" s="275">
        <v>8</v>
      </c>
      <c r="K153" s="654">
        <v>0</v>
      </c>
    </row>
    <row r="154" spans="1:11" hidden="1">
      <c r="A154" s="276" t="s">
        <v>100</v>
      </c>
      <c r="B154" s="272">
        <v>80</v>
      </c>
      <c r="C154" s="272">
        <v>46</v>
      </c>
      <c r="D154" s="272">
        <v>1638</v>
      </c>
      <c r="E154" s="272">
        <v>10015</v>
      </c>
      <c r="F154" s="272">
        <v>4147</v>
      </c>
      <c r="G154" s="272">
        <v>21956</v>
      </c>
      <c r="H154" s="275">
        <v>23996</v>
      </c>
      <c r="I154" s="654">
        <v>71297</v>
      </c>
      <c r="J154" s="275">
        <v>650</v>
      </c>
      <c r="K154" s="654">
        <v>435</v>
      </c>
    </row>
    <row r="155" spans="1:11" hidden="1">
      <c r="A155" s="276" t="s">
        <v>101</v>
      </c>
      <c r="B155" s="272">
        <v>15</v>
      </c>
      <c r="C155" s="272">
        <v>6</v>
      </c>
      <c r="D155" s="272">
        <v>760</v>
      </c>
      <c r="E155" s="272">
        <v>3780</v>
      </c>
      <c r="F155" s="272">
        <v>1898</v>
      </c>
      <c r="G155" s="272">
        <v>7816</v>
      </c>
      <c r="H155" s="275">
        <v>12386</v>
      </c>
      <c r="I155" s="654">
        <v>47709</v>
      </c>
      <c r="J155" s="275">
        <v>54</v>
      </c>
      <c r="K155" s="654">
        <v>60</v>
      </c>
    </row>
    <row r="156" spans="1:11" hidden="1">
      <c r="A156" s="276" t="s">
        <v>102</v>
      </c>
      <c r="B156" s="272">
        <v>23</v>
      </c>
      <c r="C156" s="272">
        <v>15</v>
      </c>
      <c r="D156" s="272">
        <v>692</v>
      </c>
      <c r="E156" s="272">
        <v>4710</v>
      </c>
      <c r="F156" s="272">
        <v>1516</v>
      </c>
      <c r="G156" s="272">
        <v>8560</v>
      </c>
      <c r="H156" s="275">
        <v>9645</v>
      </c>
      <c r="I156" s="654">
        <v>47737</v>
      </c>
      <c r="J156" s="275">
        <v>149</v>
      </c>
      <c r="K156" s="654">
        <v>38</v>
      </c>
    </row>
    <row r="157" spans="1:11" hidden="1">
      <c r="A157" s="276" t="s">
        <v>103</v>
      </c>
      <c r="B157" s="272">
        <v>32</v>
      </c>
      <c r="C157" s="272">
        <v>22</v>
      </c>
      <c r="D157" s="272">
        <v>880</v>
      </c>
      <c r="E157" s="272">
        <v>7650</v>
      </c>
      <c r="F157" s="272">
        <v>2098</v>
      </c>
      <c r="G157" s="272">
        <v>11752</v>
      </c>
      <c r="H157" s="275">
        <v>18325</v>
      </c>
      <c r="I157" s="654">
        <v>62150</v>
      </c>
      <c r="J157" s="275">
        <v>665</v>
      </c>
      <c r="K157" s="654">
        <v>256</v>
      </c>
    </row>
    <row r="158" spans="1:11" hidden="1">
      <c r="A158" s="276" t="s">
        <v>104</v>
      </c>
      <c r="B158" s="272">
        <v>5</v>
      </c>
      <c r="C158" s="272">
        <v>3</v>
      </c>
      <c r="D158" s="272">
        <v>521</v>
      </c>
      <c r="E158" s="272">
        <v>5652</v>
      </c>
      <c r="F158" s="272">
        <v>1493</v>
      </c>
      <c r="G158" s="272">
        <v>12970</v>
      </c>
      <c r="H158" s="275">
        <v>7915</v>
      </c>
      <c r="I158" s="654">
        <v>61071</v>
      </c>
      <c r="J158" s="275">
        <v>713</v>
      </c>
      <c r="K158" s="654">
        <v>548</v>
      </c>
    </row>
    <row r="159" spans="1:11" hidden="1">
      <c r="A159" s="276" t="s">
        <v>105</v>
      </c>
      <c r="B159" s="272">
        <v>12</v>
      </c>
      <c r="C159" s="272">
        <v>13</v>
      </c>
      <c r="D159" s="272">
        <v>1084</v>
      </c>
      <c r="E159" s="272">
        <v>4891</v>
      </c>
      <c r="F159" s="272">
        <v>2301</v>
      </c>
      <c r="G159" s="272">
        <v>11381</v>
      </c>
      <c r="H159" s="275">
        <v>13373</v>
      </c>
      <c r="I159" s="654">
        <v>73051</v>
      </c>
      <c r="J159" s="279" t="s">
        <v>13</v>
      </c>
      <c r="K159" s="654">
        <v>140</v>
      </c>
    </row>
    <row r="160" spans="1:11" hidden="1">
      <c r="A160" s="276" t="s">
        <v>106</v>
      </c>
      <c r="B160" s="272">
        <v>30</v>
      </c>
      <c r="C160" s="272">
        <v>8</v>
      </c>
      <c r="D160" s="272">
        <v>500</v>
      </c>
      <c r="E160" s="272">
        <v>5215</v>
      </c>
      <c r="F160" s="272">
        <v>880</v>
      </c>
      <c r="G160" s="272">
        <v>5878</v>
      </c>
      <c r="H160" s="275">
        <v>5812</v>
      </c>
      <c r="I160" s="654">
        <v>41261</v>
      </c>
      <c r="J160" s="275">
        <v>64</v>
      </c>
      <c r="K160" s="654">
        <v>86</v>
      </c>
    </row>
    <row r="161" spans="1:11" hidden="1">
      <c r="A161" s="276" t="s">
        <v>107</v>
      </c>
      <c r="B161" s="272">
        <v>30</v>
      </c>
      <c r="C161" s="272">
        <v>37</v>
      </c>
      <c r="D161" s="272">
        <v>1090</v>
      </c>
      <c r="E161" s="272">
        <v>7140</v>
      </c>
      <c r="F161" s="272">
        <v>1884</v>
      </c>
      <c r="G161" s="272">
        <v>13612</v>
      </c>
      <c r="H161" s="275">
        <v>16508</v>
      </c>
      <c r="I161" s="654">
        <v>81253</v>
      </c>
      <c r="J161" s="275">
        <v>436</v>
      </c>
      <c r="K161" s="654">
        <v>287</v>
      </c>
    </row>
    <row r="162" spans="1:11" hidden="1">
      <c r="A162" s="276" t="s">
        <v>108</v>
      </c>
      <c r="B162" s="272">
        <v>346</v>
      </c>
      <c r="C162" s="272">
        <v>305</v>
      </c>
      <c r="D162" s="272">
        <v>1896</v>
      </c>
      <c r="E162" s="272">
        <v>5289</v>
      </c>
      <c r="F162" s="272">
        <v>18814</v>
      </c>
      <c r="G162" s="272">
        <v>8064</v>
      </c>
      <c r="H162" s="275">
        <v>38274</v>
      </c>
      <c r="I162" s="654">
        <v>77097</v>
      </c>
      <c r="J162" s="275">
        <v>218</v>
      </c>
      <c r="K162" s="654">
        <v>58</v>
      </c>
    </row>
    <row r="163" spans="1:11" hidden="1">
      <c r="A163" s="276" t="s">
        <v>109</v>
      </c>
      <c r="B163" s="272">
        <v>7</v>
      </c>
      <c r="C163" s="272">
        <v>1</v>
      </c>
      <c r="D163" s="272">
        <v>718</v>
      </c>
      <c r="E163" s="272">
        <v>1736</v>
      </c>
      <c r="F163" s="272">
        <v>6755</v>
      </c>
      <c r="G163" s="272">
        <v>2430</v>
      </c>
      <c r="H163" s="275">
        <v>10197</v>
      </c>
      <c r="I163" s="654">
        <v>31992</v>
      </c>
      <c r="J163" s="275">
        <v>171</v>
      </c>
      <c r="K163" s="654">
        <v>90</v>
      </c>
    </row>
    <row r="164" spans="1:11" hidden="1">
      <c r="A164" s="276" t="s">
        <v>110</v>
      </c>
      <c r="B164" s="260">
        <v>18</v>
      </c>
      <c r="C164" s="650">
        <v>8</v>
      </c>
      <c r="D164" s="260">
        <v>202</v>
      </c>
      <c r="E164" s="650">
        <v>608</v>
      </c>
      <c r="F164" s="272">
        <v>5110</v>
      </c>
      <c r="G164" s="650">
        <v>1990</v>
      </c>
      <c r="H164" s="275">
        <v>2413</v>
      </c>
      <c r="I164" s="654">
        <v>14219</v>
      </c>
      <c r="J164" s="275">
        <v>85</v>
      </c>
      <c r="K164" s="654">
        <v>60</v>
      </c>
    </row>
    <row r="165" spans="1:11" hidden="1">
      <c r="A165" s="276"/>
      <c r="F165" s="272"/>
      <c r="H165" s="275"/>
      <c r="I165" s="654"/>
      <c r="J165" s="275"/>
      <c r="K165" s="654"/>
    </row>
    <row r="166" spans="1:11" ht="9" hidden="1" customHeight="1">
      <c r="A166" s="271">
        <v>2018</v>
      </c>
      <c r="B166" s="274">
        <f t="shared" ref="B166:K166" si="10">SUM(B167:B178)</f>
        <v>260</v>
      </c>
      <c r="C166" s="652">
        <f t="shared" si="10"/>
        <v>161</v>
      </c>
      <c r="D166" s="274">
        <f t="shared" si="10"/>
        <v>5221</v>
      </c>
      <c r="E166" s="652">
        <f t="shared" si="10"/>
        <v>14584</v>
      </c>
      <c r="F166" s="274">
        <f t="shared" si="10"/>
        <v>13072</v>
      </c>
      <c r="G166" s="652">
        <f t="shared" si="10"/>
        <v>63419</v>
      </c>
      <c r="H166" s="274">
        <f t="shared" si="10"/>
        <v>23107</v>
      </c>
      <c r="I166" s="652">
        <f t="shared" si="10"/>
        <v>30502</v>
      </c>
      <c r="J166" s="274">
        <f t="shared" si="10"/>
        <v>2196</v>
      </c>
      <c r="K166" s="652">
        <f t="shared" si="10"/>
        <v>1455</v>
      </c>
    </row>
    <row r="167" spans="1:11" ht="24.95" hidden="1" customHeight="1">
      <c r="A167" s="268" t="s">
        <v>300</v>
      </c>
      <c r="B167" s="275">
        <v>8</v>
      </c>
      <c r="C167" s="654">
        <v>8</v>
      </c>
      <c r="D167" s="275">
        <v>191</v>
      </c>
      <c r="E167" s="654">
        <v>144</v>
      </c>
      <c r="F167" s="275">
        <v>139</v>
      </c>
      <c r="G167" s="654">
        <v>240</v>
      </c>
      <c r="H167" s="275">
        <v>118</v>
      </c>
      <c r="I167" s="654">
        <v>41</v>
      </c>
      <c r="J167" s="275">
        <v>31</v>
      </c>
      <c r="K167" s="65" t="s">
        <v>13</v>
      </c>
    </row>
    <row r="168" spans="1:11" ht="9" hidden="1" customHeight="1">
      <c r="A168" s="276" t="s">
        <v>100</v>
      </c>
      <c r="B168" s="275">
        <v>41</v>
      </c>
      <c r="C168" s="654">
        <v>46</v>
      </c>
      <c r="D168" s="275">
        <v>925</v>
      </c>
      <c r="E168" s="654">
        <v>2868</v>
      </c>
      <c r="F168" s="275">
        <v>2167</v>
      </c>
      <c r="G168" s="654">
        <v>12952</v>
      </c>
      <c r="H168" s="275">
        <v>4284</v>
      </c>
      <c r="I168" s="654">
        <v>4441</v>
      </c>
      <c r="J168" s="275">
        <v>283</v>
      </c>
      <c r="K168" s="654">
        <v>102</v>
      </c>
    </row>
    <row r="169" spans="1:11" ht="9" hidden="1" customHeight="1">
      <c r="A169" s="276" t="s">
        <v>101</v>
      </c>
      <c r="B169" s="275">
        <v>19</v>
      </c>
      <c r="C169" s="654">
        <v>6</v>
      </c>
      <c r="D169" s="275">
        <v>422</v>
      </c>
      <c r="E169" s="654">
        <v>1026</v>
      </c>
      <c r="F169" s="275">
        <v>1066</v>
      </c>
      <c r="G169" s="654">
        <v>4067</v>
      </c>
      <c r="H169" s="275">
        <v>1691</v>
      </c>
      <c r="I169" s="654">
        <v>2409</v>
      </c>
      <c r="J169" s="275">
        <v>98</v>
      </c>
      <c r="K169" s="654">
        <v>165</v>
      </c>
    </row>
    <row r="170" spans="1:11" ht="9" hidden="1" customHeight="1">
      <c r="A170" s="276" t="s">
        <v>102</v>
      </c>
      <c r="B170" s="275">
        <v>19</v>
      </c>
      <c r="C170" s="654">
        <v>5</v>
      </c>
      <c r="D170" s="275">
        <v>308</v>
      </c>
      <c r="E170" s="654">
        <v>885</v>
      </c>
      <c r="F170" s="275">
        <v>740</v>
      </c>
      <c r="G170" s="654">
        <v>3523</v>
      </c>
      <c r="H170" s="275">
        <v>1345</v>
      </c>
      <c r="I170" s="654">
        <v>1763</v>
      </c>
      <c r="J170" s="275">
        <v>61</v>
      </c>
      <c r="K170" s="654">
        <v>14</v>
      </c>
    </row>
    <row r="171" spans="1:11" ht="9" hidden="1" customHeight="1">
      <c r="A171" s="276" t="s">
        <v>103</v>
      </c>
      <c r="B171" s="275">
        <v>2</v>
      </c>
      <c r="C171" s="654">
        <v>3</v>
      </c>
      <c r="D171" s="275">
        <v>477</v>
      </c>
      <c r="E171" s="654">
        <v>1369</v>
      </c>
      <c r="F171" s="275">
        <v>1021</v>
      </c>
      <c r="G171" s="654">
        <v>5395</v>
      </c>
      <c r="H171" s="275">
        <v>1953</v>
      </c>
      <c r="I171" s="654">
        <v>2511</v>
      </c>
      <c r="J171" s="275">
        <v>334</v>
      </c>
      <c r="K171" s="654">
        <v>215</v>
      </c>
    </row>
    <row r="172" spans="1:11" ht="9" hidden="1" customHeight="1">
      <c r="A172" s="276" t="s">
        <v>104</v>
      </c>
      <c r="B172" s="275">
        <v>12</v>
      </c>
      <c r="C172" s="654">
        <v>3</v>
      </c>
      <c r="D172" s="275">
        <v>345</v>
      </c>
      <c r="E172" s="654">
        <v>1105</v>
      </c>
      <c r="F172" s="275">
        <v>952</v>
      </c>
      <c r="G172" s="654">
        <v>5811</v>
      </c>
      <c r="H172" s="275">
        <v>1288</v>
      </c>
      <c r="I172" s="654">
        <v>2135</v>
      </c>
      <c r="J172" s="275">
        <v>510</v>
      </c>
      <c r="K172" s="654">
        <v>307</v>
      </c>
    </row>
    <row r="173" spans="1:11" ht="9" hidden="1" customHeight="1">
      <c r="A173" s="276" t="s">
        <v>105</v>
      </c>
      <c r="B173" s="275">
        <v>10</v>
      </c>
      <c r="C173" s="654">
        <v>10</v>
      </c>
      <c r="D173" s="275">
        <v>570</v>
      </c>
      <c r="E173" s="654">
        <v>1323</v>
      </c>
      <c r="F173" s="275">
        <v>1327</v>
      </c>
      <c r="G173" s="654">
        <v>6330</v>
      </c>
      <c r="H173" s="275">
        <v>1572</v>
      </c>
      <c r="I173" s="654">
        <v>4365</v>
      </c>
      <c r="J173" s="275">
        <v>83</v>
      </c>
      <c r="K173" s="654">
        <v>38</v>
      </c>
    </row>
    <row r="174" spans="1:11" ht="9" hidden="1" customHeight="1">
      <c r="A174" s="276" t="s">
        <v>106</v>
      </c>
      <c r="B174" s="275">
        <v>3</v>
      </c>
      <c r="C174" s="654">
        <v>12</v>
      </c>
      <c r="D174" s="275">
        <v>287</v>
      </c>
      <c r="E174" s="654">
        <v>885</v>
      </c>
      <c r="F174" s="275">
        <v>406</v>
      </c>
      <c r="G174" s="654">
        <v>2515</v>
      </c>
      <c r="H174" s="275">
        <v>1408</v>
      </c>
      <c r="I174" s="654">
        <v>2045</v>
      </c>
      <c r="J174" s="275">
        <v>68</v>
      </c>
      <c r="K174" s="654">
        <v>47</v>
      </c>
    </row>
    <row r="175" spans="1:11" ht="9" hidden="1" customHeight="1">
      <c r="A175" s="276" t="s">
        <v>107</v>
      </c>
      <c r="B175" s="275">
        <v>15</v>
      </c>
      <c r="C175" s="654">
        <v>16</v>
      </c>
      <c r="D175" s="275">
        <v>467</v>
      </c>
      <c r="E175" s="654">
        <v>1456</v>
      </c>
      <c r="F175" s="275">
        <v>1093</v>
      </c>
      <c r="G175" s="654">
        <v>5519</v>
      </c>
      <c r="H175" s="275">
        <v>2870</v>
      </c>
      <c r="I175" s="654">
        <v>4076</v>
      </c>
      <c r="J175" s="275">
        <v>250</v>
      </c>
      <c r="K175" s="654">
        <v>367</v>
      </c>
    </row>
    <row r="176" spans="1:11" ht="9" hidden="1" customHeight="1">
      <c r="A176" s="276" t="s">
        <v>108</v>
      </c>
      <c r="B176" s="275">
        <v>115</v>
      </c>
      <c r="C176" s="654">
        <v>42</v>
      </c>
      <c r="D176" s="275">
        <v>811</v>
      </c>
      <c r="E176" s="654">
        <v>2426</v>
      </c>
      <c r="F176" s="275">
        <v>3186</v>
      </c>
      <c r="G176" s="654">
        <v>11382</v>
      </c>
      <c r="H176" s="275">
        <v>5089</v>
      </c>
      <c r="I176" s="654">
        <v>5047</v>
      </c>
      <c r="J176" s="275">
        <v>165</v>
      </c>
      <c r="K176" s="654">
        <v>99</v>
      </c>
    </row>
    <row r="177" spans="1:11" ht="9" hidden="1" customHeight="1">
      <c r="A177" s="276" t="s">
        <v>109</v>
      </c>
      <c r="B177" s="275">
        <v>7</v>
      </c>
      <c r="C177" s="654">
        <v>7</v>
      </c>
      <c r="D177" s="275">
        <v>344</v>
      </c>
      <c r="E177" s="654">
        <v>720</v>
      </c>
      <c r="F177" s="275">
        <v>756</v>
      </c>
      <c r="G177" s="654">
        <v>3587</v>
      </c>
      <c r="H177" s="275">
        <v>1124</v>
      </c>
      <c r="I177" s="654">
        <v>1061</v>
      </c>
      <c r="J177" s="275">
        <v>278</v>
      </c>
      <c r="K177" s="654">
        <v>63</v>
      </c>
    </row>
    <row r="178" spans="1:11" ht="9" hidden="1" customHeight="1">
      <c r="A178" s="276" t="s">
        <v>110</v>
      </c>
      <c r="B178" s="275">
        <v>9</v>
      </c>
      <c r="C178" s="654">
        <v>3</v>
      </c>
      <c r="D178" s="275">
        <v>74</v>
      </c>
      <c r="E178" s="654">
        <v>377</v>
      </c>
      <c r="F178" s="275">
        <v>219</v>
      </c>
      <c r="G178" s="654">
        <v>2098</v>
      </c>
      <c r="H178" s="275">
        <v>365</v>
      </c>
      <c r="I178" s="654">
        <v>608</v>
      </c>
      <c r="J178" s="275">
        <v>35</v>
      </c>
      <c r="K178" s="654">
        <v>38</v>
      </c>
    </row>
    <row r="179" spans="1:11" ht="5.0999999999999996" hidden="1" customHeight="1">
      <c r="A179" s="276"/>
      <c r="B179" s="274"/>
      <c r="C179" s="652"/>
      <c r="D179" s="274"/>
      <c r="E179" s="652"/>
      <c r="F179" s="274"/>
      <c r="G179" s="652"/>
      <c r="H179" s="275"/>
      <c r="I179" s="654"/>
      <c r="J179" s="275"/>
      <c r="K179" s="654"/>
    </row>
    <row r="180" spans="1:11" ht="9" hidden="1" customHeight="1">
      <c r="A180" s="271">
        <v>2019</v>
      </c>
      <c r="B180" s="274">
        <f t="shared" ref="B180:K180" si="11">SUM(B181:B192)</f>
        <v>598</v>
      </c>
      <c r="C180" s="652">
        <f t="shared" si="11"/>
        <v>158</v>
      </c>
      <c r="D180" s="274">
        <f t="shared" si="11"/>
        <v>5567</v>
      </c>
      <c r="E180" s="652">
        <f t="shared" si="11"/>
        <v>14557</v>
      </c>
      <c r="F180" s="274">
        <f t="shared" si="11"/>
        <v>11702</v>
      </c>
      <c r="G180" s="652">
        <f t="shared" si="11"/>
        <v>44292</v>
      </c>
      <c r="H180" s="274">
        <f t="shared" si="11"/>
        <v>25832</v>
      </c>
      <c r="I180" s="652">
        <f t="shared" si="11"/>
        <v>33682</v>
      </c>
      <c r="J180" s="274">
        <f t="shared" si="11"/>
        <v>1841</v>
      </c>
      <c r="K180" s="652">
        <f t="shared" si="11"/>
        <v>901</v>
      </c>
    </row>
    <row r="181" spans="1:11" ht="24.95" hidden="1" customHeight="1">
      <c r="A181" s="268" t="s">
        <v>300</v>
      </c>
      <c r="B181" s="275">
        <v>237</v>
      </c>
      <c r="C181" s="654">
        <v>5</v>
      </c>
      <c r="D181" s="275">
        <v>176</v>
      </c>
      <c r="E181" s="654">
        <v>91</v>
      </c>
      <c r="F181" s="275">
        <v>130</v>
      </c>
      <c r="G181" s="654">
        <v>175</v>
      </c>
      <c r="H181" s="275">
        <v>142</v>
      </c>
      <c r="I181" s="654">
        <v>32</v>
      </c>
      <c r="J181" s="65" t="s">
        <v>13</v>
      </c>
      <c r="K181" s="65" t="s">
        <v>13</v>
      </c>
    </row>
    <row r="182" spans="1:11" ht="10.5" hidden="1" customHeight="1">
      <c r="A182" s="276" t="s">
        <v>100</v>
      </c>
      <c r="B182" s="275">
        <v>27</v>
      </c>
      <c r="C182" s="654">
        <v>25</v>
      </c>
      <c r="D182" s="275">
        <v>1029</v>
      </c>
      <c r="E182" s="654">
        <v>2648</v>
      </c>
      <c r="F182" s="275">
        <v>1650</v>
      </c>
      <c r="G182" s="654">
        <v>7832</v>
      </c>
      <c r="H182" s="275">
        <v>4735</v>
      </c>
      <c r="I182" s="654">
        <v>3616</v>
      </c>
      <c r="J182" s="275">
        <v>234</v>
      </c>
      <c r="K182" s="654">
        <v>125</v>
      </c>
    </row>
    <row r="183" spans="1:11" ht="10.5" hidden="1" customHeight="1">
      <c r="A183" s="276" t="s">
        <v>101</v>
      </c>
      <c r="B183" s="275">
        <v>34</v>
      </c>
      <c r="C183" s="654">
        <v>10</v>
      </c>
      <c r="D183" s="275">
        <v>507</v>
      </c>
      <c r="E183" s="654">
        <v>1096</v>
      </c>
      <c r="F183" s="275">
        <v>917</v>
      </c>
      <c r="G183" s="654">
        <v>3662</v>
      </c>
      <c r="H183" s="275">
        <v>2621</v>
      </c>
      <c r="I183" s="654">
        <v>2891</v>
      </c>
      <c r="J183" s="275">
        <v>144</v>
      </c>
      <c r="K183" s="654">
        <v>82</v>
      </c>
    </row>
    <row r="184" spans="1:11" ht="10.5" hidden="1" customHeight="1">
      <c r="A184" s="276" t="s">
        <v>102</v>
      </c>
      <c r="B184" s="275">
        <v>40</v>
      </c>
      <c r="C184" s="654">
        <v>18</v>
      </c>
      <c r="D184" s="275">
        <v>231</v>
      </c>
      <c r="E184" s="654">
        <v>996</v>
      </c>
      <c r="F184" s="275">
        <v>563</v>
      </c>
      <c r="G184" s="654">
        <v>2979</v>
      </c>
      <c r="H184" s="275">
        <v>743</v>
      </c>
      <c r="I184" s="654">
        <v>2269</v>
      </c>
      <c r="J184" s="275">
        <v>32</v>
      </c>
      <c r="K184" s="654">
        <v>4</v>
      </c>
    </row>
    <row r="185" spans="1:11" ht="10.5" hidden="1" customHeight="1">
      <c r="A185" s="276" t="s">
        <v>103</v>
      </c>
      <c r="B185" s="275">
        <v>27</v>
      </c>
      <c r="C185" s="654">
        <v>4</v>
      </c>
      <c r="D185" s="275">
        <v>518</v>
      </c>
      <c r="E185" s="654">
        <v>1236</v>
      </c>
      <c r="F185" s="275">
        <v>1198</v>
      </c>
      <c r="G185" s="654">
        <v>3841</v>
      </c>
      <c r="H185" s="275">
        <v>2512</v>
      </c>
      <c r="I185" s="654">
        <v>3517</v>
      </c>
      <c r="J185" s="275">
        <v>295</v>
      </c>
      <c r="K185" s="654">
        <v>82</v>
      </c>
    </row>
    <row r="186" spans="1:11" ht="10.5" hidden="1" customHeight="1">
      <c r="A186" s="276" t="s">
        <v>104</v>
      </c>
      <c r="B186" s="275">
        <v>21</v>
      </c>
      <c r="C186" s="654">
        <v>6</v>
      </c>
      <c r="D186" s="275">
        <v>372</v>
      </c>
      <c r="E186" s="654">
        <v>1323</v>
      </c>
      <c r="F186" s="275">
        <v>1052</v>
      </c>
      <c r="G186" s="654">
        <v>4333</v>
      </c>
      <c r="H186" s="275">
        <v>1416</v>
      </c>
      <c r="I186" s="654">
        <v>3365</v>
      </c>
      <c r="J186" s="275">
        <v>309</v>
      </c>
      <c r="K186" s="654">
        <v>135</v>
      </c>
    </row>
    <row r="187" spans="1:11" ht="10.5" hidden="1" customHeight="1">
      <c r="A187" s="276" t="s">
        <v>105</v>
      </c>
      <c r="B187" s="275">
        <v>20</v>
      </c>
      <c r="C187" s="654">
        <v>0</v>
      </c>
      <c r="D187" s="275">
        <v>473</v>
      </c>
      <c r="E187" s="654">
        <v>1353</v>
      </c>
      <c r="F187" s="275">
        <v>1014</v>
      </c>
      <c r="G187" s="654">
        <v>4415</v>
      </c>
      <c r="H187" s="275">
        <v>1423</v>
      </c>
      <c r="I187" s="654">
        <v>4065</v>
      </c>
      <c r="J187" s="275">
        <v>59</v>
      </c>
      <c r="K187" s="654">
        <v>36</v>
      </c>
    </row>
    <row r="188" spans="1:11" ht="10.5" hidden="1" customHeight="1">
      <c r="A188" s="276" t="s">
        <v>106</v>
      </c>
      <c r="B188" s="275">
        <v>12</v>
      </c>
      <c r="C188" s="654">
        <v>3</v>
      </c>
      <c r="D188" s="275">
        <v>261</v>
      </c>
      <c r="E188" s="654">
        <v>808</v>
      </c>
      <c r="F188" s="275">
        <v>385</v>
      </c>
      <c r="G188" s="654">
        <v>1728</v>
      </c>
      <c r="H188" s="275">
        <v>1595</v>
      </c>
      <c r="I188" s="654">
        <v>2230</v>
      </c>
      <c r="J188" s="275">
        <v>34</v>
      </c>
      <c r="K188" s="654">
        <v>10</v>
      </c>
    </row>
    <row r="189" spans="1:11" ht="10.5" hidden="1" customHeight="1">
      <c r="A189" s="276" t="s">
        <v>107</v>
      </c>
      <c r="B189" s="275">
        <v>30</v>
      </c>
      <c r="C189" s="654">
        <v>27</v>
      </c>
      <c r="D189" s="275">
        <v>523</v>
      </c>
      <c r="E189" s="654">
        <v>1489</v>
      </c>
      <c r="F189" s="275">
        <v>1083</v>
      </c>
      <c r="G189" s="654">
        <v>4653</v>
      </c>
      <c r="H189" s="275">
        <v>2998</v>
      </c>
      <c r="I189" s="654">
        <v>4083</v>
      </c>
      <c r="J189" s="275">
        <v>338</v>
      </c>
      <c r="K189" s="654">
        <v>317</v>
      </c>
    </row>
    <row r="190" spans="1:11" ht="10.5" hidden="1" customHeight="1">
      <c r="A190" s="276" t="s">
        <v>108</v>
      </c>
      <c r="B190" s="275">
        <v>132</v>
      </c>
      <c r="C190" s="654">
        <v>50</v>
      </c>
      <c r="D190" s="275">
        <v>997</v>
      </c>
      <c r="E190" s="654">
        <v>2396</v>
      </c>
      <c r="F190" s="275">
        <v>2971</v>
      </c>
      <c r="G190" s="654">
        <v>7626</v>
      </c>
      <c r="H190" s="275">
        <v>6133</v>
      </c>
      <c r="I190" s="654">
        <v>6019</v>
      </c>
      <c r="J190" s="275">
        <v>177</v>
      </c>
      <c r="K190" s="654">
        <v>53</v>
      </c>
    </row>
    <row r="191" spans="1:11" ht="10.5" hidden="1" customHeight="1">
      <c r="A191" s="276" t="s">
        <v>109</v>
      </c>
      <c r="B191" s="275">
        <v>12</v>
      </c>
      <c r="C191" s="654">
        <v>7</v>
      </c>
      <c r="D191" s="275">
        <v>372</v>
      </c>
      <c r="E191" s="654">
        <v>741</v>
      </c>
      <c r="F191" s="275">
        <v>557</v>
      </c>
      <c r="G191" s="654">
        <v>1767</v>
      </c>
      <c r="H191" s="275">
        <v>967</v>
      </c>
      <c r="I191" s="654">
        <v>987</v>
      </c>
      <c r="J191" s="275">
        <v>188</v>
      </c>
      <c r="K191" s="654">
        <v>34</v>
      </c>
    </row>
    <row r="192" spans="1:11" ht="10.5" hidden="1" customHeight="1">
      <c r="A192" s="276" t="s">
        <v>110</v>
      </c>
      <c r="B192" s="275">
        <v>6</v>
      </c>
      <c r="C192" s="654">
        <v>3</v>
      </c>
      <c r="D192" s="275">
        <v>108</v>
      </c>
      <c r="E192" s="654">
        <v>380</v>
      </c>
      <c r="F192" s="275">
        <v>182</v>
      </c>
      <c r="G192" s="654">
        <v>1281</v>
      </c>
      <c r="H192" s="275">
        <v>547</v>
      </c>
      <c r="I192" s="654">
        <v>608</v>
      </c>
      <c r="J192" s="275">
        <v>31</v>
      </c>
      <c r="K192" s="654">
        <v>23</v>
      </c>
    </row>
    <row r="193" spans="1:11" ht="5.0999999999999996" hidden="1" customHeight="1">
      <c r="A193" s="276"/>
      <c r="B193" s="275"/>
      <c r="C193" s="654"/>
      <c r="D193" s="275"/>
      <c r="E193" s="654"/>
      <c r="F193" s="275"/>
      <c r="G193" s="654"/>
      <c r="H193" s="275"/>
      <c r="I193" s="654"/>
      <c r="J193" s="275"/>
      <c r="K193" s="654"/>
    </row>
    <row r="194" spans="1:11" ht="9" hidden="1" customHeight="1">
      <c r="A194" s="271">
        <v>2020</v>
      </c>
      <c r="B194" s="274">
        <f t="shared" ref="B194:K194" si="12">SUM(B195:B206)</f>
        <v>210</v>
      </c>
      <c r="C194" s="652">
        <f t="shared" si="12"/>
        <v>75</v>
      </c>
      <c r="D194" s="274">
        <f t="shared" si="12"/>
        <v>4543</v>
      </c>
      <c r="E194" s="652">
        <f t="shared" si="12"/>
        <v>13856</v>
      </c>
      <c r="F194" s="274">
        <f t="shared" si="12"/>
        <v>10307</v>
      </c>
      <c r="G194" s="652">
        <f t="shared" si="12"/>
        <v>32515</v>
      </c>
      <c r="H194" s="274">
        <f t="shared" si="12"/>
        <v>16245</v>
      </c>
      <c r="I194" s="652">
        <f t="shared" si="12"/>
        <v>27767</v>
      </c>
      <c r="J194" s="274">
        <f t="shared" si="12"/>
        <v>978</v>
      </c>
      <c r="K194" s="652">
        <f t="shared" si="12"/>
        <v>608</v>
      </c>
    </row>
    <row r="195" spans="1:11" ht="24.95" hidden="1" customHeight="1">
      <c r="A195" s="268" t="s">
        <v>300</v>
      </c>
      <c r="B195" s="275">
        <v>1</v>
      </c>
      <c r="C195" s="65" t="s">
        <v>13</v>
      </c>
      <c r="D195" s="275">
        <v>91</v>
      </c>
      <c r="E195" s="654">
        <v>28</v>
      </c>
      <c r="F195" s="275">
        <v>80</v>
      </c>
      <c r="G195" s="654">
        <v>13</v>
      </c>
      <c r="H195" s="275">
        <v>105</v>
      </c>
      <c r="I195" s="654">
        <v>5</v>
      </c>
      <c r="J195" s="279">
        <v>26</v>
      </c>
      <c r="K195" s="65" t="s">
        <v>13</v>
      </c>
    </row>
    <row r="196" spans="1:11" ht="10.5" hidden="1" customHeight="1">
      <c r="A196" s="276" t="s">
        <v>100</v>
      </c>
      <c r="B196" s="275">
        <v>22</v>
      </c>
      <c r="C196" s="654">
        <v>12</v>
      </c>
      <c r="D196" s="275">
        <v>1004</v>
      </c>
      <c r="E196" s="654">
        <v>3071</v>
      </c>
      <c r="F196" s="275">
        <v>1957</v>
      </c>
      <c r="G196" s="654">
        <v>6550</v>
      </c>
      <c r="H196" s="275">
        <v>3120</v>
      </c>
      <c r="I196" s="654">
        <v>2985</v>
      </c>
      <c r="J196" s="275">
        <v>142</v>
      </c>
      <c r="K196" s="654">
        <v>33</v>
      </c>
    </row>
    <row r="197" spans="1:11" ht="10.5" hidden="1" customHeight="1">
      <c r="A197" s="276" t="s">
        <v>101</v>
      </c>
      <c r="B197" s="275">
        <v>14</v>
      </c>
      <c r="C197" s="654">
        <v>6</v>
      </c>
      <c r="D197" s="275">
        <v>381</v>
      </c>
      <c r="E197" s="654">
        <v>886</v>
      </c>
      <c r="F197" s="275">
        <v>439</v>
      </c>
      <c r="G197" s="654">
        <v>509</v>
      </c>
      <c r="H197" s="275">
        <v>1393</v>
      </c>
      <c r="I197" s="654">
        <v>1563</v>
      </c>
      <c r="J197" s="275">
        <v>45</v>
      </c>
      <c r="K197" s="654">
        <v>32</v>
      </c>
    </row>
    <row r="198" spans="1:11" ht="10.5" hidden="1" customHeight="1">
      <c r="A198" s="276" t="s">
        <v>102</v>
      </c>
      <c r="B198" s="275">
        <v>33</v>
      </c>
      <c r="C198" s="654">
        <v>13</v>
      </c>
      <c r="D198" s="275">
        <v>136</v>
      </c>
      <c r="E198" s="654">
        <v>1309</v>
      </c>
      <c r="F198" s="275">
        <v>602</v>
      </c>
      <c r="G198" s="654">
        <v>3719</v>
      </c>
      <c r="H198" s="275">
        <v>578</v>
      </c>
      <c r="I198" s="654">
        <v>3475</v>
      </c>
      <c r="J198" s="275">
        <v>38</v>
      </c>
      <c r="K198" s="654">
        <v>14</v>
      </c>
    </row>
    <row r="199" spans="1:11" ht="10.5" hidden="1" customHeight="1">
      <c r="A199" s="276" t="s">
        <v>103</v>
      </c>
      <c r="B199" s="275">
        <v>8</v>
      </c>
      <c r="C199" s="654">
        <v>2</v>
      </c>
      <c r="D199" s="275">
        <v>485</v>
      </c>
      <c r="E199" s="654">
        <v>1263</v>
      </c>
      <c r="F199" s="275">
        <v>1166</v>
      </c>
      <c r="G199" s="654">
        <v>3200</v>
      </c>
      <c r="H199" s="275">
        <v>1611</v>
      </c>
      <c r="I199" s="654">
        <v>3220</v>
      </c>
      <c r="J199" s="275">
        <v>171</v>
      </c>
      <c r="K199" s="654">
        <v>159</v>
      </c>
    </row>
    <row r="200" spans="1:11" ht="10.5" hidden="1" customHeight="1">
      <c r="A200" s="276" t="s">
        <v>104</v>
      </c>
      <c r="B200" s="275">
        <v>2</v>
      </c>
      <c r="C200" s="654"/>
      <c r="D200" s="275">
        <v>257</v>
      </c>
      <c r="E200" s="654">
        <v>924</v>
      </c>
      <c r="F200" s="275">
        <v>737</v>
      </c>
      <c r="G200" s="654">
        <v>3530</v>
      </c>
      <c r="H200" s="275">
        <v>719</v>
      </c>
      <c r="I200" s="654">
        <v>1951</v>
      </c>
      <c r="J200" s="275">
        <v>79</v>
      </c>
      <c r="K200" s="654">
        <v>30</v>
      </c>
    </row>
    <row r="201" spans="1:11" ht="10.5" hidden="1" customHeight="1">
      <c r="A201" s="276" t="s">
        <v>105</v>
      </c>
      <c r="B201" s="275">
        <v>9</v>
      </c>
      <c r="C201" s="654">
        <v>1</v>
      </c>
      <c r="D201" s="275">
        <v>349</v>
      </c>
      <c r="E201" s="654">
        <v>1162</v>
      </c>
      <c r="F201" s="275">
        <v>327</v>
      </c>
      <c r="G201" s="654">
        <v>1190</v>
      </c>
      <c r="H201" s="275">
        <v>1213</v>
      </c>
      <c r="I201" s="654">
        <v>4263</v>
      </c>
      <c r="J201" s="275">
        <v>80</v>
      </c>
      <c r="K201" s="654">
        <v>29</v>
      </c>
    </row>
    <row r="202" spans="1:11" ht="10.5" hidden="1" customHeight="1">
      <c r="A202" s="276" t="s">
        <v>106</v>
      </c>
      <c r="B202" s="275">
        <v>8</v>
      </c>
      <c r="C202" s="654"/>
      <c r="D202" s="275">
        <v>186</v>
      </c>
      <c r="E202" s="654">
        <v>591</v>
      </c>
      <c r="F202" s="275">
        <v>303</v>
      </c>
      <c r="G202" s="654">
        <v>537</v>
      </c>
      <c r="H202" s="275">
        <v>978</v>
      </c>
      <c r="I202" s="654">
        <v>1372</v>
      </c>
      <c r="J202" s="275">
        <v>66</v>
      </c>
      <c r="K202" s="654">
        <v>55</v>
      </c>
    </row>
    <row r="203" spans="1:11" ht="10.5" hidden="1" customHeight="1">
      <c r="A203" s="276" t="s">
        <v>107</v>
      </c>
      <c r="B203" s="275">
        <v>12</v>
      </c>
      <c r="C203" s="654">
        <v>13</v>
      </c>
      <c r="D203" s="275">
        <v>561</v>
      </c>
      <c r="E203" s="654">
        <v>1312</v>
      </c>
      <c r="F203" s="275">
        <v>1148</v>
      </c>
      <c r="G203" s="654">
        <v>4109</v>
      </c>
      <c r="H203" s="275">
        <v>1875</v>
      </c>
      <c r="I203" s="654">
        <v>2986</v>
      </c>
      <c r="J203" s="275">
        <v>150</v>
      </c>
      <c r="K203" s="654">
        <v>208</v>
      </c>
    </row>
    <row r="204" spans="1:11" ht="10.5" hidden="1" customHeight="1">
      <c r="A204" s="276" t="s">
        <v>108</v>
      </c>
      <c r="B204" s="275">
        <v>95</v>
      </c>
      <c r="C204" s="654">
        <v>25</v>
      </c>
      <c r="D204" s="275">
        <v>759</v>
      </c>
      <c r="E204" s="654">
        <v>2399</v>
      </c>
      <c r="F204" s="275">
        <v>2727</v>
      </c>
      <c r="G204" s="654">
        <v>6579</v>
      </c>
      <c r="H204" s="275">
        <v>3738</v>
      </c>
      <c r="I204" s="654">
        <v>4478</v>
      </c>
      <c r="J204" s="275">
        <v>55</v>
      </c>
      <c r="K204" s="654">
        <v>10</v>
      </c>
    </row>
    <row r="205" spans="1:11" ht="10.5" hidden="1" customHeight="1">
      <c r="A205" s="276" t="s">
        <v>109</v>
      </c>
      <c r="B205" s="275">
        <v>2</v>
      </c>
      <c r="C205" s="654">
        <v>1</v>
      </c>
      <c r="D205" s="275">
        <v>237</v>
      </c>
      <c r="E205" s="654">
        <v>581</v>
      </c>
      <c r="F205" s="275">
        <v>644</v>
      </c>
      <c r="G205" s="654">
        <v>1561</v>
      </c>
      <c r="H205" s="275">
        <v>577</v>
      </c>
      <c r="I205" s="654">
        <v>1112</v>
      </c>
      <c r="J205" s="275">
        <v>97</v>
      </c>
      <c r="K205" s="654">
        <v>8</v>
      </c>
    </row>
    <row r="206" spans="1:11" ht="10.5" hidden="1" customHeight="1">
      <c r="A206" s="276" t="s">
        <v>110</v>
      </c>
      <c r="B206" s="275">
        <v>4</v>
      </c>
      <c r="C206" s="654">
        <v>2</v>
      </c>
      <c r="D206" s="275">
        <v>97</v>
      </c>
      <c r="E206" s="654">
        <v>330</v>
      </c>
      <c r="F206" s="275">
        <v>177</v>
      </c>
      <c r="G206" s="654">
        <v>1018</v>
      </c>
      <c r="H206" s="275">
        <v>338</v>
      </c>
      <c r="I206" s="654">
        <v>357</v>
      </c>
      <c r="J206" s="275">
        <v>29</v>
      </c>
      <c r="K206" s="654">
        <v>30</v>
      </c>
    </row>
    <row r="207" spans="1:11" ht="5.0999999999999996" hidden="1" customHeight="1">
      <c r="A207" s="276"/>
      <c r="B207" s="275"/>
      <c r="C207" s="654"/>
      <c r="D207" s="275"/>
      <c r="E207" s="654"/>
      <c r="F207" s="275"/>
      <c r="G207" s="654"/>
      <c r="H207" s="275"/>
      <c r="I207" s="654"/>
      <c r="J207" s="275"/>
      <c r="K207" s="654"/>
    </row>
    <row r="208" spans="1:11" ht="9" customHeight="1">
      <c r="A208" s="271">
        <v>2021</v>
      </c>
      <c r="B208" s="274">
        <f t="shared" ref="B208:K208" si="13">SUM(B209:B220)</f>
        <v>217</v>
      </c>
      <c r="C208" s="652">
        <f t="shared" si="13"/>
        <v>67</v>
      </c>
      <c r="D208" s="274">
        <f t="shared" si="13"/>
        <v>5199</v>
      </c>
      <c r="E208" s="652">
        <f t="shared" si="13"/>
        <v>14024</v>
      </c>
      <c r="F208" s="274">
        <f t="shared" si="13"/>
        <v>9181</v>
      </c>
      <c r="G208" s="652">
        <f t="shared" si="13"/>
        <v>26841</v>
      </c>
      <c r="H208" s="274">
        <f t="shared" si="13"/>
        <v>19945</v>
      </c>
      <c r="I208" s="652">
        <f t="shared" si="13"/>
        <v>26113</v>
      </c>
      <c r="J208" s="274">
        <f t="shared" si="13"/>
        <v>1035</v>
      </c>
      <c r="K208" s="652">
        <f t="shared" si="13"/>
        <v>684</v>
      </c>
    </row>
    <row r="209" spans="1:11" ht="21" customHeight="1">
      <c r="A209" s="268" t="s">
        <v>829</v>
      </c>
      <c r="B209" s="275">
        <v>5</v>
      </c>
      <c r="C209" s="65" t="s">
        <v>13</v>
      </c>
      <c r="D209" s="275">
        <v>78</v>
      </c>
      <c r="E209" s="654">
        <v>39</v>
      </c>
      <c r="F209" s="275">
        <v>97</v>
      </c>
      <c r="G209" s="654">
        <v>13</v>
      </c>
      <c r="H209" s="275">
        <v>855</v>
      </c>
      <c r="I209" s="654">
        <v>85</v>
      </c>
      <c r="J209" s="279">
        <v>20</v>
      </c>
      <c r="K209" s="65" t="s">
        <v>13</v>
      </c>
    </row>
    <row r="210" spans="1:11" ht="10.5" customHeight="1">
      <c r="A210" s="276" t="s">
        <v>100</v>
      </c>
      <c r="B210" s="275">
        <v>16</v>
      </c>
      <c r="C210" s="654">
        <v>13</v>
      </c>
      <c r="D210" s="275">
        <v>898</v>
      </c>
      <c r="E210" s="654">
        <v>2359</v>
      </c>
      <c r="F210" s="275">
        <v>1178</v>
      </c>
      <c r="G210" s="654">
        <v>4540</v>
      </c>
      <c r="H210" s="275">
        <v>2566</v>
      </c>
      <c r="I210" s="654">
        <v>3262</v>
      </c>
      <c r="J210" s="275">
        <v>98</v>
      </c>
      <c r="K210" s="654">
        <v>26</v>
      </c>
    </row>
    <row r="211" spans="1:11" ht="10.5" customHeight="1">
      <c r="A211" s="276" t="s">
        <v>101</v>
      </c>
      <c r="B211" s="275">
        <v>18</v>
      </c>
      <c r="C211" s="654">
        <v>8</v>
      </c>
      <c r="D211" s="275">
        <v>554</v>
      </c>
      <c r="E211" s="654">
        <v>1021</v>
      </c>
      <c r="F211" s="275">
        <v>429</v>
      </c>
      <c r="G211" s="654">
        <v>656</v>
      </c>
      <c r="H211" s="275">
        <v>1919</v>
      </c>
      <c r="I211" s="654">
        <v>1525</v>
      </c>
      <c r="J211" s="275">
        <v>20</v>
      </c>
      <c r="K211" s="654">
        <v>23</v>
      </c>
    </row>
    <row r="212" spans="1:11" ht="10.5" customHeight="1">
      <c r="A212" s="276" t="s">
        <v>102</v>
      </c>
      <c r="B212" s="275">
        <v>23</v>
      </c>
      <c r="C212" s="654">
        <v>9</v>
      </c>
      <c r="D212" s="275">
        <v>175</v>
      </c>
      <c r="E212" s="654">
        <v>1856</v>
      </c>
      <c r="F212" s="275">
        <v>521</v>
      </c>
      <c r="G212" s="654">
        <v>2724</v>
      </c>
      <c r="H212" s="275">
        <v>941</v>
      </c>
      <c r="I212" s="654">
        <v>2520</v>
      </c>
      <c r="J212" s="275">
        <v>29</v>
      </c>
      <c r="K212" s="654">
        <v>3</v>
      </c>
    </row>
    <row r="213" spans="1:11" ht="10.5" customHeight="1">
      <c r="A213" s="276" t="s">
        <v>103</v>
      </c>
      <c r="B213" s="275">
        <v>6</v>
      </c>
      <c r="C213" s="654">
        <v>1</v>
      </c>
      <c r="D213" s="275">
        <v>419</v>
      </c>
      <c r="E213" s="654">
        <v>1463</v>
      </c>
      <c r="F213" s="275">
        <v>1024</v>
      </c>
      <c r="G213" s="654">
        <v>3292</v>
      </c>
      <c r="H213" s="275">
        <v>1544</v>
      </c>
      <c r="I213" s="654">
        <v>3272</v>
      </c>
      <c r="J213" s="275">
        <v>210</v>
      </c>
      <c r="K213" s="654">
        <v>264</v>
      </c>
    </row>
    <row r="214" spans="1:11" ht="10.5" customHeight="1">
      <c r="A214" s="276" t="s">
        <v>104</v>
      </c>
      <c r="B214" s="275">
        <v>8</v>
      </c>
      <c r="C214" s="654"/>
      <c r="D214" s="275">
        <v>340</v>
      </c>
      <c r="E214" s="654">
        <v>1034</v>
      </c>
      <c r="F214" s="275">
        <v>614</v>
      </c>
      <c r="G214" s="654">
        <v>3312</v>
      </c>
      <c r="H214" s="275">
        <v>1127</v>
      </c>
      <c r="I214" s="654">
        <v>2099</v>
      </c>
      <c r="J214" s="275">
        <v>150</v>
      </c>
      <c r="K214" s="654">
        <v>51</v>
      </c>
    </row>
    <row r="215" spans="1:11" ht="10.5" customHeight="1">
      <c r="A215" s="276" t="s">
        <v>105</v>
      </c>
      <c r="B215" s="275">
        <v>16</v>
      </c>
      <c r="C215" s="654">
        <v>1</v>
      </c>
      <c r="D215" s="275">
        <v>518</v>
      </c>
      <c r="E215" s="654">
        <v>1101</v>
      </c>
      <c r="F215" s="275">
        <v>411</v>
      </c>
      <c r="G215" s="654">
        <v>1114</v>
      </c>
      <c r="H215" s="275">
        <v>1527</v>
      </c>
      <c r="I215" s="654">
        <v>3967</v>
      </c>
      <c r="J215" s="275">
        <v>23</v>
      </c>
      <c r="K215" s="654">
        <v>25</v>
      </c>
    </row>
    <row r="216" spans="1:11" ht="10.5" customHeight="1">
      <c r="A216" s="276" t="s">
        <v>106</v>
      </c>
      <c r="B216" s="275">
        <v>4</v>
      </c>
      <c r="C216" s="654">
        <v>4</v>
      </c>
      <c r="D216" s="275">
        <v>277</v>
      </c>
      <c r="E216" s="654">
        <v>789</v>
      </c>
      <c r="F216" s="275">
        <v>168</v>
      </c>
      <c r="G216" s="654">
        <v>533</v>
      </c>
      <c r="H216" s="275">
        <v>769</v>
      </c>
      <c r="I216" s="654">
        <v>1322</v>
      </c>
      <c r="J216" s="275">
        <v>32</v>
      </c>
      <c r="K216" s="654">
        <v>13</v>
      </c>
    </row>
    <row r="217" spans="1:11" ht="10.5" customHeight="1">
      <c r="A217" s="276" t="s">
        <v>107</v>
      </c>
      <c r="B217" s="275">
        <v>5</v>
      </c>
      <c r="C217" s="654">
        <v>9</v>
      </c>
      <c r="D217" s="275">
        <v>545</v>
      </c>
      <c r="E217" s="654">
        <v>1391</v>
      </c>
      <c r="F217" s="275">
        <v>1075</v>
      </c>
      <c r="G217" s="654">
        <v>3520</v>
      </c>
      <c r="H217" s="275">
        <v>2270</v>
      </c>
      <c r="I217" s="654">
        <v>2899</v>
      </c>
      <c r="J217" s="275">
        <v>164</v>
      </c>
      <c r="K217" s="654">
        <v>225</v>
      </c>
    </row>
    <row r="218" spans="1:11" ht="10.5" customHeight="1">
      <c r="A218" s="276" t="s">
        <v>108</v>
      </c>
      <c r="B218" s="275">
        <v>111</v>
      </c>
      <c r="C218" s="654">
        <v>21</v>
      </c>
      <c r="D218" s="275">
        <v>942</v>
      </c>
      <c r="E218" s="654">
        <v>1767</v>
      </c>
      <c r="F218" s="275">
        <v>2935</v>
      </c>
      <c r="G218" s="654">
        <v>4845</v>
      </c>
      <c r="H218" s="275">
        <v>4611</v>
      </c>
      <c r="I218" s="654">
        <v>3244</v>
      </c>
      <c r="J218" s="275">
        <v>65</v>
      </c>
      <c r="K218" s="654">
        <v>8</v>
      </c>
    </row>
    <row r="219" spans="1:11" ht="10.5" customHeight="1">
      <c r="A219" s="276" t="s">
        <v>109</v>
      </c>
      <c r="B219" s="275">
        <v>2</v>
      </c>
      <c r="C219" s="654">
        <v>1</v>
      </c>
      <c r="D219" s="275">
        <v>324</v>
      </c>
      <c r="E219" s="654">
        <v>623</v>
      </c>
      <c r="F219" s="275">
        <v>544</v>
      </c>
      <c r="G219" s="654">
        <v>1401</v>
      </c>
      <c r="H219" s="275">
        <v>1006</v>
      </c>
      <c r="I219" s="654">
        <v>1299</v>
      </c>
      <c r="J219" s="275">
        <v>212</v>
      </c>
      <c r="K219" s="654">
        <v>28</v>
      </c>
    </row>
    <row r="220" spans="1:11" ht="10.5" customHeight="1">
      <c r="A220" s="276" t="s">
        <v>110</v>
      </c>
      <c r="B220" s="275">
        <v>3</v>
      </c>
      <c r="C220" s="65" t="s">
        <v>13</v>
      </c>
      <c r="D220" s="275">
        <v>129</v>
      </c>
      <c r="E220" s="654">
        <v>581</v>
      </c>
      <c r="F220" s="275">
        <v>185</v>
      </c>
      <c r="G220" s="654">
        <v>891</v>
      </c>
      <c r="H220" s="275">
        <v>810</v>
      </c>
      <c r="I220" s="654">
        <v>619</v>
      </c>
      <c r="J220" s="275">
        <v>12</v>
      </c>
      <c r="K220" s="654">
        <v>18</v>
      </c>
    </row>
    <row r="221" spans="1:11" ht="5.0999999999999996" customHeight="1">
      <c r="A221" s="276"/>
      <c r="B221" s="275"/>
      <c r="C221" s="654"/>
      <c r="D221" s="275"/>
      <c r="E221" s="654"/>
      <c r="F221" s="275"/>
      <c r="G221" s="654"/>
      <c r="H221" s="275"/>
      <c r="I221" s="654"/>
      <c r="J221" s="275"/>
      <c r="K221" s="654"/>
    </row>
    <row r="222" spans="1:11" ht="9" customHeight="1">
      <c r="A222" s="271">
        <v>2022</v>
      </c>
      <c r="B222" s="274">
        <f t="shared" ref="B222" si="14">SUM(B223:B234)</f>
        <v>171</v>
      </c>
      <c r="C222" s="652">
        <f t="shared" ref="C222" si="15">SUM(C223:C234)</f>
        <v>75</v>
      </c>
      <c r="D222" s="274">
        <f t="shared" ref="D222" si="16">SUM(D223:D234)</f>
        <v>5332</v>
      </c>
      <c r="E222" s="652">
        <f t="shared" ref="E222" si="17">SUM(E223:E234)</f>
        <v>12315</v>
      </c>
      <c r="F222" s="274">
        <f t="shared" ref="F222" si="18">SUM(F223:F234)</f>
        <v>6403</v>
      </c>
      <c r="G222" s="652">
        <f t="shared" ref="G222" si="19">SUM(G223:G234)</f>
        <v>20464</v>
      </c>
      <c r="H222" s="274">
        <f t="shared" ref="H222" si="20">SUM(H223:H234)</f>
        <v>28125</v>
      </c>
      <c r="I222" s="652">
        <f t="shared" ref="I222" si="21">SUM(I223:I234)</f>
        <v>29109</v>
      </c>
      <c r="J222" s="274">
        <f t="shared" ref="J222" si="22">SUM(J223:J234)</f>
        <v>626</v>
      </c>
      <c r="K222" s="652">
        <f t="shared" ref="K222" si="23">SUM(K223:K234)</f>
        <v>530</v>
      </c>
    </row>
    <row r="223" spans="1:11" ht="24.95" customHeight="1">
      <c r="A223" s="268" t="s">
        <v>829</v>
      </c>
      <c r="B223" s="65">
        <v>10</v>
      </c>
      <c r="C223" s="65">
        <v>2</v>
      </c>
      <c r="D223" s="275">
        <v>109</v>
      </c>
      <c r="E223" s="654">
        <v>70</v>
      </c>
      <c r="F223" s="275">
        <v>172</v>
      </c>
      <c r="G223" s="654">
        <v>7</v>
      </c>
      <c r="H223" s="275">
        <v>830</v>
      </c>
      <c r="I223" s="654">
        <v>52</v>
      </c>
      <c r="J223" s="65">
        <v>5</v>
      </c>
      <c r="K223" s="65" t="s">
        <v>13</v>
      </c>
    </row>
    <row r="224" spans="1:11" ht="10.5" customHeight="1">
      <c r="A224" s="276" t="s">
        <v>100</v>
      </c>
      <c r="B224" s="275">
        <v>20</v>
      </c>
      <c r="C224" s="654">
        <v>9</v>
      </c>
      <c r="D224" s="275">
        <v>1013</v>
      </c>
      <c r="E224" s="654">
        <v>2295</v>
      </c>
      <c r="F224" s="275">
        <v>1407</v>
      </c>
      <c r="G224" s="654">
        <v>5237</v>
      </c>
      <c r="H224" s="275">
        <v>4670</v>
      </c>
      <c r="I224" s="654">
        <v>3860</v>
      </c>
      <c r="J224" s="275">
        <v>97</v>
      </c>
      <c r="K224" s="654">
        <v>45</v>
      </c>
    </row>
    <row r="225" spans="1:11" ht="10.5" customHeight="1">
      <c r="A225" s="276" t="s">
        <v>101</v>
      </c>
      <c r="B225" s="275">
        <v>15</v>
      </c>
      <c r="C225" s="654">
        <v>3</v>
      </c>
      <c r="D225" s="275">
        <v>449</v>
      </c>
      <c r="E225" s="654">
        <v>889</v>
      </c>
      <c r="F225" s="275">
        <v>642</v>
      </c>
      <c r="G225" s="654">
        <v>976</v>
      </c>
      <c r="H225" s="275">
        <v>2496</v>
      </c>
      <c r="I225" s="654">
        <v>2013</v>
      </c>
      <c r="J225" s="275">
        <v>25</v>
      </c>
      <c r="K225" s="654">
        <v>13</v>
      </c>
    </row>
    <row r="226" spans="1:11" ht="10.5" customHeight="1">
      <c r="A226" s="276" t="s">
        <v>102</v>
      </c>
      <c r="B226" s="275">
        <v>21</v>
      </c>
      <c r="C226" s="65">
        <v>4</v>
      </c>
      <c r="D226" s="275">
        <v>406</v>
      </c>
      <c r="E226" s="654">
        <v>1053</v>
      </c>
      <c r="F226" s="275">
        <v>243</v>
      </c>
      <c r="G226" s="654">
        <v>1293</v>
      </c>
      <c r="H226" s="275">
        <v>928</v>
      </c>
      <c r="I226" s="654">
        <v>1807</v>
      </c>
      <c r="J226" s="65">
        <v>7</v>
      </c>
      <c r="K226" s="65" t="s">
        <v>13</v>
      </c>
    </row>
    <row r="227" spans="1:11" ht="10.5" customHeight="1">
      <c r="A227" s="276" t="s">
        <v>103</v>
      </c>
      <c r="B227" s="65">
        <v>4</v>
      </c>
      <c r="C227" s="65">
        <v>1</v>
      </c>
      <c r="D227" s="275">
        <v>370</v>
      </c>
      <c r="E227" s="654">
        <v>1244</v>
      </c>
      <c r="F227" s="275">
        <v>397</v>
      </c>
      <c r="G227" s="654">
        <v>1322</v>
      </c>
      <c r="H227" s="275">
        <v>1717</v>
      </c>
      <c r="I227" s="654">
        <v>3041</v>
      </c>
      <c r="J227" s="275">
        <v>83</v>
      </c>
      <c r="K227" s="654">
        <v>198</v>
      </c>
    </row>
    <row r="228" spans="1:11" ht="10.5" customHeight="1">
      <c r="A228" s="276" t="s">
        <v>104</v>
      </c>
      <c r="B228" s="65">
        <v>5</v>
      </c>
      <c r="C228" s="65">
        <v>2</v>
      </c>
      <c r="D228" s="275">
        <v>250</v>
      </c>
      <c r="E228" s="654">
        <v>841</v>
      </c>
      <c r="F228" s="275">
        <v>483</v>
      </c>
      <c r="G228" s="654">
        <v>1860</v>
      </c>
      <c r="H228" s="275">
        <v>2060</v>
      </c>
      <c r="I228" s="654">
        <v>2536</v>
      </c>
      <c r="J228" s="275">
        <v>104</v>
      </c>
      <c r="K228" s="654">
        <v>14</v>
      </c>
    </row>
    <row r="229" spans="1:11" ht="10.5" customHeight="1">
      <c r="A229" s="276" t="s">
        <v>105</v>
      </c>
      <c r="B229" s="65">
        <v>3</v>
      </c>
      <c r="C229" s="65" t="s">
        <v>13</v>
      </c>
      <c r="D229" s="275">
        <v>541</v>
      </c>
      <c r="E229" s="654">
        <v>1145</v>
      </c>
      <c r="F229" s="275">
        <v>503</v>
      </c>
      <c r="G229" s="654">
        <v>1512</v>
      </c>
      <c r="H229" s="275">
        <v>1704</v>
      </c>
      <c r="I229" s="654">
        <v>3479</v>
      </c>
      <c r="J229" s="275">
        <v>17</v>
      </c>
      <c r="K229" s="65">
        <v>8</v>
      </c>
    </row>
    <row r="230" spans="1:11" ht="10.5" customHeight="1">
      <c r="A230" s="276" t="s">
        <v>106</v>
      </c>
      <c r="B230" s="65">
        <v>2</v>
      </c>
      <c r="C230" s="65">
        <v>4</v>
      </c>
      <c r="D230" s="275">
        <v>181</v>
      </c>
      <c r="E230" s="654">
        <v>516</v>
      </c>
      <c r="F230" s="275">
        <v>259</v>
      </c>
      <c r="G230" s="654">
        <v>724</v>
      </c>
      <c r="H230" s="275">
        <v>1164</v>
      </c>
      <c r="I230" s="654">
        <v>1530</v>
      </c>
      <c r="J230" s="275">
        <v>16</v>
      </c>
      <c r="K230" s="65">
        <v>1</v>
      </c>
    </row>
    <row r="231" spans="1:11" ht="10.5" customHeight="1">
      <c r="A231" s="276" t="s">
        <v>107</v>
      </c>
      <c r="B231" s="65">
        <v>11</v>
      </c>
      <c r="C231" s="65">
        <v>2</v>
      </c>
      <c r="D231" s="275">
        <v>485</v>
      </c>
      <c r="E231" s="654">
        <v>1246</v>
      </c>
      <c r="F231" s="275">
        <v>305</v>
      </c>
      <c r="G231" s="654">
        <v>755</v>
      </c>
      <c r="H231" s="275">
        <v>3730</v>
      </c>
      <c r="I231" s="654">
        <v>3457</v>
      </c>
      <c r="J231" s="275">
        <v>95</v>
      </c>
      <c r="K231" s="654">
        <v>169</v>
      </c>
    </row>
    <row r="232" spans="1:11" ht="10.5" customHeight="1">
      <c r="A232" s="276" t="s">
        <v>108</v>
      </c>
      <c r="B232" s="65">
        <v>70</v>
      </c>
      <c r="C232" s="65">
        <v>41</v>
      </c>
      <c r="D232" s="65">
        <v>1067</v>
      </c>
      <c r="E232" s="65">
        <v>2209</v>
      </c>
      <c r="F232" s="65">
        <v>1397</v>
      </c>
      <c r="G232" s="65">
        <v>4395</v>
      </c>
      <c r="H232" s="65">
        <v>6665</v>
      </c>
      <c r="I232" s="65">
        <v>5214</v>
      </c>
      <c r="J232" s="65">
        <v>46</v>
      </c>
      <c r="K232" s="65">
        <v>9</v>
      </c>
    </row>
    <row r="233" spans="1:11" ht="10.5" customHeight="1">
      <c r="A233" s="276" t="s">
        <v>109</v>
      </c>
      <c r="B233" s="275">
        <v>5</v>
      </c>
      <c r="C233" s="654">
        <v>5</v>
      </c>
      <c r="D233" s="275">
        <v>355</v>
      </c>
      <c r="E233" s="654">
        <v>548</v>
      </c>
      <c r="F233" s="275">
        <v>356</v>
      </c>
      <c r="G233" s="654">
        <v>1445</v>
      </c>
      <c r="H233" s="275">
        <v>1158</v>
      </c>
      <c r="I233" s="654">
        <v>1362</v>
      </c>
      <c r="J233" s="275">
        <v>126</v>
      </c>
      <c r="K233" s="654">
        <v>69</v>
      </c>
    </row>
    <row r="234" spans="1:11" ht="10.5" customHeight="1">
      <c r="A234" s="276" t="s">
        <v>110</v>
      </c>
      <c r="B234" s="65">
        <v>5</v>
      </c>
      <c r="C234" s="65">
        <v>2</v>
      </c>
      <c r="D234" s="275">
        <v>106</v>
      </c>
      <c r="E234" s="654">
        <v>259</v>
      </c>
      <c r="F234" s="275">
        <v>239</v>
      </c>
      <c r="G234" s="654">
        <v>938</v>
      </c>
      <c r="H234" s="275">
        <v>1003</v>
      </c>
      <c r="I234" s="654">
        <v>758</v>
      </c>
      <c r="J234" s="65">
        <v>5</v>
      </c>
      <c r="K234" s="654">
        <v>4</v>
      </c>
    </row>
    <row r="235" spans="1:11" ht="5.0999999999999996" customHeight="1">
      <c r="A235" s="276"/>
      <c r="B235" s="275"/>
      <c r="C235" s="654"/>
      <c r="D235" s="275"/>
      <c r="E235" s="654"/>
      <c r="F235" s="275"/>
      <c r="G235" s="654"/>
      <c r="H235" s="275"/>
      <c r="I235" s="654"/>
      <c r="J235" s="275"/>
      <c r="K235" s="654"/>
    </row>
    <row r="236" spans="1:11" ht="9" customHeight="1">
      <c r="A236" s="271">
        <v>2023</v>
      </c>
      <c r="B236" s="274">
        <f t="shared" ref="B236:K236" si="24">SUM(B237:B248)</f>
        <v>198</v>
      </c>
      <c r="C236" s="652">
        <f t="shared" si="24"/>
        <v>70</v>
      </c>
      <c r="D236" s="274">
        <f t="shared" si="24"/>
        <v>5443</v>
      </c>
      <c r="E236" s="652">
        <f t="shared" si="24"/>
        <v>11516</v>
      </c>
      <c r="F236" s="274">
        <f t="shared" si="24"/>
        <v>4776</v>
      </c>
      <c r="G236" s="652">
        <f t="shared" si="24"/>
        <v>15323</v>
      </c>
      <c r="H236" s="274">
        <f t="shared" si="24"/>
        <v>29124</v>
      </c>
      <c r="I236" s="652">
        <f t="shared" si="24"/>
        <v>31211</v>
      </c>
      <c r="J236" s="274">
        <f t="shared" si="24"/>
        <v>1061</v>
      </c>
      <c r="K236" s="652">
        <f t="shared" si="24"/>
        <v>754</v>
      </c>
    </row>
    <row r="237" spans="1:11" ht="24.95" customHeight="1">
      <c r="A237" s="268" t="s">
        <v>829</v>
      </c>
      <c r="B237" s="65">
        <v>8</v>
      </c>
      <c r="C237" s="65">
        <v>5</v>
      </c>
      <c r="D237" s="275">
        <v>125</v>
      </c>
      <c r="E237" s="654">
        <v>44</v>
      </c>
      <c r="F237" s="275">
        <v>166</v>
      </c>
      <c r="G237" s="654">
        <v>21</v>
      </c>
      <c r="H237" s="275">
        <v>747</v>
      </c>
      <c r="I237" s="654">
        <v>188</v>
      </c>
      <c r="J237" s="65">
        <v>21</v>
      </c>
      <c r="K237" s="65" t="s">
        <v>13</v>
      </c>
    </row>
    <row r="238" spans="1:11" ht="10.5" customHeight="1">
      <c r="A238" s="276" t="s">
        <v>100</v>
      </c>
      <c r="B238" s="275">
        <v>24</v>
      </c>
      <c r="C238" s="654">
        <v>9</v>
      </c>
      <c r="D238" s="275">
        <v>761</v>
      </c>
      <c r="E238" s="654">
        <v>2037</v>
      </c>
      <c r="F238" s="275">
        <v>846</v>
      </c>
      <c r="G238" s="654">
        <v>3714</v>
      </c>
      <c r="H238" s="275">
        <v>4699</v>
      </c>
      <c r="I238" s="654">
        <v>4042</v>
      </c>
      <c r="J238" s="275">
        <v>132</v>
      </c>
      <c r="K238" s="654">
        <v>60</v>
      </c>
    </row>
    <row r="239" spans="1:11" ht="10.5" customHeight="1">
      <c r="A239" s="276" t="s">
        <v>101</v>
      </c>
      <c r="B239" s="275">
        <v>13</v>
      </c>
      <c r="C239" s="654">
        <v>9</v>
      </c>
      <c r="D239" s="275">
        <v>480</v>
      </c>
      <c r="E239" s="654">
        <v>917</v>
      </c>
      <c r="F239" s="275">
        <v>368</v>
      </c>
      <c r="G239" s="654">
        <v>798</v>
      </c>
      <c r="H239" s="275">
        <v>2230</v>
      </c>
      <c r="I239" s="654">
        <v>2155</v>
      </c>
      <c r="J239" s="275">
        <v>33</v>
      </c>
      <c r="K239" s="654">
        <v>9</v>
      </c>
    </row>
    <row r="240" spans="1:11" ht="10.5" customHeight="1">
      <c r="A240" s="276" t="s">
        <v>102</v>
      </c>
      <c r="B240" s="275">
        <v>22</v>
      </c>
      <c r="C240" s="65">
        <v>8</v>
      </c>
      <c r="D240" s="275">
        <v>324</v>
      </c>
      <c r="E240" s="654">
        <v>1045</v>
      </c>
      <c r="F240" s="275">
        <v>207</v>
      </c>
      <c r="G240" s="654">
        <v>796</v>
      </c>
      <c r="H240" s="275">
        <v>826</v>
      </c>
      <c r="I240" s="654">
        <v>1993</v>
      </c>
      <c r="J240" s="65">
        <v>39</v>
      </c>
      <c r="K240" s="65">
        <v>2</v>
      </c>
    </row>
    <row r="241" spans="1:11" ht="10.5" customHeight="1">
      <c r="A241" s="276" t="s">
        <v>103</v>
      </c>
      <c r="B241" s="65">
        <v>5</v>
      </c>
      <c r="C241" s="65">
        <v>2</v>
      </c>
      <c r="D241" s="275">
        <v>571</v>
      </c>
      <c r="E241" s="654">
        <v>1127</v>
      </c>
      <c r="F241" s="275">
        <v>415</v>
      </c>
      <c r="G241" s="654">
        <v>969</v>
      </c>
      <c r="H241" s="275">
        <v>2570</v>
      </c>
      <c r="I241" s="654">
        <v>2657</v>
      </c>
      <c r="J241" s="275">
        <v>238</v>
      </c>
      <c r="K241" s="654">
        <v>338</v>
      </c>
    </row>
    <row r="242" spans="1:11" ht="10.5" customHeight="1">
      <c r="A242" s="276" t="s">
        <v>104</v>
      </c>
      <c r="B242" s="65">
        <v>18</v>
      </c>
      <c r="C242" s="65">
        <v>2</v>
      </c>
      <c r="D242" s="275">
        <v>265</v>
      </c>
      <c r="E242" s="654">
        <v>735</v>
      </c>
      <c r="F242" s="275">
        <v>298</v>
      </c>
      <c r="G242" s="654">
        <v>1124</v>
      </c>
      <c r="H242" s="275">
        <v>1335</v>
      </c>
      <c r="I242" s="654">
        <v>2095</v>
      </c>
      <c r="J242" s="275">
        <v>197</v>
      </c>
      <c r="K242" s="654">
        <v>66</v>
      </c>
    </row>
    <row r="243" spans="1:11" ht="10.5" customHeight="1">
      <c r="A243" s="276" t="s">
        <v>105</v>
      </c>
      <c r="B243" s="65">
        <v>17</v>
      </c>
      <c r="C243" s="65">
        <v>5</v>
      </c>
      <c r="D243" s="275">
        <v>451</v>
      </c>
      <c r="E243" s="654">
        <v>977</v>
      </c>
      <c r="F243" s="275">
        <v>306</v>
      </c>
      <c r="G243" s="654">
        <v>1278</v>
      </c>
      <c r="H243" s="275">
        <v>1591</v>
      </c>
      <c r="I243" s="654">
        <v>3844</v>
      </c>
      <c r="J243" s="275">
        <v>2</v>
      </c>
      <c r="K243" s="65" t="s">
        <v>13</v>
      </c>
    </row>
    <row r="244" spans="1:11" ht="10.5" customHeight="1">
      <c r="A244" s="276" t="s">
        <v>106</v>
      </c>
      <c r="B244" s="65">
        <v>6</v>
      </c>
      <c r="C244" s="65">
        <v>2</v>
      </c>
      <c r="D244" s="275">
        <v>211</v>
      </c>
      <c r="E244" s="654">
        <v>527</v>
      </c>
      <c r="F244" s="275">
        <v>136</v>
      </c>
      <c r="G244" s="654">
        <v>509</v>
      </c>
      <c r="H244" s="275">
        <v>764</v>
      </c>
      <c r="I244" s="654">
        <v>1782</v>
      </c>
      <c r="J244" s="275">
        <v>10</v>
      </c>
      <c r="K244" s="65">
        <v>3</v>
      </c>
    </row>
    <row r="245" spans="1:11" ht="10.5" customHeight="1">
      <c r="A245" s="276" t="s">
        <v>107</v>
      </c>
      <c r="B245" s="65">
        <v>16</v>
      </c>
      <c r="C245" s="65">
        <v>4</v>
      </c>
      <c r="D245" s="275">
        <v>700</v>
      </c>
      <c r="E245" s="654">
        <v>1308</v>
      </c>
      <c r="F245" s="275">
        <v>501</v>
      </c>
      <c r="G245" s="654">
        <v>920</v>
      </c>
      <c r="H245" s="275">
        <v>4706</v>
      </c>
      <c r="I245" s="654">
        <v>4499</v>
      </c>
      <c r="J245" s="275">
        <v>171</v>
      </c>
      <c r="K245" s="654">
        <v>183</v>
      </c>
    </row>
    <row r="246" spans="1:11" ht="10.5" customHeight="1">
      <c r="A246" s="276" t="s">
        <v>108</v>
      </c>
      <c r="B246" s="65">
        <v>54</v>
      </c>
      <c r="C246" s="65">
        <v>21</v>
      </c>
      <c r="D246" s="65">
        <v>1152</v>
      </c>
      <c r="E246" s="65">
        <v>2101</v>
      </c>
      <c r="F246" s="65">
        <v>1125</v>
      </c>
      <c r="G246" s="65">
        <v>3448</v>
      </c>
      <c r="H246" s="65">
        <v>7487</v>
      </c>
      <c r="I246" s="65">
        <v>5447</v>
      </c>
      <c r="J246" s="65">
        <v>93</v>
      </c>
      <c r="K246" s="65">
        <v>7</v>
      </c>
    </row>
    <row r="247" spans="1:11" ht="10.5" customHeight="1">
      <c r="A247" s="276" t="s">
        <v>109</v>
      </c>
      <c r="B247" s="275">
        <v>7</v>
      </c>
      <c r="C247" s="654">
        <v>2</v>
      </c>
      <c r="D247" s="275">
        <v>322</v>
      </c>
      <c r="E247" s="654">
        <v>454</v>
      </c>
      <c r="F247" s="275">
        <v>282</v>
      </c>
      <c r="G247" s="654">
        <v>1071</v>
      </c>
      <c r="H247" s="275">
        <v>1200</v>
      </c>
      <c r="I247" s="654">
        <v>1515</v>
      </c>
      <c r="J247" s="275">
        <v>96</v>
      </c>
      <c r="K247" s="654">
        <v>66</v>
      </c>
    </row>
    <row r="248" spans="1:11" ht="10.5" customHeight="1">
      <c r="A248" s="276" t="s">
        <v>110</v>
      </c>
      <c r="B248" s="65">
        <v>8</v>
      </c>
      <c r="C248" s="65">
        <v>1</v>
      </c>
      <c r="D248" s="275">
        <v>81</v>
      </c>
      <c r="E248" s="654">
        <v>244</v>
      </c>
      <c r="F248" s="275">
        <v>126</v>
      </c>
      <c r="G248" s="654">
        <v>675</v>
      </c>
      <c r="H248" s="275">
        <v>969</v>
      </c>
      <c r="I248" s="654">
        <v>994</v>
      </c>
      <c r="J248" s="65">
        <v>29</v>
      </c>
      <c r="K248" s="654">
        <v>20</v>
      </c>
    </row>
    <row r="249" spans="1:11" ht="5.0999999999999996" customHeight="1">
      <c r="A249" s="276"/>
      <c r="B249" s="275"/>
      <c r="C249" s="654"/>
      <c r="D249" s="275"/>
      <c r="E249" s="654"/>
      <c r="F249" s="275"/>
      <c r="G249" s="654"/>
      <c r="H249" s="275"/>
      <c r="I249" s="654"/>
      <c r="J249" s="275"/>
      <c r="K249" s="654"/>
    </row>
    <row r="250" spans="1:11" ht="9" customHeight="1">
      <c r="A250" s="271" t="s">
        <v>754</v>
      </c>
      <c r="B250" s="274">
        <f t="shared" ref="B250:K250" si="25">SUM(B251:B262)</f>
        <v>204</v>
      </c>
      <c r="C250" s="652">
        <f t="shared" si="25"/>
        <v>67</v>
      </c>
      <c r="D250" s="274">
        <f t="shared" si="25"/>
        <v>1972</v>
      </c>
      <c r="E250" s="652">
        <f t="shared" si="25"/>
        <v>4695</v>
      </c>
      <c r="F250" s="274">
        <f t="shared" si="25"/>
        <v>1898</v>
      </c>
      <c r="G250" s="652">
        <f t="shared" si="25"/>
        <v>6031</v>
      </c>
      <c r="H250" s="274">
        <f t="shared" si="25"/>
        <v>9582</v>
      </c>
      <c r="I250" s="652">
        <f t="shared" si="25"/>
        <v>9474</v>
      </c>
      <c r="J250" s="274">
        <f t="shared" si="25"/>
        <v>366</v>
      </c>
      <c r="K250" s="652">
        <f t="shared" si="25"/>
        <v>236</v>
      </c>
    </row>
    <row r="251" spans="1:11" ht="24.95" customHeight="1">
      <c r="A251" s="268" t="s">
        <v>829</v>
      </c>
      <c r="B251" s="65">
        <v>4</v>
      </c>
      <c r="C251" s="65">
        <v>1</v>
      </c>
      <c r="D251" s="275">
        <v>87</v>
      </c>
      <c r="E251" s="654">
        <v>27</v>
      </c>
      <c r="F251" s="275">
        <v>101</v>
      </c>
      <c r="G251" s="654">
        <v>10</v>
      </c>
      <c r="H251" s="275">
        <v>540</v>
      </c>
      <c r="I251" s="654">
        <v>40</v>
      </c>
      <c r="J251" s="65">
        <v>6</v>
      </c>
      <c r="K251" s="65" t="s">
        <v>13</v>
      </c>
    </row>
    <row r="252" spans="1:11" ht="10.5" customHeight="1">
      <c r="A252" s="276" t="s">
        <v>100</v>
      </c>
      <c r="B252" s="275">
        <v>12</v>
      </c>
      <c r="C252" s="654">
        <v>5</v>
      </c>
      <c r="D252" s="275">
        <v>285</v>
      </c>
      <c r="E252" s="654">
        <v>856</v>
      </c>
      <c r="F252" s="275">
        <v>296</v>
      </c>
      <c r="G252" s="654">
        <v>1474</v>
      </c>
      <c r="H252" s="275">
        <v>1878</v>
      </c>
      <c r="I252" s="654">
        <v>1201</v>
      </c>
      <c r="J252" s="275">
        <v>70</v>
      </c>
      <c r="K252" s="654">
        <v>34</v>
      </c>
    </row>
    <row r="253" spans="1:11" ht="10.5" customHeight="1">
      <c r="A253" s="276" t="s">
        <v>101</v>
      </c>
      <c r="B253" s="275">
        <v>30</v>
      </c>
      <c r="C253" s="654">
        <v>7</v>
      </c>
      <c r="D253" s="275">
        <v>133</v>
      </c>
      <c r="E253" s="654">
        <v>385</v>
      </c>
      <c r="F253" s="275">
        <v>134</v>
      </c>
      <c r="G253" s="654">
        <v>371</v>
      </c>
      <c r="H253" s="275">
        <v>711</v>
      </c>
      <c r="I253" s="654">
        <v>762</v>
      </c>
      <c r="J253" s="275">
        <v>10</v>
      </c>
      <c r="K253" s="654">
        <v>4</v>
      </c>
    </row>
    <row r="254" spans="1:11" ht="10.5" customHeight="1">
      <c r="A254" s="276" t="s">
        <v>102</v>
      </c>
      <c r="B254" s="275">
        <v>33</v>
      </c>
      <c r="C254" s="65">
        <v>5</v>
      </c>
      <c r="D254" s="275">
        <v>189</v>
      </c>
      <c r="E254" s="654">
        <v>506</v>
      </c>
      <c r="F254" s="275">
        <v>145</v>
      </c>
      <c r="G254" s="654">
        <v>502</v>
      </c>
      <c r="H254" s="275">
        <v>470</v>
      </c>
      <c r="I254" s="654">
        <v>676</v>
      </c>
      <c r="J254" s="65">
        <v>8</v>
      </c>
      <c r="K254" s="65" t="s">
        <v>13</v>
      </c>
    </row>
    <row r="255" spans="1:11" ht="10.5" customHeight="1">
      <c r="A255" s="276" t="s">
        <v>103</v>
      </c>
      <c r="B255" s="65">
        <v>24</v>
      </c>
      <c r="C255" s="65">
        <v>8</v>
      </c>
      <c r="D255" s="275">
        <v>161</v>
      </c>
      <c r="E255" s="654">
        <v>485</v>
      </c>
      <c r="F255" s="275">
        <v>182</v>
      </c>
      <c r="G255" s="654">
        <v>451</v>
      </c>
      <c r="H255" s="275">
        <v>791</v>
      </c>
      <c r="I255" s="654">
        <v>1176</v>
      </c>
      <c r="J255" s="275">
        <v>85</v>
      </c>
      <c r="K255" s="654">
        <v>55</v>
      </c>
    </row>
    <row r="256" spans="1:11" ht="10.5" customHeight="1">
      <c r="A256" s="276" t="s">
        <v>104</v>
      </c>
      <c r="B256" s="65">
        <v>14</v>
      </c>
      <c r="C256" s="65">
        <v>1</v>
      </c>
      <c r="D256" s="275">
        <v>83</v>
      </c>
      <c r="E256" s="654">
        <v>192</v>
      </c>
      <c r="F256" s="275">
        <v>86</v>
      </c>
      <c r="G256" s="654">
        <v>281</v>
      </c>
      <c r="H256" s="275">
        <v>408</v>
      </c>
      <c r="I256" s="654">
        <v>411</v>
      </c>
      <c r="J256" s="275">
        <v>42</v>
      </c>
      <c r="K256" s="654">
        <v>10</v>
      </c>
    </row>
    <row r="257" spans="1:24" ht="10.5" customHeight="1">
      <c r="A257" s="276" t="s">
        <v>105</v>
      </c>
      <c r="B257" s="65">
        <v>26</v>
      </c>
      <c r="C257" s="65">
        <v>24</v>
      </c>
      <c r="D257" s="275">
        <v>118</v>
      </c>
      <c r="E257" s="654">
        <v>390</v>
      </c>
      <c r="F257" s="275">
        <v>67</v>
      </c>
      <c r="G257" s="654">
        <v>450</v>
      </c>
      <c r="H257" s="275">
        <v>466</v>
      </c>
      <c r="I257" s="654">
        <v>1123</v>
      </c>
      <c r="J257" s="65" t="s">
        <v>13</v>
      </c>
      <c r="K257" s="65" t="s">
        <v>13</v>
      </c>
    </row>
    <row r="258" spans="1:24" ht="10.5" customHeight="1">
      <c r="A258" s="276" t="s">
        <v>106</v>
      </c>
      <c r="B258" s="65">
        <v>15</v>
      </c>
      <c r="C258" s="65" t="s">
        <v>13</v>
      </c>
      <c r="D258" s="275">
        <v>133</v>
      </c>
      <c r="E258" s="654">
        <v>200</v>
      </c>
      <c r="F258" s="275">
        <v>68</v>
      </c>
      <c r="G258" s="654">
        <v>145</v>
      </c>
      <c r="H258" s="275">
        <v>232</v>
      </c>
      <c r="I258" s="654">
        <v>418</v>
      </c>
      <c r="J258" s="275">
        <v>2</v>
      </c>
      <c r="K258" s="65" t="s">
        <v>13</v>
      </c>
    </row>
    <row r="259" spans="1:24" ht="10.5" customHeight="1">
      <c r="A259" s="276" t="s">
        <v>107</v>
      </c>
      <c r="B259" s="65">
        <v>9</v>
      </c>
      <c r="C259" s="65">
        <v>4</v>
      </c>
      <c r="D259" s="275">
        <v>243</v>
      </c>
      <c r="E259" s="654">
        <v>553</v>
      </c>
      <c r="F259" s="275">
        <v>181</v>
      </c>
      <c r="G259" s="654">
        <v>337</v>
      </c>
      <c r="H259" s="275">
        <v>1072</v>
      </c>
      <c r="I259" s="654">
        <v>1290</v>
      </c>
      <c r="J259" s="275">
        <v>58</v>
      </c>
      <c r="K259" s="654">
        <v>101</v>
      </c>
    </row>
    <row r="260" spans="1:24" ht="10.5" customHeight="1">
      <c r="A260" s="276" t="s">
        <v>108</v>
      </c>
      <c r="B260" s="65">
        <v>15</v>
      </c>
      <c r="C260" s="65">
        <v>11</v>
      </c>
      <c r="D260" s="65">
        <v>360</v>
      </c>
      <c r="E260" s="65">
        <v>748</v>
      </c>
      <c r="F260" s="65">
        <v>483</v>
      </c>
      <c r="G260" s="65">
        <v>1259</v>
      </c>
      <c r="H260" s="65">
        <v>2266</v>
      </c>
      <c r="I260" s="65">
        <v>1615</v>
      </c>
      <c r="J260" s="65">
        <v>6</v>
      </c>
      <c r="K260" s="65" t="s">
        <v>13</v>
      </c>
    </row>
    <row r="261" spans="1:24" ht="10.5" customHeight="1">
      <c r="A261" s="276" t="s">
        <v>109</v>
      </c>
      <c r="B261" s="275">
        <v>11</v>
      </c>
      <c r="C261" s="654">
        <v>1</v>
      </c>
      <c r="D261" s="275">
        <v>139</v>
      </c>
      <c r="E261" s="654">
        <v>235</v>
      </c>
      <c r="F261" s="275">
        <v>110</v>
      </c>
      <c r="G261" s="654">
        <v>540</v>
      </c>
      <c r="H261" s="275">
        <v>424</v>
      </c>
      <c r="I261" s="654">
        <v>500</v>
      </c>
      <c r="J261" s="275">
        <v>66</v>
      </c>
      <c r="K261" s="654">
        <v>28</v>
      </c>
    </row>
    <row r="262" spans="1:24" ht="10.5" customHeight="1">
      <c r="A262" s="276" t="s">
        <v>110</v>
      </c>
      <c r="B262" s="65">
        <v>11</v>
      </c>
      <c r="C262" s="65" t="s">
        <v>13</v>
      </c>
      <c r="D262" s="275">
        <v>41</v>
      </c>
      <c r="E262" s="654">
        <v>118</v>
      </c>
      <c r="F262" s="275">
        <v>45</v>
      </c>
      <c r="G262" s="654">
        <v>211</v>
      </c>
      <c r="H262" s="275">
        <v>324</v>
      </c>
      <c r="I262" s="654">
        <v>262</v>
      </c>
      <c r="J262" s="65">
        <v>13</v>
      </c>
      <c r="K262" s="654">
        <v>4</v>
      </c>
    </row>
    <row r="263" spans="1:24" ht="5.0999999999999996" customHeight="1">
      <c r="A263" s="610"/>
      <c r="B263" s="611"/>
      <c r="C263" s="609"/>
      <c r="D263" s="612"/>
      <c r="E263" s="658"/>
      <c r="F263" s="612"/>
      <c r="G263" s="658"/>
      <c r="H263" s="612"/>
      <c r="I263" s="658"/>
      <c r="J263" s="612"/>
      <c r="K263" s="658"/>
      <c r="L263" s="335"/>
      <c r="M263" s="335"/>
      <c r="N263" s="335"/>
      <c r="O263" s="335"/>
      <c r="P263" s="335"/>
      <c r="Q263" s="335"/>
      <c r="R263" s="335"/>
      <c r="S263" s="335"/>
      <c r="T263" s="335"/>
      <c r="U263" s="335"/>
      <c r="V263" s="335"/>
      <c r="W263" s="335"/>
      <c r="X263" s="335"/>
    </row>
    <row r="264" spans="1:24" ht="9.9499999999999993" customHeight="1">
      <c r="A264" s="613" t="s">
        <v>793</v>
      </c>
      <c r="B264" s="613"/>
      <c r="C264" s="656"/>
      <c r="D264" s="613"/>
      <c r="E264" s="656"/>
      <c r="F264" s="613"/>
      <c r="G264" s="656"/>
      <c r="H264" s="288"/>
      <c r="I264" s="288"/>
      <c r="J264" s="288"/>
      <c r="K264" s="663"/>
      <c r="L264" s="614"/>
      <c r="M264" s="614"/>
      <c r="N264" s="614"/>
      <c r="O264" s="614"/>
      <c r="P264" s="614"/>
      <c r="Q264" s="614"/>
      <c r="R264" s="614"/>
      <c r="S264" s="614"/>
      <c r="T264" s="614"/>
      <c r="U264" s="614"/>
      <c r="V264" s="614"/>
      <c r="W264" s="614"/>
      <c r="X264" s="614"/>
    </row>
    <row r="265" spans="1:24" ht="9.9499999999999993" customHeight="1">
      <c r="A265" s="284" t="s">
        <v>63</v>
      </c>
      <c r="B265" s="335"/>
      <c r="C265" s="648"/>
      <c r="D265" s="335"/>
      <c r="E265" s="648"/>
      <c r="F265" s="335"/>
      <c r="G265" s="660"/>
      <c r="H265" s="335"/>
      <c r="I265" s="648"/>
      <c r="J265" s="335"/>
      <c r="K265" s="648"/>
      <c r="L265" s="289"/>
      <c r="M265" s="335"/>
      <c r="N265" s="335"/>
      <c r="O265" s="335"/>
      <c r="P265" s="335"/>
      <c r="Q265" s="335"/>
      <c r="R265" s="335"/>
      <c r="S265" s="335"/>
      <c r="T265" s="335"/>
      <c r="U265" s="335"/>
      <c r="V265" s="285"/>
      <c r="W265" s="335"/>
      <c r="X265" s="285"/>
    </row>
  </sheetData>
  <mergeCells count="20">
    <mergeCell ref="A1:G1"/>
    <mergeCell ref="A2:G2"/>
    <mergeCell ref="A4:A7"/>
    <mergeCell ref="B4:G4"/>
    <mergeCell ref="H4:K4"/>
    <mergeCell ref="B5:C6"/>
    <mergeCell ref="D5:E6"/>
    <mergeCell ref="F5:G6"/>
    <mergeCell ref="H5:I6"/>
    <mergeCell ref="A102:A105"/>
    <mergeCell ref="B102:G102"/>
    <mergeCell ref="J5:K6"/>
    <mergeCell ref="H102:K102"/>
    <mergeCell ref="B103:C104"/>
    <mergeCell ref="D103:E104"/>
    <mergeCell ref="F103:G104"/>
    <mergeCell ref="H103:I104"/>
    <mergeCell ref="J103:K104"/>
    <mergeCell ref="A99:K99"/>
    <mergeCell ref="A100:K100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8"/>
  <sheetViews>
    <sheetView showGridLines="0" zoomScaleNormal="100" workbookViewId="0">
      <selection sqref="A1:K1"/>
    </sheetView>
  </sheetViews>
  <sheetFormatPr baseColWidth="10" defaultRowHeight="12.75"/>
  <cols>
    <col min="1" max="1" width="11.85546875" customWidth="1"/>
    <col min="2" max="2" width="6.7109375" customWidth="1"/>
    <col min="3" max="3" width="7.42578125" customWidth="1"/>
    <col min="4" max="4" width="7.85546875" customWidth="1"/>
    <col min="5" max="5" width="6.5703125" customWidth="1"/>
    <col min="6" max="6" width="5.7109375" customWidth="1"/>
    <col min="7" max="7" width="8.140625" customWidth="1"/>
    <col min="8" max="8" width="8.5703125" customWidth="1"/>
    <col min="9" max="9" width="7.85546875" customWidth="1"/>
    <col min="10" max="10" width="8" customWidth="1"/>
    <col min="11" max="11" width="7.85546875" customWidth="1"/>
    <col min="12" max="12" width="4" customWidth="1"/>
    <col min="13" max="13" width="12.140625" customWidth="1"/>
    <col min="14" max="15" width="7.28515625" customWidth="1"/>
    <col min="16" max="16" width="8.140625" customWidth="1"/>
    <col min="17" max="17" width="7.7109375" customWidth="1"/>
    <col min="18" max="18" width="7.85546875" customWidth="1"/>
    <col min="19" max="19" width="7.42578125" customWidth="1"/>
    <col min="20" max="20" width="8.85546875" customWidth="1"/>
    <col min="21" max="21" width="6.5703125" customWidth="1"/>
    <col min="22" max="22" width="5.85546875" customWidth="1"/>
    <col min="23" max="23" width="6.7109375" customWidth="1"/>
    <col min="25" max="25" width="12.7109375" bestFit="1" customWidth="1"/>
  </cols>
  <sheetData>
    <row r="1" spans="1:25" ht="15.75">
      <c r="A1" s="796" t="s">
        <v>832</v>
      </c>
      <c r="B1" s="796"/>
      <c r="C1" s="796"/>
      <c r="D1" s="796"/>
      <c r="E1" s="796"/>
      <c r="F1" s="796"/>
      <c r="G1" s="796"/>
      <c r="H1" s="796"/>
      <c r="I1" s="796"/>
      <c r="J1" s="796"/>
      <c r="K1" s="796"/>
      <c r="L1" s="158"/>
      <c r="M1" s="796" t="str">
        <f>A1</f>
        <v>6.17  PUNO: POBLACIÓN CENSADA POR AFILIACIÓN A SEGURO DE SALUD, SEGÚN PROVINCIA Y DISTRITO, 2017</v>
      </c>
      <c r="N1" s="796"/>
      <c r="O1" s="796"/>
      <c r="P1" s="796"/>
      <c r="Q1" s="796"/>
      <c r="R1" s="796"/>
      <c r="S1" s="796"/>
      <c r="T1" s="796"/>
      <c r="U1" s="796"/>
      <c r="V1" s="796"/>
      <c r="W1" s="796"/>
      <c r="X1" s="438"/>
      <c r="Y1" s="158"/>
    </row>
    <row r="2" spans="1:25" ht="5.0999999999999996" customHeight="1">
      <c r="A2" s="298"/>
      <c r="B2" s="299"/>
      <c r="C2" s="299"/>
      <c r="D2" s="299"/>
      <c r="E2" s="299"/>
      <c r="F2" s="299"/>
      <c r="G2" s="299"/>
      <c r="H2" s="299"/>
      <c r="I2" s="299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</row>
    <row r="3" spans="1:25" ht="114.75">
      <c r="A3" s="300" t="s">
        <v>403</v>
      </c>
      <c r="B3" s="309" t="s">
        <v>404</v>
      </c>
      <c r="C3" s="310" t="s">
        <v>405</v>
      </c>
      <c r="D3" s="310" t="s">
        <v>833</v>
      </c>
      <c r="E3" s="310" t="s">
        <v>834</v>
      </c>
      <c r="F3" s="310" t="s">
        <v>835</v>
      </c>
      <c r="G3" s="310" t="s">
        <v>406</v>
      </c>
      <c r="H3" s="310" t="s">
        <v>836</v>
      </c>
      <c r="I3" s="310" t="s">
        <v>837</v>
      </c>
      <c r="J3" s="310" t="s">
        <v>838</v>
      </c>
      <c r="K3" s="310" t="s">
        <v>839</v>
      </c>
      <c r="L3" s="158"/>
      <c r="M3" s="300" t="s">
        <v>403</v>
      </c>
      <c r="N3" s="310" t="s">
        <v>840</v>
      </c>
      <c r="O3" s="310" t="s">
        <v>841</v>
      </c>
      <c r="P3" s="310" t="s">
        <v>842</v>
      </c>
      <c r="Q3" s="310" t="s">
        <v>843</v>
      </c>
      <c r="R3" s="310" t="s">
        <v>844</v>
      </c>
      <c r="S3" s="310" t="s">
        <v>845</v>
      </c>
      <c r="T3" s="310" t="s">
        <v>846</v>
      </c>
      <c r="U3" s="310" t="s">
        <v>847</v>
      </c>
      <c r="V3" s="310" t="s">
        <v>412</v>
      </c>
      <c r="W3" s="310" t="s">
        <v>14</v>
      </c>
    </row>
    <row r="4" spans="1:25">
      <c r="A4" s="399" t="s">
        <v>14</v>
      </c>
      <c r="B4" s="382">
        <f>B5+B32+B21+B55+B63+B69+B78+B89+B108+B113+B119+B125+B136</f>
        <v>609239</v>
      </c>
      <c r="C4" s="383">
        <f t="shared" ref="C4:K4" si="0">C5+C32+C21+C55+C63+C69+C78+C89+C108+C113+C119+C125+C136</f>
        <v>137665</v>
      </c>
      <c r="D4" s="383">
        <f t="shared" si="0"/>
        <v>7229</v>
      </c>
      <c r="E4" s="383">
        <f t="shared" si="0"/>
        <v>3737</v>
      </c>
      <c r="F4" s="383">
        <f t="shared" si="0"/>
        <v>4054</v>
      </c>
      <c r="G4" s="383">
        <f t="shared" si="0"/>
        <v>189</v>
      </c>
      <c r="H4" s="383">
        <f t="shared" si="0"/>
        <v>190</v>
      </c>
      <c r="I4" s="383">
        <f t="shared" si="0"/>
        <v>204</v>
      </c>
      <c r="J4" s="383">
        <f t="shared" si="0"/>
        <v>2</v>
      </c>
      <c r="K4" s="383">
        <f t="shared" si="0"/>
        <v>282</v>
      </c>
      <c r="L4" s="158"/>
      <c r="M4" s="399" t="s">
        <v>14</v>
      </c>
      <c r="N4" s="383">
        <f t="shared" ref="N4:V4" si="1">N5+N32+N21+N55+N63+N69+N78+N89+N108+N113+N119+N125+N136</f>
        <v>578</v>
      </c>
      <c r="O4" s="383">
        <f t="shared" si="1"/>
        <v>181</v>
      </c>
      <c r="P4" s="383">
        <f t="shared" si="1"/>
        <v>1</v>
      </c>
      <c r="Q4" s="383">
        <f t="shared" si="1"/>
        <v>11</v>
      </c>
      <c r="R4" s="383">
        <f t="shared" si="1"/>
        <v>100</v>
      </c>
      <c r="S4" s="383">
        <f t="shared" si="1"/>
        <v>86</v>
      </c>
      <c r="T4" s="383">
        <f t="shared" si="1"/>
        <v>3</v>
      </c>
      <c r="U4" s="383">
        <f t="shared" si="1"/>
        <v>14</v>
      </c>
      <c r="V4" s="383">
        <f t="shared" si="1"/>
        <v>408932</v>
      </c>
      <c r="W4" s="692">
        <v>1172697</v>
      </c>
      <c r="X4" s="437"/>
    </row>
    <row r="5" spans="1:25" ht="12" customHeight="1">
      <c r="A5" s="303" t="s">
        <v>413</v>
      </c>
      <c r="B5" s="394">
        <f>SUM(B6:B20)</f>
        <v>94800</v>
      </c>
      <c r="C5" s="393">
        <f t="shared" ref="C5:V5" si="2">SUM(C6:C20)</f>
        <v>47748</v>
      </c>
      <c r="D5" s="393">
        <f t="shared" si="2"/>
        <v>3663</v>
      </c>
      <c r="E5" s="393">
        <f t="shared" si="2"/>
        <v>1119</v>
      </c>
      <c r="F5" s="393">
        <f t="shared" si="2"/>
        <v>952</v>
      </c>
      <c r="G5" s="393">
        <f t="shared" si="2"/>
        <v>33</v>
      </c>
      <c r="H5" s="393">
        <f t="shared" si="2"/>
        <v>43</v>
      </c>
      <c r="I5" s="393">
        <f t="shared" si="2"/>
        <v>30</v>
      </c>
      <c r="J5" s="393">
        <f t="shared" si="2"/>
        <v>0</v>
      </c>
      <c r="K5" s="385">
        <f t="shared" si="2"/>
        <v>119</v>
      </c>
      <c r="L5" s="158"/>
      <c r="M5" s="303" t="s">
        <v>413</v>
      </c>
      <c r="N5" s="393">
        <f t="shared" si="2"/>
        <v>218</v>
      </c>
      <c r="O5" s="393">
        <f t="shared" si="2"/>
        <v>65</v>
      </c>
      <c r="P5" s="393">
        <f t="shared" si="2"/>
        <v>0</v>
      </c>
      <c r="Q5" s="393">
        <f t="shared" si="2"/>
        <v>7</v>
      </c>
      <c r="R5" s="393">
        <f t="shared" si="2"/>
        <v>15</v>
      </c>
      <c r="S5" s="393">
        <f t="shared" si="2"/>
        <v>29</v>
      </c>
      <c r="T5" s="393">
        <f t="shared" si="2"/>
        <v>0</v>
      </c>
      <c r="U5" s="393">
        <f t="shared" si="2"/>
        <v>4</v>
      </c>
      <c r="V5" s="393">
        <f t="shared" si="2"/>
        <v>70649</v>
      </c>
      <c r="W5" s="393">
        <v>219494</v>
      </c>
      <c r="X5" s="437"/>
    </row>
    <row r="6" spans="1:25" ht="12" customHeight="1">
      <c r="A6" s="304" t="s">
        <v>15</v>
      </c>
      <c r="B6" s="392">
        <v>37448</v>
      </c>
      <c r="C6" s="391">
        <v>43889</v>
      </c>
      <c r="D6" s="391">
        <v>3420</v>
      </c>
      <c r="E6" s="391">
        <v>993</v>
      </c>
      <c r="F6" s="391">
        <v>762</v>
      </c>
      <c r="G6" s="391">
        <v>22</v>
      </c>
      <c r="H6" s="391">
        <v>24</v>
      </c>
      <c r="I6" s="391">
        <v>16</v>
      </c>
      <c r="J6" s="391">
        <v>0</v>
      </c>
      <c r="K6" s="387">
        <v>110</v>
      </c>
      <c r="L6" s="158"/>
      <c r="M6" s="304" t="s">
        <v>15</v>
      </c>
      <c r="N6" s="391">
        <v>214</v>
      </c>
      <c r="O6" s="391">
        <v>61</v>
      </c>
      <c r="P6" s="391">
        <v>0</v>
      </c>
      <c r="Q6" s="391">
        <v>7</v>
      </c>
      <c r="R6" s="391">
        <v>15</v>
      </c>
      <c r="S6" s="391">
        <v>28</v>
      </c>
      <c r="T6" s="391">
        <v>0</v>
      </c>
      <c r="U6" s="391">
        <v>4</v>
      </c>
      <c r="V6" s="391">
        <v>48275</v>
      </c>
      <c r="W6" s="393">
        <v>135288</v>
      </c>
      <c r="X6" s="437"/>
    </row>
    <row r="7" spans="1:25" ht="12" customHeight="1">
      <c r="A7" s="304" t="s">
        <v>414</v>
      </c>
      <c r="B7" s="392">
        <v>15483</v>
      </c>
      <c r="C7" s="391">
        <v>1112</v>
      </c>
      <c r="D7" s="391">
        <v>56</v>
      </c>
      <c r="E7" s="391">
        <v>25</v>
      </c>
      <c r="F7" s="391">
        <v>43</v>
      </c>
      <c r="G7" s="391">
        <v>0</v>
      </c>
      <c r="H7" s="391">
        <v>6</v>
      </c>
      <c r="I7" s="391">
        <v>3</v>
      </c>
      <c r="J7" s="391">
        <v>0</v>
      </c>
      <c r="K7" s="387">
        <v>3</v>
      </c>
      <c r="L7" s="158"/>
      <c r="M7" s="304" t="s">
        <v>414</v>
      </c>
      <c r="N7" s="391">
        <v>0</v>
      </c>
      <c r="O7" s="391">
        <v>2</v>
      </c>
      <c r="P7" s="391">
        <v>0</v>
      </c>
      <c r="Q7" s="391">
        <v>0</v>
      </c>
      <c r="R7" s="391">
        <v>0</v>
      </c>
      <c r="S7" s="391">
        <v>0</v>
      </c>
      <c r="T7" s="391">
        <v>0</v>
      </c>
      <c r="U7" s="391">
        <v>0</v>
      </c>
      <c r="V7" s="391">
        <v>6228</v>
      </c>
      <c r="W7" s="393">
        <v>22961</v>
      </c>
      <c r="X7" s="437"/>
    </row>
    <row r="8" spans="1:25" ht="12" customHeight="1">
      <c r="A8" s="304" t="s">
        <v>415</v>
      </c>
      <c r="B8" s="392">
        <v>2662</v>
      </c>
      <c r="C8" s="391">
        <v>19</v>
      </c>
      <c r="D8" s="391">
        <v>11</v>
      </c>
      <c r="E8" s="391">
        <v>2</v>
      </c>
      <c r="F8" s="391">
        <v>5</v>
      </c>
      <c r="G8" s="391">
        <v>0</v>
      </c>
      <c r="H8" s="391">
        <v>0</v>
      </c>
      <c r="I8" s="391">
        <v>2</v>
      </c>
      <c r="J8" s="391">
        <v>0</v>
      </c>
      <c r="K8" s="387">
        <v>0</v>
      </c>
      <c r="L8" s="158"/>
      <c r="M8" s="304" t="s">
        <v>415</v>
      </c>
      <c r="N8" s="391">
        <v>0</v>
      </c>
      <c r="O8" s="391">
        <v>0</v>
      </c>
      <c r="P8" s="391">
        <v>0</v>
      </c>
      <c r="Q8" s="391">
        <v>0</v>
      </c>
      <c r="R8" s="391">
        <v>0</v>
      </c>
      <c r="S8" s="391">
        <v>0</v>
      </c>
      <c r="T8" s="391">
        <v>0</v>
      </c>
      <c r="U8" s="391">
        <v>0</v>
      </c>
      <c r="V8" s="391">
        <v>751</v>
      </c>
      <c r="W8" s="393">
        <v>3452</v>
      </c>
      <c r="X8" s="437"/>
    </row>
    <row r="9" spans="1:25" ht="12" customHeight="1">
      <c r="A9" s="304" t="s">
        <v>416</v>
      </c>
      <c r="B9" s="392">
        <v>3698</v>
      </c>
      <c r="C9" s="391">
        <v>102</v>
      </c>
      <c r="D9" s="391">
        <v>4</v>
      </c>
      <c r="E9" s="391">
        <v>4</v>
      </c>
      <c r="F9" s="391">
        <v>12</v>
      </c>
      <c r="G9" s="391">
        <v>0</v>
      </c>
      <c r="H9" s="391">
        <v>2</v>
      </c>
      <c r="I9" s="391">
        <v>1</v>
      </c>
      <c r="J9" s="391">
        <v>0</v>
      </c>
      <c r="K9" s="387">
        <v>0</v>
      </c>
      <c r="L9" s="158"/>
      <c r="M9" s="304" t="s">
        <v>416</v>
      </c>
      <c r="N9" s="391">
        <v>2</v>
      </c>
      <c r="O9" s="391">
        <v>0</v>
      </c>
      <c r="P9" s="391">
        <v>0</v>
      </c>
      <c r="Q9" s="391">
        <v>0</v>
      </c>
      <c r="R9" s="391">
        <v>0</v>
      </c>
      <c r="S9" s="391">
        <v>0</v>
      </c>
      <c r="T9" s="391">
        <v>0</v>
      </c>
      <c r="U9" s="391">
        <v>0</v>
      </c>
      <c r="V9" s="391">
        <v>730</v>
      </c>
      <c r="W9" s="393">
        <v>4555</v>
      </c>
      <c r="X9" s="437"/>
    </row>
    <row r="10" spans="1:25" ht="12" customHeight="1">
      <c r="A10" s="304" t="s">
        <v>417</v>
      </c>
      <c r="B10" s="392">
        <v>5109</v>
      </c>
      <c r="C10" s="391">
        <v>167</v>
      </c>
      <c r="D10" s="391">
        <v>17</v>
      </c>
      <c r="E10" s="391">
        <v>15</v>
      </c>
      <c r="F10" s="391">
        <v>30</v>
      </c>
      <c r="G10" s="391">
        <v>0</v>
      </c>
      <c r="H10" s="391">
        <v>1</v>
      </c>
      <c r="I10" s="391">
        <v>0</v>
      </c>
      <c r="J10" s="391">
        <v>0</v>
      </c>
      <c r="K10" s="387">
        <v>1</v>
      </c>
      <c r="L10" s="158"/>
      <c r="M10" s="304" t="s">
        <v>417</v>
      </c>
      <c r="N10" s="391">
        <v>0</v>
      </c>
      <c r="O10" s="391">
        <v>1</v>
      </c>
      <c r="P10" s="391">
        <v>0</v>
      </c>
      <c r="Q10" s="391">
        <v>0</v>
      </c>
      <c r="R10" s="391">
        <v>0</v>
      </c>
      <c r="S10" s="391">
        <v>0</v>
      </c>
      <c r="T10" s="391">
        <v>0</v>
      </c>
      <c r="U10" s="391">
        <v>0</v>
      </c>
      <c r="V10" s="391">
        <v>2199</v>
      </c>
      <c r="W10" s="393">
        <v>7540</v>
      </c>
      <c r="X10" s="437"/>
    </row>
    <row r="11" spans="1:25" ht="12" customHeight="1">
      <c r="A11" s="304" t="s">
        <v>16</v>
      </c>
      <c r="B11" s="392">
        <v>4472</v>
      </c>
      <c r="C11" s="391">
        <v>542</v>
      </c>
      <c r="D11" s="391">
        <v>39</v>
      </c>
      <c r="E11" s="391">
        <v>18</v>
      </c>
      <c r="F11" s="391">
        <v>12</v>
      </c>
      <c r="G11" s="391">
        <v>0</v>
      </c>
      <c r="H11" s="391">
        <v>0</v>
      </c>
      <c r="I11" s="391">
        <v>2</v>
      </c>
      <c r="J11" s="391">
        <v>0</v>
      </c>
      <c r="K11" s="387">
        <v>2</v>
      </c>
      <c r="L11" s="158"/>
      <c r="M11" s="304" t="s">
        <v>16</v>
      </c>
      <c r="N11" s="391">
        <v>2</v>
      </c>
      <c r="O11" s="391">
        <v>0</v>
      </c>
      <c r="P11" s="391">
        <v>0</v>
      </c>
      <c r="Q11" s="391">
        <v>0</v>
      </c>
      <c r="R11" s="391">
        <v>0</v>
      </c>
      <c r="S11" s="391">
        <v>1</v>
      </c>
      <c r="T11" s="391">
        <v>0</v>
      </c>
      <c r="U11" s="391">
        <v>0</v>
      </c>
      <c r="V11" s="391">
        <v>1929</v>
      </c>
      <c r="W11" s="393">
        <v>7019</v>
      </c>
      <c r="X11" s="437"/>
    </row>
    <row r="12" spans="1:25" ht="12" customHeight="1">
      <c r="A12" s="304" t="s">
        <v>418</v>
      </c>
      <c r="B12" s="392">
        <v>4459</v>
      </c>
      <c r="C12" s="391">
        <v>110</v>
      </c>
      <c r="D12" s="391">
        <v>6</v>
      </c>
      <c r="E12" s="391">
        <v>5</v>
      </c>
      <c r="F12" s="391">
        <v>8</v>
      </c>
      <c r="G12" s="391">
        <v>1</v>
      </c>
      <c r="H12" s="391">
        <v>0</v>
      </c>
      <c r="I12" s="391">
        <v>0</v>
      </c>
      <c r="J12" s="391">
        <v>0</v>
      </c>
      <c r="K12" s="387">
        <v>0</v>
      </c>
      <c r="L12" s="158"/>
      <c r="M12" s="304" t="s">
        <v>418</v>
      </c>
      <c r="N12" s="391">
        <v>0</v>
      </c>
      <c r="O12" s="391">
        <v>0</v>
      </c>
      <c r="P12" s="391">
        <v>0</v>
      </c>
      <c r="Q12" s="391">
        <v>0</v>
      </c>
      <c r="R12" s="391">
        <v>0</v>
      </c>
      <c r="S12" s="391">
        <v>0</v>
      </c>
      <c r="T12" s="391">
        <v>0</v>
      </c>
      <c r="U12" s="391">
        <v>0</v>
      </c>
      <c r="V12" s="391">
        <v>1999</v>
      </c>
      <c r="W12" s="393">
        <v>6588</v>
      </c>
      <c r="X12" s="437"/>
    </row>
    <row r="13" spans="1:25" ht="12" customHeight="1">
      <c r="A13" s="304" t="s">
        <v>419</v>
      </c>
      <c r="B13" s="392">
        <v>2072</v>
      </c>
      <c r="C13" s="391">
        <v>60</v>
      </c>
      <c r="D13" s="391">
        <v>19</v>
      </c>
      <c r="E13" s="391">
        <v>10</v>
      </c>
      <c r="F13" s="391">
        <v>7</v>
      </c>
      <c r="G13" s="391">
        <v>0</v>
      </c>
      <c r="H13" s="391">
        <v>1</v>
      </c>
      <c r="I13" s="391">
        <v>0</v>
      </c>
      <c r="J13" s="391">
        <v>0</v>
      </c>
      <c r="K13" s="387">
        <v>0</v>
      </c>
      <c r="L13" s="158"/>
      <c r="M13" s="304" t="s">
        <v>419</v>
      </c>
      <c r="N13" s="391">
        <v>0</v>
      </c>
      <c r="O13" s="391">
        <v>0</v>
      </c>
      <c r="P13" s="391">
        <v>0</v>
      </c>
      <c r="Q13" s="391">
        <v>0</v>
      </c>
      <c r="R13" s="391">
        <v>0</v>
      </c>
      <c r="S13" s="391">
        <v>0</v>
      </c>
      <c r="T13" s="391">
        <v>0</v>
      </c>
      <c r="U13" s="391">
        <v>0</v>
      </c>
      <c r="V13" s="391">
        <v>986</v>
      </c>
      <c r="W13" s="393">
        <v>3155</v>
      </c>
      <c r="X13" s="437"/>
    </row>
    <row r="14" spans="1:25" ht="12" customHeight="1">
      <c r="A14" s="304" t="s">
        <v>420</v>
      </c>
      <c r="B14" s="392">
        <v>3308</v>
      </c>
      <c r="C14" s="391">
        <v>411</v>
      </c>
      <c r="D14" s="391">
        <v>10</v>
      </c>
      <c r="E14" s="391">
        <v>20</v>
      </c>
      <c r="F14" s="391">
        <v>22</v>
      </c>
      <c r="G14" s="391">
        <v>9</v>
      </c>
      <c r="H14" s="391">
        <v>5</v>
      </c>
      <c r="I14" s="391">
        <v>0</v>
      </c>
      <c r="J14" s="391">
        <v>0</v>
      </c>
      <c r="K14" s="387">
        <v>0</v>
      </c>
      <c r="L14" s="158"/>
      <c r="M14" s="304" t="s">
        <v>420</v>
      </c>
      <c r="N14" s="391">
        <v>0</v>
      </c>
      <c r="O14" s="391">
        <v>0</v>
      </c>
      <c r="P14" s="391">
        <v>0</v>
      </c>
      <c r="Q14" s="391">
        <v>0</v>
      </c>
      <c r="R14" s="391">
        <v>0</v>
      </c>
      <c r="S14" s="391">
        <v>0</v>
      </c>
      <c r="T14" s="391">
        <v>0</v>
      </c>
      <c r="U14" s="391">
        <v>0</v>
      </c>
      <c r="V14" s="391">
        <v>1359</v>
      </c>
      <c r="W14" s="393">
        <v>5144</v>
      </c>
      <c r="X14" s="437"/>
    </row>
    <row r="15" spans="1:25" ht="12" customHeight="1">
      <c r="A15" s="304" t="s">
        <v>421</v>
      </c>
      <c r="B15" s="392">
        <v>3087</v>
      </c>
      <c r="C15" s="391">
        <v>166</v>
      </c>
      <c r="D15" s="391">
        <v>22</v>
      </c>
      <c r="E15" s="391">
        <v>7</v>
      </c>
      <c r="F15" s="391">
        <v>3</v>
      </c>
      <c r="G15" s="391">
        <v>1</v>
      </c>
      <c r="H15" s="391">
        <v>0</v>
      </c>
      <c r="I15" s="391">
        <v>2</v>
      </c>
      <c r="J15" s="391">
        <v>0</v>
      </c>
      <c r="K15" s="387">
        <v>0</v>
      </c>
      <c r="L15" s="158"/>
      <c r="M15" s="304" t="s">
        <v>421</v>
      </c>
      <c r="N15" s="391">
        <v>0</v>
      </c>
      <c r="O15" s="391">
        <v>0</v>
      </c>
      <c r="P15" s="391">
        <v>0</v>
      </c>
      <c r="Q15" s="391">
        <v>0</v>
      </c>
      <c r="R15" s="391">
        <v>0</v>
      </c>
      <c r="S15" s="391">
        <v>0</v>
      </c>
      <c r="T15" s="391">
        <v>0</v>
      </c>
      <c r="U15" s="391">
        <v>0</v>
      </c>
      <c r="V15" s="391">
        <v>936</v>
      </c>
      <c r="W15" s="393">
        <v>4224</v>
      </c>
      <c r="X15" s="437"/>
    </row>
    <row r="16" spans="1:25" ht="12" customHeight="1">
      <c r="A16" s="304" t="s">
        <v>422</v>
      </c>
      <c r="B16" s="392">
        <v>3915</v>
      </c>
      <c r="C16" s="391">
        <v>296</v>
      </c>
      <c r="D16" s="391">
        <v>16</v>
      </c>
      <c r="E16" s="391">
        <v>2</v>
      </c>
      <c r="F16" s="391">
        <v>12</v>
      </c>
      <c r="G16" s="391">
        <v>0</v>
      </c>
      <c r="H16" s="391">
        <v>1</v>
      </c>
      <c r="I16" s="391">
        <v>1</v>
      </c>
      <c r="J16" s="391">
        <v>0</v>
      </c>
      <c r="K16" s="387">
        <v>1</v>
      </c>
      <c r="L16" s="158"/>
      <c r="M16" s="304" t="s">
        <v>422</v>
      </c>
      <c r="N16" s="391">
        <v>0</v>
      </c>
      <c r="O16" s="391">
        <v>0</v>
      </c>
      <c r="P16" s="391">
        <v>0</v>
      </c>
      <c r="Q16" s="391">
        <v>0</v>
      </c>
      <c r="R16" s="391">
        <v>0</v>
      </c>
      <c r="S16" s="391">
        <v>0</v>
      </c>
      <c r="T16" s="391">
        <v>0</v>
      </c>
      <c r="U16" s="391">
        <v>0</v>
      </c>
      <c r="V16" s="391">
        <v>1435</v>
      </c>
      <c r="W16" s="393">
        <v>5679</v>
      </c>
      <c r="X16" s="437"/>
    </row>
    <row r="17" spans="1:24" ht="12" customHeight="1">
      <c r="A17" s="304" t="s">
        <v>423</v>
      </c>
      <c r="B17" s="392">
        <v>4575</v>
      </c>
      <c r="C17" s="391">
        <v>583</v>
      </c>
      <c r="D17" s="391">
        <v>29</v>
      </c>
      <c r="E17" s="391">
        <v>8</v>
      </c>
      <c r="F17" s="391">
        <v>7</v>
      </c>
      <c r="G17" s="391">
        <v>0</v>
      </c>
      <c r="H17" s="391">
        <v>3</v>
      </c>
      <c r="I17" s="391">
        <v>1</v>
      </c>
      <c r="J17" s="391">
        <v>0</v>
      </c>
      <c r="K17" s="387">
        <v>2</v>
      </c>
      <c r="L17" s="158"/>
      <c r="M17" s="304" t="s">
        <v>423</v>
      </c>
      <c r="N17" s="391">
        <v>0</v>
      </c>
      <c r="O17" s="391">
        <v>1</v>
      </c>
      <c r="P17" s="391">
        <v>0</v>
      </c>
      <c r="Q17" s="391">
        <v>0</v>
      </c>
      <c r="R17" s="391">
        <v>0</v>
      </c>
      <c r="S17" s="391">
        <v>0</v>
      </c>
      <c r="T17" s="391">
        <v>0</v>
      </c>
      <c r="U17" s="391">
        <v>0</v>
      </c>
      <c r="V17" s="391">
        <v>1912</v>
      </c>
      <c r="W17" s="393">
        <v>7121</v>
      </c>
      <c r="X17" s="437"/>
    </row>
    <row r="18" spans="1:24" ht="12" customHeight="1">
      <c r="A18" s="304" t="s">
        <v>424</v>
      </c>
      <c r="B18" s="392">
        <v>2048</v>
      </c>
      <c r="C18" s="391">
        <v>46</v>
      </c>
      <c r="D18" s="391">
        <v>0</v>
      </c>
      <c r="E18" s="391">
        <v>1</v>
      </c>
      <c r="F18" s="391">
        <v>2</v>
      </c>
      <c r="G18" s="391">
        <v>0</v>
      </c>
      <c r="H18" s="391">
        <v>0</v>
      </c>
      <c r="I18" s="391">
        <v>0</v>
      </c>
      <c r="J18" s="391">
        <v>0</v>
      </c>
      <c r="K18" s="387">
        <v>0</v>
      </c>
      <c r="L18" s="158"/>
      <c r="M18" s="304" t="s">
        <v>424</v>
      </c>
      <c r="N18" s="391">
        <v>0</v>
      </c>
      <c r="O18" s="391">
        <v>0</v>
      </c>
      <c r="P18" s="391">
        <v>0</v>
      </c>
      <c r="Q18" s="391">
        <v>0</v>
      </c>
      <c r="R18" s="391">
        <v>0</v>
      </c>
      <c r="S18" s="391">
        <v>0</v>
      </c>
      <c r="T18" s="391">
        <v>0</v>
      </c>
      <c r="U18" s="391">
        <v>0</v>
      </c>
      <c r="V18" s="391">
        <v>316</v>
      </c>
      <c r="W18" s="393">
        <v>2413</v>
      </c>
      <c r="X18" s="437"/>
    </row>
    <row r="19" spans="1:24" ht="12" customHeight="1">
      <c r="A19" s="304" t="s">
        <v>425</v>
      </c>
      <c r="B19" s="392">
        <v>1099</v>
      </c>
      <c r="C19" s="391">
        <v>94</v>
      </c>
      <c r="D19" s="391">
        <v>13</v>
      </c>
      <c r="E19" s="391">
        <v>2</v>
      </c>
      <c r="F19" s="391">
        <v>7</v>
      </c>
      <c r="G19" s="391">
        <v>0</v>
      </c>
      <c r="H19" s="391">
        <v>0</v>
      </c>
      <c r="I19" s="391">
        <v>1</v>
      </c>
      <c r="J19" s="391">
        <v>0</v>
      </c>
      <c r="K19" s="387">
        <v>0</v>
      </c>
      <c r="L19" s="158"/>
      <c r="M19" s="304" t="s">
        <v>425</v>
      </c>
      <c r="N19" s="391">
        <v>0</v>
      </c>
      <c r="O19" s="391">
        <v>0</v>
      </c>
      <c r="P19" s="391">
        <v>0</v>
      </c>
      <c r="Q19" s="391">
        <v>0</v>
      </c>
      <c r="R19" s="391">
        <v>0</v>
      </c>
      <c r="S19" s="391">
        <v>0</v>
      </c>
      <c r="T19" s="391">
        <v>0</v>
      </c>
      <c r="U19" s="391">
        <v>0</v>
      </c>
      <c r="V19" s="391">
        <v>378</v>
      </c>
      <c r="W19" s="393">
        <v>1594</v>
      </c>
      <c r="X19" s="437"/>
    </row>
    <row r="20" spans="1:24" ht="12" customHeight="1">
      <c r="A20" s="304" t="s">
        <v>426</v>
      </c>
      <c r="B20" s="392">
        <v>1365</v>
      </c>
      <c r="C20" s="391">
        <v>151</v>
      </c>
      <c r="D20" s="391">
        <v>1</v>
      </c>
      <c r="E20" s="391">
        <v>7</v>
      </c>
      <c r="F20" s="391">
        <v>20</v>
      </c>
      <c r="G20" s="391">
        <v>0</v>
      </c>
      <c r="H20" s="391">
        <v>0</v>
      </c>
      <c r="I20" s="391">
        <v>1</v>
      </c>
      <c r="J20" s="391">
        <v>0</v>
      </c>
      <c r="K20" s="387">
        <v>0</v>
      </c>
      <c r="L20" s="158"/>
      <c r="M20" s="304" t="s">
        <v>426</v>
      </c>
      <c r="N20" s="391">
        <v>0</v>
      </c>
      <c r="O20" s="391">
        <v>0</v>
      </c>
      <c r="P20" s="391">
        <v>0</v>
      </c>
      <c r="Q20" s="391">
        <v>0</v>
      </c>
      <c r="R20" s="391">
        <v>0</v>
      </c>
      <c r="S20" s="391">
        <v>0</v>
      </c>
      <c r="T20" s="391">
        <v>0</v>
      </c>
      <c r="U20" s="391">
        <v>0</v>
      </c>
      <c r="V20" s="391">
        <v>1216</v>
      </c>
      <c r="W20" s="393">
        <v>2761</v>
      </c>
      <c r="X20" s="437"/>
    </row>
    <row r="21" spans="1:24" ht="12" customHeight="1">
      <c r="A21" s="303" t="s">
        <v>441</v>
      </c>
      <c r="B21" s="394">
        <f>SUM(B22:B31)</f>
        <v>48243</v>
      </c>
      <c r="C21" s="393">
        <f t="shared" ref="C21:V21" si="3">SUM(C22:C31)</f>
        <v>3339</v>
      </c>
      <c r="D21" s="393">
        <f t="shared" si="3"/>
        <v>55</v>
      </c>
      <c r="E21" s="393">
        <f t="shared" si="3"/>
        <v>112</v>
      </c>
      <c r="F21" s="393">
        <f t="shared" si="3"/>
        <v>112</v>
      </c>
      <c r="G21" s="393">
        <f t="shared" si="3"/>
        <v>6</v>
      </c>
      <c r="H21" s="393">
        <f t="shared" si="3"/>
        <v>16</v>
      </c>
      <c r="I21" s="393">
        <f t="shared" si="3"/>
        <v>9</v>
      </c>
      <c r="J21" s="393">
        <f t="shared" si="3"/>
        <v>0</v>
      </c>
      <c r="K21" s="385">
        <f t="shared" si="3"/>
        <v>0</v>
      </c>
      <c r="L21" s="158"/>
      <c r="M21" s="303" t="s">
        <v>441</v>
      </c>
      <c r="N21" s="393">
        <f t="shared" si="3"/>
        <v>3</v>
      </c>
      <c r="O21" s="393">
        <f t="shared" si="3"/>
        <v>6</v>
      </c>
      <c r="P21" s="393">
        <f t="shared" si="3"/>
        <v>0</v>
      </c>
      <c r="Q21" s="393">
        <f t="shared" si="3"/>
        <v>0</v>
      </c>
      <c r="R21" s="393">
        <f t="shared" si="3"/>
        <v>0</v>
      </c>
      <c r="S21" s="393">
        <f t="shared" si="3"/>
        <v>0</v>
      </c>
      <c r="T21" s="393">
        <f t="shared" si="3"/>
        <v>0</v>
      </c>
      <c r="U21" s="393">
        <f t="shared" si="3"/>
        <v>0</v>
      </c>
      <c r="V21" s="393">
        <f t="shared" si="3"/>
        <v>21421</v>
      </c>
      <c r="W21" s="393">
        <v>73322</v>
      </c>
      <c r="X21" s="437"/>
    </row>
    <row r="22" spans="1:24" ht="12" customHeight="1">
      <c r="A22" s="307" t="s">
        <v>18</v>
      </c>
      <c r="B22" s="392">
        <v>9008</v>
      </c>
      <c r="C22" s="391">
        <v>1280</v>
      </c>
      <c r="D22" s="391">
        <v>33</v>
      </c>
      <c r="E22" s="391">
        <v>16</v>
      </c>
      <c r="F22" s="391">
        <v>16</v>
      </c>
      <c r="G22" s="391">
        <v>3</v>
      </c>
      <c r="H22" s="391">
        <v>3</v>
      </c>
      <c r="I22" s="391">
        <v>5</v>
      </c>
      <c r="J22" s="391">
        <v>0</v>
      </c>
      <c r="K22" s="387">
        <v>0</v>
      </c>
      <c r="L22" s="158"/>
      <c r="M22" s="307" t="s">
        <v>18</v>
      </c>
      <c r="N22" s="391">
        <v>2</v>
      </c>
      <c r="O22" s="391">
        <v>3</v>
      </c>
      <c r="P22" s="391">
        <v>0</v>
      </c>
      <c r="Q22" s="391">
        <v>0</v>
      </c>
      <c r="R22" s="391">
        <v>0</v>
      </c>
      <c r="S22" s="391">
        <v>0</v>
      </c>
      <c r="T22" s="391">
        <v>0</v>
      </c>
      <c r="U22" s="391">
        <v>0</v>
      </c>
      <c r="V22" s="391">
        <v>2295</v>
      </c>
      <c r="W22" s="393">
        <v>12664</v>
      </c>
      <c r="X22" s="437"/>
    </row>
    <row r="23" spans="1:24" ht="12" customHeight="1">
      <c r="A23" s="307" t="s">
        <v>442</v>
      </c>
      <c r="B23" s="392">
        <v>1491</v>
      </c>
      <c r="C23" s="391">
        <v>148</v>
      </c>
      <c r="D23" s="391">
        <v>1</v>
      </c>
      <c r="E23" s="391">
        <v>5</v>
      </c>
      <c r="F23" s="391">
        <v>4</v>
      </c>
      <c r="G23" s="391">
        <v>1</v>
      </c>
      <c r="H23" s="391">
        <v>0</v>
      </c>
      <c r="I23" s="391">
        <v>0</v>
      </c>
      <c r="J23" s="391">
        <v>0</v>
      </c>
      <c r="K23" s="387">
        <v>0</v>
      </c>
      <c r="L23" s="158"/>
      <c r="M23" s="307" t="s">
        <v>442</v>
      </c>
      <c r="N23" s="391">
        <v>0</v>
      </c>
      <c r="O23" s="391">
        <v>0</v>
      </c>
      <c r="P23" s="391">
        <v>0</v>
      </c>
      <c r="Q23" s="391">
        <v>0</v>
      </c>
      <c r="R23" s="391">
        <v>0</v>
      </c>
      <c r="S23" s="391">
        <v>0</v>
      </c>
      <c r="T23" s="391">
        <v>0</v>
      </c>
      <c r="U23" s="391">
        <v>0</v>
      </c>
      <c r="V23" s="391">
        <v>488</v>
      </c>
      <c r="W23" s="393">
        <v>2138</v>
      </c>
      <c r="X23" s="437"/>
    </row>
    <row r="24" spans="1:24" ht="12" customHeight="1">
      <c r="A24" s="307" t="s">
        <v>443</v>
      </c>
      <c r="B24" s="392">
        <v>6599</v>
      </c>
      <c r="C24" s="391">
        <v>140</v>
      </c>
      <c r="D24" s="391">
        <v>2</v>
      </c>
      <c r="E24" s="391">
        <v>4</v>
      </c>
      <c r="F24" s="391">
        <v>6</v>
      </c>
      <c r="G24" s="391">
        <v>1</v>
      </c>
      <c r="H24" s="391">
        <v>1</v>
      </c>
      <c r="I24" s="391">
        <v>1</v>
      </c>
      <c r="J24" s="391">
        <v>0</v>
      </c>
      <c r="K24" s="387">
        <v>0</v>
      </c>
      <c r="L24" s="158"/>
      <c r="M24" s="307" t="s">
        <v>443</v>
      </c>
      <c r="N24" s="391">
        <v>0</v>
      </c>
      <c r="O24" s="391">
        <v>0</v>
      </c>
      <c r="P24" s="391">
        <v>0</v>
      </c>
      <c r="Q24" s="391">
        <v>0</v>
      </c>
      <c r="R24" s="391">
        <v>0</v>
      </c>
      <c r="S24" s="391">
        <v>0</v>
      </c>
      <c r="T24" s="391">
        <v>0</v>
      </c>
      <c r="U24" s="391">
        <v>0</v>
      </c>
      <c r="V24" s="391">
        <v>2545</v>
      </c>
      <c r="W24" s="393">
        <v>9299</v>
      </c>
      <c r="X24" s="437"/>
    </row>
    <row r="25" spans="1:24" ht="12" customHeight="1">
      <c r="A25" s="307" t="s">
        <v>444</v>
      </c>
      <c r="B25" s="392">
        <v>5260</v>
      </c>
      <c r="C25" s="391">
        <v>94</v>
      </c>
      <c r="D25" s="391">
        <v>1</v>
      </c>
      <c r="E25" s="391">
        <v>1</v>
      </c>
      <c r="F25" s="391">
        <v>1</v>
      </c>
      <c r="G25" s="391">
        <v>1</v>
      </c>
      <c r="H25" s="391">
        <v>1</v>
      </c>
      <c r="I25" s="391">
        <v>1</v>
      </c>
      <c r="J25" s="391">
        <v>0</v>
      </c>
      <c r="K25" s="387">
        <v>0</v>
      </c>
      <c r="L25" s="158"/>
      <c r="M25" s="307" t="s">
        <v>444</v>
      </c>
      <c r="N25" s="391">
        <v>0</v>
      </c>
      <c r="O25" s="391">
        <v>0</v>
      </c>
      <c r="P25" s="391">
        <v>0</v>
      </c>
      <c r="Q25" s="391">
        <v>0</v>
      </c>
      <c r="R25" s="391">
        <v>0</v>
      </c>
      <c r="S25" s="391">
        <v>0</v>
      </c>
      <c r="T25" s="391">
        <v>0</v>
      </c>
      <c r="U25" s="391">
        <v>0</v>
      </c>
      <c r="V25" s="391">
        <v>1073</v>
      </c>
      <c r="W25" s="393">
        <v>6433</v>
      </c>
      <c r="X25" s="437"/>
    </row>
    <row r="26" spans="1:24" ht="12" customHeight="1">
      <c r="A26" s="307" t="s">
        <v>445</v>
      </c>
      <c r="B26" s="392">
        <v>3539</v>
      </c>
      <c r="C26" s="391">
        <v>86</v>
      </c>
      <c r="D26" s="391">
        <v>5</v>
      </c>
      <c r="E26" s="391">
        <v>4</v>
      </c>
      <c r="F26" s="391">
        <v>2</v>
      </c>
      <c r="G26" s="391">
        <v>0</v>
      </c>
      <c r="H26" s="391">
        <v>1</v>
      </c>
      <c r="I26" s="391">
        <v>0</v>
      </c>
      <c r="J26" s="391">
        <v>0</v>
      </c>
      <c r="K26" s="387">
        <v>0</v>
      </c>
      <c r="L26" s="158"/>
      <c r="M26" s="307" t="s">
        <v>445</v>
      </c>
      <c r="N26" s="391">
        <v>0</v>
      </c>
      <c r="O26" s="391">
        <v>0</v>
      </c>
      <c r="P26" s="391">
        <v>0</v>
      </c>
      <c r="Q26" s="391">
        <v>0</v>
      </c>
      <c r="R26" s="391">
        <v>0</v>
      </c>
      <c r="S26" s="391">
        <v>0</v>
      </c>
      <c r="T26" s="391">
        <v>0</v>
      </c>
      <c r="U26" s="391">
        <v>0</v>
      </c>
      <c r="V26" s="391">
        <v>603</v>
      </c>
      <c r="W26" s="393">
        <v>4240</v>
      </c>
      <c r="X26" s="437"/>
    </row>
    <row r="27" spans="1:24" ht="12" customHeight="1">
      <c r="A27" s="307" t="s">
        <v>446</v>
      </c>
      <c r="B27" s="392">
        <v>6303</v>
      </c>
      <c r="C27" s="391">
        <v>502</v>
      </c>
      <c r="D27" s="391">
        <v>7</v>
      </c>
      <c r="E27" s="391">
        <v>19</v>
      </c>
      <c r="F27" s="391">
        <v>18</v>
      </c>
      <c r="G27" s="391">
        <v>0</v>
      </c>
      <c r="H27" s="391">
        <v>5</v>
      </c>
      <c r="I27" s="391">
        <v>1</v>
      </c>
      <c r="J27" s="391">
        <v>0</v>
      </c>
      <c r="K27" s="387">
        <v>0</v>
      </c>
      <c r="L27" s="158"/>
      <c r="M27" s="307" t="s">
        <v>446</v>
      </c>
      <c r="N27" s="391">
        <v>0</v>
      </c>
      <c r="O27" s="391">
        <v>0</v>
      </c>
      <c r="P27" s="391">
        <v>0</v>
      </c>
      <c r="Q27" s="391">
        <v>0</v>
      </c>
      <c r="R27" s="391">
        <v>0</v>
      </c>
      <c r="S27" s="391">
        <v>0</v>
      </c>
      <c r="T27" s="391">
        <v>0</v>
      </c>
      <c r="U27" s="391">
        <v>0</v>
      </c>
      <c r="V27" s="391">
        <v>2253</v>
      </c>
      <c r="W27" s="393">
        <v>9108</v>
      </c>
      <c r="X27" s="437"/>
    </row>
    <row r="28" spans="1:24" ht="12" customHeight="1">
      <c r="A28" s="307" t="s">
        <v>447</v>
      </c>
      <c r="B28" s="392">
        <v>4508</v>
      </c>
      <c r="C28" s="391">
        <v>48</v>
      </c>
      <c r="D28" s="391">
        <v>0</v>
      </c>
      <c r="E28" s="391">
        <v>1</v>
      </c>
      <c r="F28" s="391">
        <v>4</v>
      </c>
      <c r="G28" s="391">
        <v>0</v>
      </c>
      <c r="H28" s="391">
        <v>0</v>
      </c>
      <c r="I28" s="391">
        <v>0</v>
      </c>
      <c r="J28" s="391">
        <v>0</v>
      </c>
      <c r="K28" s="387">
        <v>0</v>
      </c>
      <c r="L28" s="158"/>
      <c r="M28" s="307" t="s">
        <v>447</v>
      </c>
      <c r="N28" s="391">
        <v>0</v>
      </c>
      <c r="O28" s="391">
        <v>0</v>
      </c>
      <c r="P28" s="391">
        <v>0</v>
      </c>
      <c r="Q28" s="391">
        <v>0</v>
      </c>
      <c r="R28" s="391">
        <v>0</v>
      </c>
      <c r="S28" s="391">
        <v>0</v>
      </c>
      <c r="T28" s="391">
        <v>0</v>
      </c>
      <c r="U28" s="391">
        <v>0</v>
      </c>
      <c r="V28" s="391">
        <v>2965</v>
      </c>
      <c r="W28" s="393">
        <v>7526</v>
      </c>
      <c r="X28" s="437"/>
    </row>
    <row r="29" spans="1:24" ht="12" customHeight="1">
      <c r="A29" s="307" t="s">
        <v>448</v>
      </c>
      <c r="B29" s="392">
        <v>3979</v>
      </c>
      <c r="C29" s="391">
        <v>421</v>
      </c>
      <c r="D29" s="391">
        <v>2</v>
      </c>
      <c r="E29" s="391">
        <v>13</v>
      </c>
      <c r="F29" s="391">
        <v>5</v>
      </c>
      <c r="G29" s="391">
        <v>0</v>
      </c>
      <c r="H29" s="391">
        <v>0</v>
      </c>
      <c r="I29" s="391">
        <v>1</v>
      </c>
      <c r="J29" s="391">
        <v>0</v>
      </c>
      <c r="K29" s="387">
        <v>0</v>
      </c>
      <c r="L29" s="158"/>
      <c r="M29" s="307" t="s">
        <v>448</v>
      </c>
      <c r="N29" s="391">
        <v>1</v>
      </c>
      <c r="O29" s="391">
        <v>0</v>
      </c>
      <c r="P29" s="391">
        <v>0</v>
      </c>
      <c r="Q29" s="391">
        <v>0</v>
      </c>
      <c r="R29" s="391">
        <v>0</v>
      </c>
      <c r="S29" s="391">
        <v>0</v>
      </c>
      <c r="T29" s="391">
        <v>0</v>
      </c>
      <c r="U29" s="391">
        <v>0</v>
      </c>
      <c r="V29" s="391">
        <v>1668</v>
      </c>
      <c r="W29" s="393">
        <v>6090</v>
      </c>
      <c r="X29" s="437"/>
    </row>
    <row r="30" spans="1:24" ht="12" customHeight="1">
      <c r="A30" s="307" t="s">
        <v>449</v>
      </c>
      <c r="B30" s="392">
        <v>2683</v>
      </c>
      <c r="C30" s="391">
        <v>561</v>
      </c>
      <c r="D30" s="391">
        <v>3</v>
      </c>
      <c r="E30" s="391">
        <v>36</v>
      </c>
      <c r="F30" s="391">
        <v>35</v>
      </c>
      <c r="G30" s="391">
        <v>0</v>
      </c>
      <c r="H30" s="391">
        <v>2</v>
      </c>
      <c r="I30" s="391">
        <v>0</v>
      </c>
      <c r="J30" s="391">
        <v>0</v>
      </c>
      <c r="K30" s="387">
        <v>0</v>
      </c>
      <c r="L30" s="158"/>
      <c r="M30" s="307" t="s">
        <v>449</v>
      </c>
      <c r="N30" s="391">
        <v>0</v>
      </c>
      <c r="O30" s="391">
        <v>3</v>
      </c>
      <c r="P30" s="391">
        <v>0</v>
      </c>
      <c r="Q30" s="391">
        <v>0</v>
      </c>
      <c r="R30" s="391">
        <v>0</v>
      </c>
      <c r="S30" s="391">
        <v>0</v>
      </c>
      <c r="T30" s="391">
        <v>0</v>
      </c>
      <c r="U30" s="391">
        <v>0</v>
      </c>
      <c r="V30" s="391">
        <v>3509</v>
      </c>
      <c r="W30" s="393">
        <v>6832</v>
      </c>
      <c r="X30" s="437"/>
    </row>
    <row r="31" spans="1:24" ht="12" customHeight="1">
      <c r="A31" s="307" t="s">
        <v>450</v>
      </c>
      <c r="B31" s="392">
        <v>4873</v>
      </c>
      <c r="C31" s="391">
        <v>59</v>
      </c>
      <c r="D31" s="391">
        <v>1</v>
      </c>
      <c r="E31" s="391">
        <v>13</v>
      </c>
      <c r="F31" s="391">
        <v>21</v>
      </c>
      <c r="G31" s="391">
        <v>0</v>
      </c>
      <c r="H31" s="391">
        <v>3</v>
      </c>
      <c r="I31" s="391">
        <v>0</v>
      </c>
      <c r="J31" s="391">
        <v>0</v>
      </c>
      <c r="K31" s="387">
        <v>0</v>
      </c>
      <c r="L31" s="158"/>
      <c r="M31" s="307" t="s">
        <v>450</v>
      </c>
      <c r="N31" s="391">
        <v>0</v>
      </c>
      <c r="O31" s="391">
        <v>0</v>
      </c>
      <c r="P31" s="391">
        <v>0</v>
      </c>
      <c r="Q31" s="391">
        <v>0</v>
      </c>
      <c r="R31" s="391">
        <v>0</v>
      </c>
      <c r="S31" s="391">
        <v>0</v>
      </c>
      <c r="T31" s="391">
        <v>0</v>
      </c>
      <c r="U31" s="391">
        <v>0</v>
      </c>
      <c r="V31" s="391">
        <v>4022</v>
      </c>
      <c r="W31" s="393">
        <v>8992</v>
      </c>
      <c r="X31" s="437"/>
    </row>
    <row r="32" spans="1:24" ht="12" customHeight="1">
      <c r="A32" s="303" t="s">
        <v>427</v>
      </c>
      <c r="B32" s="394">
        <f>SUM(B33:B47)</f>
        <v>80620</v>
      </c>
      <c r="C32" s="393">
        <f t="shared" ref="C32:V32" si="4">SUM(C33:C47)</f>
        <v>7396</v>
      </c>
      <c r="D32" s="393">
        <f t="shared" si="4"/>
        <v>164</v>
      </c>
      <c r="E32" s="393">
        <f t="shared" si="4"/>
        <v>126</v>
      </c>
      <c r="F32" s="393">
        <f t="shared" si="4"/>
        <v>164</v>
      </c>
      <c r="G32" s="393">
        <f t="shared" si="4"/>
        <v>6</v>
      </c>
      <c r="H32" s="393">
        <f t="shared" si="4"/>
        <v>23</v>
      </c>
      <c r="I32" s="393">
        <f t="shared" si="4"/>
        <v>33</v>
      </c>
      <c r="J32" s="393">
        <f t="shared" si="4"/>
        <v>1</v>
      </c>
      <c r="K32" s="385">
        <f t="shared" si="4"/>
        <v>6</v>
      </c>
      <c r="L32" s="158"/>
      <c r="M32" s="303" t="s">
        <v>427</v>
      </c>
      <c r="N32" s="393">
        <f t="shared" si="4"/>
        <v>6</v>
      </c>
      <c r="O32" s="393">
        <f t="shared" si="4"/>
        <v>12</v>
      </c>
      <c r="P32" s="393">
        <f t="shared" si="4"/>
        <v>0</v>
      </c>
      <c r="Q32" s="393">
        <f t="shared" si="4"/>
        <v>1</v>
      </c>
      <c r="R32" s="393">
        <f t="shared" si="4"/>
        <v>3</v>
      </c>
      <c r="S32" s="393">
        <f t="shared" si="4"/>
        <v>2</v>
      </c>
      <c r="T32" s="393">
        <f t="shared" si="4"/>
        <v>0</v>
      </c>
      <c r="U32" s="393">
        <f t="shared" si="4"/>
        <v>0</v>
      </c>
      <c r="V32" s="393">
        <f t="shared" si="4"/>
        <v>21829</v>
      </c>
      <c r="W32" s="393">
        <v>110392</v>
      </c>
      <c r="X32" s="437"/>
    </row>
    <row r="33" spans="1:24" ht="12" customHeight="1">
      <c r="A33" s="304" t="s">
        <v>40</v>
      </c>
      <c r="B33" s="392">
        <v>18877</v>
      </c>
      <c r="C33" s="391">
        <v>4439</v>
      </c>
      <c r="D33" s="391">
        <v>74</v>
      </c>
      <c r="E33" s="391">
        <v>41</v>
      </c>
      <c r="F33" s="391">
        <v>58</v>
      </c>
      <c r="G33" s="391">
        <v>1</v>
      </c>
      <c r="H33" s="391">
        <v>4</v>
      </c>
      <c r="I33" s="391">
        <v>10</v>
      </c>
      <c r="J33" s="391">
        <v>0</v>
      </c>
      <c r="K33" s="387">
        <v>1</v>
      </c>
      <c r="L33" s="158"/>
      <c r="M33" s="304" t="s">
        <v>40</v>
      </c>
      <c r="N33" s="391">
        <v>4</v>
      </c>
      <c r="O33" s="391">
        <v>9</v>
      </c>
      <c r="P33" s="391">
        <v>0</v>
      </c>
      <c r="Q33" s="391">
        <v>1</v>
      </c>
      <c r="R33" s="391">
        <v>1</v>
      </c>
      <c r="S33" s="391">
        <v>0</v>
      </c>
      <c r="T33" s="391">
        <v>0</v>
      </c>
      <c r="U33" s="391">
        <v>0</v>
      </c>
      <c r="V33" s="391">
        <v>6550</v>
      </c>
      <c r="W33" s="393">
        <v>30070</v>
      </c>
      <c r="X33" s="437"/>
    </row>
    <row r="34" spans="1:24" ht="12" customHeight="1">
      <c r="A34" s="304" t="s">
        <v>428</v>
      </c>
      <c r="B34" s="392">
        <v>2118</v>
      </c>
      <c r="C34" s="391">
        <v>25</v>
      </c>
      <c r="D34" s="391">
        <v>3</v>
      </c>
      <c r="E34" s="391">
        <v>0</v>
      </c>
      <c r="F34" s="391">
        <v>1</v>
      </c>
      <c r="G34" s="391">
        <v>0</v>
      </c>
      <c r="H34" s="391">
        <v>0</v>
      </c>
      <c r="I34" s="391">
        <v>0</v>
      </c>
      <c r="J34" s="391">
        <v>0</v>
      </c>
      <c r="K34" s="387">
        <v>1</v>
      </c>
      <c r="L34" s="158"/>
      <c r="M34" s="304" t="s">
        <v>428</v>
      </c>
      <c r="N34" s="391">
        <v>0</v>
      </c>
      <c r="O34" s="391">
        <v>0</v>
      </c>
      <c r="P34" s="391">
        <v>0</v>
      </c>
      <c r="Q34" s="391">
        <v>0</v>
      </c>
      <c r="R34" s="391">
        <v>0</v>
      </c>
      <c r="S34" s="391">
        <v>0</v>
      </c>
      <c r="T34" s="391">
        <v>0</v>
      </c>
      <c r="U34" s="391">
        <v>0</v>
      </c>
      <c r="V34" s="391">
        <v>678</v>
      </c>
      <c r="W34" s="393">
        <v>2826</v>
      </c>
      <c r="X34" s="437"/>
    </row>
    <row r="35" spans="1:24" ht="12" customHeight="1">
      <c r="A35" s="304" t="s">
        <v>429</v>
      </c>
      <c r="B35" s="392">
        <v>5216</v>
      </c>
      <c r="C35" s="391">
        <v>215</v>
      </c>
      <c r="D35" s="391">
        <v>17</v>
      </c>
      <c r="E35" s="391">
        <v>15</v>
      </c>
      <c r="F35" s="391">
        <v>23</v>
      </c>
      <c r="G35" s="391">
        <v>0</v>
      </c>
      <c r="H35" s="391">
        <v>4</v>
      </c>
      <c r="I35" s="391">
        <v>2</v>
      </c>
      <c r="J35" s="391">
        <v>0</v>
      </c>
      <c r="K35" s="387">
        <v>1</v>
      </c>
      <c r="L35" s="158"/>
      <c r="M35" s="304" t="s">
        <v>429</v>
      </c>
      <c r="N35" s="391">
        <v>0</v>
      </c>
      <c r="O35" s="391">
        <v>0</v>
      </c>
      <c r="P35" s="391">
        <v>0</v>
      </c>
      <c r="Q35" s="391">
        <v>0</v>
      </c>
      <c r="R35" s="391">
        <v>0</v>
      </c>
      <c r="S35" s="391">
        <v>2</v>
      </c>
      <c r="T35" s="391">
        <v>0</v>
      </c>
      <c r="U35" s="391">
        <v>0</v>
      </c>
      <c r="V35" s="391">
        <v>1525</v>
      </c>
      <c r="W35" s="393">
        <v>7020</v>
      </c>
      <c r="X35" s="437"/>
    </row>
    <row r="36" spans="1:24" ht="12" customHeight="1">
      <c r="A36" s="304" t="s">
        <v>430</v>
      </c>
      <c r="B36" s="392">
        <v>11152</v>
      </c>
      <c r="C36" s="391">
        <v>677</v>
      </c>
      <c r="D36" s="391">
        <v>12</v>
      </c>
      <c r="E36" s="391">
        <v>11</v>
      </c>
      <c r="F36" s="391">
        <v>16</v>
      </c>
      <c r="G36" s="391">
        <v>1</v>
      </c>
      <c r="H36" s="391">
        <v>5</v>
      </c>
      <c r="I36" s="391">
        <v>7</v>
      </c>
      <c r="J36" s="391">
        <v>1</v>
      </c>
      <c r="K36" s="387">
        <v>1</v>
      </c>
      <c r="L36" s="158"/>
      <c r="M36" s="304" t="s">
        <v>430</v>
      </c>
      <c r="N36" s="391">
        <v>0</v>
      </c>
      <c r="O36" s="391">
        <v>1</v>
      </c>
      <c r="P36" s="391">
        <v>0</v>
      </c>
      <c r="Q36" s="391">
        <v>0</v>
      </c>
      <c r="R36" s="391">
        <v>0</v>
      </c>
      <c r="S36" s="391">
        <v>0</v>
      </c>
      <c r="T36" s="391">
        <v>0</v>
      </c>
      <c r="U36" s="391">
        <v>0</v>
      </c>
      <c r="V36" s="391">
        <v>2600</v>
      </c>
      <c r="W36" s="393">
        <v>14484</v>
      </c>
      <c r="X36" s="437"/>
    </row>
    <row r="37" spans="1:24" ht="12" customHeight="1">
      <c r="A37" s="304" t="s">
        <v>431</v>
      </c>
      <c r="B37" s="392">
        <v>2487</v>
      </c>
      <c r="C37" s="391">
        <v>29</v>
      </c>
      <c r="D37" s="391">
        <v>1</v>
      </c>
      <c r="E37" s="391">
        <v>1</v>
      </c>
      <c r="F37" s="391">
        <v>6</v>
      </c>
      <c r="G37" s="391">
        <v>1</v>
      </c>
      <c r="H37" s="391">
        <v>0</v>
      </c>
      <c r="I37" s="391">
        <v>3</v>
      </c>
      <c r="J37" s="391">
        <v>0</v>
      </c>
      <c r="K37" s="387">
        <v>0</v>
      </c>
      <c r="L37" s="158"/>
      <c r="M37" s="304" t="s">
        <v>431</v>
      </c>
      <c r="N37" s="391">
        <v>1</v>
      </c>
      <c r="O37" s="391">
        <v>0</v>
      </c>
      <c r="P37" s="391">
        <v>0</v>
      </c>
      <c r="Q37" s="391">
        <v>0</v>
      </c>
      <c r="R37" s="391">
        <v>0</v>
      </c>
      <c r="S37" s="391">
        <v>0</v>
      </c>
      <c r="T37" s="391">
        <v>0</v>
      </c>
      <c r="U37" s="391">
        <v>0</v>
      </c>
      <c r="V37" s="391">
        <v>402</v>
      </c>
      <c r="W37" s="393">
        <v>2931</v>
      </c>
      <c r="X37" s="437"/>
    </row>
    <row r="38" spans="1:24" ht="12" customHeight="1">
      <c r="A38" s="304" t="s">
        <v>432</v>
      </c>
      <c r="B38" s="392">
        <v>4987</v>
      </c>
      <c r="C38" s="391">
        <v>513</v>
      </c>
      <c r="D38" s="391">
        <v>3</v>
      </c>
      <c r="E38" s="391">
        <v>9</v>
      </c>
      <c r="F38" s="391">
        <v>17</v>
      </c>
      <c r="G38" s="391">
        <v>0</v>
      </c>
      <c r="H38" s="391">
        <v>0</v>
      </c>
      <c r="I38" s="391">
        <v>0</v>
      </c>
      <c r="J38" s="391">
        <v>0</v>
      </c>
      <c r="K38" s="387">
        <v>0</v>
      </c>
      <c r="L38" s="158"/>
      <c r="M38" s="304" t="s">
        <v>432</v>
      </c>
      <c r="N38" s="391">
        <v>0</v>
      </c>
      <c r="O38" s="391">
        <v>0</v>
      </c>
      <c r="P38" s="391">
        <v>0</v>
      </c>
      <c r="Q38" s="391">
        <v>0</v>
      </c>
      <c r="R38" s="391">
        <v>0</v>
      </c>
      <c r="S38" s="391">
        <v>0</v>
      </c>
      <c r="T38" s="391">
        <v>0</v>
      </c>
      <c r="U38" s="391">
        <v>0</v>
      </c>
      <c r="V38" s="391">
        <v>946</v>
      </c>
      <c r="W38" s="393">
        <v>6475</v>
      </c>
      <c r="X38" s="437"/>
    </row>
    <row r="39" spans="1:24" ht="24" customHeight="1">
      <c r="A39" s="304" t="s">
        <v>649</v>
      </c>
      <c r="B39" s="392">
        <v>3107</v>
      </c>
      <c r="C39" s="391">
        <v>203</v>
      </c>
      <c r="D39" s="391">
        <v>15</v>
      </c>
      <c r="E39" s="391">
        <v>3</v>
      </c>
      <c r="F39" s="391">
        <v>8</v>
      </c>
      <c r="G39" s="391">
        <v>0</v>
      </c>
      <c r="H39" s="391">
        <v>1</v>
      </c>
      <c r="I39" s="391">
        <v>6</v>
      </c>
      <c r="J39" s="391">
        <v>0</v>
      </c>
      <c r="K39" s="391">
        <v>1</v>
      </c>
      <c r="L39" s="158"/>
      <c r="M39" s="304" t="s">
        <v>649</v>
      </c>
      <c r="N39" s="391">
        <v>0</v>
      </c>
      <c r="O39" s="391">
        <v>2</v>
      </c>
      <c r="P39" s="391">
        <v>0</v>
      </c>
      <c r="Q39" s="391">
        <v>0</v>
      </c>
      <c r="R39" s="391">
        <v>0</v>
      </c>
      <c r="S39" s="391">
        <v>0</v>
      </c>
      <c r="T39" s="391">
        <v>0</v>
      </c>
      <c r="U39" s="391">
        <v>0</v>
      </c>
      <c r="V39" s="391">
        <v>1116</v>
      </c>
      <c r="W39" s="393">
        <v>4462</v>
      </c>
      <c r="X39" s="437"/>
    </row>
    <row r="40" spans="1:24" ht="12" customHeight="1">
      <c r="A40" s="304" t="s">
        <v>433</v>
      </c>
      <c r="B40" s="392">
        <v>5159</v>
      </c>
      <c r="C40" s="391">
        <v>207</v>
      </c>
      <c r="D40" s="391">
        <v>2</v>
      </c>
      <c r="E40" s="391">
        <v>13</v>
      </c>
      <c r="F40" s="391">
        <v>9</v>
      </c>
      <c r="G40" s="391">
        <v>1</v>
      </c>
      <c r="H40" s="391">
        <v>0</v>
      </c>
      <c r="I40" s="391">
        <v>0</v>
      </c>
      <c r="J40" s="391">
        <v>0</v>
      </c>
      <c r="K40" s="387">
        <v>0</v>
      </c>
      <c r="L40" s="158"/>
      <c r="M40" s="304" t="s">
        <v>433</v>
      </c>
      <c r="N40" s="391">
        <v>0</v>
      </c>
      <c r="O40" s="391">
        <v>0</v>
      </c>
      <c r="P40" s="391">
        <v>0</v>
      </c>
      <c r="Q40" s="391">
        <v>0</v>
      </c>
      <c r="R40" s="391">
        <v>0</v>
      </c>
      <c r="S40" s="391">
        <v>0</v>
      </c>
      <c r="T40" s="391">
        <v>0</v>
      </c>
      <c r="U40" s="391">
        <v>0</v>
      </c>
      <c r="V40" s="391">
        <v>1054</v>
      </c>
      <c r="W40" s="393">
        <v>6445</v>
      </c>
      <c r="X40" s="437"/>
    </row>
    <row r="41" spans="1:24" ht="12" customHeight="1">
      <c r="A41" s="304" t="s">
        <v>434</v>
      </c>
      <c r="B41" s="392">
        <v>3285</v>
      </c>
      <c r="C41" s="391">
        <v>105</v>
      </c>
      <c r="D41" s="391">
        <v>1</v>
      </c>
      <c r="E41" s="391">
        <v>0</v>
      </c>
      <c r="F41" s="391">
        <v>2</v>
      </c>
      <c r="G41" s="391">
        <v>0</v>
      </c>
      <c r="H41" s="391">
        <v>0</v>
      </c>
      <c r="I41" s="391">
        <v>1</v>
      </c>
      <c r="J41" s="391">
        <v>0</v>
      </c>
      <c r="K41" s="387">
        <v>0</v>
      </c>
      <c r="L41" s="158"/>
      <c r="M41" s="304" t="s">
        <v>434</v>
      </c>
      <c r="N41" s="391">
        <v>0</v>
      </c>
      <c r="O41" s="391">
        <v>0</v>
      </c>
      <c r="P41" s="391">
        <v>0</v>
      </c>
      <c r="Q41" s="391">
        <v>0</v>
      </c>
      <c r="R41" s="391">
        <v>0</v>
      </c>
      <c r="S41" s="391">
        <v>0</v>
      </c>
      <c r="T41" s="391">
        <v>0</v>
      </c>
      <c r="U41" s="391">
        <v>0</v>
      </c>
      <c r="V41" s="391">
        <v>545</v>
      </c>
      <c r="W41" s="393">
        <v>3939</v>
      </c>
      <c r="X41" s="437"/>
    </row>
    <row r="42" spans="1:24" ht="12" customHeight="1">
      <c r="A42" s="304" t="s">
        <v>435</v>
      </c>
      <c r="B42" s="392">
        <v>7790</v>
      </c>
      <c r="C42" s="391">
        <v>105</v>
      </c>
      <c r="D42" s="391">
        <v>13</v>
      </c>
      <c r="E42" s="391">
        <v>4</v>
      </c>
      <c r="F42" s="391">
        <v>4</v>
      </c>
      <c r="G42" s="391">
        <v>0</v>
      </c>
      <c r="H42" s="391">
        <v>3</v>
      </c>
      <c r="I42" s="391">
        <v>0</v>
      </c>
      <c r="J42" s="391">
        <v>0</v>
      </c>
      <c r="K42" s="387">
        <v>0</v>
      </c>
      <c r="L42" s="158"/>
      <c r="M42" s="304" t="s">
        <v>435</v>
      </c>
      <c r="N42" s="391">
        <v>0</v>
      </c>
      <c r="O42" s="391">
        <v>0</v>
      </c>
      <c r="P42" s="391">
        <v>0</v>
      </c>
      <c r="Q42" s="391">
        <v>0</v>
      </c>
      <c r="R42" s="391">
        <v>2</v>
      </c>
      <c r="S42" s="391">
        <v>0</v>
      </c>
      <c r="T42" s="391">
        <v>0</v>
      </c>
      <c r="U42" s="391">
        <v>0</v>
      </c>
      <c r="V42" s="391">
        <v>1724</v>
      </c>
      <c r="W42" s="393">
        <v>9645</v>
      </c>
      <c r="X42" s="437"/>
    </row>
    <row r="43" spans="1:24" ht="12" customHeight="1">
      <c r="A43" s="304" t="s">
        <v>436</v>
      </c>
      <c r="B43" s="392">
        <v>4864</v>
      </c>
      <c r="C43" s="391">
        <v>318</v>
      </c>
      <c r="D43" s="391">
        <v>17</v>
      </c>
      <c r="E43" s="391">
        <v>11</v>
      </c>
      <c r="F43" s="391">
        <v>9</v>
      </c>
      <c r="G43" s="391">
        <v>1</v>
      </c>
      <c r="H43" s="391">
        <v>2</v>
      </c>
      <c r="I43" s="391">
        <v>1</v>
      </c>
      <c r="J43" s="391">
        <v>0</v>
      </c>
      <c r="K43" s="387">
        <v>1</v>
      </c>
      <c r="L43" s="158"/>
      <c r="M43" s="304" t="s">
        <v>436</v>
      </c>
      <c r="N43" s="391">
        <v>0</v>
      </c>
      <c r="O43" s="391">
        <v>0</v>
      </c>
      <c r="P43" s="391">
        <v>0</v>
      </c>
      <c r="Q43" s="391">
        <v>0</v>
      </c>
      <c r="R43" s="391">
        <v>0</v>
      </c>
      <c r="S43" s="391">
        <v>0</v>
      </c>
      <c r="T43" s="391">
        <v>0</v>
      </c>
      <c r="U43" s="391">
        <v>0</v>
      </c>
      <c r="V43" s="391">
        <v>2074</v>
      </c>
      <c r="W43" s="393">
        <v>7298</v>
      </c>
      <c r="X43" s="437"/>
    </row>
    <row r="44" spans="1:24" ht="12" customHeight="1">
      <c r="A44" s="304" t="s">
        <v>437</v>
      </c>
      <c r="B44" s="392">
        <v>3834</v>
      </c>
      <c r="C44" s="391">
        <v>235</v>
      </c>
      <c r="D44" s="391">
        <v>3</v>
      </c>
      <c r="E44" s="391">
        <v>6</v>
      </c>
      <c r="F44" s="391">
        <v>2</v>
      </c>
      <c r="G44" s="391">
        <v>0</v>
      </c>
      <c r="H44" s="391">
        <v>1</v>
      </c>
      <c r="I44" s="391">
        <v>2</v>
      </c>
      <c r="J44" s="391">
        <v>0</v>
      </c>
      <c r="K44" s="387">
        <v>0</v>
      </c>
      <c r="L44" s="158"/>
      <c r="M44" s="304" t="s">
        <v>437</v>
      </c>
      <c r="N44" s="391">
        <v>0</v>
      </c>
      <c r="O44" s="391">
        <v>0</v>
      </c>
      <c r="P44" s="391">
        <v>0</v>
      </c>
      <c r="Q44" s="391">
        <v>0</v>
      </c>
      <c r="R44" s="391">
        <v>0</v>
      </c>
      <c r="S44" s="391">
        <v>0</v>
      </c>
      <c r="T44" s="391">
        <v>0</v>
      </c>
      <c r="U44" s="391">
        <v>0</v>
      </c>
      <c r="V44" s="391">
        <v>735</v>
      </c>
      <c r="W44" s="393">
        <v>4818</v>
      </c>
      <c r="X44" s="437"/>
    </row>
    <row r="45" spans="1:24" ht="24" customHeight="1">
      <c r="A45" s="304" t="s">
        <v>438</v>
      </c>
      <c r="B45" s="392">
        <v>2288</v>
      </c>
      <c r="C45" s="391">
        <v>90</v>
      </c>
      <c r="D45" s="391">
        <v>0</v>
      </c>
      <c r="E45" s="391">
        <v>0</v>
      </c>
      <c r="F45" s="391">
        <v>0</v>
      </c>
      <c r="G45" s="391">
        <v>0</v>
      </c>
      <c r="H45" s="391">
        <v>0</v>
      </c>
      <c r="I45" s="391">
        <v>1</v>
      </c>
      <c r="J45" s="391">
        <v>0</v>
      </c>
      <c r="K45" s="391">
        <v>0</v>
      </c>
      <c r="L45" s="158"/>
      <c r="M45" s="304" t="s">
        <v>438</v>
      </c>
      <c r="N45" s="391">
        <v>1</v>
      </c>
      <c r="O45" s="391">
        <v>0</v>
      </c>
      <c r="P45" s="391">
        <v>0</v>
      </c>
      <c r="Q45" s="391">
        <v>0</v>
      </c>
      <c r="R45" s="391">
        <v>0</v>
      </c>
      <c r="S45" s="391">
        <v>0</v>
      </c>
      <c r="T45" s="391">
        <v>0</v>
      </c>
      <c r="U45" s="391">
        <v>0</v>
      </c>
      <c r="V45" s="391">
        <v>461</v>
      </c>
      <c r="W45" s="393">
        <v>2841</v>
      </c>
      <c r="X45" s="437"/>
    </row>
    <row r="46" spans="1:24" ht="24" customHeight="1">
      <c r="A46" s="304" t="s">
        <v>439</v>
      </c>
      <c r="B46" s="392">
        <v>3320</v>
      </c>
      <c r="C46" s="391">
        <v>146</v>
      </c>
      <c r="D46" s="391">
        <v>3</v>
      </c>
      <c r="E46" s="391">
        <v>3</v>
      </c>
      <c r="F46" s="391">
        <v>5</v>
      </c>
      <c r="G46" s="391">
        <v>0</v>
      </c>
      <c r="H46" s="391">
        <v>3</v>
      </c>
      <c r="I46" s="391">
        <v>0</v>
      </c>
      <c r="J46" s="391">
        <v>0</v>
      </c>
      <c r="K46" s="391">
        <v>0</v>
      </c>
      <c r="L46" s="158"/>
      <c r="M46" s="304" t="s">
        <v>439</v>
      </c>
      <c r="N46" s="391">
        <v>0</v>
      </c>
      <c r="O46" s="391">
        <v>0</v>
      </c>
      <c r="P46" s="391">
        <v>0</v>
      </c>
      <c r="Q46" s="391">
        <v>0</v>
      </c>
      <c r="R46" s="391">
        <v>0</v>
      </c>
      <c r="S46" s="391">
        <v>0</v>
      </c>
      <c r="T46" s="391">
        <v>0</v>
      </c>
      <c r="U46" s="391">
        <v>0</v>
      </c>
      <c r="V46" s="391">
        <v>927</v>
      </c>
      <c r="W46" s="393">
        <v>4407</v>
      </c>
      <c r="X46" s="437"/>
    </row>
    <row r="47" spans="1:24" ht="12" customHeight="1">
      <c r="A47" s="304" t="s">
        <v>440</v>
      </c>
      <c r="B47" s="392">
        <v>2136</v>
      </c>
      <c r="C47" s="391">
        <v>89</v>
      </c>
      <c r="D47" s="391">
        <v>0</v>
      </c>
      <c r="E47" s="391">
        <v>9</v>
      </c>
      <c r="F47" s="391">
        <v>4</v>
      </c>
      <c r="G47" s="391">
        <v>1</v>
      </c>
      <c r="H47" s="391">
        <v>0</v>
      </c>
      <c r="I47" s="391">
        <v>0</v>
      </c>
      <c r="J47" s="391">
        <v>0</v>
      </c>
      <c r="K47" s="387">
        <v>0</v>
      </c>
      <c r="L47" s="158"/>
      <c r="M47" s="304" t="s">
        <v>440</v>
      </c>
      <c r="N47" s="391">
        <v>0</v>
      </c>
      <c r="O47" s="391">
        <v>0</v>
      </c>
      <c r="P47" s="391">
        <v>0</v>
      </c>
      <c r="Q47" s="391">
        <v>0</v>
      </c>
      <c r="R47" s="391">
        <v>0</v>
      </c>
      <c r="S47" s="391">
        <v>0</v>
      </c>
      <c r="T47" s="391">
        <v>0</v>
      </c>
      <c r="U47" s="391">
        <v>0</v>
      </c>
      <c r="V47" s="391">
        <v>492</v>
      </c>
      <c r="W47" s="393">
        <v>2731</v>
      </c>
      <c r="X47" s="437"/>
    </row>
    <row r="48" spans="1:24" ht="5.0999999999999996" customHeight="1">
      <c r="A48" s="312"/>
      <c r="B48" s="388"/>
      <c r="C48" s="389"/>
      <c r="D48" s="389"/>
      <c r="E48" s="389"/>
      <c r="F48" s="389"/>
      <c r="G48" s="389"/>
      <c r="H48" s="389"/>
      <c r="I48" s="389"/>
      <c r="J48" s="389"/>
      <c r="K48" s="389"/>
      <c r="L48" s="158"/>
      <c r="M48" s="312"/>
      <c r="N48" s="389"/>
      <c r="O48" s="389"/>
      <c r="P48" s="389"/>
      <c r="Q48" s="389"/>
      <c r="R48" s="389"/>
      <c r="S48" s="389"/>
      <c r="T48" s="389"/>
      <c r="U48" s="389"/>
      <c r="V48" s="389"/>
      <c r="W48" s="390"/>
    </row>
    <row r="49" spans="1:24" ht="11.1" customHeight="1">
      <c r="A49" s="319"/>
      <c r="B49" s="305"/>
      <c r="C49" s="305"/>
      <c r="D49" s="305"/>
      <c r="E49" s="305"/>
      <c r="F49" s="305"/>
      <c r="G49" s="305"/>
      <c r="H49" s="305"/>
      <c r="I49" s="305"/>
      <c r="J49" s="305"/>
      <c r="K49" s="293" t="s">
        <v>45</v>
      </c>
      <c r="L49" s="158"/>
      <c r="M49" s="319"/>
      <c r="N49" s="305"/>
      <c r="O49" s="305"/>
      <c r="P49" s="305"/>
      <c r="Q49" s="305"/>
      <c r="R49" s="305"/>
      <c r="S49" s="305"/>
      <c r="T49" s="305"/>
      <c r="U49" s="305"/>
      <c r="V49" s="305"/>
      <c r="W49" s="293" t="s">
        <v>45</v>
      </c>
    </row>
    <row r="50" spans="1:24">
      <c r="A50" s="319"/>
      <c r="B50" s="305"/>
      <c r="C50" s="305"/>
      <c r="D50" s="305"/>
      <c r="E50" s="305"/>
      <c r="F50" s="305"/>
      <c r="G50" s="305"/>
      <c r="H50" s="305"/>
      <c r="I50" s="305"/>
      <c r="J50" s="305"/>
      <c r="K50" s="305"/>
      <c r="L50" s="158"/>
      <c r="M50" s="319"/>
      <c r="N50" s="305"/>
      <c r="O50" s="305"/>
      <c r="P50" s="305"/>
      <c r="Q50" s="305"/>
      <c r="R50" s="305"/>
      <c r="S50" s="305"/>
      <c r="T50" s="305"/>
      <c r="U50" s="305"/>
      <c r="V50" s="305"/>
      <c r="W50" s="306"/>
    </row>
    <row r="51" spans="1:24">
      <c r="A51" s="319"/>
      <c r="B51" s="305"/>
      <c r="C51" s="305"/>
      <c r="D51" s="305"/>
      <c r="E51" s="305"/>
      <c r="F51" s="305"/>
      <c r="G51" s="305"/>
      <c r="H51" s="305"/>
      <c r="I51" s="305"/>
      <c r="J51" s="305"/>
      <c r="K51" s="305"/>
      <c r="L51" s="158"/>
      <c r="M51" s="319"/>
      <c r="N51" s="305"/>
      <c r="O51" s="305"/>
      <c r="P51" s="305"/>
      <c r="Q51" s="305"/>
      <c r="R51" s="305"/>
      <c r="S51" s="305"/>
      <c r="T51" s="305"/>
      <c r="U51" s="305"/>
      <c r="V51" s="305"/>
      <c r="W51" s="306"/>
    </row>
    <row r="52" spans="1:24" ht="13.5">
      <c r="A52" s="796" t="str">
        <f>A1</f>
        <v>6.17  PUNO: POBLACIÓN CENSADA POR AFILIACIÓN A SEGURO DE SALUD, SEGÚN PROVINCIA Y DISTRITO, 2017</v>
      </c>
      <c r="B52" s="796"/>
      <c r="C52" s="796"/>
      <c r="D52" s="796"/>
      <c r="E52" s="796"/>
      <c r="F52" s="796"/>
      <c r="G52" s="796"/>
      <c r="H52" s="796"/>
      <c r="I52" s="796"/>
      <c r="J52" s="796"/>
      <c r="K52" s="796"/>
      <c r="L52" s="158"/>
      <c r="M52" s="796" t="str">
        <f>A1</f>
        <v>6.17  PUNO: POBLACIÓN CENSADA POR AFILIACIÓN A SEGURO DE SALUD, SEGÚN PROVINCIA Y DISTRITO, 2017</v>
      </c>
      <c r="N52" s="796"/>
      <c r="O52" s="796"/>
      <c r="P52" s="796"/>
      <c r="Q52" s="796"/>
      <c r="R52" s="796"/>
      <c r="S52" s="796"/>
      <c r="T52" s="796"/>
      <c r="U52" s="796"/>
      <c r="V52" s="796"/>
      <c r="W52" s="796"/>
    </row>
    <row r="53" spans="1:24" ht="5.0999999999999996" customHeight="1">
      <c r="A53" s="298"/>
      <c r="B53" s="299"/>
      <c r="C53" s="299"/>
      <c r="D53" s="299"/>
      <c r="E53" s="299"/>
      <c r="F53" s="299"/>
      <c r="G53" s="299"/>
      <c r="H53" s="299"/>
      <c r="I53" s="299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</row>
    <row r="54" spans="1:24" ht="114.75">
      <c r="A54" s="300" t="s">
        <v>403</v>
      </c>
      <c r="B54" s="301" t="s">
        <v>404</v>
      </c>
      <c r="C54" s="302" t="s">
        <v>405</v>
      </c>
      <c r="D54" s="302" t="s">
        <v>833</v>
      </c>
      <c r="E54" s="302" t="s">
        <v>834</v>
      </c>
      <c r="F54" s="302" t="s">
        <v>835</v>
      </c>
      <c r="G54" s="302" t="s">
        <v>406</v>
      </c>
      <c r="H54" s="302" t="s">
        <v>836</v>
      </c>
      <c r="I54" s="302" t="s">
        <v>837</v>
      </c>
      <c r="J54" s="302" t="s">
        <v>838</v>
      </c>
      <c r="K54" s="302" t="s">
        <v>839</v>
      </c>
      <c r="L54" s="158"/>
      <c r="M54" s="300" t="s">
        <v>403</v>
      </c>
      <c r="N54" s="301" t="s">
        <v>840</v>
      </c>
      <c r="O54" s="302" t="s">
        <v>841</v>
      </c>
      <c r="P54" s="302" t="s">
        <v>842</v>
      </c>
      <c r="Q54" s="302" t="s">
        <v>843</v>
      </c>
      <c r="R54" s="302" t="s">
        <v>844</v>
      </c>
      <c r="S54" s="302" t="s">
        <v>845</v>
      </c>
      <c r="T54" s="302" t="s">
        <v>846</v>
      </c>
      <c r="U54" s="302" t="s">
        <v>847</v>
      </c>
      <c r="V54" s="302" t="s">
        <v>412</v>
      </c>
      <c r="W54" s="302" t="s">
        <v>14</v>
      </c>
    </row>
    <row r="55" spans="1:24" ht="14.1" customHeight="1">
      <c r="A55" s="303" t="s">
        <v>451</v>
      </c>
      <c r="B55" s="384">
        <f>SUM(B56:B62)</f>
        <v>53609</v>
      </c>
      <c r="C55" s="385">
        <f t="shared" ref="C55:V55" si="5">SUM(C56:C62)</f>
        <v>4224</v>
      </c>
      <c r="D55" s="385">
        <f t="shared" si="5"/>
        <v>235</v>
      </c>
      <c r="E55" s="385">
        <f t="shared" si="5"/>
        <v>115</v>
      </c>
      <c r="F55" s="385">
        <f t="shared" si="5"/>
        <v>332</v>
      </c>
      <c r="G55" s="385">
        <f t="shared" si="5"/>
        <v>23</v>
      </c>
      <c r="H55" s="385">
        <f t="shared" si="5"/>
        <v>10</v>
      </c>
      <c r="I55" s="385">
        <f t="shared" si="5"/>
        <v>5</v>
      </c>
      <c r="J55" s="385">
        <f t="shared" si="5"/>
        <v>0</v>
      </c>
      <c r="K55" s="385">
        <f t="shared" si="5"/>
        <v>14</v>
      </c>
      <c r="L55" s="158"/>
      <c r="M55" s="303" t="s">
        <v>451</v>
      </c>
      <c r="N55" s="385">
        <f t="shared" si="5"/>
        <v>11</v>
      </c>
      <c r="O55" s="385">
        <f t="shared" si="5"/>
        <v>4</v>
      </c>
      <c r="P55" s="385">
        <f t="shared" si="5"/>
        <v>0</v>
      </c>
      <c r="Q55" s="385">
        <f t="shared" si="5"/>
        <v>0</v>
      </c>
      <c r="R55" s="385">
        <f t="shared" si="5"/>
        <v>6</v>
      </c>
      <c r="S55" s="385">
        <f t="shared" si="5"/>
        <v>3</v>
      </c>
      <c r="T55" s="385">
        <f t="shared" si="5"/>
        <v>0</v>
      </c>
      <c r="U55" s="385">
        <f t="shared" si="5"/>
        <v>0</v>
      </c>
      <c r="V55" s="385">
        <f t="shared" si="5"/>
        <v>30411</v>
      </c>
      <c r="W55" s="385">
        <v>89002</v>
      </c>
      <c r="X55" s="437"/>
    </row>
    <row r="56" spans="1:24" ht="12" customHeight="1">
      <c r="A56" s="307" t="s">
        <v>452</v>
      </c>
      <c r="B56" s="386">
        <v>13625</v>
      </c>
      <c r="C56" s="387">
        <v>1995</v>
      </c>
      <c r="D56" s="387">
        <v>41</v>
      </c>
      <c r="E56" s="387">
        <v>24</v>
      </c>
      <c r="F56" s="387">
        <v>37</v>
      </c>
      <c r="G56" s="387">
        <v>2</v>
      </c>
      <c r="H56" s="387">
        <v>2</v>
      </c>
      <c r="I56" s="387">
        <v>3</v>
      </c>
      <c r="J56" s="387">
        <v>0</v>
      </c>
      <c r="K56" s="387">
        <v>4</v>
      </c>
      <c r="L56" s="158"/>
      <c r="M56" s="307" t="s">
        <v>452</v>
      </c>
      <c r="N56" s="387">
        <v>0</v>
      </c>
      <c r="O56" s="387">
        <v>0</v>
      </c>
      <c r="P56" s="387">
        <v>0</v>
      </c>
      <c r="Q56" s="387">
        <v>0</v>
      </c>
      <c r="R56" s="387">
        <v>2</v>
      </c>
      <c r="S56" s="387">
        <v>1</v>
      </c>
      <c r="T56" s="387">
        <v>0</v>
      </c>
      <c r="U56" s="387">
        <v>0</v>
      </c>
      <c r="V56" s="387">
        <v>4037</v>
      </c>
      <c r="W56" s="385">
        <v>19773</v>
      </c>
      <c r="X56" s="437"/>
    </row>
    <row r="57" spans="1:24" ht="12" customHeight="1">
      <c r="A57" s="307" t="s">
        <v>453</v>
      </c>
      <c r="B57" s="386">
        <v>4834</v>
      </c>
      <c r="C57" s="387">
        <v>743</v>
      </c>
      <c r="D57" s="387">
        <v>60</v>
      </c>
      <c r="E57" s="387">
        <v>30</v>
      </c>
      <c r="F57" s="387">
        <v>91</v>
      </c>
      <c r="G57" s="387">
        <v>1</v>
      </c>
      <c r="H57" s="387">
        <v>1</v>
      </c>
      <c r="I57" s="387">
        <v>1</v>
      </c>
      <c r="J57" s="387">
        <v>0</v>
      </c>
      <c r="K57" s="387">
        <v>2</v>
      </c>
      <c r="L57" s="158"/>
      <c r="M57" s="307" t="s">
        <v>453</v>
      </c>
      <c r="N57" s="387">
        <v>11</v>
      </c>
      <c r="O57" s="387">
        <v>1</v>
      </c>
      <c r="P57" s="387">
        <v>0</v>
      </c>
      <c r="Q57" s="387">
        <v>0</v>
      </c>
      <c r="R57" s="387">
        <v>3</v>
      </c>
      <c r="S57" s="387">
        <v>1</v>
      </c>
      <c r="T57" s="387">
        <v>0</v>
      </c>
      <c r="U57" s="387">
        <v>0</v>
      </c>
      <c r="V57" s="387">
        <v>8008</v>
      </c>
      <c r="W57" s="385">
        <v>13787</v>
      </c>
      <c r="X57" s="437"/>
    </row>
    <row r="58" spans="1:24" ht="12" customHeight="1">
      <c r="A58" s="307" t="s">
        <v>454</v>
      </c>
      <c r="B58" s="386">
        <v>6541</v>
      </c>
      <c r="C58" s="387">
        <v>247</v>
      </c>
      <c r="D58" s="387">
        <v>13</v>
      </c>
      <c r="E58" s="387">
        <v>2</v>
      </c>
      <c r="F58" s="387">
        <v>10</v>
      </c>
      <c r="G58" s="387">
        <v>0</v>
      </c>
      <c r="H58" s="387">
        <v>0</v>
      </c>
      <c r="I58" s="387">
        <v>0</v>
      </c>
      <c r="J58" s="387">
        <v>0</v>
      </c>
      <c r="K58" s="387">
        <v>2</v>
      </c>
      <c r="L58" s="158"/>
      <c r="M58" s="307" t="s">
        <v>454</v>
      </c>
      <c r="N58" s="387">
        <v>0</v>
      </c>
      <c r="O58" s="387">
        <v>0</v>
      </c>
      <c r="P58" s="387">
        <v>0</v>
      </c>
      <c r="Q58" s="387">
        <v>0</v>
      </c>
      <c r="R58" s="387">
        <v>0</v>
      </c>
      <c r="S58" s="387">
        <v>0</v>
      </c>
      <c r="T58" s="387">
        <v>0</v>
      </c>
      <c r="U58" s="387">
        <v>0</v>
      </c>
      <c r="V58" s="387">
        <v>2422</v>
      </c>
      <c r="W58" s="385">
        <v>9237</v>
      </c>
      <c r="X58" s="437"/>
    </row>
    <row r="59" spans="1:24" ht="12" customHeight="1">
      <c r="A59" s="307" t="s">
        <v>455</v>
      </c>
      <c r="B59" s="386">
        <v>3869</v>
      </c>
      <c r="C59" s="387">
        <v>210</v>
      </c>
      <c r="D59" s="387">
        <v>8</v>
      </c>
      <c r="E59" s="387">
        <v>5</v>
      </c>
      <c r="F59" s="387">
        <v>14</v>
      </c>
      <c r="G59" s="387">
        <v>20</v>
      </c>
      <c r="H59" s="387">
        <v>2</v>
      </c>
      <c r="I59" s="387">
        <v>0</v>
      </c>
      <c r="J59" s="387">
        <v>0</v>
      </c>
      <c r="K59" s="387">
        <v>2</v>
      </c>
      <c r="L59" s="158"/>
      <c r="M59" s="307" t="s">
        <v>455</v>
      </c>
      <c r="N59" s="387">
        <v>0</v>
      </c>
      <c r="O59" s="387">
        <v>1</v>
      </c>
      <c r="P59" s="387">
        <v>0</v>
      </c>
      <c r="Q59" s="387">
        <v>0</v>
      </c>
      <c r="R59" s="387">
        <v>0</v>
      </c>
      <c r="S59" s="387">
        <v>0</v>
      </c>
      <c r="T59" s="387">
        <v>0</v>
      </c>
      <c r="U59" s="387">
        <v>0</v>
      </c>
      <c r="V59" s="387">
        <v>3215</v>
      </c>
      <c r="W59" s="385">
        <v>7346</v>
      </c>
      <c r="X59" s="437"/>
    </row>
    <row r="60" spans="1:24" ht="12" customHeight="1">
      <c r="A60" s="307" t="s">
        <v>456</v>
      </c>
      <c r="B60" s="386">
        <v>4229</v>
      </c>
      <c r="C60" s="387">
        <v>97</v>
      </c>
      <c r="D60" s="387">
        <v>15</v>
      </c>
      <c r="E60" s="387">
        <v>15</v>
      </c>
      <c r="F60" s="387">
        <v>141</v>
      </c>
      <c r="G60" s="387">
        <v>0</v>
      </c>
      <c r="H60" s="387">
        <v>0</v>
      </c>
      <c r="I60" s="387">
        <v>0</v>
      </c>
      <c r="J60" s="387">
        <v>0</v>
      </c>
      <c r="K60" s="387">
        <v>1</v>
      </c>
      <c r="L60" s="158"/>
      <c r="M60" s="307" t="s">
        <v>456</v>
      </c>
      <c r="N60" s="387">
        <v>0</v>
      </c>
      <c r="O60" s="387">
        <v>0</v>
      </c>
      <c r="P60" s="387">
        <v>0</v>
      </c>
      <c r="Q60" s="387">
        <v>0</v>
      </c>
      <c r="R60" s="387">
        <v>0</v>
      </c>
      <c r="S60" s="387">
        <v>0</v>
      </c>
      <c r="T60" s="387">
        <v>0</v>
      </c>
      <c r="U60" s="387">
        <v>0</v>
      </c>
      <c r="V60" s="387">
        <v>3725</v>
      </c>
      <c r="W60" s="385">
        <v>8223</v>
      </c>
      <c r="X60" s="437"/>
    </row>
    <row r="61" spans="1:24" ht="12" customHeight="1">
      <c r="A61" s="307" t="s">
        <v>457</v>
      </c>
      <c r="B61" s="386">
        <v>8668</v>
      </c>
      <c r="C61" s="387">
        <v>596</v>
      </c>
      <c r="D61" s="387">
        <v>80</v>
      </c>
      <c r="E61" s="387">
        <v>29</v>
      </c>
      <c r="F61" s="387">
        <v>17</v>
      </c>
      <c r="G61" s="387">
        <v>0</v>
      </c>
      <c r="H61" s="387">
        <v>2</v>
      </c>
      <c r="I61" s="387">
        <v>1</v>
      </c>
      <c r="J61" s="387">
        <v>0</v>
      </c>
      <c r="K61" s="387">
        <v>2</v>
      </c>
      <c r="L61" s="158"/>
      <c r="M61" s="307" t="s">
        <v>457</v>
      </c>
      <c r="N61" s="387">
        <v>0</v>
      </c>
      <c r="O61" s="387">
        <v>2</v>
      </c>
      <c r="P61" s="387">
        <v>0</v>
      </c>
      <c r="Q61" s="387">
        <v>0</v>
      </c>
      <c r="R61" s="387">
        <v>1</v>
      </c>
      <c r="S61" s="387">
        <v>1</v>
      </c>
      <c r="T61" s="387">
        <v>0</v>
      </c>
      <c r="U61" s="387">
        <v>0</v>
      </c>
      <c r="V61" s="387">
        <v>4308</v>
      </c>
      <c r="W61" s="385">
        <v>13707</v>
      </c>
      <c r="X61" s="437"/>
    </row>
    <row r="62" spans="1:24" ht="12" customHeight="1">
      <c r="A62" s="307" t="s">
        <v>458</v>
      </c>
      <c r="B62" s="386">
        <v>11843</v>
      </c>
      <c r="C62" s="387">
        <v>336</v>
      </c>
      <c r="D62" s="387">
        <v>18</v>
      </c>
      <c r="E62" s="387">
        <v>10</v>
      </c>
      <c r="F62" s="387">
        <v>22</v>
      </c>
      <c r="G62" s="387">
        <v>0</v>
      </c>
      <c r="H62" s="387">
        <v>3</v>
      </c>
      <c r="I62" s="387">
        <v>0</v>
      </c>
      <c r="J62" s="387">
        <v>0</v>
      </c>
      <c r="K62" s="387">
        <v>1</v>
      </c>
      <c r="L62" s="158"/>
      <c r="M62" s="307" t="s">
        <v>458</v>
      </c>
      <c r="N62" s="386">
        <v>0</v>
      </c>
      <c r="O62" s="387">
        <v>0</v>
      </c>
      <c r="P62" s="387">
        <v>0</v>
      </c>
      <c r="Q62" s="387">
        <v>0</v>
      </c>
      <c r="R62" s="387">
        <v>0</v>
      </c>
      <c r="S62" s="387">
        <v>0</v>
      </c>
      <c r="T62" s="387">
        <v>0</v>
      </c>
      <c r="U62" s="387">
        <v>0</v>
      </c>
      <c r="V62" s="387">
        <v>4696</v>
      </c>
      <c r="W62" s="385">
        <v>16929</v>
      </c>
      <c r="X62" s="437"/>
    </row>
    <row r="63" spans="1:24" ht="12" customHeight="1">
      <c r="A63" s="303" t="s">
        <v>459</v>
      </c>
      <c r="B63" s="384">
        <f>SUM(B64:B68)</f>
        <v>39201</v>
      </c>
      <c r="C63" s="385">
        <f t="shared" ref="C63:V63" si="6">SUM(C64:C68)</f>
        <v>4081</v>
      </c>
      <c r="D63" s="385">
        <f t="shared" si="6"/>
        <v>326</v>
      </c>
      <c r="E63" s="385">
        <f t="shared" si="6"/>
        <v>101</v>
      </c>
      <c r="F63" s="385">
        <f t="shared" si="6"/>
        <v>162</v>
      </c>
      <c r="G63" s="385">
        <f t="shared" si="6"/>
        <v>13</v>
      </c>
      <c r="H63" s="385">
        <f t="shared" si="6"/>
        <v>8</v>
      </c>
      <c r="I63" s="385">
        <f t="shared" si="6"/>
        <v>13</v>
      </c>
      <c r="J63" s="385">
        <f t="shared" si="6"/>
        <v>0</v>
      </c>
      <c r="K63" s="385">
        <f t="shared" si="6"/>
        <v>13</v>
      </c>
      <c r="L63" s="158"/>
      <c r="M63" s="303" t="s">
        <v>459</v>
      </c>
      <c r="N63" s="385">
        <f t="shared" si="6"/>
        <v>4</v>
      </c>
      <c r="O63" s="385">
        <f t="shared" si="6"/>
        <v>0</v>
      </c>
      <c r="P63" s="385">
        <f t="shared" si="6"/>
        <v>0</v>
      </c>
      <c r="Q63" s="385">
        <f t="shared" si="6"/>
        <v>0</v>
      </c>
      <c r="R63" s="385">
        <f t="shared" si="6"/>
        <v>9</v>
      </c>
      <c r="S63" s="385">
        <f t="shared" si="6"/>
        <v>6</v>
      </c>
      <c r="T63" s="385">
        <f t="shared" si="6"/>
        <v>0</v>
      </c>
      <c r="U63" s="385">
        <f t="shared" si="6"/>
        <v>0</v>
      </c>
      <c r="V63" s="385">
        <f t="shared" si="6"/>
        <v>19941</v>
      </c>
      <c r="W63" s="385">
        <v>63878</v>
      </c>
      <c r="X63" s="437"/>
    </row>
    <row r="64" spans="1:24" ht="12" customHeight="1">
      <c r="A64" s="307" t="s">
        <v>460</v>
      </c>
      <c r="B64" s="386">
        <v>26446</v>
      </c>
      <c r="C64" s="387">
        <v>3467</v>
      </c>
      <c r="D64" s="387">
        <v>252</v>
      </c>
      <c r="E64" s="387">
        <v>80</v>
      </c>
      <c r="F64" s="387">
        <v>132</v>
      </c>
      <c r="G64" s="387">
        <v>11</v>
      </c>
      <c r="H64" s="387">
        <v>7</v>
      </c>
      <c r="I64" s="387">
        <v>12</v>
      </c>
      <c r="J64" s="387">
        <v>0</v>
      </c>
      <c r="K64" s="387">
        <v>8</v>
      </c>
      <c r="L64" s="158"/>
      <c r="M64" s="307" t="s">
        <v>460</v>
      </c>
      <c r="N64" s="387">
        <v>4</v>
      </c>
      <c r="O64" s="387">
        <v>0</v>
      </c>
      <c r="P64" s="387">
        <v>0</v>
      </c>
      <c r="Q64" s="387">
        <v>0</v>
      </c>
      <c r="R64" s="387">
        <v>1</v>
      </c>
      <c r="S64" s="387">
        <v>1</v>
      </c>
      <c r="T64" s="387">
        <v>0</v>
      </c>
      <c r="U64" s="387">
        <v>0</v>
      </c>
      <c r="V64" s="387">
        <v>15597</v>
      </c>
      <c r="W64" s="385">
        <v>46018</v>
      </c>
      <c r="X64" s="437"/>
    </row>
    <row r="65" spans="1:24" ht="12" customHeight="1">
      <c r="A65" s="307" t="s">
        <v>461</v>
      </c>
      <c r="B65" s="386">
        <v>818</v>
      </c>
      <c r="C65" s="387">
        <v>35</v>
      </c>
      <c r="D65" s="387">
        <v>0</v>
      </c>
      <c r="E65" s="387">
        <v>1</v>
      </c>
      <c r="F65" s="387">
        <v>3</v>
      </c>
      <c r="G65" s="387">
        <v>0</v>
      </c>
      <c r="H65" s="387">
        <v>0</v>
      </c>
      <c r="I65" s="387">
        <v>0</v>
      </c>
      <c r="J65" s="387">
        <v>0</v>
      </c>
      <c r="K65" s="387">
        <v>0</v>
      </c>
      <c r="L65" s="158"/>
      <c r="M65" s="307" t="s">
        <v>461</v>
      </c>
      <c r="N65" s="387">
        <v>0</v>
      </c>
      <c r="O65" s="387">
        <v>0</v>
      </c>
      <c r="P65" s="387">
        <v>0</v>
      </c>
      <c r="Q65" s="387">
        <v>0</v>
      </c>
      <c r="R65" s="387">
        <v>0</v>
      </c>
      <c r="S65" s="387">
        <v>0</v>
      </c>
      <c r="T65" s="387">
        <v>0</v>
      </c>
      <c r="U65" s="387">
        <v>0</v>
      </c>
      <c r="V65" s="387">
        <v>273</v>
      </c>
      <c r="W65" s="385">
        <v>1130</v>
      </c>
      <c r="X65" s="437"/>
    </row>
    <row r="66" spans="1:24" ht="12" customHeight="1">
      <c r="A66" s="307" t="s">
        <v>462</v>
      </c>
      <c r="B66" s="386">
        <v>7396</v>
      </c>
      <c r="C66" s="387">
        <v>381</v>
      </c>
      <c r="D66" s="387">
        <v>21</v>
      </c>
      <c r="E66" s="387">
        <v>6</v>
      </c>
      <c r="F66" s="387">
        <v>16</v>
      </c>
      <c r="G66" s="387">
        <v>0</v>
      </c>
      <c r="H66" s="387">
        <v>0</v>
      </c>
      <c r="I66" s="387">
        <v>0</v>
      </c>
      <c r="J66" s="387">
        <v>0</v>
      </c>
      <c r="K66" s="387">
        <v>2</v>
      </c>
      <c r="L66" s="158"/>
      <c r="M66" s="307" t="s">
        <v>462</v>
      </c>
      <c r="N66" s="387">
        <v>0</v>
      </c>
      <c r="O66" s="387">
        <v>0</v>
      </c>
      <c r="P66" s="387">
        <v>0</v>
      </c>
      <c r="Q66" s="387">
        <v>0</v>
      </c>
      <c r="R66" s="387">
        <v>0</v>
      </c>
      <c r="S66" s="387">
        <v>0</v>
      </c>
      <c r="T66" s="387">
        <v>0</v>
      </c>
      <c r="U66" s="387">
        <v>0</v>
      </c>
      <c r="V66" s="387">
        <v>2850</v>
      </c>
      <c r="W66" s="385">
        <v>10672</v>
      </c>
      <c r="X66" s="437"/>
    </row>
    <row r="67" spans="1:24" ht="12" customHeight="1">
      <c r="A67" s="307" t="s">
        <v>463</v>
      </c>
      <c r="B67" s="386">
        <v>2533</v>
      </c>
      <c r="C67" s="387">
        <v>149</v>
      </c>
      <c r="D67" s="387">
        <v>52</v>
      </c>
      <c r="E67" s="387">
        <v>13</v>
      </c>
      <c r="F67" s="387">
        <v>7</v>
      </c>
      <c r="G67" s="387">
        <v>0</v>
      </c>
      <c r="H67" s="387">
        <v>0</v>
      </c>
      <c r="I67" s="387">
        <v>1</v>
      </c>
      <c r="J67" s="387">
        <v>0</v>
      </c>
      <c r="K67" s="387">
        <v>1</v>
      </c>
      <c r="L67" s="158"/>
      <c r="M67" s="307" t="s">
        <v>463</v>
      </c>
      <c r="N67" s="387">
        <v>0</v>
      </c>
      <c r="O67" s="387">
        <v>0</v>
      </c>
      <c r="P67" s="387">
        <v>0</v>
      </c>
      <c r="Q67" s="387">
        <v>0</v>
      </c>
      <c r="R67" s="387">
        <v>8</v>
      </c>
      <c r="S67" s="387">
        <v>5</v>
      </c>
      <c r="T67" s="387">
        <v>0</v>
      </c>
      <c r="U67" s="387">
        <v>0</v>
      </c>
      <c r="V67" s="387">
        <v>760</v>
      </c>
      <c r="W67" s="385">
        <v>3529</v>
      </c>
      <c r="X67" s="437"/>
    </row>
    <row r="68" spans="1:24" ht="12" customHeight="1">
      <c r="A68" s="307" t="s">
        <v>464</v>
      </c>
      <c r="B68" s="386">
        <v>2008</v>
      </c>
      <c r="C68" s="387">
        <v>49</v>
      </c>
      <c r="D68" s="387">
        <v>1</v>
      </c>
      <c r="E68" s="387">
        <v>1</v>
      </c>
      <c r="F68" s="387">
        <v>4</v>
      </c>
      <c r="G68" s="387">
        <v>2</v>
      </c>
      <c r="H68" s="387">
        <v>1</v>
      </c>
      <c r="I68" s="387">
        <v>0</v>
      </c>
      <c r="J68" s="387">
        <v>0</v>
      </c>
      <c r="K68" s="387">
        <v>2</v>
      </c>
      <c r="L68" s="158"/>
      <c r="M68" s="307" t="s">
        <v>464</v>
      </c>
      <c r="N68" s="387">
        <v>0</v>
      </c>
      <c r="O68" s="387">
        <v>0</v>
      </c>
      <c r="P68" s="38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0</v>
      </c>
      <c r="V68" s="387">
        <v>461</v>
      </c>
      <c r="W68" s="385">
        <v>2529</v>
      </c>
      <c r="X68" s="437"/>
    </row>
    <row r="69" spans="1:24" ht="14.1" customHeight="1">
      <c r="A69" s="303" t="s">
        <v>465</v>
      </c>
      <c r="B69" s="384">
        <f>SUM(B70:B77)</f>
        <v>39193</v>
      </c>
      <c r="C69" s="385">
        <f t="shared" ref="C69:V69" si="7">SUM(C70:C77)</f>
        <v>3218</v>
      </c>
      <c r="D69" s="385">
        <f t="shared" si="7"/>
        <v>238</v>
      </c>
      <c r="E69" s="385">
        <f t="shared" si="7"/>
        <v>69</v>
      </c>
      <c r="F69" s="385">
        <f t="shared" si="7"/>
        <v>125</v>
      </c>
      <c r="G69" s="385">
        <f t="shared" si="7"/>
        <v>13</v>
      </c>
      <c r="H69" s="385">
        <f t="shared" si="7"/>
        <v>10</v>
      </c>
      <c r="I69" s="385">
        <f t="shared" si="7"/>
        <v>18</v>
      </c>
      <c r="J69" s="385">
        <f t="shared" si="7"/>
        <v>0</v>
      </c>
      <c r="K69" s="385">
        <f t="shared" si="7"/>
        <v>12</v>
      </c>
      <c r="L69" s="158"/>
      <c r="M69" s="303" t="s">
        <v>465</v>
      </c>
      <c r="N69" s="385">
        <f t="shared" si="7"/>
        <v>4</v>
      </c>
      <c r="O69" s="385">
        <f t="shared" si="7"/>
        <v>7</v>
      </c>
      <c r="P69" s="385">
        <f t="shared" si="7"/>
        <v>0</v>
      </c>
      <c r="Q69" s="385">
        <f t="shared" si="7"/>
        <v>0</v>
      </c>
      <c r="R69" s="385">
        <f t="shared" si="7"/>
        <v>3</v>
      </c>
      <c r="S69" s="385">
        <f t="shared" si="7"/>
        <v>3</v>
      </c>
      <c r="T69" s="385">
        <f t="shared" si="7"/>
        <v>0</v>
      </c>
      <c r="U69" s="385">
        <f t="shared" si="7"/>
        <v>0</v>
      </c>
      <c r="V69" s="385">
        <f t="shared" si="7"/>
        <v>14738</v>
      </c>
      <c r="W69" s="385">
        <v>57651</v>
      </c>
      <c r="X69" s="437"/>
    </row>
    <row r="70" spans="1:24" ht="12" customHeight="1">
      <c r="A70" s="307" t="s">
        <v>41</v>
      </c>
      <c r="B70" s="386">
        <v>12494</v>
      </c>
      <c r="C70" s="387">
        <v>2123</v>
      </c>
      <c r="D70" s="387">
        <v>130</v>
      </c>
      <c r="E70" s="387">
        <v>23</v>
      </c>
      <c r="F70" s="387">
        <v>36</v>
      </c>
      <c r="G70" s="387">
        <v>4</v>
      </c>
      <c r="H70" s="387">
        <v>2</v>
      </c>
      <c r="I70" s="387">
        <v>5</v>
      </c>
      <c r="J70" s="387">
        <v>0</v>
      </c>
      <c r="K70" s="387">
        <v>8</v>
      </c>
      <c r="L70" s="158"/>
      <c r="M70" s="307" t="s">
        <v>41</v>
      </c>
      <c r="N70" s="387">
        <v>4</v>
      </c>
      <c r="O70" s="387">
        <v>6</v>
      </c>
      <c r="P70" s="387">
        <v>0</v>
      </c>
      <c r="Q70" s="387">
        <v>0</v>
      </c>
      <c r="R70" s="387">
        <v>3</v>
      </c>
      <c r="S70" s="387">
        <v>3</v>
      </c>
      <c r="T70" s="387">
        <v>0</v>
      </c>
      <c r="U70" s="387">
        <v>0</v>
      </c>
      <c r="V70" s="387">
        <v>3901</v>
      </c>
      <c r="W70" s="385">
        <v>18742</v>
      </c>
      <c r="X70" s="437"/>
    </row>
    <row r="71" spans="1:24" ht="12" customHeight="1">
      <c r="A71" s="307" t="s">
        <v>466</v>
      </c>
      <c r="B71" s="386">
        <v>2794</v>
      </c>
      <c r="C71" s="387">
        <v>62</v>
      </c>
      <c r="D71" s="387">
        <v>8</v>
      </c>
      <c r="E71" s="387">
        <v>1</v>
      </c>
      <c r="F71" s="387">
        <v>6</v>
      </c>
      <c r="G71" s="387">
        <v>0</v>
      </c>
      <c r="H71" s="387">
        <v>0</v>
      </c>
      <c r="I71" s="387">
        <v>4</v>
      </c>
      <c r="J71" s="387">
        <v>0</v>
      </c>
      <c r="K71" s="387">
        <v>0</v>
      </c>
      <c r="L71" s="158"/>
      <c r="M71" s="307" t="s">
        <v>466</v>
      </c>
      <c r="N71" s="387">
        <v>0</v>
      </c>
      <c r="O71" s="387">
        <v>0</v>
      </c>
      <c r="P71" s="387">
        <v>0</v>
      </c>
      <c r="Q71" s="387">
        <v>0</v>
      </c>
      <c r="R71" s="387">
        <v>0</v>
      </c>
      <c r="S71" s="387">
        <v>0</v>
      </c>
      <c r="T71" s="387">
        <v>0</v>
      </c>
      <c r="U71" s="387">
        <v>0</v>
      </c>
      <c r="V71" s="387">
        <v>889</v>
      </c>
      <c r="W71" s="385">
        <v>3764</v>
      </c>
      <c r="X71" s="437"/>
    </row>
    <row r="72" spans="1:24" ht="12" customHeight="1">
      <c r="A72" s="307" t="s">
        <v>467</v>
      </c>
      <c r="B72" s="386">
        <v>2152</v>
      </c>
      <c r="C72" s="387">
        <v>132</v>
      </c>
      <c r="D72" s="387">
        <v>1</v>
      </c>
      <c r="E72" s="387">
        <v>5</v>
      </c>
      <c r="F72" s="387">
        <v>8</v>
      </c>
      <c r="G72" s="387">
        <v>0</v>
      </c>
      <c r="H72" s="387">
        <v>0</v>
      </c>
      <c r="I72" s="387">
        <v>0</v>
      </c>
      <c r="J72" s="387">
        <v>0</v>
      </c>
      <c r="K72" s="387">
        <v>0</v>
      </c>
      <c r="L72" s="158"/>
      <c r="M72" s="307" t="s">
        <v>467</v>
      </c>
      <c r="N72" s="387">
        <v>0</v>
      </c>
      <c r="O72" s="387">
        <v>0</v>
      </c>
      <c r="P72" s="387">
        <v>0</v>
      </c>
      <c r="Q72" s="387">
        <v>0</v>
      </c>
      <c r="R72" s="387">
        <v>0</v>
      </c>
      <c r="S72" s="387">
        <v>0</v>
      </c>
      <c r="T72" s="387">
        <v>0</v>
      </c>
      <c r="U72" s="387">
        <v>0</v>
      </c>
      <c r="V72" s="387">
        <v>785</v>
      </c>
      <c r="W72" s="385">
        <v>3083</v>
      </c>
      <c r="X72" s="437"/>
    </row>
    <row r="73" spans="1:24" ht="12" customHeight="1">
      <c r="A73" s="307" t="s">
        <v>468</v>
      </c>
      <c r="B73" s="386">
        <v>2299</v>
      </c>
      <c r="C73" s="387">
        <v>59</v>
      </c>
      <c r="D73" s="387">
        <v>1</v>
      </c>
      <c r="E73" s="387">
        <v>1</v>
      </c>
      <c r="F73" s="387">
        <v>8</v>
      </c>
      <c r="G73" s="387">
        <v>0</v>
      </c>
      <c r="H73" s="387">
        <v>1</v>
      </c>
      <c r="I73" s="387">
        <v>4</v>
      </c>
      <c r="J73" s="387">
        <v>0</v>
      </c>
      <c r="K73" s="387">
        <v>0</v>
      </c>
      <c r="L73" s="158"/>
      <c r="M73" s="307" t="s">
        <v>468</v>
      </c>
      <c r="N73" s="387">
        <v>0</v>
      </c>
      <c r="O73" s="387">
        <v>1</v>
      </c>
      <c r="P73" s="387">
        <v>0</v>
      </c>
      <c r="Q73" s="387">
        <v>0</v>
      </c>
      <c r="R73" s="387">
        <v>0</v>
      </c>
      <c r="S73" s="387">
        <v>0</v>
      </c>
      <c r="T73" s="387">
        <v>0</v>
      </c>
      <c r="U73" s="387">
        <v>0</v>
      </c>
      <c r="V73" s="387">
        <v>268</v>
      </c>
      <c r="W73" s="385">
        <v>2642</v>
      </c>
      <c r="X73" s="437"/>
    </row>
    <row r="74" spans="1:24" ht="12" customHeight="1">
      <c r="A74" s="307" t="s">
        <v>469</v>
      </c>
      <c r="B74" s="386">
        <v>3161</v>
      </c>
      <c r="C74" s="387">
        <v>89</v>
      </c>
      <c r="D74" s="387">
        <v>31</v>
      </c>
      <c r="E74" s="387">
        <v>3</v>
      </c>
      <c r="F74" s="387">
        <v>15</v>
      </c>
      <c r="G74" s="387">
        <v>2</v>
      </c>
      <c r="H74" s="387">
        <v>0</v>
      </c>
      <c r="I74" s="387">
        <v>1</v>
      </c>
      <c r="J74" s="387">
        <v>0</v>
      </c>
      <c r="K74" s="387">
        <v>1</v>
      </c>
      <c r="L74" s="158"/>
      <c r="M74" s="307" t="s">
        <v>469</v>
      </c>
      <c r="N74" s="387">
        <v>0</v>
      </c>
      <c r="O74" s="387">
        <v>0</v>
      </c>
      <c r="P74" s="387">
        <v>0</v>
      </c>
      <c r="Q74" s="387">
        <v>0</v>
      </c>
      <c r="R74" s="387">
        <v>0</v>
      </c>
      <c r="S74" s="387">
        <v>0</v>
      </c>
      <c r="T74" s="387">
        <v>0</v>
      </c>
      <c r="U74" s="387">
        <v>0</v>
      </c>
      <c r="V74" s="387">
        <v>1634</v>
      </c>
      <c r="W74" s="385">
        <v>4937</v>
      </c>
      <c r="X74" s="437"/>
    </row>
    <row r="75" spans="1:24" ht="12" customHeight="1">
      <c r="A75" s="307" t="s">
        <v>470</v>
      </c>
      <c r="B75" s="386">
        <v>3403</v>
      </c>
      <c r="C75" s="387">
        <v>137</v>
      </c>
      <c r="D75" s="387">
        <v>4</v>
      </c>
      <c r="E75" s="387">
        <v>3</v>
      </c>
      <c r="F75" s="387">
        <v>8</v>
      </c>
      <c r="G75" s="387">
        <v>2</v>
      </c>
      <c r="H75" s="387">
        <v>2</v>
      </c>
      <c r="I75" s="387">
        <v>1</v>
      </c>
      <c r="J75" s="387">
        <v>0</v>
      </c>
      <c r="K75" s="387">
        <v>0</v>
      </c>
      <c r="L75" s="158"/>
      <c r="M75" s="307" t="s">
        <v>470</v>
      </c>
      <c r="N75" s="387">
        <v>0</v>
      </c>
      <c r="O75" s="387">
        <v>0</v>
      </c>
      <c r="P75" s="387">
        <v>0</v>
      </c>
      <c r="Q75" s="387">
        <v>0</v>
      </c>
      <c r="R75" s="387">
        <v>0</v>
      </c>
      <c r="S75" s="387">
        <v>0</v>
      </c>
      <c r="T75" s="387">
        <v>0</v>
      </c>
      <c r="U75" s="387">
        <v>0</v>
      </c>
      <c r="V75" s="387">
        <v>519</v>
      </c>
      <c r="W75" s="385">
        <v>4079</v>
      </c>
      <c r="X75" s="437"/>
    </row>
    <row r="76" spans="1:24" ht="12" customHeight="1">
      <c r="A76" s="307" t="s">
        <v>471</v>
      </c>
      <c r="B76" s="386">
        <v>7544</v>
      </c>
      <c r="C76" s="387">
        <v>345</v>
      </c>
      <c r="D76" s="387">
        <v>46</v>
      </c>
      <c r="E76" s="387">
        <v>16</v>
      </c>
      <c r="F76" s="387">
        <v>26</v>
      </c>
      <c r="G76" s="387">
        <v>5</v>
      </c>
      <c r="H76" s="387">
        <v>4</v>
      </c>
      <c r="I76" s="387">
        <v>1</v>
      </c>
      <c r="J76" s="387">
        <v>0</v>
      </c>
      <c r="K76" s="387">
        <v>2</v>
      </c>
      <c r="L76" s="158"/>
      <c r="M76" s="307" t="s">
        <v>471</v>
      </c>
      <c r="N76" s="387">
        <v>0</v>
      </c>
      <c r="O76" s="387">
        <v>0</v>
      </c>
      <c r="P76" s="387">
        <v>0</v>
      </c>
      <c r="Q76" s="387">
        <v>0</v>
      </c>
      <c r="R76" s="387">
        <v>0</v>
      </c>
      <c r="S76" s="387">
        <v>0</v>
      </c>
      <c r="T76" s="387">
        <v>0</v>
      </c>
      <c r="U76" s="387">
        <v>0</v>
      </c>
      <c r="V76" s="387">
        <v>5204</v>
      </c>
      <c r="W76" s="385">
        <v>13193</v>
      </c>
      <c r="X76" s="437"/>
    </row>
    <row r="77" spans="1:24" ht="12" customHeight="1">
      <c r="A77" s="307" t="s">
        <v>472</v>
      </c>
      <c r="B77" s="386">
        <v>5346</v>
      </c>
      <c r="C77" s="387">
        <v>271</v>
      </c>
      <c r="D77" s="387">
        <v>17</v>
      </c>
      <c r="E77" s="387">
        <v>17</v>
      </c>
      <c r="F77" s="387">
        <v>18</v>
      </c>
      <c r="G77" s="387">
        <v>0</v>
      </c>
      <c r="H77" s="387">
        <v>1</v>
      </c>
      <c r="I77" s="387">
        <v>2</v>
      </c>
      <c r="J77" s="387">
        <v>0</v>
      </c>
      <c r="K77" s="387">
        <v>1</v>
      </c>
      <c r="L77" s="158"/>
      <c r="M77" s="307" t="s">
        <v>472</v>
      </c>
      <c r="N77" s="387">
        <v>0</v>
      </c>
      <c r="O77" s="387">
        <v>0</v>
      </c>
      <c r="P77" s="387">
        <v>0</v>
      </c>
      <c r="Q77" s="387">
        <v>0</v>
      </c>
      <c r="R77" s="387">
        <v>0</v>
      </c>
      <c r="S77" s="387">
        <v>0</v>
      </c>
      <c r="T77" s="387">
        <v>0</v>
      </c>
      <c r="U77" s="387">
        <v>0</v>
      </c>
      <c r="V77" s="387">
        <v>1538</v>
      </c>
      <c r="W77" s="385">
        <v>7211</v>
      </c>
      <c r="X77" s="437"/>
    </row>
    <row r="78" spans="1:24" ht="14.1" customHeight="1">
      <c r="A78" s="303" t="s">
        <v>473</v>
      </c>
      <c r="B78" s="384">
        <f>SUM(B79:B88)</f>
        <v>25883</v>
      </c>
      <c r="C78" s="385">
        <f t="shared" ref="C78:V78" si="8">SUM(C79:C88)</f>
        <v>4815</v>
      </c>
      <c r="D78" s="385">
        <f t="shared" si="8"/>
        <v>119</v>
      </c>
      <c r="E78" s="385">
        <f t="shared" si="8"/>
        <v>77</v>
      </c>
      <c r="F78" s="385">
        <f t="shared" si="8"/>
        <v>106</v>
      </c>
      <c r="G78" s="385">
        <f t="shared" si="8"/>
        <v>5</v>
      </c>
      <c r="H78" s="385">
        <f t="shared" si="8"/>
        <v>12</v>
      </c>
      <c r="I78" s="385">
        <f t="shared" si="8"/>
        <v>6</v>
      </c>
      <c r="J78" s="385">
        <f t="shared" si="8"/>
        <v>0</v>
      </c>
      <c r="K78" s="385">
        <f t="shared" si="8"/>
        <v>5</v>
      </c>
      <c r="L78" s="158"/>
      <c r="M78" s="303" t="s">
        <v>473</v>
      </c>
      <c r="N78" s="385">
        <f t="shared" si="8"/>
        <v>34</v>
      </c>
      <c r="O78" s="385">
        <f t="shared" si="8"/>
        <v>11</v>
      </c>
      <c r="P78" s="385">
        <f t="shared" si="8"/>
        <v>0</v>
      </c>
      <c r="Q78" s="385">
        <f t="shared" si="8"/>
        <v>1</v>
      </c>
      <c r="R78" s="385">
        <f t="shared" si="8"/>
        <v>2</v>
      </c>
      <c r="S78" s="385">
        <f t="shared" si="8"/>
        <v>0</v>
      </c>
      <c r="T78" s="385">
        <f t="shared" si="8"/>
        <v>0</v>
      </c>
      <c r="U78" s="385">
        <f t="shared" si="8"/>
        <v>1</v>
      </c>
      <c r="V78" s="385">
        <f t="shared" si="8"/>
        <v>9779</v>
      </c>
      <c r="W78" s="385">
        <v>40856</v>
      </c>
      <c r="X78" s="437"/>
    </row>
    <row r="79" spans="1:24" ht="12" customHeight="1">
      <c r="A79" s="307" t="s">
        <v>17</v>
      </c>
      <c r="B79" s="386">
        <v>7602</v>
      </c>
      <c r="C79" s="387">
        <v>1507</v>
      </c>
      <c r="D79" s="387">
        <v>45</v>
      </c>
      <c r="E79" s="387">
        <v>9</v>
      </c>
      <c r="F79" s="387">
        <v>13</v>
      </c>
      <c r="G79" s="387">
        <v>1</v>
      </c>
      <c r="H79" s="387">
        <v>1</v>
      </c>
      <c r="I79" s="387">
        <v>3</v>
      </c>
      <c r="J79" s="387">
        <v>0</v>
      </c>
      <c r="K79" s="387">
        <v>1</v>
      </c>
      <c r="L79" s="158"/>
      <c r="M79" s="307" t="s">
        <v>17</v>
      </c>
      <c r="N79" s="387">
        <v>2</v>
      </c>
      <c r="O79" s="387">
        <v>1</v>
      </c>
      <c r="P79" s="387">
        <v>0</v>
      </c>
      <c r="Q79" s="387">
        <v>1</v>
      </c>
      <c r="R79" s="387">
        <v>0</v>
      </c>
      <c r="S79" s="387">
        <v>0</v>
      </c>
      <c r="T79" s="387">
        <v>0</v>
      </c>
      <c r="U79" s="387">
        <v>0</v>
      </c>
      <c r="V79" s="387">
        <v>2020</v>
      </c>
      <c r="W79" s="385">
        <v>11206</v>
      </c>
      <c r="X79" s="437"/>
    </row>
    <row r="80" spans="1:24" ht="12" customHeight="1">
      <c r="A80" s="307" t="s">
        <v>474</v>
      </c>
      <c r="B80" s="386">
        <v>3155</v>
      </c>
      <c r="C80" s="387">
        <v>727</v>
      </c>
      <c r="D80" s="387">
        <v>14</v>
      </c>
      <c r="E80" s="387">
        <v>3</v>
      </c>
      <c r="F80" s="387">
        <v>12</v>
      </c>
      <c r="G80" s="387">
        <v>0</v>
      </c>
      <c r="H80" s="387">
        <v>2</v>
      </c>
      <c r="I80" s="387">
        <v>0</v>
      </c>
      <c r="J80" s="387">
        <v>0</v>
      </c>
      <c r="K80" s="387">
        <v>0</v>
      </c>
      <c r="L80" s="158"/>
      <c r="M80" s="307" t="s">
        <v>474</v>
      </c>
      <c r="N80" s="387">
        <v>0</v>
      </c>
      <c r="O80" s="387">
        <v>0</v>
      </c>
      <c r="P80" s="387">
        <v>0</v>
      </c>
      <c r="Q80" s="387">
        <v>0</v>
      </c>
      <c r="R80" s="387">
        <v>2</v>
      </c>
      <c r="S80" s="387">
        <v>0</v>
      </c>
      <c r="T80" s="387">
        <v>0</v>
      </c>
      <c r="U80" s="387">
        <v>0</v>
      </c>
      <c r="V80" s="387">
        <v>1437</v>
      </c>
      <c r="W80" s="385">
        <v>5352</v>
      </c>
      <c r="X80" s="437"/>
    </row>
    <row r="81" spans="1:24" ht="12" customHeight="1">
      <c r="A81" s="307" t="s">
        <v>475</v>
      </c>
      <c r="B81" s="386">
        <v>1007</v>
      </c>
      <c r="C81" s="387">
        <v>49</v>
      </c>
      <c r="D81" s="387">
        <v>1</v>
      </c>
      <c r="E81" s="387">
        <v>4</v>
      </c>
      <c r="F81" s="387">
        <v>5</v>
      </c>
      <c r="G81" s="387">
        <v>0</v>
      </c>
      <c r="H81" s="387">
        <v>0</v>
      </c>
      <c r="I81" s="387">
        <v>0</v>
      </c>
      <c r="J81" s="387">
        <v>0</v>
      </c>
      <c r="K81" s="387">
        <v>0</v>
      </c>
      <c r="L81" s="158"/>
      <c r="M81" s="307" t="s">
        <v>475</v>
      </c>
      <c r="N81" s="387">
        <v>0</v>
      </c>
      <c r="O81" s="387">
        <v>1</v>
      </c>
      <c r="P81" s="387">
        <v>0</v>
      </c>
      <c r="Q81" s="387">
        <v>0</v>
      </c>
      <c r="R81" s="387">
        <v>0</v>
      </c>
      <c r="S81" s="387">
        <v>0</v>
      </c>
      <c r="T81" s="387">
        <v>0</v>
      </c>
      <c r="U81" s="387">
        <v>0</v>
      </c>
      <c r="V81" s="387">
        <v>518</v>
      </c>
      <c r="W81" s="385">
        <v>1585</v>
      </c>
      <c r="X81" s="437"/>
    </row>
    <row r="82" spans="1:24" ht="12" customHeight="1">
      <c r="A82" s="307" t="s">
        <v>476</v>
      </c>
      <c r="B82" s="386">
        <v>1524</v>
      </c>
      <c r="C82" s="387">
        <v>117</v>
      </c>
      <c r="D82" s="387">
        <v>5</v>
      </c>
      <c r="E82" s="387">
        <v>1</v>
      </c>
      <c r="F82" s="387">
        <v>7</v>
      </c>
      <c r="G82" s="387">
        <v>0</v>
      </c>
      <c r="H82" s="387">
        <v>0</v>
      </c>
      <c r="I82" s="387">
        <v>0</v>
      </c>
      <c r="J82" s="387">
        <v>0</v>
      </c>
      <c r="K82" s="387">
        <v>0</v>
      </c>
      <c r="L82" s="158"/>
      <c r="M82" s="307" t="s">
        <v>476</v>
      </c>
      <c r="N82" s="387">
        <v>1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87">
        <v>0</v>
      </c>
      <c r="U82" s="387">
        <v>0</v>
      </c>
      <c r="V82" s="387">
        <v>705</v>
      </c>
      <c r="W82" s="385">
        <v>2360</v>
      </c>
      <c r="X82" s="437"/>
    </row>
    <row r="83" spans="1:24" ht="12" customHeight="1">
      <c r="A83" s="307" t="s">
        <v>477</v>
      </c>
      <c r="B83" s="386">
        <v>1124</v>
      </c>
      <c r="C83" s="387">
        <v>479</v>
      </c>
      <c r="D83" s="387">
        <v>9</v>
      </c>
      <c r="E83" s="387">
        <v>14</v>
      </c>
      <c r="F83" s="387">
        <v>5</v>
      </c>
      <c r="G83" s="387">
        <v>1</v>
      </c>
      <c r="H83" s="387">
        <v>1</v>
      </c>
      <c r="I83" s="387">
        <v>0</v>
      </c>
      <c r="J83" s="387">
        <v>0</v>
      </c>
      <c r="K83" s="387">
        <v>0</v>
      </c>
      <c r="L83" s="158"/>
      <c r="M83" s="307" t="s">
        <v>477</v>
      </c>
      <c r="N83" s="387">
        <v>28</v>
      </c>
      <c r="O83" s="387">
        <v>4</v>
      </c>
      <c r="P83" s="387">
        <v>0</v>
      </c>
      <c r="Q83" s="387">
        <v>0</v>
      </c>
      <c r="R83" s="387">
        <v>0</v>
      </c>
      <c r="S83" s="387">
        <v>0</v>
      </c>
      <c r="T83" s="387">
        <v>0</v>
      </c>
      <c r="U83" s="387">
        <v>0</v>
      </c>
      <c r="V83" s="387">
        <v>572</v>
      </c>
      <c r="W83" s="385">
        <v>2237</v>
      </c>
      <c r="X83" s="437"/>
    </row>
    <row r="84" spans="1:24" ht="12" customHeight="1">
      <c r="A84" s="307" t="s">
        <v>478</v>
      </c>
      <c r="B84" s="386">
        <v>1497</v>
      </c>
      <c r="C84" s="387">
        <v>45</v>
      </c>
      <c r="D84" s="387">
        <v>0</v>
      </c>
      <c r="E84" s="387">
        <v>2</v>
      </c>
      <c r="F84" s="387">
        <v>0</v>
      </c>
      <c r="G84" s="387">
        <v>0</v>
      </c>
      <c r="H84" s="387">
        <v>1</v>
      </c>
      <c r="I84" s="387">
        <v>0</v>
      </c>
      <c r="J84" s="387">
        <v>0</v>
      </c>
      <c r="K84" s="387">
        <v>0</v>
      </c>
      <c r="L84" s="158"/>
      <c r="M84" s="307" t="s">
        <v>478</v>
      </c>
      <c r="N84" s="387">
        <v>0</v>
      </c>
      <c r="O84" s="387">
        <v>0</v>
      </c>
      <c r="P84" s="387">
        <v>0</v>
      </c>
      <c r="Q84" s="387">
        <v>0</v>
      </c>
      <c r="R84" s="387">
        <v>0</v>
      </c>
      <c r="S84" s="387">
        <v>0</v>
      </c>
      <c r="T84" s="387">
        <v>0</v>
      </c>
      <c r="U84" s="387">
        <v>0</v>
      </c>
      <c r="V84" s="387">
        <v>272</v>
      </c>
      <c r="W84" s="385">
        <v>1817</v>
      </c>
      <c r="X84" s="437"/>
    </row>
    <row r="85" spans="1:24" ht="12" customHeight="1">
      <c r="A85" s="307" t="s">
        <v>479</v>
      </c>
      <c r="B85" s="386">
        <v>1838</v>
      </c>
      <c r="C85" s="387">
        <v>255</v>
      </c>
      <c r="D85" s="387">
        <v>1</v>
      </c>
      <c r="E85" s="387">
        <v>13</v>
      </c>
      <c r="F85" s="387">
        <v>4</v>
      </c>
      <c r="G85" s="387">
        <v>0</v>
      </c>
      <c r="H85" s="387">
        <v>4</v>
      </c>
      <c r="I85" s="387">
        <v>1</v>
      </c>
      <c r="J85" s="387">
        <v>0</v>
      </c>
      <c r="K85" s="387">
        <v>1</v>
      </c>
      <c r="L85" s="158"/>
      <c r="M85" s="307" t="s">
        <v>479</v>
      </c>
      <c r="N85" s="387">
        <v>0</v>
      </c>
      <c r="O85" s="387">
        <v>0</v>
      </c>
      <c r="P85" s="387">
        <v>0</v>
      </c>
      <c r="Q85" s="387">
        <v>0</v>
      </c>
      <c r="R85" s="387">
        <v>0</v>
      </c>
      <c r="S85" s="387">
        <v>0</v>
      </c>
      <c r="T85" s="387">
        <v>0</v>
      </c>
      <c r="U85" s="387">
        <v>0</v>
      </c>
      <c r="V85" s="387">
        <v>615</v>
      </c>
      <c r="W85" s="385">
        <v>2732</v>
      </c>
      <c r="X85" s="437"/>
    </row>
    <row r="86" spans="1:24" ht="12" customHeight="1">
      <c r="A86" s="307" t="s">
        <v>480</v>
      </c>
      <c r="B86" s="386">
        <v>3709</v>
      </c>
      <c r="C86" s="387">
        <v>254</v>
      </c>
      <c r="D86" s="387">
        <v>23</v>
      </c>
      <c r="E86" s="387">
        <v>3</v>
      </c>
      <c r="F86" s="387">
        <v>9</v>
      </c>
      <c r="G86" s="387">
        <v>0</v>
      </c>
      <c r="H86" s="387">
        <v>1</v>
      </c>
      <c r="I86" s="387">
        <v>2</v>
      </c>
      <c r="J86" s="387">
        <v>0</v>
      </c>
      <c r="K86" s="387">
        <v>1</v>
      </c>
      <c r="L86" s="158"/>
      <c r="M86" s="307" t="s">
        <v>480</v>
      </c>
      <c r="N86" s="387">
        <v>0</v>
      </c>
      <c r="O86" s="387">
        <v>0</v>
      </c>
      <c r="P86" s="387">
        <v>0</v>
      </c>
      <c r="Q86" s="387">
        <v>0</v>
      </c>
      <c r="R86" s="387">
        <v>0</v>
      </c>
      <c r="S86" s="387">
        <v>0</v>
      </c>
      <c r="T86" s="387">
        <v>0</v>
      </c>
      <c r="U86" s="387">
        <v>0</v>
      </c>
      <c r="V86" s="387">
        <v>1304</v>
      </c>
      <c r="W86" s="385">
        <v>5306</v>
      </c>
      <c r="X86" s="437"/>
    </row>
    <row r="87" spans="1:24" ht="12" customHeight="1">
      <c r="A87" s="307" t="s">
        <v>481</v>
      </c>
      <c r="B87" s="386">
        <v>3549</v>
      </c>
      <c r="C87" s="387">
        <v>1323</v>
      </c>
      <c r="D87" s="387">
        <v>19</v>
      </c>
      <c r="E87" s="387">
        <v>26</v>
      </c>
      <c r="F87" s="387">
        <v>49</v>
      </c>
      <c r="G87" s="387">
        <v>3</v>
      </c>
      <c r="H87" s="387">
        <v>2</v>
      </c>
      <c r="I87" s="387">
        <v>0</v>
      </c>
      <c r="J87" s="387">
        <v>0</v>
      </c>
      <c r="K87" s="387">
        <v>2</v>
      </c>
      <c r="L87" s="158"/>
      <c r="M87" s="307" t="s">
        <v>481</v>
      </c>
      <c r="N87" s="387">
        <v>3</v>
      </c>
      <c r="O87" s="387">
        <v>4</v>
      </c>
      <c r="P87" s="387">
        <v>0</v>
      </c>
      <c r="Q87" s="387">
        <v>0</v>
      </c>
      <c r="R87" s="387">
        <v>0</v>
      </c>
      <c r="S87" s="387">
        <v>0</v>
      </c>
      <c r="T87" s="387">
        <v>0</v>
      </c>
      <c r="U87" s="387">
        <v>1</v>
      </c>
      <c r="V87" s="387">
        <v>2047</v>
      </c>
      <c r="W87" s="385">
        <v>7028</v>
      </c>
      <c r="X87" s="437"/>
    </row>
    <row r="88" spans="1:24" ht="12" customHeight="1">
      <c r="A88" s="307" t="s">
        <v>482</v>
      </c>
      <c r="B88" s="386">
        <v>878</v>
      </c>
      <c r="C88" s="387">
        <v>59</v>
      </c>
      <c r="D88" s="387">
        <v>2</v>
      </c>
      <c r="E88" s="387">
        <v>2</v>
      </c>
      <c r="F88" s="387">
        <v>2</v>
      </c>
      <c r="G88" s="387">
        <v>0</v>
      </c>
      <c r="H88" s="387">
        <v>0</v>
      </c>
      <c r="I88" s="387">
        <v>0</v>
      </c>
      <c r="J88" s="387">
        <v>0</v>
      </c>
      <c r="K88" s="387">
        <v>0</v>
      </c>
      <c r="L88" s="158"/>
      <c r="M88" s="307" t="s">
        <v>482</v>
      </c>
      <c r="N88" s="386">
        <v>0</v>
      </c>
      <c r="O88" s="387">
        <v>1</v>
      </c>
      <c r="P88" s="38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0</v>
      </c>
      <c r="V88" s="387">
        <v>289</v>
      </c>
      <c r="W88" s="385">
        <v>1233</v>
      </c>
      <c r="X88" s="437"/>
    </row>
    <row r="89" spans="1:24" ht="14.1" customHeight="1">
      <c r="A89" s="303" t="s">
        <v>483</v>
      </c>
      <c r="B89" s="384">
        <f>SUM(B90:B98)</f>
        <v>45376</v>
      </c>
      <c r="C89" s="385">
        <f t="shared" ref="C89:U89" si="9">SUM(C90:C98)</f>
        <v>7662</v>
      </c>
      <c r="D89" s="385">
        <f t="shared" si="9"/>
        <v>159</v>
      </c>
      <c r="E89" s="385">
        <f t="shared" si="9"/>
        <v>164</v>
      </c>
      <c r="F89" s="385">
        <f t="shared" si="9"/>
        <v>139</v>
      </c>
      <c r="G89" s="385">
        <f t="shared" si="9"/>
        <v>10</v>
      </c>
      <c r="H89" s="385">
        <f t="shared" si="9"/>
        <v>9</v>
      </c>
      <c r="I89" s="385">
        <f t="shared" si="9"/>
        <v>10</v>
      </c>
      <c r="J89" s="385">
        <f t="shared" si="9"/>
        <v>0</v>
      </c>
      <c r="K89" s="385">
        <f t="shared" si="9"/>
        <v>8</v>
      </c>
      <c r="L89" s="158"/>
      <c r="M89" s="303" t="s">
        <v>483</v>
      </c>
      <c r="N89" s="385">
        <f t="shared" si="9"/>
        <v>145</v>
      </c>
      <c r="O89" s="385">
        <f t="shared" si="9"/>
        <v>10</v>
      </c>
      <c r="P89" s="385">
        <f t="shared" si="9"/>
        <v>1</v>
      </c>
      <c r="Q89" s="385">
        <f t="shared" si="9"/>
        <v>0</v>
      </c>
      <c r="R89" s="385">
        <f t="shared" si="9"/>
        <v>1</v>
      </c>
      <c r="S89" s="385">
        <f t="shared" si="9"/>
        <v>2</v>
      </c>
      <c r="T89" s="385">
        <f t="shared" si="9"/>
        <v>0</v>
      </c>
      <c r="U89" s="385">
        <f t="shared" si="9"/>
        <v>1</v>
      </c>
      <c r="V89" s="385">
        <f>SUM(V90:V98)</f>
        <v>13441</v>
      </c>
      <c r="W89" s="385">
        <v>67138</v>
      </c>
      <c r="X89" s="437"/>
    </row>
    <row r="90" spans="1:24" ht="12" customHeight="1">
      <c r="A90" s="307" t="s">
        <v>484</v>
      </c>
      <c r="B90" s="386">
        <v>13769</v>
      </c>
      <c r="C90" s="387">
        <v>4023</v>
      </c>
      <c r="D90" s="387">
        <v>81</v>
      </c>
      <c r="E90" s="387">
        <v>63</v>
      </c>
      <c r="F90" s="387">
        <v>67</v>
      </c>
      <c r="G90" s="387">
        <v>3</v>
      </c>
      <c r="H90" s="387">
        <v>2</v>
      </c>
      <c r="I90" s="387">
        <v>5</v>
      </c>
      <c r="J90" s="387">
        <v>0</v>
      </c>
      <c r="K90" s="387">
        <v>3</v>
      </c>
      <c r="L90" s="158"/>
      <c r="M90" s="307" t="s">
        <v>484</v>
      </c>
      <c r="N90" s="387">
        <v>8</v>
      </c>
      <c r="O90" s="387">
        <v>3</v>
      </c>
      <c r="P90" s="387">
        <v>1</v>
      </c>
      <c r="Q90" s="387">
        <v>0</v>
      </c>
      <c r="R90" s="387">
        <v>1</v>
      </c>
      <c r="S90" s="387">
        <v>1</v>
      </c>
      <c r="T90" s="387">
        <v>0</v>
      </c>
      <c r="U90" s="387">
        <v>1</v>
      </c>
      <c r="V90" s="387">
        <v>6421</v>
      </c>
      <c r="W90" s="385">
        <v>24452</v>
      </c>
      <c r="X90" s="437"/>
    </row>
    <row r="91" spans="1:24" ht="12" customHeight="1">
      <c r="A91" s="307" t="s">
        <v>485</v>
      </c>
      <c r="B91" s="386">
        <v>2394</v>
      </c>
      <c r="C91" s="387">
        <v>1732</v>
      </c>
      <c r="D91" s="387">
        <v>8</v>
      </c>
      <c r="E91" s="387">
        <v>68</v>
      </c>
      <c r="F91" s="387">
        <v>16</v>
      </c>
      <c r="G91" s="387">
        <v>1</v>
      </c>
      <c r="H91" s="387">
        <v>1</v>
      </c>
      <c r="I91" s="387">
        <v>0</v>
      </c>
      <c r="J91" s="387">
        <v>0</v>
      </c>
      <c r="K91" s="387">
        <v>0</v>
      </c>
      <c r="L91" s="158"/>
      <c r="M91" s="307" t="s">
        <v>485</v>
      </c>
      <c r="N91" s="387">
        <v>135</v>
      </c>
      <c r="O91" s="387">
        <v>3</v>
      </c>
      <c r="P91" s="387">
        <v>0</v>
      </c>
      <c r="Q91" s="387">
        <v>0</v>
      </c>
      <c r="R91" s="387">
        <v>0</v>
      </c>
      <c r="S91" s="387">
        <v>0</v>
      </c>
      <c r="T91" s="387">
        <v>0</v>
      </c>
      <c r="U91" s="387">
        <v>0</v>
      </c>
      <c r="V91" s="387">
        <v>1001</v>
      </c>
      <c r="W91" s="385">
        <v>5359</v>
      </c>
      <c r="X91" s="437"/>
    </row>
    <row r="92" spans="1:24" ht="12" customHeight="1">
      <c r="A92" s="307" t="s">
        <v>486</v>
      </c>
      <c r="B92" s="386">
        <v>1571</v>
      </c>
      <c r="C92" s="387">
        <v>80</v>
      </c>
      <c r="D92" s="387">
        <v>4</v>
      </c>
      <c r="E92" s="387">
        <v>5</v>
      </c>
      <c r="F92" s="387">
        <v>3</v>
      </c>
      <c r="G92" s="387">
        <v>0</v>
      </c>
      <c r="H92" s="387">
        <v>0</v>
      </c>
      <c r="I92" s="387">
        <v>0</v>
      </c>
      <c r="J92" s="387">
        <v>0</v>
      </c>
      <c r="K92" s="387">
        <v>1</v>
      </c>
      <c r="L92" s="158"/>
      <c r="M92" s="307" t="s">
        <v>486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</v>
      </c>
      <c r="T92" s="387">
        <v>0</v>
      </c>
      <c r="U92" s="387">
        <v>0</v>
      </c>
      <c r="V92" s="387">
        <v>322</v>
      </c>
      <c r="W92" s="385">
        <v>1986</v>
      </c>
      <c r="X92" s="437"/>
    </row>
    <row r="93" spans="1:24" ht="12" customHeight="1">
      <c r="A93" s="307" t="s">
        <v>487</v>
      </c>
      <c r="B93" s="386">
        <v>1973</v>
      </c>
      <c r="C93" s="387">
        <v>92</v>
      </c>
      <c r="D93" s="387">
        <v>0</v>
      </c>
      <c r="E93" s="387">
        <v>1</v>
      </c>
      <c r="F93" s="387">
        <v>6</v>
      </c>
      <c r="G93" s="387">
        <v>0</v>
      </c>
      <c r="H93" s="387">
        <v>1</v>
      </c>
      <c r="I93" s="387">
        <v>0</v>
      </c>
      <c r="J93" s="387">
        <v>0</v>
      </c>
      <c r="K93" s="387">
        <v>0</v>
      </c>
      <c r="L93" s="158"/>
      <c r="M93" s="307" t="s">
        <v>487</v>
      </c>
      <c r="N93" s="387">
        <v>0</v>
      </c>
      <c r="O93" s="387">
        <v>0</v>
      </c>
      <c r="P93" s="387">
        <v>0</v>
      </c>
      <c r="Q93" s="387">
        <v>0</v>
      </c>
      <c r="R93" s="387">
        <v>0</v>
      </c>
      <c r="S93" s="387">
        <v>0</v>
      </c>
      <c r="T93" s="387">
        <v>0</v>
      </c>
      <c r="U93" s="387">
        <v>0</v>
      </c>
      <c r="V93" s="387">
        <v>459</v>
      </c>
      <c r="W93" s="385">
        <v>2532</v>
      </c>
      <c r="X93" s="437"/>
    </row>
    <row r="94" spans="1:24" ht="12" customHeight="1">
      <c r="A94" s="307" t="s">
        <v>488</v>
      </c>
      <c r="B94" s="386">
        <v>5616</v>
      </c>
      <c r="C94" s="387">
        <v>246</v>
      </c>
      <c r="D94" s="387">
        <v>3</v>
      </c>
      <c r="E94" s="387">
        <v>7</v>
      </c>
      <c r="F94" s="387">
        <v>4</v>
      </c>
      <c r="G94" s="387">
        <v>0</v>
      </c>
      <c r="H94" s="387">
        <v>0</v>
      </c>
      <c r="I94" s="387">
        <v>1</v>
      </c>
      <c r="J94" s="387">
        <v>0</v>
      </c>
      <c r="K94" s="387">
        <v>1</v>
      </c>
      <c r="L94" s="158"/>
      <c r="M94" s="307" t="s">
        <v>488</v>
      </c>
      <c r="N94" s="387">
        <v>0</v>
      </c>
      <c r="O94" s="387">
        <v>0</v>
      </c>
      <c r="P94" s="387">
        <v>0</v>
      </c>
      <c r="Q94" s="387">
        <v>0</v>
      </c>
      <c r="R94" s="387">
        <v>0</v>
      </c>
      <c r="S94" s="387">
        <v>0</v>
      </c>
      <c r="T94" s="387">
        <v>0</v>
      </c>
      <c r="U94" s="387">
        <v>0</v>
      </c>
      <c r="V94" s="387">
        <v>1069</v>
      </c>
      <c r="W94" s="385">
        <v>6947</v>
      </c>
      <c r="X94" s="437"/>
    </row>
    <row r="95" spans="1:24" ht="12" customHeight="1">
      <c r="A95" s="307" t="s">
        <v>489</v>
      </c>
      <c r="B95" s="386">
        <v>6857</v>
      </c>
      <c r="C95" s="387">
        <v>659</v>
      </c>
      <c r="D95" s="387">
        <v>15</v>
      </c>
      <c r="E95" s="387">
        <v>5</v>
      </c>
      <c r="F95" s="387">
        <v>16</v>
      </c>
      <c r="G95" s="387">
        <v>2</v>
      </c>
      <c r="H95" s="387">
        <v>1</v>
      </c>
      <c r="I95" s="387">
        <v>3</v>
      </c>
      <c r="J95" s="387">
        <v>0</v>
      </c>
      <c r="K95" s="387">
        <v>1</v>
      </c>
      <c r="L95" s="158"/>
      <c r="M95" s="307" t="s">
        <v>489</v>
      </c>
      <c r="N95" s="387">
        <v>0</v>
      </c>
      <c r="O95" s="387">
        <v>2</v>
      </c>
      <c r="P95" s="387">
        <v>0</v>
      </c>
      <c r="Q95" s="387">
        <v>0</v>
      </c>
      <c r="R95" s="387">
        <v>0</v>
      </c>
      <c r="S95" s="387">
        <v>0</v>
      </c>
      <c r="T95" s="387">
        <v>0</v>
      </c>
      <c r="U95" s="387">
        <v>0</v>
      </c>
      <c r="V95" s="387">
        <v>889</v>
      </c>
      <c r="W95" s="385">
        <v>8450</v>
      </c>
      <c r="X95" s="437"/>
    </row>
    <row r="96" spans="1:24" ht="12" customHeight="1">
      <c r="A96" s="307" t="s">
        <v>490</v>
      </c>
      <c r="B96" s="386">
        <v>6423</v>
      </c>
      <c r="C96" s="387">
        <v>185</v>
      </c>
      <c r="D96" s="387">
        <v>15</v>
      </c>
      <c r="E96" s="387">
        <v>2</v>
      </c>
      <c r="F96" s="387">
        <v>5</v>
      </c>
      <c r="G96" s="387">
        <v>0</v>
      </c>
      <c r="H96" s="387">
        <v>2</v>
      </c>
      <c r="I96" s="387">
        <v>1</v>
      </c>
      <c r="J96" s="387">
        <v>0</v>
      </c>
      <c r="K96" s="387">
        <v>0</v>
      </c>
      <c r="L96" s="158"/>
      <c r="M96" s="307" t="s">
        <v>490</v>
      </c>
      <c r="N96" s="387">
        <v>0</v>
      </c>
      <c r="O96" s="387">
        <v>1</v>
      </c>
      <c r="P96" s="387">
        <v>0</v>
      </c>
      <c r="Q96" s="387">
        <v>0</v>
      </c>
      <c r="R96" s="387">
        <v>0</v>
      </c>
      <c r="S96" s="387">
        <v>0</v>
      </c>
      <c r="T96" s="387">
        <v>0</v>
      </c>
      <c r="U96" s="387">
        <v>0</v>
      </c>
      <c r="V96" s="387">
        <v>1017</v>
      </c>
      <c r="W96" s="385">
        <v>7651</v>
      </c>
      <c r="X96" s="437"/>
    </row>
    <row r="97" spans="1:43" ht="12" customHeight="1">
      <c r="A97" s="307" t="s">
        <v>463</v>
      </c>
      <c r="B97" s="386">
        <v>4593</v>
      </c>
      <c r="C97" s="387">
        <v>413</v>
      </c>
      <c r="D97" s="387">
        <v>30</v>
      </c>
      <c r="E97" s="387">
        <v>8</v>
      </c>
      <c r="F97" s="387">
        <v>6</v>
      </c>
      <c r="G97" s="387">
        <v>3</v>
      </c>
      <c r="H97" s="387">
        <v>2</v>
      </c>
      <c r="I97" s="387">
        <v>0</v>
      </c>
      <c r="J97" s="387">
        <v>0</v>
      </c>
      <c r="K97" s="387">
        <v>2</v>
      </c>
      <c r="L97" s="158"/>
      <c r="M97" s="307" t="s">
        <v>463</v>
      </c>
      <c r="N97" s="387">
        <v>1</v>
      </c>
      <c r="O97" s="387">
        <v>1</v>
      </c>
      <c r="P97" s="387">
        <v>0</v>
      </c>
      <c r="Q97" s="387">
        <v>0</v>
      </c>
      <c r="R97" s="387">
        <v>0</v>
      </c>
      <c r="S97" s="387">
        <v>1</v>
      </c>
      <c r="T97" s="387">
        <v>0</v>
      </c>
      <c r="U97" s="387">
        <v>0</v>
      </c>
      <c r="V97" s="387">
        <v>1137</v>
      </c>
      <c r="W97" s="385">
        <v>6197</v>
      </c>
      <c r="X97" s="437"/>
    </row>
    <row r="98" spans="1:43" s="416" customFormat="1" ht="12" customHeight="1">
      <c r="A98" s="307" t="s">
        <v>491</v>
      </c>
      <c r="B98" s="386">
        <v>2180</v>
      </c>
      <c r="C98" s="387">
        <v>232</v>
      </c>
      <c r="D98" s="387">
        <v>3</v>
      </c>
      <c r="E98" s="387">
        <v>5</v>
      </c>
      <c r="F98" s="387">
        <v>16</v>
      </c>
      <c r="G98" s="387">
        <v>1</v>
      </c>
      <c r="H98" s="387">
        <v>0</v>
      </c>
      <c r="I98" s="387">
        <v>0</v>
      </c>
      <c r="J98" s="387">
        <v>0</v>
      </c>
      <c r="K98" s="387">
        <v>0</v>
      </c>
      <c r="L98" s="158"/>
      <c r="M98" s="307" t="s">
        <v>491</v>
      </c>
      <c r="N98" s="387">
        <v>1</v>
      </c>
      <c r="O98" s="387">
        <v>0</v>
      </c>
      <c r="P98" s="387">
        <v>0</v>
      </c>
      <c r="Q98" s="387">
        <v>0</v>
      </c>
      <c r="R98" s="387">
        <v>0</v>
      </c>
      <c r="S98" s="387">
        <v>0</v>
      </c>
      <c r="T98" s="387">
        <v>0</v>
      </c>
      <c r="U98" s="387">
        <v>0</v>
      </c>
      <c r="V98" s="387">
        <v>1126</v>
      </c>
      <c r="W98" s="385">
        <v>3564</v>
      </c>
      <c r="X98" s="437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</row>
    <row r="99" spans="1:43" ht="5.0999999999999996" customHeight="1">
      <c r="A99" s="312"/>
      <c r="B99" s="388"/>
      <c r="C99" s="389"/>
      <c r="D99" s="389"/>
      <c r="E99" s="389"/>
      <c r="F99" s="389"/>
      <c r="G99" s="389"/>
      <c r="H99" s="389"/>
      <c r="I99" s="389"/>
      <c r="J99" s="389"/>
      <c r="K99" s="389"/>
      <c r="L99" s="415"/>
      <c r="M99" s="312"/>
      <c r="N99" s="389"/>
      <c r="O99" s="389"/>
      <c r="P99" s="389"/>
      <c r="Q99" s="389"/>
      <c r="R99" s="389"/>
      <c r="S99" s="389"/>
      <c r="T99" s="389"/>
      <c r="U99" s="389"/>
      <c r="V99" s="389"/>
      <c r="W99" s="390"/>
    </row>
    <row r="100" spans="1:43" ht="11.1" customHeight="1">
      <c r="A100" s="319"/>
      <c r="B100" s="305"/>
      <c r="C100" s="305"/>
      <c r="D100" s="305"/>
      <c r="E100" s="305"/>
      <c r="F100" s="305"/>
      <c r="G100" s="305"/>
      <c r="H100" s="305"/>
      <c r="I100" s="305"/>
      <c r="J100" s="305"/>
      <c r="K100" s="293" t="s">
        <v>45</v>
      </c>
      <c r="L100" s="158"/>
      <c r="M100" s="319"/>
      <c r="N100" s="305"/>
      <c r="O100" s="305"/>
      <c r="P100" s="305"/>
      <c r="Q100" s="305"/>
      <c r="R100" s="305"/>
      <c r="S100" s="305"/>
      <c r="T100" s="305"/>
      <c r="U100" s="305"/>
      <c r="V100" s="305"/>
      <c r="W100" s="293" t="s">
        <v>45</v>
      </c>
    </row>
    <row r="101" spans="1:43">
      <c r="A101" s="319"/>
      <c r="B101" s="305"/>
      <c r="C101" s="305"/>
      <c r="D101" s="305"/>
      <c r="E101" s="305"/>
      <c r="F101" s="305"/>
      <c r="G101" s="305"/>
      <c r="H101" s="305"/>
      <c r="I101" s="305"/>
      <c r="J101" s="305"/>
      <c r="K101" s="305"/>
      <c r="L101" s="158"/>
      <c r="M101" s="319"/>
      <c r="N101" s="305"/>
      <c r="O101" s="305"/>
      <c r="P101" s="305"/>
      <c r="Q101" s="305"/>
      <c r="R101" s="305"/>
      <c r="S101" s="305"/>
      <c r="T101" s="305"/>
      <c r="U101" s="305"/>
      <c r="V101" s="305"/>
      <c r="W101" s="306"/>
    </row>
    <row r="102" spans="1:43">
      <c r="A102" s="319"/>
      <c r="B102" s="305"/>
      <c r="C102" s="305"/>
      <c r="D102" s="305"/>
      <c r="E102" s="305"/>
      <c r="F102" s="305"/>
      <c r="G102" s="305"/>
      <c r="H102" s="305"/>
      <c r="I102" s="305"/>
      <c r="J102" s="305"/>
      <c r="K102" s="305"/>
      <c r="L102" s="158"/>
      <c r="M102" s="319"/>
      <c r="N102" s="305"/>
      <c r="O102" s="305"/>
      <c r="P102" s="305"/>
      <c r="Q102" s="305"/>
      <c r="R102" s="305"/>
      <c r="S102" s="305"/>
      <c r="T102" s="305"/>
      <c r="U102" s="305"/>
      <c r="V102" s="305"/>
      <c r="W102" s="306"/>
    </row>
    <row r="103" spans="1:43">
      <c r="A103" s="319"/>
      <c r="B103" s="305"/>
      <c r="C103" s="305"/>
      <c r="D103" s="305"/>
      <c r="E103" s="305"/>
      <c r="F103" s="305"/>
      <c r="G103" s="305"/>
      <c r="H103" s="305"/>
      <c r="I103" s="305"/>
      <c r="J103" s="305"/>
      <c r="K103" s="305"/>
      <c r="L103" s="158"/>
      <c r="M103" s="319"/>
      <c r="N103" s="305"/>
      <c r="O103" s="305"/>
      <c r="P103" s="305"/>
      <c r="Q103" s="305"/>
      <c r="R103" s="305"/>
      <c r="S103" s="305"/>
      <c r="T103" s="305"/>
      <c r="U103" s="305"/>
      <c r="V103" s="305"/>
      <c r="W103" s="306"/>
    </row>
    <row r="104" spans="1:43">
      <c r="A104" s="319"/>
      <c r="B104" s="305"/>
      <c r="C104" s="305"/>
      <c r="D104" s="305"/>
      <c r="E104" s="305"/>
      <c r="F104" s="305"/>
      <c r="G104" s="305"/>
      <c r="H104" s="305"/>
      <c r="I104" s="305"/>
      <c r="J104" s="305"/>
      <c r="K104" s="305"/>
      <c r="L104" s="158"/>
      <c r="M104" s="319"/>
      <c r="N104" s="305"/>
      <c r="O104" s="305"/>
      <c r="P104" s="305"/>
      <c r="Q104" s="305"/>
      <c r="R104" s="305"/>
      <c r="S104" s="305"/>
      <c r="T104" s="305"/>
      <c r="U104" s="305"/>
      <c r="V104" s="305"/>
      <c r="W104" s="306"/>
    </row>
    <row r="105" spans="1:43" ht="13.5">
      <c r="A105" s="796" t="str">
        <f>A1</f>
        <v>6.17  PUNO: POBLACIÓN CENSADA POR AFILIACIÓN A SEGURO DE SALUD, SEGÚN PROVINCIA Y DISTRITO, 2017</v>
      </c>
      <c r="B105" s="796"/>
      <c r="C105" s="796"/>
      <c r="D105" s="796"/>
      <c r="E105" s="796"/>
      <c r="F105" s="796"/>
      <c r="G105" s="796"/>
      <c r="H105" s="796"/>
      <c r="I105" s="796"/>
      <c r="J105" s="796"/>
      <c r="K105" s="796"/>
      <c r="L105" s="158"/>
      <c r="M105" s="796" t="str">
        <f>A1</f>
        <v>6.17  PUNO: POBLACIÓN CENSADA POR AFILIACIÓN A SEGURO DE SALUD, SEGÚN PROVINCIA Y DISTRITO, 2017</v>
      </c>
      <c r="N105" s="796"/>
      <c r="O105" s="796"/>
      <c r="P105" s="796"/>
      <c r="Q105" s="796"/>
      <c r="R105" s="796"/>
      <c r="S105" s="796"/>
      <c r="T105" s="796"/>
      <c r="U105" s="796"/>
      <c r="V105" s="796"/>
      <c r="W105" s="796"/>
    </row>
    <row r="106" spans="1:43" ht="13.5">
      <c r="A106" s="298"/>
      <c r="B106" s="299"/>
      <c r="C106" s="299"/>
      <c r="D106" s="299"/>
      <c r="E106" s="299"/>
      <c r="F106" s="299"/>
      <c r="G106" s="299"/>
      <c r="H106" s="299"/>
      <c r="I106" s="299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795" t="s">
        <v>603</v>
      </c>
      <c r="W106" s="795"/>
    </row>
    <row r="107" spans="1:43" ht="114.75">
      <c r="A107" s="300" t="s">
        <v>403</v>
      </c>
      <c r="B107" s="301" t="s">
        <v>404</v>
      </c>
      <c r="C107" s="302" t="s">
        <v>405</v>
      </c>
      <c r="D107" s="302" t="s">
        <v>833</v>
      </c>
      <c r="E107" s="302" t="s">
        <v>834</v>
      </c>
      <c r="F107" s="302" t="s">
        <v>835</v>
      </c>
      <c r="G107" s="302" t="s">
        <v>406</v>
      </c>
      <c r="H107" s="302" t="s">
        <v>836</v>
      </c>
      <c r="I107" s="302" t="s">
        <v>837</v>
      </c>
      <c r="J107" s="302" t="s">
        <v>838</v>
      </c>
      <c r="K107" s="302" t="s">
        <v>839</v>
      </c>
      <c r="L107" s="158"/>
      <c r="M107" s="300" t="s">
        <v>737</v>
      </c>
      <c r="N107" s="301" t="s">
        <v>407</v>
      </c>
      <c r="O107" s="302" t="s">
        <v>408</v>
      </c>
      <c r="P107" s="302" t="s">
        <v>409</v>
      </c>
      <c r="Q107" s="302" t="s">
        <v>410</v>
      </c>
      <c r="R107" s="302" t="s">
        <v>411</v>
      </c>
      <c r="S107" s="302" t="s">
        <v>735</v>
      </c>
      <c r="T107" s="302" t="s">
        <v>733</v>
      </c>
      <c r="U107" s="302" t="s">
        <v>734</v>
      </c>
      <c r="V107" s="302" t="s">
        <v>412</v>
      </c>
      <c r="W107" s="302" t="s">
        <v>14</v>
      </c>
    </row>
    <row r="108" spans="1:43" ht="14.25" customHeight="1">
      <c r="A108" s="303" t="s">
        <v>492</v>
      </c>
      <c r="B108" s="384">
        <f>SUM(B109:B112)</f>
        <v>14313</v>
      </c>
      <c r="C108" s="385">
        <f t="shared" ref="C108:V108" si="10">SUM(C109:C112)</f>
        <v>841</v>
      </c>
      <c r="D108" s="385">
        <f t="shared" si="10"/>
        <v>55</v>
      </c>
      <c r="E108" s="385">
        <f t="shared" si="10"/>
        <v>19</v>
      </c>
      <c r="F108" s="385">
        <f t="shared" si="10"/>
        <v>34</v>
      </c>
      <c r="G108" s="385">
        <f t="shared" si="10"/>
        <v>2</v>
      </c>
      <c r="H108" s="385">
        <f t="shared" si="10"/>
        <v>4</v>
      </c>
      <c r="I108" s="385">
        <f t="shared" si="10"/>
        <v>6</v>
      </c>
      <c r="J108" s="385">
        <f t="shared" si="10"/>
        <v>0</v>
      </c>
      <c r="K108" s="385">
        <f t="shared" si="10"/>
        <v>2</v>
      </c>
      <c r="L108" s="158"/>
      <c r="M108" s="303" t="s">
        <v>492</v>
      </c>
      <c r="N108" s="385">
        <f t="shared" si="10"/>
        <v>1</v>
      </c>
      <c r="O108" s="385">
        <f t="shared" si="10"/>
        <v>2</v>
      </c>
      <c r="P108" s="385">
        <f t="shared" si="10"/>
        <v>0</v>
      </c>
      <c r="Q108" s="385">
        <f t="shared" si="10"/>
        <v>0</v>
      </c>
      <c r="R108" s="385">
        <f t="shared" si="10"/>
        <v>0</v>
      </c>
      <c r="S108" s="385">
        <f t="shared" si="10"/>
        <v>0</v>
      </c>
      <c r="T108" s="385">
        <f t="shared" si="10"/>
        <v>0</v>
      </c>
      <c r="U108" s="385">
        <f t="shared" si="10"/>
        <v>0</v>
      </c>
      <c r="V108" s="385">
        <f t="shared" si="10"/>
        <v>4474</v>
      </c>
      <c r="W108" s="385">
        <v>19753</v>
      </c>
      <c r="X108" s="437"/>
    </row>
    <row r="109" spans="1:43" ht="14.25" customHeight="1">
      <c r="A109" s="307" t="s">
        <v>493</v>
      </c>
      <c r="B109" s="386">
        <v>8449</v>
      </c>
      <c r="C109" s="387">
        <v>601</v>
      </c>
      <c r="D109" s="387">
        <v>29</v>
      </c>
      <c r="E109" s="387">
        <v>14</v>
      </c>
      <c r="F109" s="387">
        <v>26</v>
      </c>
      <c r="G109" s="387">
        <v>2</v>
      </c>
      <c r="H109" s="387">
        <v>2</v>
      </c>
      <c r="I109" s="387">
        <v>6</v>
      </c>
      <c r="J109" s="387">
        <v>0</v>
      </c>
      <c r="K109" s="387">
        <v>2</v>
      </c>
      <c r="L109" s="158"/>
      <c r="M109" s="307" t="s">
        <v>493</v>
      </c>
      <c r="N109" s="387">
        <v>1</v>
      </c>
      <c r="O109" s="387">
        <v>1</v>
      </c>
      <c r="P109" s="387">
        <v>0</v>
      </c>
      <c r="Q109" s="387">
        <v>0</v>
      </c>
      <c r="R109" s="387">
        <v>0</v>
      </c>
      <c r="S109" s="387">
        <v>0</v>
      </c>
      <c r="T109" s="387">
        <v>0</v>
      </c>
      <c r="U109" s="387">
        <v>0</v>
      </c>
      <c r="V109" s="387">
        <v>2385</v>
      </c>
      <c r="W109" s="385">
        <v>11518</v>
      </c>
      <c r="X109" s="437"/>
    </row>
    <row r="110" spans="1:43" ht="14.25" customHeight="1">
      <c r="A110" s="307" t="s">
        <v>494</v>
      </c>
      <c r="B110" s="386">
        <v>2047</v>
      </c>
      <c r="C110" s="387">
        <v>135</v>
      </c>
      <c r="D110" s="387">
        <v>12</v>
      </c>
      <c r="E110" s="387">
        <v>2</v>
      </c>
      <c r="F110" s="387">
        <v>6</v>
      </c>
      <c r="G110" s="387">
        <v>0</v>
      </c>
      <c r="H110" s="387">
        <v>0</v>
      </c>
      <c r="I110" s="387">
        <v>0</v>
      </c>
      <c r="J110" s="387">
        <v>0</v>
      </c>
      <c r="K110" s="387">
        <v>0</v>
      </c>
      <c r="L110" s="158"/>
      <c r="M110" s="307" t="s">
        <v>494</v>
      </c>
      <c r="N110" s="387">
        <v>0</v>
      </c>
      <c r="O110" s="387">
        <v>1</v>
      </c>
      <c r="P110" s="387">
        <v>0</v>
      </c>
      <c r="Q110" s="387">
        <v>0</v>
      </c>
      <c r="R110" s="387">
        <v>0</v>
      </c>
      <c r="S110" s="387">
        <v>0</v>
      </c>
      <c r="T110" s="387">
        <v>0</v>
      </c>
      <c r="U110" s="387">
        <v>0</v>
      </c>
      <c r="V110" s="387">
        <v>948</v>
      </c>
      <c r="W110" s="385">
        <v>3151</v>
      </c>
      <c r="X110" s="437"/>
    </row>
    <row r="111" spans="1:43" ht="14.25" customHeight="1">
      <c r="A111" s="307" t="s">
        <v>495</v>
      </c>
      <c r="B111" s="386">
        <v>2116</v>
      </c>
      <c r="C111" s="387">
        <v>46</v>
      </c>
      <c r="D111" s="387">
        <v>0</v>
      </c>
      <c r="E111" s="387">
        <v>1</v>
      </c>
      <c r="F111" s="387">
        <v>1</v>
      </c>
      <c r="G111" s="387">
        <v>0</v>
      </c>
      <c r="H111" s="387">
        <v>2</v>
      </c>
      <c r="I111" s="387">
        <v>0</v>
      </c>
      <c r="J111" s="387">
        <v>0</v>
      </c>
      <c r="K111" s="387">
        <v>0</v>
      </c>
      <c r="L111" s="158"/>
      <c r="M111" s="307" t="s">
        <v>495</v>
      </c>
      <c r="N111" s="387">
        <v>0</v>
      </c>
      <c r="O111" s="387">
        <v>0</v>
      </c>
      <c r="P111" s="387">
        <v>0</v>
      </c>
      <c r="Q111" s="387">
        <v>0</v>
      </c>
      <c r="R111" s="387">
        <v>0</v>
      </c>
      <c r="S111" s="387">
        <v>0</v>
      </c>
      <c r="T111" s="387">
        <v>0</v>
      </c>
      <c r="U111" s="387">
        <v>0</v>
      </c>
      <c r="V111" s="387">
        <v>447</v>
      </c>
      <c r="W111" s="385">
        <v>2613</v>
      </c>
      <c r="X111" s="437"/>
    </row>
    <row r="112" spans="1:43" ht="14.25" customHeight="1">
      <c r="A112" s="307" t="s">
        <v>496</v>
      </c>
      <c r="B112" s="386">
        <v>1701</v>
      </c>
      <c r="C112" s="387">
        <v>59</v>
      </c>
      <c r="D112" s="387">
        <v>14</v>
      </c>
      <c r="E112" s="387">
        <v>2</v>
      </c>
      <c r="F112" s="387">
        <v>1</v>
      </c>
      <c r="G112" s="387">
        <v>0</v>
      </c>
      <c r="H112" s="387">
        <v>0</v>
      </c>
      <c r="I112" s="387">
        <v>0</v>
      </c>
      <c r="J112" s="387">
        <v>0</v>
      </c>
      <c r="K112" s="387">
        <v>0</v>
      </c>
      <c r="L112" s="158"/>
      <c r="M112" s="307" t="s">
        <v>496</v>
      </c>
      <c r="N112" s="387">
        <v>0</v>
      </c>
      <c r="O112" s="387">
        <v>0</v>
      </c>
      <c r="P112" s="387">
        <v>0</v>
      </c>
      <c r="Q112" s="387">
        <v>0</v>
      </c>
      <c r="R112" s="387">
        <v>0</v>
      </c>
      <c r="S112" s="387">
        <v>0</v>
      </c>
      <c r="T112" s="387">
        <v>0</v>
      </c>
      <c r="U112" s="387">
        <v>0</v>
      </c>
      <c r="V112" s="387">
        <v>694</v>
      </c>
      <c r="W112" s="385">
        <v>2471</v>
      </c>
      <c r="X112" s="437"/>
      <c r="Z112" s="158"/>
      <c r="AA112" s="158"/>
      <c r="AB112" s="158"/>
      <c r="AC112" s="158"/>
      <c r="AD112" s="158"/>
      <c r="AE112" s="158"/>
      <c r="AF112" s="158"/>
      <c r="AG112" s="158"/>
      <c r="AH112" s="158"/>
      <c r="AI112" s="158"/>
      <c r="AJ112" s="158"/>
      <c r="AK112" s="158"/>
      <c r="AL112" s="158"/>
      <c r="AM112" s="158"/>
      <c r="AN112" s="158"/>
      <c r="AO112" s="158"/>
      <c r="AP112" s="158"/>
      <c r="AQ112" s="158"/>
    </row>
    <row r="113" spans="1:43" ht="24" customHeight="1">
      <c r="A113" s="308" t="s">
        <v>497</v>
      </c>
      <c r="B113" s="394">
        <f>SUM(B114:B118)</f>
        <v>18372</v>
      </c>
      <c r="C113" s="393">
        <f t="shared" ref="C113:V113" si="11">SUM(C114:C118)</f>
        <v>1222</v>
      </c>
      <c r="D113" s="393">
        <f t="shared" si="11"/>
        <v>125</v>
      </c>
      <c r="E113" s="393">
        <f t="shared" si="11"/>
        <v>105</v>
      </c>
      <c r="F113" s="393">
        <f t="shared" si="11"/>
        <v>113</v>
      </c>
      <c r="G113" s="393">
        <f t="shared" si="11"/>
        <v>7</v>
      </c>
      <c r="H113" s="393">
        <f t="shared" si="11"/>
        <v>8</v>
      </c>
      <c r="I113" s="393">
        <f t="shared" si="11"/>
        <v>8</v>
      </c>
      <c r="J113" s="393">
        <f t="shared" si="11"/>
        <v>0</v>
      </c>
      <c r="K113" s="393">
        <f t="shared" si="11"/>
        <v>0</v>
      </c>
      <c r="L113" s="158"/>
      <c r="M113" s="308" t="s">
        <v>497</v>
      </c>
      <c r="N113" s="393">
        <f t="shared" si="11"/>
        <v>0</v>
      </c>
      <c r="O113" s="393">
        <f t="shared" si="11"/>
        <v>1</v>
      </c>
      <c r="P113" s="393">
        <f t="shared" si="11"/>
        <v>0</v>
      </c>
      <c r="Q113" s="393">
        <f t="shared" si="11"/>
        <v>1</v>
      </c>
      <c r="R113" s="393">
        <f t="shared" si="11"/>
        <v>1</v>
      </c>
      <c r="S113" s="393">
        <f t="shared" si="11"/>
        <v>0</v>
      </c>
      <c r="T113" s="393">
        <f t="shared" si="11"/>
        <v>0</v>
      </c>
      <c r="U113" s="393">
        <f t="shared" si="11"/>
        <v>0</v>
      </c>
      <c r="V113" s="393">
        <f t="shared" si="11"/>
        <v>16150</v>
      </c>
      <c r="W113" s="393">
        <v>36113</v>
      </c>
      <c r="X113" s="437"/>
    </row>
    <row r="114" spans="1:43" ht="14.25" customHeight="1">
      <c r="A114" s="307" t="s">
        <v>498</v>
      </c>
      <c r="B114" s="386">
        <v>8283</v>
      </c>
      <c r="C114" s="387">
        <v>574</v>
      </c>
      <c r="D114" s="387">
        <v>36</v>
      </c>
      <c r="E114" s="387">
        <v>24</v>
      </c>
      <c r="F114" s="387">
        <v>34</v>
      </c>
      <c r="G114" s="387">
        <v>3</v>
      </c>
      <c r="H114" s="387">
        <v>4</v>
      </c>
      <c r="I114" s="387">
        <v>5</v>
      </c>
      <c r="J114" s="387">
        <v>0</v>
      </c>
      <c r="K114" s="387">
        <v>0</v>
      </c>
      <c r="L114" s="158"/>
      <c r="M114" s="307" t="s">
        <v>498</v>
      </c>
      <c r="N114" s="387">
        <v>0</v>
      </c>
      <c r="O114" s="387">
        <v>0</v>
      </c>
      <c r="P114" s="387">
        <v>0</v>
      </c>
      <c r="Q114" s="387">
        <v>1</v>
      </c>
      <c r="R114" s="387">
        <v>1</v>
      </c>
      <c r="S114" s="387">
        <v>0</v>
      </c>
      <c r="T114" s="387">
        <v>0</v>
      </c>
      <c r="U114" s="387">
        <v>0</v>
      </c>
      <c r="V114" s="387">
        <v>5788</v>
      </c>
      <c r="W114" s="385">
        <v>14753</v>
      </c>
      <c r="X114" s="437"/>
    </row>
    <row r="115" spans="1:43" ht="14.25" customHeight="1">
      <c r="A115" s="307" t="s">
        <v>499</v>
      </c>
      <c r="B115" s="386">
        <v>3533</v>
      </c>
      <c r="C115" s="387">
        <v>457</v>
      </c>
      <c r="D115" s="387">
        <v>82</v>
      </c>
      <c r="E115" s="387">
        <v>74</v>
      </c>
      <c r="F115" s="387">
        <v>68</v>
      </c>
      <c r="G115" s="387">
        <v>2</v>
      </c>
      <c r="H115" s="387">
        <v>1</v>
      </c>
      <c r="I115" s="387">
        <v>1</v>
      </c>
      <c r="J115" s="387">
        <v>0</v>
      </c>
      <c r="K115" s="387">
        <v>0</v>
      </c>
      <c r="L115" s="158"/>
      <c r="M115" s="307" t="s">
        <v>499</v>
      </c>
      <c r="N115" s="387">
        <v>0</v>
      </c>
      <c r="O115" s="387">
        <v>1</v>
      </c>
      <c r="P115" s="387">
        <v>0</v>
      </c>
      <c r="Q115" s="387">
        <v>0</v>
      </c>
      <c r="R115" s="387">
        <v>0</v>
      </c>
      <c r="S115" s="387">
        <v>0</v>
      </c>
      <c r="T115" s="387">
        <v>0</v>
      </c>
      <c r="U115" s="387">
        <v>0</v>
      </c>
      <c r="V115" s="387">
        <v>8396</v>
      </c>
      <c r="W115" s="385">
        <v>12615</v>
      </c>
      <c r="X115" s="437"/>
    </row>
    <row r="116" spans="1:43" s="158" customFormat="1" ht="14.25" customHeight="1">
      <c r="A116" s="307" t="s">
        <v>650</v>
      </c>
      <c r="B116" s="386">
        <v>1429</v>
      </c>
      <c r="C116" s="387">
        <v>59</v>
      </c>
      <c r="D116" s="387">
        <v>2</v>
      </c>
      <c r="E116" s="387">
        <v>3</v>
      </c>
      <c r="F116" s="387">
        <v>3</v>
      </c>
      <c r="G116" s="387">
        <v>1</v>
      </c>
      <c r="H116" s="387">
        <v>0</v>
      </c>
      <c r="I116" s="387">
        <v>0</v>
      </c>
      <c r="J116" s="387">
        <v>0</v>
      </c>
      <c r="K116" s="387">
        <v>0</v>
      </c>
      <c r="M116" s="307" t="s">
        <v>650</v>
      </c>
      <c r="N116" s="387">
        <v>0</v>
      </c>
      <c r="O116" s="387">
        <v>0</v>
      </c>
      <c r="P116" s="387">
        <v>0</v>
      </c>
      <c r="Q116" s="387">
        <v>0</v>
      </c>
      <c r="R116" s="387">
        <v>0</v>
      </c>
      <c r="S116" s="387">
        <v>0</v>
      </c>
      <c r="T116" s="387">
        <v>0</v>
      </c>
      <c r="U116" s="387">
        <v>0</v>
      </c>
      <c r="V116" s="387">
        <v>412</v>
      </c>
      <c r="W116" s="385">
        <v>1909</v>
      </c>
      <c r="X116" s="584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</row>
    <row r="117" spans="1:43" ht="14.25" customHeight="1">
      <c r="A117" s="307" t="s">
        <v>500</v>
      </c>
      <c r="B117" s="386">
        <v>4052</v>
      </c>
      <c r="C117" s="387">
        <v>100</v>
      </c>
      <c r="D117" s="387">
        <v>2</v>
      </c>
      <c r="E117" s="387">
        <v>4</v>
      </c>
      <c r="F117" s="387">
        <v>7</v>
      </c>
      <c r="G117" s="387">
        <v>1</v>
      </c>
      <c r="H117" s="387">
        <v>3</v>
      </c>
      <c r="I117" s="387">
        <v>2</v>
      </c>
      <c r="J117" s="387">
        <v>0</v>
      </c>
      <c r="K117" s="387">
        <v>0</v>
      </c>
      <c r="L117" s="158"/>
      <c r="M117" s="307" t="s">
        <v>500</v>
      </c>
      <c r="N117" s="387">
        <v>0</v>
      </c>
      <c r="O117" s="387">
        <v>0</v>
      </c>
      <c r="P117" s="387">
        <v>0</v>
      </c>
      <c r="Q117" s="387">
        <v>0</v>
      </c>
      <c r="R117" s="387">
        <v>0</v>
      </c>
      <c r="S117" s="387">
        <v>0</v>
      </c>
      <c r="T117" s="387">
        <v>0</v>
      </c>
      <c r="U117" s="387">
        <v>0</v>
      </c>
      <c r="V117" s="387">
        <v>1016</v>
      </c>
      <c r="W117" s="385">
        <v>5187</v>
      </c>
      <c r="X117" s="437"/>
    </row>
    <row r="118" spans="1:43" ht="14.25" customHeight="1">
      <c r="A118" s="307" t="s">
        <v>501</v>
      </c>
      <c r="B118" s="386">
        <v>1075</v>
      </c>
      <c r="C118" s="387">
        <v>32</v>
      </c>
      <c r="D118" s="387">
        <v>3</v>
      </c>
      <c r="E118" s="387">
        <v>0</v>
      </c>
      <c r="F118" s="387">
        <v>1</v>
      </c>
      <c r="G118" s="387">
        <v>0</v>
      </c>
      <c r="H118" s="387">
        <v>0</v>
      </c>
      <c r="I118" s="387">
        <v>0</v>
      </c>
      <c r="J118" s="387">
        <v>0</v>
      </c>
      <c r="K118" s="387">
        <v>0</v>
      </c>
      <c r="L118" s="158"/>
      <c r="M118" s="307" t="s">
        <v>501</v>
      </c>
      <c r="N118" s="387">
        <v>0</v>
      </c>
      <c r="O118" s="387">
        <v>0</v>
      </c>
      <c r="P118" s="387">
        <v>0</v>
      </c>
      <c r="Q118" s="387">
        <v>0</v>
      </c>
      <c r="R118" s="387">
        <v>0</v>
      </c>
      <c r="S118" s="387">
        <v>0</v>
      </c>
      <c r="T118" s="387">
        <v>0</v>
      </c>
      <c r="U118" s="387">
        <v>0</v>
      </c>
      <c r="V118" s="387">
        <v>538</v>
      </c>
      <c r="W118" s="385">
        <v>1649</v>
      </c>
      <c r="X118" s="437"/>
    </row>
    <row r="119" spans="1:43" ht="14.25" customHeight="1">
      <c r="A119" s="303" t="s">
        <v>502</v>
      </c>
      <c r="B119" s="384">
        <f>SUM(B120:B124)</f>
        <v>95010</v>
      </c>
      <c r="C119" s="385">
        <f t="shared" ref="C119:V119" si="12">SUM(C120:C124)</f>
        <v>49327</v>
      </c>
      <c r="D119" s="385">
        <f t="shared" si="12"/>
        <v>1867</v>
      </c>
      <c r="E119" s="385">
        <f t="shared" si="12"/>
        <v>1599</v>
      </c>
      <c r="F119" s="385">
        <f t="shared" si="12"/>
        <v>1671</v>
      </c>
      <c r="G119" s="385">
        <f t="shared" si="12"/>
        <v>58</v>
      </c>
      <c r="H119" s="385">
        <f t="shared" si="12"/>
        <v>43</v>
      </c>
      <c r="I119" s="385">
        <f t="shared" si="12"/>
        <v>57</v>
      </c>
      <c r="J119" s="385">
        <f t="shared" si="12"/>
        <v>1</v>
      </c>
      <c r="K119" s="385">
        <f t="shared" si="12"/>
        <v>98</v>
      </c>
      <c r="L119" s="158"/>
      <c r="M119" s="303" t="s">
        <v>502</v>
      </c>
      <c r="N119" s="385">
        <f t="shared" si="12"/>
        <v>147</v>
      </c>
      <c r="O119" s="385">
        <f t="shared" si="12"/>
        <v>60</v>
      </c>
      <c r="P119" s="385">
        <f t="shared" si="12"/>
        <v>0</v>
      </c>
      <c r="Q119" s="385">
        <f t="shared" si="12"/>
        <v>1</v>
      </c>
      <c r="R119" s="385">
        <f t="shared" si="12"/>
        <v>44</v>
      </c>
      <c r="S119" s="385">
        <f t="shared" si="12"/>
        <v>39</v>
      </c>
      <c r="T119" s="385">
        <f t="shared" si="12"/>
        <v>3</v>
      </c>
      <c r="U119" s="385">
        <f t="shared" si="12"/>
        <v>8</v>
      </c>
      <c r="V119" s="385">
        <f t="shared" si="12"/>
        <v>157384</v>
      </c>
      <c r="W119" s="385">
        <v>307417</v>
      </c>
      <c r="X119" s="437"/>
    </row>
    <row r="120" spans="1:43" ht="14.25" customHeight="1">
      <c r="A120" s="307" t="s">
        <v>503</v>
      </c>
      <c r="B120" s="386">
        <v>65990</v>
      </c>
      <c r="C120" s="387">
        <v>41443</v>
      </c>
      <c r="D120" s="387">
        <v>1642</v>
      </c>
      <c r="E120" s="387">
        <v>1336</v>
      </c>
      <c r="F120" s="387">
        <v>1387</v>
      </c>
      <c r="G120" s="387">
        <v>47</v>
      </c>
      <c r="H120" s="387">
        <v>27</v>
      </c>
      <c r="I120" s="387">
        <v>27</v>
      </c>
      <c r="J120" s="387">
        <v>1</v>
      </c>
      <c r="K120" s="387">
        <v>82</v>
      </c>
      <c r="L120" s="158"/>
      <c r="M120" s="307" t="s">
        <v>503</v>
      </c>
      <c r="N120" s="387">
        <v>137</v>
      </c>
      <c r="O120" s="387">
        <v>47</v>
      </c>
      <c r="P120" s="387">
        <v>0</v>
      </c>
      <c r="Q120" s="387">
        <v>1</v>
      </c>
      <c r="R120" s="387">
        <v>43</v>
      </c>
      <c r="S120" s="387">
        <v>34</v>
      </c>
      <c r="T120" s="387">
        <v>3</v>
      </c>
      <c r="U120" s="387">
        <v>8</v>
      </c>
      <c r="V120" s="387">
        <v>116471</v>
      </c>
      <c r="W120" s="385">
        <v>228726</v>
      </c>
      <c r="X120" s="437"/>
    </row>
    <row r="121" spans="1:43" ht="14.25" customHeight="1">
      <c r="A121" s="307" t="s">
        <v>504</v>
      </c>
      <c r="B121" s="386">
        <v>2824</v>
      </c>
      <c r="C121" s="387">
        <v>473</v>
      </c>
      <c r="D121" s="387">
        <v>2</v>
      </c>
      <c r="E121" s="387">
        <v>7</v>
      </c>
      <c r="F121" s="387">
        <v>16</v>
      </c>
      <c r="G121" s="387">
        <v>3</v>
      </c>
      <c r="H121" s="387">
        <v>2</v>
      </c>
      <c r="I121" s="387">
        <v>1</v>
      </c>
      <c r="J121" s="387">
        <v>0</v>
      </c>
      <c r="K121" s="387">
        <v>0</v>
      </c>
      <c r="L121" s="158"/>
      <c r="M121" s="307" t="s">
        <v>504</v>
      </c>
      <c r="N121" s="387">
        <v>0</v>
      </c>
      <c r="O121" s="387">
        <v>1</v>
      </c>
      <c r="P121" s="387">
        <v>0</v>
      </c>
      <c r="Q121" s="387">
        <v>0</v>
      </c>
      <c r="R121" s="387">
        <v>0</v>
      </c>
      <c r="S121" s="387">
        <v>0</v>
      </c>
      <c r="T121" s="387">
        <v>0</v>
      </c>
      <c r="U121" s="387">
        <v>0</v>
      </c>
      <c r="V121" s="387">
        <v>1514</v>
      </c>
      <c r="W121" s="385">
        <v>4843</v>
      </c>
      <c r="X121" s="437"/>
    </row>
    <row r="122" spans="1:43" ht="14.25" customHeight="1">
      <c r="A122" s="307" t="s">
        <v>505</v>
      </c>
      <c r="B122" s="386">
        <v>2085</v>
      </c>
      <c r="C122" s="387">
        <v>1022</v>
      </c>
      <c r="D122" s="387">
        <v>18</v>
      </c>
      <c r="E122" s="387">
        <v>13</v>
      </c>
      <c r="F122" s="387">
        <v>16</v>
      </c>
      <c r="G122" s="387">
        <v>0</v>
      </c>
      <c r="H122" s="387">
        <v>3</v>
      </c>
      <c r="I122" s="387">
        <v>0</v>
      </c>
      <c r="J122" s="387">
        <v>0</v>
      </c>
      <c r="K122" s="387">
        <v>2</v>
      </c>
      <c r="L122" s="158"/>
      <c r="M122" s="307" t="s">
        <v>505</v>
      </c>
      <c r="N122" s="387">
        <v>0</v>
      </c>
      <c r="O122" s="387">
        <v>0</v>
      </c>
      <c r="P122" s="387">
        <v>0</v>
      </c>
      <c r="Q122" s="387">
        <v>0</v>
      </c>
      <c r="R122" s="387">
        <v>0</v>
      </c>
      <c r="S122" s="387">
        <v>0</v>
      </c>
      <c r="T122" s="387">
        <v>0</v>
      </c>
      <c r="U122" s="387">
        <v>0</v>
      </c>
      <c r="V122" s="387">
        <v>1408</v>
      </c>
      <c r="W122" s="385">
        <v>4567</v>
      </c>
      <c r="X122" s="437"/>
    </row>
    <row r="123" spans="1:43" ht="14.25" customHeight="1">
      <c r="A123" s="307" t="s">
        <v>506</v>
      </c>
      <c r="B123" s="386">
        <v>3934</v>
      </c>
      <c r="C123" s="387">
        <v>590</v>
      </c>
      <c r="D123" s="387">
        <v>19</v>
      </c>
      <c r="E123" s="387">
        <v>24</v>
      </c>
      <c r="F123" s="387">
        <v>14</v>
      </c>
      <c r="G123" s="387">
        <v>0</v>
      </c>
      <c r="H123" s="387">
        <v>2</v>
      </c>
      <c r="I123" s="387">
        <v>20</v>
      </c>
      <c r="J123" s="387">
        <v>0</v>
      </c>
      <c r="K123" s="387">
        <v>0</v>
      </c>
      <c r="L123" s="158"/>
      <c r="M123" s="307" t="s">
        <v>506</v>
      </c>
      <c r="N123" s="387">
        <v>2</v>
      </c>
      <c r="O123" s="387">
        <v>3</v>
      </c>
      <c r="P123" s="387">
        <v>0</v>
      </c>
      <c r="Q123" s="387">
        <v>0</v>
      </c>
      <c r="R123" s="387">
        <v>0</v>
      </c>
      <c r="S123" s="387">
        <v>0</v>
      </c>
      <c r="T123" s="387">
        <v>0</v>
      </c>
      <c r="U123" s="387">
        <v>0</v>
      </c>
      <c r="V123" s="387">
        <v>2210</v>
      </c>
      <c r="W123" s="385">
        <v>6818</v>
      </c>
      <c r="X123" s="437"/>
    </row>
    <row r="124" spans="1:43" ht="14.25" customHeight="1">
      <c r="A124" s="307" t="s">
        <v>507</v>
      </c>
      <c r="B124" s="386">
        <v>20177</v>
      </c>
      <c r="C124" s="387">
        <v>5799</v>
      </c>
      <c r="D124" s="387">
        <v>186</v>
      </c>
      <c r="E124" s="387">
        <v>219</v>
      </c>
      <c r="F124" s="387">
        <v>238</v>
      </c>
      <c r="G124" s="387">
        <v>8</v>
      </c>
      <c r="H124" s="387">
        <v>9</v>
      </c>
      <c r="I124" s="387">
        <v>9</v>
      </c>
      <c r="J124" s="387">
        <v>0</v>
      </c>
      <c r="K124" s="387">
        <v>14</v>
      </c>
      <c r="L124" s="158"/>
      <c r="M124" s="307" t="s">
        <v>507</v>
      </c>
      <c r="N124" s="386">
        <v>8</v>
      </c>
      <c r="O124" s="387">
        <v>9</v>
      </c>
      <c r="P124" s="387">
        <v>0</v>
      </c>
      <c r="Q124" s="387">
        <v>0</v>
      </c>
      <c r="R124" s="387">
        <v>1</v>
      </c>
      <c r="S124" s="387">
        <v>5</v>
      </c>
      <c r="T124" s="387">
        <v>0</v>
      </c>
      <c r="U124" s="387">
        <v>0</v>
      </c>
      <c r="V124" s="387">
        <v>35781</v>
      </c>
      <c r="W124" s="385">
        <v>62463</v>
      </c>
      <c r="X124" s="437"/>
    </row>
    <row r="125" spans="1:43" ht="14.25" customHeight="1">
      <c r="A125" s="303" t="s">
        <v>508</v>
      </c>
      <c r="B125" s="384">
        <f>SUM(B126:B135)</f>
        <v>35255</v>
      </c>
      <c r="C125" s="385">
        <f t="shared" ref="C125:V125" si="13">SUM(C126:C135)</f>
        <v>1747</v>
      </c>
      <c r="D125" s="385">
        <f t="shared" si="13"/>
        <v>87</v>
      </c>
      <c r="E125" s="385">
        <f t="shared" si="13"/>
        <v>74</v>
      </c>
      <c r="F125" s="385">
        <f t="shared" si="13"/>
        <v>69</v>
      </c>
      <c r="G125" s="385">
        <f t="shared" si="13"/>
        <v>6</v>
      </c>
      <c r="H125" s="385">
        <f t="shared" si="13"/>
        <v>1</v>
      </c>
      <c r="I125" s="385">
        <f t="shared" si="13"/>
        <v>6</v>
      </c>
      <c r="J125" s="385">
        <f t="shared" si="13"/>
        <v>0</v>
      </c>
      <c r="K125" s="385">
        <f t="shared" si="13"/>
        <v>1</v>
      </c>
      <c r="L125" s="158"/>
      <c r="M125" s="303" t="s">
        <v>508</v>
      </c>
      <c r="N125" s="385">
        <f t="shared" si="13"/>
        <v>1</v>
      </c>
      <c r="O125" s="385">
        <f t="shared" si="13"/>
        <v>2</v>
      </c>
      <c r="P125" s="385">
        <f t="shared" si="13"/>
        <v>0</v>
      </c>
      <c r="Q125" s="385">
        <f t="shared" si="13"/>
        <v>0</v>
      </c>
      <c r="R125" s="385">
        <f t="shared" si="13"/>
        <v>1</v>
      </c>
      <c r="S125" s="385">
        <f t="shared" si="13"/>
        <v>1</v>
      </c>
      <c r="T125" s="385">
        <f t="shared" si="13"/>
        <v>0</v>
      </c>
      <c r="U125" s="385">
        <f t="shared" si="13"/>
        <v>0</v>
      </c>
      <c r="V125" s="385">
        <f t="shared" si="13"/>
        <v>13491</v>
      </c>
      <c r="W125" s="385">
        <v>50742</v>
      </c>
      <c r="X125" s="437"/>
    </row>
    <row r="126" spans="1:43" ht="14.25" customHeight="1">
      <c r="A126" s="304" t="s">
        <v>20</v>
      </c>
      <c r="B126" s="386">
        <v>8056</v>
      </c>
      <c r="C126" s="387">
        <v>655</v>
      </c>
      <c r="D126" s="387">
        <v>37</v>
      </c>
      <c r="E126" s="387">
        <v>9</v>
      </c>
      <c r="F126" s="387">
        <v>4</v>
      </c>
      <c r="G126" s="387">
        <v>2</v>
      </c>
      <c r="H126" s="387">
        <v>0</v>
      </c>
      <c r="I126" s="387">
        <v>1</v>
      </c>
      <c r="J126" s="387">
        <v>0</v>
      </c>
      <c r="K126" s="387">
        <v>1</v>
      </c>
      <c r="L126" s="158"/>
      <c r="M126" s="304" t="s">
        <v>20</v>
      </c>
      <c r="N126" s="387">
        <v>1</v>
      </c>
      <c r="O126" s="387">
        <v>1</v>
      </c>
      <c r="P126" s="387">
        <v>0</v>
      </c>
      <c r="Q126" s="387">
        <v>0</v>
      </c>
      <c r="R126" s="387">
        <v>0</v>
      </c>
      <c r="S126" s="387">
        <v>1</v>
      </c>
      <c r="T126" s="387">
        <v>0</v>
      </c>
      <c r="U126" s="387">
        <v>0</v>
      </c>
      <c r="V126" s="387">
        <v>1498</v>
      </c>
      <c r="W126" s="385">
        <v>10266</v>
      </c>
      <c r="X126" s="437"/>
    </row>
    <row r="127" spans="1:43" ht="14.25" customHeight="1">
      <c r="A127" s="304" t="s">
        <v>509</v>
      </c>
      <c r="B127" s="386">
        <v>3859</v>
      </c>
      <c r="C127" s="387">
        <v>112</v>
      </c>
      <c r="D127" s="387">
        <v>2</v>
      </c>
      <c r="E127" s="387">
        <v>6</v>
      </c>
      <c r="F127" s="387">
        <v>4</v>
      </c>
      <c r="G127" s="387">
        <v>0</v>
      </c>
      <c r="H127" s="387">
        <v>0</v>
      </c>
      <c r="I127" s="387">
        <v>4</v>
      </c>
      <c r="J127" s="387">
        <v>0</v>
      </c>
      <c r="K127" s="387">
        <v>0</v>
      </c>
      <c r="L127" s="158"/>
      <c r="M127" s="304" t="s">
        <v>509</v>
      </c>
      <c r="N127" s="387">
        <v>0</v>
      </c>
      <c r="O127" s="387">
        <v>0</v>
      </c>
      <c r="P127" s="387">
        <v>0</v>
      </c>
      <c r="Q127" s="387">
        <v>0</v>
      </c>
      <c r="R127" s="387">
        <v>0</v>
      </c>
      <c r="S127" s="387">
        <v>0</v>
      </c>
      <c r="T127" s="387">
        <v>0</v>
      </c>
      <c r="U127" s="387">
        <v>0</v>
      </c>
      <c r="V127" s="387">
        <v>1037</v>
      </c>
      <c r="W127" s="385">
        <v>5024</v>
      </c>
      <c r="X127" s="437"/>
    </row>
    <row r="128" spans="1:43" ht="14.25" customHeight="1">
      <c r="A128" s="304" t="s">
        <v>510</v>
      </c>
      <c r="B128" s="386">
        <v>1803</v>
      </c>
      <c r="C128" s="387">
        <v>59</v>
      </c>
      <c r="D128" s="387">
        <v>8</v>
      </c>
      <c r="E128" s="387">
        <v>4</v>
      </c>
      <c r="F128" s="387">
        <v>7</v>
      </c>
      <c r="G128" s="387">
        <v>2</v>
      </c>
      <c r="H128" s="387">
        <v>0</v>
      </c>
      <c r="I128" s="387">
        <v>0</v>
      </c>
      <c r="J128" s="387">
        <v>0</v>
      </c>
      <c r="K128" s="387">
        <v>0</v>
      </c>
      <c r="L128" s="158"/>
      <c r="M128" s="304" t="s">
        <v>510</v>
      </c>
      <c r="N128" s="387">
        <v>0</v>
      </c>
      <c r="O128" s="387">
        <v>0</v>
      </c>
      <c r="P128" s="387">
        <v>0</v>
      </c>
      <c r="Q128" s="387">
        <v>0</v>
      </c>
      <c r="R128" s="387">
        <v>0</v>
      </c>
      <c r="S128" s="387">
        <v>0</v>
      </c>
      <c r="T128" s="387">
        <v>0</v>
      </c>
      <c r="U128" s="387">
        <v>0</v>
      </c>
      <c r="V128" s="387">
        <v>1087</v>
      </c>
      <c r="W128" s="385">
        <v>2970</v>
      </c>
      <c r="X128" s="437"/>
      <c r="Z128" s="473"/>
      <c r="AA128" s="473"/>
      <c r="AB128" s="473"/>
      <c r="AC128" s="473"/>
      <c r="AD128" s="473"/>
      <c r="AE128" s="473"/>
      <c r="AF128" s="473"/>
      <c r="AG128" s="473"/>
      <c r="AH128" s="473"/>
      <c r="AI128" s="473"/>
      <c r="AJ128" s="473"/>
      <c r="AK128" s="473"/>
      <c r="AL128" s="473"/>
      <c r="AM128" s="473"/>
      <c r="AN128" s="473"/>
      <c r="AO128" s="473"/>
      <c r="AP128" s="473"/>
      <c r="AQ128" s="473"/>
    </row>
    <row r="129" spans="1:43" ht="14.25" customHeight="1">
      <c r="A129" s="304" t="s">
        <v>511</v>
      </c>
      <c r="B129" s="386">
        <v>3423</v>
      </c>
      <c r="C129" s="387">
        <v>62</v>
      </c>
      <c r="D129" s="387">
        <v>2</v>
      </c>
      <c r="E129" s="387">
        <v>1</v>
      </c>
      <c r="F129" s="387">
        <v>0</v>
      </c>
      <c r="G129" s="387">
        <v>0</v>
      </c>
      <c r="H129" s="387">
        <v>0</v>
      </c>
      <c r="I129" s="387">
        <v>0</v>
      </c>
      <c r="J129" s="387">
        <v>0</v>
      </c>
      <c r="K129" s="387">
        <v>0</v>
      </c>
      <c r="L129" s="158"/>
      <c r="M129" s="304" t="s">
        <v>511</v>
      </c>
      <c r="N129" s="387">
        <v>0</v>
      </c>
      <c r="O129" s="387">
        <v>0</v>
      </c>
      <c r="P129" s="387">
        <v>0</v>
      </c>
      <c r="Q129" s="387">
        <v>0</v>
      </c>
      <c r="R129" s="387">
        <v>0</v>
      </c>
      <c r="S129" s="387">
        <v>0</v>
      </c>
      <c r="T129" s="387">
        <v>0</v>
      </c>
      <c r="U129" s="387">
        <v>0</v>
      </c>
      <c r="V129" s="387">
        <v>375</v>
      </c>
      <c r="W129" s="385">
        <v>3863</v>
      </c>
      <c r="X129" s="437"/>
    </row>
    <row r="130" spans="1:43" ht="14.25" customHeight="1">
      <c r="A130" s="304" t="s">
        <v>512</v>
      </c>
      <c r="B130" s="386">
        <v>3363</v>
      </c>
      <c r="C130" s="387">
        <v>53</v>
      </c>
      <c r="D130" s="387">
        <v>9</v>
      </c>
      <c r="E130" s="387">
        <v>5</v>
      </c>
      <c r="F130" s="387">
        <v>3</v>
      </c>
      <c r="G130" s="387">
        <v>0</v>
      </c>
      <c r="H130" s="387">
        <v>0</v>
      </c>
      <c r="I130" s="387">
        <v>0</v>
      </c>
      <c r="J130" s="387">
        <v>0</v>
      </c>
      <c r="K130" s="387">
        <v>0</v>
      </c>
      <c r="L130" s="158"/>
      <c r="M130" s="304" t="s">
        <v>512</v>
      </c>
      <c r="N130" s="387">
        <v>0</v>
      </c>
      <c r="O130" s="387">
        <v>0</v>
      </c>
      <c r="P130" s="387">
        <v>0</v>
      </c>
      <c r="Q130" s="387">
        <v>0</v>
      </c>
      <c r="R130" s="387">
        <v>0</v>
      </c>
      <c r="S130" s="387">
        <v>0</v>
      </c>
      <c r="T130" s="387">
        <v>0</v>
      </c>
      <c r="U130" s="387">
        <v>0</v>
      </c>
      <c r="V130" s="387">
        <v>1658</v>
      </c>
      <c r="W130" s="385">
        <v>5091</v>
      </c>
      <c r="X130" s="437"/>
    </row>
    <row r="131" spans="1:43" ht="14.25" customHeight="1">
      <c r="A131" s="304" t="s">
        <v>513</v>
      </c>
      <c r="B131" s="386">
        <v>1191</v>
      </c>
      <c r="C131" s="387">
        <v>253</v>
      </c>
      <c r="D131" s="387">
        <v>14</v>
      </c>
      <c r="E131" s="387">
        <v>33</v>
      </c>
      <c r="F131" s="387">
        <v>16</v>
      </c>
      <c r="G131" s="387">
        <v>0</v>
      </c>
      <c r="H131" s="387">
        <v>1</v>
      </c>
      <c r="I131" s="387">
        <v>0</v>
      </c>
      <c r="J131" s="387">
        <v>0</v>
      </c>
      <c r="K131" s="387">
        <v>0</v>
      </c>
      <c r="L131" s="158"/>
      <c r="M131" s="304" t="s">
        <v>513</v>
      </c>
      <c r="N131" s="387">
        <v>0</v>
      </c>
      <c r="O131" s="387">
        <v>1</v>
      </c>
      <c r="P131" s="387">
        <v>0</v>
      </c>
      <c r="Q131" s="387">
        <v>0</v>
      </c>
      <c r="R131" s="387">
        <v>0</v>
      </c>
      <c r="S131" s="387">
        <v>0</v>
      </c>
      <c r="T131" s="387">
        <v>0</v>
      </c>
      <c r="U131" s="387">
        <v>0</v>
      </c>
      <c r="V131" s="387">
        <v>622</v>
      </c>
      <c r="W131" s="385">
        <v>2131</v>
      </c>
      <c r="X131" s="437"/>
    </row>
    <row r="132" spans="1:43" s="473" customFormat="1" ht="24" customHeight="1">
      <c r="A132" s="304" t="s">
        <v>514</v>
      </c>
      <c r="B132" s="392">
        <v>2584</v>
      </c>
      <c r="C132" s="391">
        <v>216</v>
      </c>
      <c r="D132" s="391">
        <v>11</v>
      </c>
      <c r="E132" s="391">
        <v>3</v>
      </c>
      <c r="F132" s="391">
        <v>13</v>
      </c>
      <c r="G132" s="391">
        <v>0</v>
      </c>
      <c r="H132" s="391">
        <v>0</v>
      </c>
      <c r="I132" s="391">
        <v>1</v>
      </c>
      <c r="J132" s="391">
        <v>0</v>
      </c>
      <c r="K132" s="391">
        <v>0</v>
      </c>
      <c r="L132" s="585"/>
      <c r="M132" s="304" t="s">
        <v>514</v>
      </c>
      <c r="N132" s="391">
        <v>0</v>
      </c>
      <c r="O132" s="391">
        <v>0</v>
      </c>
      <c r="P132" s="391">
        <v>0</v>
      </c>
      <c r="Q132" s="391">
        <v>0</v>
      </c>
      <c r="R132" s="391">
        <v>1</v>
      </c>
      <c r="S132" s="391">
        <v>0</v>
      </c>
      <c r="T132" s="391">
        <v>0</v>
      </c>
      <c r="U132" s="391">
        <v>0</v>
      </c>
      <c r="V132" s="391">
        <v>904</v>
      </c>
      <c r="W132" s="393">
        <v>3733</v>
      </c>
      <c r="X132" s="586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</row>
    <row r="133" spans="1:43" ht="14.25" customHeight="1">
      <c r="A133" s="304" t="s">
        <v>515</v>
      </c>
      <c r="B133" s="386">
        <v>1442</v>
      </c>
      <c r="C133" s="387">
        <v>47</v>
      </c>
      <c r="D133" s="387">
        <v>1</v>
      </c>
      <c r="E133" s="387">
        <v>0</v>
      </c>
      <c r="F133" s="387">
        <v>5</v>
      </c>
      <c r="G133" s="387">
        <v>1</v>
      </c>
      <c r="H133" s="387">
        <v>0</v>
      </c>
      <c r="I133" s="387">
        <v>0</v>
      </c>
      <c r="J133" s="387">
        <v>0</v>
      </c>
      <c r="K133" s="387">
        <v>0</v>
      </c>
      <c r="L133" s="158"/>
      <c r="M133" s="304" t="s">
        <v>515</v>
      </c>
      <c r="N133" s="387">
        <v>0</v>
      </c>
      <c r="O133" s="387">
        <v>0</v>
      </c>
      <c r="P133" s="387">
        <v>0</v>
      </c>
      <c r="Q133" s="387">
        <v>0</v>
      </c>
      <c r="R133" s="387">
        <v>0</v>
      </c>
      <c r="S133" s="387">
        <v>0</v>
      </c>
      <c r="T133" s="387">
        <v>0</v>
      </c>
      <c r="U133" s="387">
        <v>0</v>
      </c>
      <c r="V133" s="387">
        <v>440</v>
      </c>
      <c r="W133" s="385">
        <v>1936</v>
      </c>
      <c r="X133" s="437"/>
    </row>
    <row r="134" spans="1:43" ht="14.25" customHeight="1">
      <c r="A134" s="304" t="s">
        <v>516</v>
      </c>
      <c r="B134" s="386">
        <v>4760</v>
      </c>
      <c r="C134" s="387">
        <v>123</v>
      </c>
      <c r="D134" s="387">
        <v>1</v>
      </c>
      <c r="E134" s="387">
        <v>8</v>
      </c>
      <c r="F134" s="387">
        <v>6</v>
      </c>
      <c r="G134" s="387">
        <v>1</v>
      </c>
      <c r="H134" s="387">
        <v>0</v>
      </c>
      <c r="I134" s="387">
        <v>0</v>
      </c>
      <c r="J134" s="387">
        <v>0</v>
      </c>
      <c r="K134" s="387">
        <v>0</v>
      </c>
      <c r="L134" s="158"/>
      <c r="M134" s="304" t="s">
        <v>516</v>
      </c>
      <c r="N134" s="387">
        <v>0</v>
      </c>
      <c r="O134" s="387">
        <v>0</v>
      </c>
      <c r="P134" s="387">
        <v>0</v>
      </c>
      <c r="Q134" s="387">
        <v>0</v>
      </c>
      <c r="R134" s="387">
        <v>0</v>
      </c>
      <c r="S134" s="387">
        <v>0</v>
      </c>
      <c r="T134" s="387">
        <v>0</v>
      </c>
      <c r="U134" s="387">
        <v>0</v>
      </c>
      <c r="V134" s="387">
        <v>1705</v>
      </c>
      <c r="W134" s="385">
        <v>6604</v>
      </c>
      <c r="X134" s="437"/>
    </row>
    <row r="135" spans="1:43" ht="24" customHeight="1">
      <c r="A135" s="304" t="s">
        <v>517</v>
      </c>
      <c r="B135" s="392">
        <v>4774</v>
      </c>
      <c r="C135" s="391">
        <v>167</v>
      </c>
      <c r="D135" s="391">
        <v>2</v>
      </c>
      <c r="E135" s="391">
        <v>5</v>
      </c>
      <c r="F135" s="391">
        <v>11</v>
      </c>
      <c r="G135" s="391">
        <v>0</v>
      </c>
      <c r="H135" s="391">
        <v>0</v>
      </c>
      <c r="I135" s="391">
        <v>0</v>
      </c>
      <c r="J135" s="391">
        <v>0</v>
      </c>
      <c r="K135" s="391">
        <v>0</v>
      </c>
      <c r="L135" s="158"/>
      <c r="M135" s="304" t="s">
        <v>517</v>
      </c>
      <c r="N135" s="391">
        <v>0</v>
      </c>
      <c r="O135" s="391">
        <v>0</v>
      </c>
      <c r="P135" s="391">
        <v>0</v>
      </c>
      <c r="Q135" s="391">
        <v>0</v>
      </c>
      <c r="R135" s="391">
        <v>0</v>
      </c>
      <c r="S135" s="391">
        <v>0</v>
      </c>
      <c r="T135" s="391">
        <v>0</v>
      </c>
      <c r="U135" s="391">
        <v>0</v>
      </c>
      <c r="V135" s="391">
        <v>4165</v>
      </c>
      <c r="W135" s="393">
        <v>9124</v>
      </c>
      <c r="X135" s="437"/>
    </row>
    <row r="136" spans="1:43" ht="14.25" customHeight="1">
      <c r="A136" s="303" t="s">
        <v>518</v>
      </c>
      <c r="B136" s="384">
        <f>SUM(B137:B143)</f>
        <v>19364</v>
      </c>
      <c r="C136" s="385">
        <f t="shared" ref="C136:V136" si="14">SUM(C137:C143)</f>
        <v>2045</v>
      </c>
      <c r="D136" s="385">
        <f t="shared" si="14"/>
        <v>136</v>
      </c>
      <c r="E136" s="385">
        <f t="shared" si="14"/>
        <v>57</v>
      </c>
      <c r="F136" s="385">
        <f t="shared" si="14"/>
        <v>75</v>
      </c>
      <c r="G136" s="385">
        <f t="shared" si="14"/>
        <v>7</v>
      </c>
      <c r="H136" s="385">
        <f t="shared" si="14"/>
        <v>3</v>
      </c>
      <c r="I136" s="385">
        <f t="shared" si="14"/>
        <v>3</v>
      </c>
      <c r="J136" s="385">
        <f t="shared" si="14"/>
        <v>0</v>
      </c>
      <c r="K136" s="385">
        <f>SUM(K137:K143)</f>
        <v>4</v>
      </c>
      <c r="L136" s="158"/>
      <c r="M136" s="303" t="s">
        <v>518</v>
      </c>
      <c r="N136" s="385">
        <f t="shared" si="14"/>
        <v>4</v>
      </c>
      <c r="O136" s="385">
        <f t="shared" si="14"/>
        <v>1</v>
      </c>
      <c r="P136" s="385">
        <f t="shared" si="14"/>
        <v>0</v>
      </c>
      <c r="Q136" s="385">
        <f t="shared" si="14"/>
        <v>0</v>
      </c>
      <c r="R136" s="385">
        <f t="shared" si="14"/>
        <v>15</v>
      </c>
      <c r="S136" s="385">
        <f t="shared" si="14"/>
        <v>1</v>
      </c>
      <c r="T136" s="385">
        <f t="shared" si="14"/>
        <v>0</v>
      </c>
      <c r="U136" s="385">
        <f t="shared" si="14"/>
        <v>0</v>
      </c>
      <c r="V136" s="385">
        <f t="shared" si="14"/>
        <v>15224</v>
      </c>
      <c r="W136" s="385">
        <v>36939</v>
      </c>
      <c r="X136" s="437"/>
    </row>
    <row r="137" spans="1:43" ht="14.25" customHeight="1">
      <c r="A137" s="307" t="s">
        <v>21</v>
      </c>
      <c r="B137" s="386">
        <v>12324</v>
      </c>
      <c r="C137" s="387">
        <v>1767</v>
      </c>
      <c r="D137" s="387">
        <v>90</v>
      </c>
      <c r="E137" s="387">
        <v>44</v>
      </c>
      <c r="F137" s="387">
        <v>59</v>
      </c>
      <c r="G137" s="387">
        <v>7</v>
      </c>
      <c r="H137" s="387">
        <v>1</v>
      </c>
      <c r="I137" s="387">
        <v>2</v>
      </c>
      <c r="J137" s="387">
        <v>0</v>
      </c>
      <c r="K137" s="387">
        <v>3</v>
      </c>
      <c r="L137" s="158"/>
      <c r="M137" s="307" t="s">
        <v>21</v>
      </c>
      <c r="N137" s="387">
        <v>4</v>
      </c>
      <c r="O137" s="387">
        <v>1</v>
      </c>
      <c r="P137" s="387">
        <v>0</v>
      </c>
      <c r="Q137" s="387">
        <v>0</v>
      </c>
      <c r="R137" s="387">
        <v>13</v>
      </c>
      <c r="S137" s="387">
        <v>1</v>
      </c>
      <c r="T137" s="387">
        <v>0</v>
      </c>
      <c r="U137" s="387">
        <v>0</v>
      </c>
      <c r="V137" s="387">
        <v>10199</v>
      </c>
      <c r="W137" s="385">
        <v>24515</v>
      </c>
      <c r="X137" s="437"/>
    </row>
    <row r="138" spans="1:43" ht="14.25" customHeight="1">
      <c r="A138" s="307" t="s">
        <v>519</v>
      </c>
      <c r="B138" s="386">
        <v>748</v>
      </c>
      <c r="C138" s="387">
        <v>27</v>
      </c>
      <c r="D138" s="387">
        <v>12</v>
      </c>
      <c r="E138" s="387">
        <v>3</v>
      </c>
      <c r="F138" s="387">
        <v>2</v>
      </c>
      <c r="G138" s="387">
        <v>0</v>
      </c>
      <c r="H138" s="387">
        <v>1</v>
      </c>
      <c r="I138" s="387">
        <v>0</v>
      </c>
      <c r="J138" s="387">
        <v>0</v>
      </c>
      <c r="K138" s="387">
        <v>0</v>
      </c>
      <c r="L138" s="158"/>
      <c r="M138" s="307" t="s">
        <v>519</v>
      </c>
      <c r="N138" s="387">
        <v>0</v>
      </c>
      <c r="O138" s="387">
        <v>0</v>
      </c>
      <c r="P138" s="387">
        <v>0</v>
      </c>
      <c r="Q138" s="387">
        <v>0</v>
      </c>
      <c r="R138" s="387">
        <v>0</v>
      </c>
      <c r="S138" s="387">
        <v>0</v>
      </c>
      <c r="T138" s="387">
        <v>0</v>
      </c>
      <c r="U138" s="387">
        <v>0</v>
      </c>
      <c r="V138" s="387">
        <v>989</v>
      </c>
      <c r="W138" s="385">
        <v>1782</v>
      </c>
      <c r="X138" s="437"/>
    </row>
    <row r="139" spans="1:43" ht="14.25" customHeight="1">
      <c r="A139" s="307" t="s">
        <v>520</v>
      </c>
      <c r="B139" s="386">
        <v>3019</v>
      </c>
      <c r="C139" s="387">
        <v>59</v>
      </c>
      <c r="D139" s="387">
        <v>6</v>
      </c>
      <c r="E139" s="387">
        <v>5</v>
      </c>
      <c r="F139" s="387">
        <v>4</v>
      </c>
      <c r="G139" s="387">
        <v>0</v>
      </c>
      <c r="H139" s="387">
        <v>0</v>
      </c>
      <c r="I139" s="387">
        <v>0</v>
      </c>
      <c r="J139" s="387">
        <v>0</v>
      </c>
      <c r="K139" s="387">
        <v>0</v>
      </c>
      <c r="L139" s="158"/>
      <c r="M139" s="307" t="s">
        <v>520</v>
      </c>
      <c r="N139" s="387">
        <v>0</v>
      </c>
      <c r="O139" s="387">
        <v>0</v>
      </c>
      <c r="P139" s="387">
        <v>0</v>
      </c>
      <c r="Q139" s="387">
        <v>0</v>
      </c>
      <c r="R139" s="387">
        <v>0</v>
      </c>
      <c r="S139" s="387">
        <v>0</v>
      </c>
      <c r="T139" s="387">
        <v>0</v>
      </c>
      <c r="U139" s="387">
        <v>0</v>
      </c>
      <c r="V139" s="387">
        <v>1562</v>
      </c>
      <c r="W139" s="385">
        <v>4655</v>
      </c>
      <c r="X139" s="437"/>
    </row>
    <row r="140" spans="1:43" ht="14.25" customHeight="1">
      <c r="A140" s="307" t="s">
        <v>521</v>
      </c>
      <c r="B140" s="386">
        <v>784</v>
      </c>
      <c r="C140" s="387">
        <v>42</v>
      </c>
      <c r="D140" s="387">
        <v>2</v>
      </c>
      <c r="E140" s="387">
        <v>0</v>
      </c>
      <c r="F140" s="387">
        <v>0</v>
      </c>
      <c r="G140" s="387">
        <v>0</v>
      </c>
      <c r="H140" s="387">
        <v>1</v>
      </c>
      <c r="I140" s="387">
        <v>1</v>
      </c>
      <c r="J140" s="387">
        <v>0</v>
      </c>
      <c r="K140" s="387">
        <v>0</v>
      </c>
      <c r="L140" s="158"/>
      <c r="M140" s="307" t="s">
        <v>521</v>
      </c>
      <c r="N140" s="387">
        <v>0</v>
      </c>
      <c r="O140" s="387">
        <v>0</v>
      </c>
      <c r="P140" s="387">
        <v>0</v>
      </c>
      <c r="Q140" s="387">
        <v>0</v>
      </c>
      <c r="R140" s="387">
        <v>0</v>
      </c>
      <c r="S140" s="387">
        <v>0</v>
      </c>
      <c r="T140" s="387">
        <v>0</v>
      </c>
      <c r="U140" s="387">
        <v>0</v>
      </c>
      <c r="V140" s="387">
        <v>440</v>
      </c>
      <c r="W140" s="385">
        <v>1270</v>
      </c>
      <c r="X140" s="437"/>
    </row>
    <row r="141" spans="1:43" ht="14.25" customHeight="1">
      <c r="A141" s="307" t="s">
        <v>522</v>
      </c>
      <c r="B141" s="386">
        <v>1383</v>
      </c>
      <c r="C141" s="387">
        <v>54</v>
      </c>
      <c r="D141" s="387">
        <v>3</v>
      </c>
      <c r="E141" s="387">
        <v>0</v>
      </c>
      <c r="F141" s="387">
        <v>0</v>
      </c>
      <c r="G141" s="387">
        <v>0</v>
      </c>
      <c r="H141" s="387">
        <v>0</v>
      </c>
      <c r="I141" s="387">
        <v>0</v>
      </c>
      <c r="J141" s="387">
        <v>0</v>
      </c>
      <c r="K141" s="387">
        <v>0</v>
      </c>
      <c r="L141" s="158"/>
      <c r="M141" s="307" t="s">
        <v>522</v>
      </c>
      <c r="N141" s="387">
        <v>0</v>
      </c>
      <c r="O141" s="387">
        <v>0</v>
      </c>
      <c r="P141" s="387">
        <v>0</v>
      </c>
      <c r="Q141" s="387">
        <v>0</v>
      </c>
      <c r="R141" s="387">
        <v>0</v>
      </c>
      <c r="S141" s="387">
        <v>0</v>
      </c>
      <c r="T141" s="387">
        <v>0</v>
      </c>
      <c r="U141" s="387">
        <v>0</v>
      </c>
      <c r="V141" s="387">
        <v>1271</v>
      </c>
      <c r="W141" s="385">
        <v>2711</v>
      </c>
      <c r="X141" s="437"/>
    </row>
    <row r="142" spans="1:43" ht="14.25" customHeight="1">
      <c r="A142" s="307" t="s">
        <v>523</v>
      </c>
      <c r="B142" s="386">
        <v>463</v>
      </c>
      <c r="C142" s="387">
        <v>23</v>
      </c>
      <c r="D142" s="387">
        <v>6</v>
      </c>
      <c r="E142" s="387">
        <v>1</v>
      </c>
      <c r="F142" s="387">
        <v>8</v>
      </c>
      <c r="G142" s="387">
        <v>0</v>
      </c>
      <c r="H142" s="387">
        <v>0</v>
      </c>
      <c r="I142" s="387">
        <v>0</v>
      </c>
      <c r="J142" s="387">
        <v>0</v>
      </c>
      <c r="K142" s="387">
        <v>0</v>
      </c>
      <c r="L142" s="158"/>
      <c r="M142" s="307" t="s">
        <v>523</v>
      </c>
      <c r="N142" s="387">
        <v>0</v>
      </c>
      <c r="O142" s="387">
        <v>0</v>
      </c>
      <c r="P142" s="387">
        <v>0</v>
      </c>
      <c r="Q142" s="387">
        <v>0</v>
      </c>
      <c r="R142" s="387">
        <v>0</v>
      </c>
      <c r="S142" s="387">
        <v>0</v>
      </c>
      <c r="T142" s="387">
        <v>0</v>
      </c>
      <c r="U142" s="387">
        <v>0</v>
      </c>
      <c r="V142" s="387">
        <v>448</v>
      </c>
      <c r="W142" s="385">
        <v>949</v>
      </c>
      <c r="X142" s="437"/>
    </row>
    <row r="143" spans="1:43">
      <c r="A143" s="307" t="s">
        <v>524</v>
      </c>
      <c r="B143" s="386">
        <v>643</v>
      </c>
      <c r="C143" s="387">
        <v>73</v>
      </c>
      <c r="D143" s="387">
        <v>17</v>
      </c>
      <c r="E143" s="387">
        <v>4</v>
      </c>
      <c r="F143" s="387">
        <v>2</v>
      </c>
      <c r="G143" s="387">
        <v>0</v>
      </c>
      <c r="H143" s="387">
        <v>0</v>
      </c>
      <c r="I143" s="387">
        <v>0</v>
      </c>
      <c r="J143" s="387">
        <v>0</v>
      </c>
      <c r="K143" s="387">
        <v>1</v>
      </c>
      <c r="L143" s="158"/>
      <c r="M143" s="307" t="s">
        <v>524</v>
      </c>
      <c r="N143" s="387">
        <v>0</v>
      </c>
      <c r="O143" s="387">
        <v>0</v>
      </c>
      <c r="P143" s="387">
        <v>0</v>
      </c>
      <c r="Q143" s="387">
        <v>0</v>
      </c>
      <c r="R143" s="387">
        <v>2</v>
      </c>
      <c r="S143" s="387">
        <v>0</v>
      </c>
      <c r="T143" s="387">
        <v>0</v>
      </c>
      <c r="U143" s="387">
        <v>0</v>
      </c>
      <c r="V143" s="387">
        <v>315</v>
      </c>
      <c r="W143" s="385">
        <v>1057</v>
      </c>
      <c r="X143" s="437"/>
    </row>
    <row r="144" spans="1:43" ht="5.0999999999999996" customHeight="1">
      <c r="A144" s="312"/>
      <c r="B144" s="313"/>
      <c r="C144" s="314"/>
      <c r="D144" s="314"/>
      <c r="E144" s="314"/>
      <c r="F144" s="314"/>
      <c r="G144" s="314"/>
      <c r="H144" s="314"/>
      <c r="I144" s="314"/>
      <c r="J144" s="314"/>
      <c r="K144" s="314"/>
      <c r="L144" s="158"/>
      <c r="M144" s="312"/>
      <c r="N144" s="314"/>
      <c r="O144" s="314"/>
      <c r="P144" s="314"/>
      <c r="Q144" s="314"/>
      <c r="R144" s="314"/>
      <c r="S144" s="314"/>
      <c r="T144" s="314"/>
      <c r="U144" s="314"/>
      <c r="V144" s="314"/>
      <c r="W144" s="315"/>
    </row>
    <row r="145" spans="1:23" ht="11.1" customHeight="1">
      <c r="A145" s="318"/>
      <c r="B145" s="316"/>
      <c r="C145" s="316"/>
      <c r="D145" s="316"/>
      <c r="E145" s="316"/>
      <c r="F145" s="316"/>
      <c r="G145" s="316"/>
      <c r="H145" s="316"/>
      <c r="I145" s="158"/>
      <c r="J145" s="158"/>
      <c r="K145" s="293" t="s">
        <v>45</v>
      </c>
      <c r="L145" s="158"/>
      <c r="M145" s="318" t="s">
        <v>525</v>
      </c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</row>
    <row r="146" spans="1:23" ht="9.9499999999999993" customHeight="1">
      <c r="A146" s="317"/>
      <c r="B146" s="158"/>
      <c r="C146" s="158"/>
      <c r="D146" s="158"/>
      <c r="E146" s="158"/>
      <c r="F146" s="158"/>
      <c r="G146" s="158"/>
      <c r="H146" s="158"/>
      <c r="I146" s="158"/>
      <c r="J146" s="158"/>
      <c r="K146" s="158"/>
      <c r="L146" s="158"/>
      <c r="M146" s="763" t="s">
        <v>859</v>
      </c>
      <c r="N146" s="763"/>
      <c r="O146" s="763"/>
      <c r="P146" s="763"/>
      <c r="Q146" s="763"/>
      <c r="R146" s="763"/>
      <c r="S146" s="763"/>
      <c r="T146" s="763"/>
      <c r="U146" s="763"/>
      <c r="V146" s="763"/>
      <c r="W146" s="763"/>
    </row>
    <row r="147" spans="1:23" ht="10.5" customHeight="1">
      <c r="L147" s="158"/>
      <c r="M147" s="797" t="s">
        <v>860</v>
      </c>
      <c r="N147" s="797"/>
      <c r="O147" s="797"/>
      <c r="P147" s="797"/>
      <c r="Q147" s="797"/>
      <c r="R147" s="797"/>
      <c r="S147" s="797"/>
      <c r="T147" s="797"/>
      <c r="U147" s="797"/>
      <c r="V147" s="797"/>
      <c r="W147" s="797"/>
    </row>
    <row r="148" spans="1:23">
      <c r="N148" s="544"/>
      <c r="O148" s="544"/>
      <c r="P148" s="544"/>
      <c r="Q148" s="544"/>
      <c r="R148" s="544"/>
      <c r="S148" s="544"/>
      <c r="T148" s="544"/>
      <c r="U148" s="544"/>
      <c r="V148" s="544"/>
      <c r="W148" s="544"/>
    </row>
  </sheetData>
  <mergeCells count="9">
    <mergeCell ref="V106:W106"/>
    <mergeCell ref="A1:K1"/>
    <mergeCell ref="M146:W146"/>
    <mergeCell ref="M147:W147"/>
    <mergeCell ref="M1:W1"/>
    <mergeCell ref="A52:K52"/>
    <mergeCell ref="M52:W52"/>
    <mergeCell ref="A105:K105"/>
    <mergeCell ref="M105:W105"/>
  </mergeCells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showGridLines="0" zoomScaleNormal="100" zoomScaleSheetLayoutView="90" workbookViewId="0">
      <selection sqref="A1:J1"/>
    </sheetView>
  </sheetViews>
  <sheetFormatPr baseColWidth="10" defaultColWidth="11.42578125" defaultRowHeight="9"/>
  <cols>
    <col min="1" max="1" width="26.28515625" style="447" customWidth="1"/>
    <col min="2" max="3" width="8.28515625" style="447" hidden="1" customWidth="1"/>
    <col min="4" max="10" width="8.28515625" style="447" customWidth="1"/>
    <col min="11" max="16384" width="11.42578125" style="447"/>
  </cols>
  <sheetData>
    <row r="1" spans="1:10" s="446" customFormat="1" ht="27" customHeight="1">
      <c r="A1" s="801" t="s">
        <v>849</v>
      </c>
      <c r="B1" s="801"/>
      <c r="C1" s="801"/>
      <c r="D1" s="801"/>
      <c r="E1" s="801"/>
      <c r="F1" s="801"/>
      <c r="G1" s="801"/>
      <c r="H1" s="801"/>
      <c r="I1" s="801"/>
      <c r="J1" s="801"/>
    </row>
    <row r="2" spans="1:10" s="446" customFormat="1" ht="5.0999999999999996" customHeight="1">
      <c r="A2" s="492"/>
    </row>
    <row r="3" spans="1:10" ht="9" customHeight="1">
      <c r="A3" s="806" t="s">
        <v>850</v>
      </c>
      <c r="B3" s="802">
        <v>2015</v>
      </c>
      <c r="C3" s="802">
        <v>2016</v>
      </c>
      <c r="D3" s="802">
        <v>2017</v>
      </c>
      <c r="E3" s="802">
        <v>2018</v>
      </c>
      <c r="F3" s="802">
        <v>2019</v>
      </c>
      <c r="G3" s="802">
        <v>2020</v>
      </c>
      <c r="H3" s="802">
        <v>2021</v>
      </c>
      <c r="I3" s="802">
        <v>2022</v>
      </c>
      <c r="J3" s="802">
        <v>2023</v>
      </c>
    </row>
    <row r="4" spans="1:10" ht="21.75" customHeight="1">
      <c r="A4" s="807"/>
      <c r="B4" s="803"/>
      <c r="C4" s="803"/>
      <c r="D4" s="803"/>
      <c r="E4" s="803"/>
      <c r="F4" s="803"/>
      <c r="G4" s="803"/>
      <c r="H4" s="803"/>
      <c r="I4" s="803"/>
      <c r="J4" s="803"/>
    </row>
    <row r="5" spans="1:10" ht="5.25" customHeight="1">
      <c r="A5" s="493"/>
    </row>
    <row r="6" spans="1:10" ht="20.100000000000001" customHeight="1">
      <c r="A6" s="493" t="s">
        <v>581</v>
      </c>
      <c r="B6" s="494" t="s">
        <v>13</v>
      </c>
      <c r="C6" s="494" t="s">
        <v>13</v>
      </c>
      <c r="D6" s="410" t="s">
        <v>13</v>
      </c>
      <c r="E6" s="410" t="s">
        <v>13</v>
      </c>
      <c r="F6" s="410" t="s">
        <v>13</v>
      </c>
      <c r="G6" s="410" t="s">
        <v>13</v>
      </c>
      <c r="H6" s="410" t="s">
        <v>13</v>
      </c>
      <c r="I6" s="410" t="s">
        <v>13</v>
      </c>
      <c r="J6" s="410" t="s">
        <v>13</v>
      </c>
    </row>
    <row r="7" spans="1:10" ht="20.100000000000001" customHeight="1">
      <c r="A7" s="493" t="s">
        <v>582</v>
      </c>
      <c r="B7" s="494">
        <v>74920</v>
      </c>
      <c r="C7" s="494">
        <v>76166</v>
      </c>
      <c r="D7" s="410">
        <v>74792</v>
      </c>
      <c r="E7" s="410">
        <v>77345</v>
      </c>
      <c r="F7" s="410">
        <v>76265</v>
      </c>
      <c r="G7" s="410">
        <v>81499</v>
      </c>
      <c r="H7" s="410">
        <v>73913</v>
      </c>
      <c r="I7" s="410">
        <v>63490</v>
      </c>
      <c r="J7" s="410">
        <v>57078</v>
      </c>
    </row>
    <row r="8" spans="1:10" ht="20.100000000000001" customHeight="1">
      <c r="A8" s="493" t="s">
        <v>583</v>
      </c>
      <c r="B8" s="494">
        <v>362787</v>
      </c>
      <c r="C8" s="494">
        <v>371876</v>
      </c>
      <c r="D8" s="410">
        <v>368248</v>
      </c>
      <c r="E8" s="410">
        <v>399343</v>
      </c>
      <c r="F8" s="410">
        <v>455473</v>
      </c>
      <c r="G8" s="410">
        <v>588881</v>
      </c>
      <c r="H8" s="410">
        <v>639607</v>
      </c>
      <c r="I8" s="410">
        <v>675743</v>
      </c>
      <c r="J8" s="410">
        <v>685796</v>
      </c>
    </row>
    <row r="9" spans="1:10" ht="20.100000000000001" customHeight="1">
      <c r="A9" s="493" t="s">
        <v>584</v>
      </c>
      <c r="B9" s="494">
        <v>372517</v>
      </c>
      <c r="C9" s="494">
        <v>368187</v>
      </c>
      <c r="D9" s="410">
        <v>357091</v>
      </c>
      <c r="E9" s="410">
        <v>369327</v>
      </c>
      <c r="F9" s="410">
        <v>366670</v>
      </c>
      <c r="G9" s="410">
        <v>398449</v>
      </c>
      <c r="H9" s="410">
        <v>382647</v>
      </c>
      <c r="I9" s="410">
        <v>348359</v>
      </c>
      <c r="J9" s="410">
        <v>347206</v>
      </c>
    </row>
    <row r="10" spans="1:10" ht="20.100000000000001" customHeight="1">
      <c r="A10" s="493" t="s">
        <v>585</v>
      </c>
      <c r="B10" s="494" t="s">
        <v>13</v>
      </c>
      <c r="C10" s="494" t="s">
        <v>13</v>
      </c>
      <c r="D10" s="410" t="s">
        <v>13</v>
      </c>
      <c r="E10" s="410" t="s">
        <v>13</v>
      </c>
      <c r="F10" s="410" t="s">
        <v>13</v>
      </c>
      <c r="G10" s="410" t="s">
        <v>13</v>
      </c>
      <c r="H10" s="410" t="s">
        <v>13</v>
      </c>
      <c r="I10" s="410" t="s">
        <v>13</v>
      </c>
      <c r="J10" s="410" t="s">
        <v>13</v>
      </c>
    </row>
    <row r="11" spans="1:10" ht="5.0999999999999996" customHeight="1">
      <c r="A11" s="495"/>
      <c r="B11" s="453"/>
      <c r="C11" s="453"/>
      <c r="D11" s="453"/>
      <c r="E11" s="453"/>
      <c r="F11" s="453"/>
      <c r="G11" s="453"/>
      <c r="H11" s="453"/>
      <c r="I11" s="453"/>
      <c r="J11" s="453"/>
    </row>
    <row r="12" spans="1:10" ht="11.1" customHeight="1">
      <c r="A12" s="496" t="s">
        <v>586</v>
      </c>
      <c r="B12" s="446"/>
      <c r="C12" s="446"/>
      <c r="D12" s="446"/>
      <c r="F12" s="446"/>
      <c r="G12" s="446"/>
      <c r="H12" s="446"/>
    </row>
    <row r="13" spans="1:10" ht="13.5">
      <c r="A13" s="497"/>
      <c r="B13" s="446"/>
      <c r="C13" s="446"/>
      <c r="D13" s="446"/>
      <c r="F13" s="446"/>
      <c r="G13" s="446"/>
      <c r="H13" s="446"/>
    </row>
    <row r="14" spans="1:10">
      <c r="A14" s="498"/>
      <c r="E14" s="498"/>
    </row>
    <row r="15" spans="1:10" ht="9" customHeight="1">
      <c r="A15" s="804"/>
      <c r="B15" s="798"/>
      <c r="C15" s="798"/>
      <c r="D15" s="499"/>
      <c r="F15" s="798"/>
      <c r="G15" s="798"/>
      <c r="H15" s="499"/>
    </row>
    <row r="16" spans="1:10" ht="9" customHeight="1">
      <c r="A16" s="805"/>
      <c r="B16" s="799"/>
      <c r="C16" s="799"/>
      <c r="D16" s="500"/>
      <c r="F16" s="799"/>
      <c r="G16" s="799"/>
      <c r="H16" s="500"/>
    </row>
    <row r="17" spans="1:1">
      <c r="A17" s="498"/>
    </row>
    <row r="18" spans="1:1" ht="12.75">
      <c r="A18" s="501"/>
    </row>
    <row r="19" spans="1:1" ht="12.75">
      <c r="A19" s="502"/>
    </row>
    <row r="20" spans="1:1" ht="12.75">
      <c r="A20" s="501"/>
    </row>
    <row r="21" spans="1:1" ht="12.75">
      <c r="A21" s="501"/>
    </row>
    <row r="22" spans="1:1" ht="12.75">
      <c r="A22" s="501"/>
    </row>
    <row r="23" spans="1:1" ht="12.75">
      <c r="A23" s="501"/>
    </row>
    <row r="24" spans="1:1" ht="12.75">
      <c r="A24" s="501"/>
    </row>
    <row r="25" spans="1:1" ht="12.75">
      <c r="A25" s="502"/>
    </row>
    <row r="26" spans="1:1" ht="12.75">
      <c r="A26" s="450"/>
    </row>
    <row r="27" spans="1:1" ht="12.75">
      <c r="A27" s="450"/>
    </row>
    <row r="28" spans="1:1" ht="12.75">
      <c r="A28" s="450"/>
    </row>
    <row r="29" spans="1:1" ht="12.75">
      <c r="A29" s="450"/>
    </row>
    <row r="30" spans="1:1" ht="12.75">
      <c r="A30" s="450"/>
    </row>
    <row r="31" spans="1:1" ht="12.75">
      <c r="A31" s="503"/>
    </row>
    <row r="32" spans="1:1" ht="12.75">
      <c r="A32" s="450"/>
    </row>
    <row r="33" spans="1:1" ht="12.75">
      <c r="A33" s="450"/>
    </row>
    <row r="34" spans="1:1" ht="12.75">
      <c r="A34" s="450"/>
    </row>
    <row r="35" spans="1:1" ht="12.75">
      <c r="A35" s="450"/>
    </row>
    <row r="36" spans="1:1" ht="12.75">
      <c r="A36" s="450"/>
    </row>
    <row r="37" spans="1:1" ht="12.75">
      <c r="A37" s="503"/>
    </row>
    <row r="38" spans="1:1" ht="12.75">
      <c r="A38" s="450"/>
    </row>
    <row r="39" spans="1:1" ht="12.75">
      <c r="A39" s="450"/>
    </row>
    <row r="40" spans="1:1" ht="12.75">
      <c r="A40" s="450"/>
    </row>
    <row r="41" spans="1:1" ht="12.75">
      <c r="A41" s="450"/>
    </row>
    <row r="42" spans="1:1" ht="12.75">
      <c r="A42" s="450"/>
    </row>
    <row r="43" spans="1:1" ht="12.75">
      <c r="A43" s="503"/>
    </row>
    <row r="44" spans="1:1" ht="12.75">
      <c r="A44" s="450"/>
    </row>
    <row r="45" spans="1:1" ht="12.75">
      <c r="A45" s="450"/>
    </row>
    <row r="46" spans="1:1" ht="12.75">
      <c r="A46" s="450"/>
    </row>
    <row r="47" spans="1:1" ht="12.75">
      <c r="A47" s="450"/>
    </row>
    <row r="48" spans="1:1" ht="12.75">
      <c r="A48" s="450"/>
    </row>
    <row r="49" spans="1:1" ht="12.75">
      <c r="A49" s="503"/>
    </row>
    <row r="50" spans="1:1" ht="12.75">
      <c r="A50" s="450"/>
    </row>
    <row r="51" spans="1:1" ht="12.75">
      <c r="A51" s="450"/>
    </row>
    <row r="52" spans="1:1" ht="12.75">
      <c r="A52" s="450"/>
    </row>
    <row r="53" spans="1:1" ht="12.75">
      <c r="A53" s="450"/>
    </row>
    <row r="54" spans="1:1" ht="12.75">
      <c r="A54" s="450"/>
    </row>
    <row r="55" spans="1:1" ht="12.75">
      <c r="A55" s="503"/>
    </row>
    <row r="56" spans="1:1" ht="12.75">
      <c r="A56" s="450"/>
    </row>
    <row r="57" spans="1:1" ht="12.75">
      <c r="A57" s="450"/>
    </row>
    <row r="58" spans="1:1" ht="12.75">
      <c r="A58" s="450"/>
    </row>
    <row r="59" spans="1:1" ht="12.75">
      <c r="A59" s="450"/>
    </row>
    <row r="60" spans="1:1" ht="12.75">
      <c r="A60" s="450"/>
    </row>
    <row r="61" spans="1:1" ht="12.75">
      <c r="A61" s="450"/>
    </row>
    <row r="66" spans="1:8" ht="13.5">
      <c r="A66" s="504"/>
      <c r="B66" s="446"/>
      <c r="C66" s="446"/>
      <c r="D66" s="446"/>
      <c r="F66" s="446"/>
      <c r="G66" s="446"/>
      <c r="H66" s="446"/>
    </row>
    <row r="67" spans="1:8" ht="13.5">
      <c r="A67" s="492"/>
      <c r="B67" s="446"/>
      <c r="C67" s="446"/>
      <c r="D67" s="446"/>
      <c r="F67" s="446"/>
      <c r="G67" s="446"/>
      <c r="H67" s="446"/>
    </row>
    <row r="68" spans="1:8" ht="13.5">
      <c r="A68" s="492"/>
      <c r="B68" s="446"/>
      <c r="C68" s="446"/>
      <c r="D68" s="446"/>
      <c r="F68" s="446"/>
      <c r="G68" s="446"/>
      <c r="H68" s="446"/>
    </row>
    <row r="70" spans="1:8" ht="9" customHeight="1">
      <c r="A70" s="798"/>
      <c r="B70" s="798"/>
      <c r="C70" s="798"/>
      <c r="D70" s="499"/>
      <c r="F70" s="798"/>
      <c r="G70" s="798"/>
      <c r="H70" s="499"/>
    </row>
    <row r="71" spans="1:8" ht="9" customHeight="1">
      <c r="A71" s="800"/>
      <c r="B71" s="799"/>
      <c r="C71" s="799"/>
      <c r="D71" s="500"/>
      <c r="F71" s="799"/>
      <c r="G71" s="799"/>
      <c r="H71" s="500"/>
    </row>
    <row r="73" spans="1:8" ht="12.75">
      <c r="A73" s="450"/>
    </row>
    <row r="74" spans="1:8" ht="12.75">
      <c r="A74" s="503"/>
    </row>
    <row r="75" spans="1:8" ht="12.75">
      <c r="A75" s="450"/>
    </row>
    <row r="76" spans="1:8" ht="12.75">
      <c r="A76" s="450"/>
    </row>
    <row r="77" spans="1:8" ht="12.75">
      <c r="A77" s="450"/>
    </row>
    <row r="78" spans="1:8" ht="12.75">
      <c r="A78" s="450"/>
    </row>
    <row r="79" spans="1:8" ht="12.75">
      <c r="A79" s="450"/>
    </row>
    <row r="80" spans="1:8" ht="12.75">
      <c r="A80" s="450"/>
    </row>
    <row r="81" spans="1:1" ht="12.75">
      <c r="A81" s="503"/>
    </row>
    <row r="82" spans="1:1" ht="12.75">
      <c r="A82" s="450"/>
    </row>
    <row r="83" spans="1:1" ht="12.75">
      <c r="A83" s="450"/>
    </row>
    <row r="84" spans="1:1" ht="12.75">
      <c r="A84" s="450"/>
    </row>
    <row r="85" spans="1:1" ht="12.75">
      <c r="A85" s="450"/>
    </row>
    <row r="86" spans="1:1" ht="12.75">
      <c r="A86" s="450"/>
    </row>
    <row r="87" spans="1:1" ht="12.75">
      <c r="A87" s="503"/>
    </row>
    <row r="88" spans="1:1" ht="12.75">
      <c r="A88" s="450"/>
    </row>
    <row r="89" spans="1:1" ht="12.75">
      <c r="A89" s="450"/>
    </row>
    <row r="90" spans="1:1" ht="12.75">
      <c r="A90" s="450"/>
    </row>
    <row r="91" spans="1:1" ht="12.75">
      <c r="A91" s="450"/>
    </row>
    <row r="92" spans="1:1" ht="12.75">
      <c r="A92" s="450"/>
    </row>
    <row r="93" spans="1:1" ht="12.75">
      <c r="A93" s="503"/>
    </row>
    <row r="94" spans="1:1" ht="12.75">
      <c r="A94" s="450"/>
    </row>
    <row r="95" spans="1:1" ht="12.75">
      <c r="A95" s="450"/>
    </row>
    <row r="96" spans="1:1" ht="12.75">
      <c r="A96" s="450"/>
    </row>
    <row r="97" spans="1:1" ht="12.75">
      <c r="A97" s="450"/>
    </row>
    <row r="98" spans="1:1" ht="12.75">
      <c r="A98" s="450"/>
    </row>
    <row r="99" spans="1:1" ht="12.75">
      <c r="A99" s="503"/>
    </row>
    <row r="100" spans="1:1" ht="12.75">
      <c r="A100" s="450"/>
    </row>
    <row r="101" spans="1:1" ht="12.75">
      <c r="A101" s="450"/>
    </row>
    <row r="102" spans="1:1" ht="12.75">
      <c r="A102" s="450"/>
    </row>
    <row r="103" spans="1:1" ht="12.75">
      <c r="A103" s="450"/>
    </row>
    <row r="104" spans="1:1" ht="12.75">
      <c r="A104" s="450"/>
    </row>
    <row r="105" spans="1:1" ht="12.75">
      <c r="A105" s="503"/>
    </row>
    <row r="106" spans="1:1" ht="12.75">
      <c r="A106" s="450"/>
    </row>
    <row r="107" spans="1:1" ht="12.75">
      <c r="A107" s="450"/>
    </row>
    <row r="108" spans="1:1" ht="12.75">
      <c r="A108" s="450"/>
    </row>
    <row r="109" spans="1:1" ht="12.75">
      <c r="A109" s="450"/>
    </row>
    <row r="110" spans="1:1" ht="12.75">
      <c r="A110" s="450"/>
    </row>
    <row r="111" spans="1:1" ht="12.75">
      <c r="A111" s="503"/>
    </row>
    <row r="112" spans="1:1" ht="12.75">
      <c r="A112" s="450"/>
    </row>
    <row r="113" spans="1:1" ht="12.75">
      <c r="A113" s="450"/>
    </row>
    <row r="114" spans="1:1" ht="12.75">
      <c r="A114" s="450"/>
    </row>
    <row r="115" spans="1:1" ht="12.75">
      <c r="A115" s="450"/>
    </row>
    <row r="116" spans="1:1" ht="12.75">
      <c r="A116" s="450"/>
    </row>
    <row r="117" spans="1:1" ht="12.75">
      <c r="A117" s="450"/>
    </row>
  </sheetData>
  <mergeCells count="21">
    <mergeCell ref="A1:J1"/>
    <mergeCell ref="H3:H4"/>
    <mergeCell ref="D3:D4"/>
    <mergeCell ref="A15:A16"/>
    <mergeCell ref="B15:B16"/>
    <mergeCell ref="C15:C16"/>
    <mergeCell ref="J3:J4"/>
    <mergeCell ref="I3:I4"/>
    <mergeCell ref="F3:F4"/>
    <mergeCell ref="G3:G4"/>
    <mergeCell ref="F15:F16"/>
    <mergeCell ref="G15:G16"/>
    <mergeCell ref="B3:B4"/>
    <mergeCell ref="C3:C4"/>
    <mergeCell ref="E3:E4"/>
    <mergeCell ref="A3:A4"/>
    <mergeCell ref="F70:F71"/>
    <mergeCell ref="G70:G71"/>
    <mergeCell ref="A70:A71"/>
    <mergeCell ref="B70:B71"/>
    <mergeCell ref="C70:C71"/>
  </mergeCells>
  <pageMargins left="0.78740157480314965" right="0.78740157480314965" top="0.98425196850393704" bottom="0.98425196850393704" header="0.31496062992125984" footer="0"/>
  <pageSetup paperSize="9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Normal="100" zoomScaleSheetLayoutView="100" workbookViewId="0">
      <selection sqref="A1:L1"/>
    </sheetView>
  </sheetViews>
  <sheetFormatPr baseColWidth="10" defaultColWidth="11.42578125" defaultRowHeight="12.75"/>
  <cols>
    <col min="1" max="1" width="5.7109375" style="335" customWidth="1"/>
    <col min="2" max="2" width="16.28515625" style="335" customWidth="1"/>
    <col min="3" max="3" width="9.7109375" style="335" hidden="1" customWidth="1"/>
    <col min="4" max="5" width="8.85546875" style="478" hidden="1" customWidth="1"/>
    <col min="6" max="10" width="8.85546875" style="478" customWidth="1"/>
    <col min="11" max="12" width="8.85546875" style="335" customWidth="1"/>
    <col min="13" max="16384" width="11.42578125" style="335"/>
  </cols>
  <sheetData>
    <row r="1" spans="1:12" ht="13.5">
      <c r="A1" s="811" t="s">
        <v>848</v>
      </c>
      <c r="B1" s="811"/>
      <c r="C1" s="811"/>
      <c r="D1" s="811"/>
      <c r="E1" s="811"/>
      <c r="F1" s="811"/>
      <c r="G1" s="811"/>
      <c r="H1" s="811"/>
      <c r="I1" s="811"/>
      <c r="J1" s="811"/>
      <c r="K1" s="811"/>
      <c r="L1" s="811"/>
    </row>
    <row r="2" spans="1:12" ht="13.5">
      <c r="A2" s="693" t="s">
        <v>731</v>
      </c>
      <c r="C2" s="320"/>
      <c r="K2" s="439"/>
    </row>
    <row r="3" spans="1:12" ht="3" customHeight="1">
      <c r="A3" s="368"/>
      <c r="B3" s="523"/>
      <c r="C3" s="320"/>
    </row>
    <row r="4" spans="1:12" ht="20.100000000000001" customHeight="1">
      <c r="A4" s="808" t="s">
        <v>587</v>
      </c>
      <c r="B4" s="809"/>
      <c r="C4" s="376">
        <v>2008</v>
      </c>
      <c r="D4" s="519">
        <v>2015</v>
      </c>
      <c r="E4" s="448">
        <v>2016</v>
      </c>
      <c r="F4" s="448">
        <v>2017</v>
      </c>
      <c r="G4" s="448">
        <v>2018</v>
      </c>
      <c r="H4" s="448">
        <v>2019</v>
      </c>
      <c r="I4" s="448">
        <v>2020</v>
      </c>
      <c r="J4" s="448">
        <v>2021</v>
      </c>
      <c r="K4" s="448">
        <v>2022</v>
      </c>
      <c r="L4" s="448">
        <v>2023</v>
      </c>
    </row>
    <row r="5" spans="1:12" ht="13.5" customHeight="1">
      <c r="A5" s="516" t="s">
        <v>594</v>
      </c>
      <c r="B5" s="522"/>
      <c r="C5" s="369"/>
      <c r="D5" s="520"/>
      <c r="E5" s="505"/>
      <c r="F5" s="505"/>
      <c r="G5" s="505"/>
      <c r="H5" s="505"/>
      <c r="I5" s="505"/>
      <c r="J5" s="505"/>
      <c r="K5" s="505"/>
      <c r="L5" s="505"/>
    </row>
    <row r="6" spans="1:12" ht="18" customHeight="1">
      <c r="A6" s="517" t="s">
        <v>588</v>
      </c>
      <c r="B6" s="522"/>
      <c r="C6" s="369">
        <v>86.787000000000006</v>
      </c>
      <c r="D6" s="520">
        <v>126.575</v>
      </c>
      <c r="E6" s="505">
        <v>127.69199999999999</v>
      </c>
      <c r="F6" s="506">
        <v>131.56700000000001</v>
      </c>
      <c r="G6" s="506">
        <v>136.44200000000001</v>
      </c>
      <c r="H6" s="506">
        <v>140.80000000000001</v>
      </c>
      <c r="I6" s="505">
        <v>145.49700000000001</v>
      </c>
      <c r="J6" s="505">
        <v>150.39400000000001</v>
      </c>
      <c r="K6" s="505">
        <v>170.541</v>
      </c>
      <c r="L6" s="505">
        <v>173.09</v>
      </c>
    </row>
    <row r="7" spans="1:12" ht="18" customHeight="1">
      <c r="A7" s="517" t="s">
        <v>589</v>
      </c>
      <c r="B7" s="522"/>
      <c r="C7" s="369">
        <v>2.8730000000000002</v>
      </c>
      <c r="D7" s="520">
        <v>2.7469999999999999</v>
      </c>
      <c r="E7" s="505">
        <v>2.734</v>
      </c>
      <c r="F7" s="506">
        <v>3.1440000000000001</v>
      </c>
      <c r="G7" s="506">
        <v>3.0830000000000002</v>
      </c>
      <c r="H7" s="506">
        <v>2.9</v>
      </c>
      <c r="I7" s="505">
        <v>3.0739999999999998</v>
      </c>
      <c r="J7" s="505">
        <v>2.4009999999999998</v>
      </c>
      <c r="K7" s="505">
        <v>3.802</v>
      </c>
      <c r="L7" s="505">
        <v>3.6219999999999999</v>
      </c>
    </row>
    <row r="8" spans="1:12" ht="18" customHeight="1">
      <c r="A8" s="517" t="s">
        <v>590</v>
      </c>
      <c r="B8" s="522"/>
      <c r="C8" s="369">
        <v>0.28999999999999998</v>
      </c>
      <c r="D8" s="520">
        <v>0.69199999999999995</v>
      </c>
      <c r="E8" s="505">
        <v>0.505</v>
      </c>
      <c r="F8" s="506">
        <v>0.46600000000000003</v>
      </c>
      <c r="G8" s="506">
        <v>0.46899999999999997</v>
      </c>
      <c r="H8" s="506">
        <v>0.6</v>
      </c>
      <c r="I8" s="505">
        <v>0.51500000000000001</v>
      </c>
      <c r="J8" s="505">
        <v>0.379</v>
      </c>
      <c r="K8" s="505">
        <v>0.47499999999999998</v>
      </c>
      <c r="L8" s="505">
        <v>0.52900000000000003</v>
      </c>
    </row>
    <row r="9" spans="1:12" ht="18" customHeight="1">
      <c r="A9" s="517" t="s">
        <v>592</v>
      </c>
      <c r="B9" s="522"/>
      <c r="C9" s="369" t="s">
        <v>13</v>
      </c>
      <c r="D9" s="520" t="s">
        <v>13</v>
      </c>
      <c r="E9" s="505" t="s">
        <v>13</v>
      </c>
      <c r="F9" s="506">
        <v>1.506</v>
      </c>
      <c r="G9" s="506">
        <v>2.0409999999999999</v>
      </c>
      <c r="H9" s="506">
        <v>2.2000000000000002</v>
      </c>
      <c r="I9" s="505">
        <v>3.2469999999999999</v>
      </c>
      <c r="J9" s="505">
        <v>4.0519999999999996</v>
      </c>
      <c r="K9" s="505">
        <v>4.0179999999999998</v>
      </c>
      <c r="L9" s="505">
        <v>4.6520000000000001</v>
      </c>
    </row>
    <row r="10" spans="1:12" ht="14.45" customHeight="1">
      <c r="A10" s="518" t="s">
        <v>595</v>
      </c>
      <c r="B10" s="522"/>
      <c r="C10" s="369"/>
      <c r="D10" s="520"/>
      <c r="E10" s="505"/>
      <c r="F10" s="505"/>
      <c r="G10" s="505"/>
      <c r="H10" s="505"/>
      <c r="I10" s="505"/>
      <c r="J10" s="505"/>
      <c r="K10" s="505"/>
      <c r="L10" s="505"/>
    </row>
    <row r="11" spans="1:12" ht="18" customHeight="1">
      <c r="A11" s="517" t="s">
        <v>588</v>
      </c>
      <c r="B11" s="522"/>
      <c r="C11" s="369">
        <v>82.653999999999996</v>
      </c>
      <c r="D11" s="520">
        <v>103.547</v>
      </c>
      <c r="E11" s="505">
        <v>96.742000000000004</v>
      </c>
      <c r="F11" s="506">
        <v>98.483999999999995</v>
      </c>
      <c r="G11" s="506">
        <v>99.716999999999999</v>
      </c>
      <c r="H11" s="506">
        <v>101.3</v>
      </c>
      <c r="I11" s="505">
        <v>96.846000000000004</v>
      </c>
      <c r="J11" s="505">
        <v>93.724000000000004</v>
      </c>
      <c r="K11" s="505">
        <v>96.950999999999993</v>
      </c>
      <c r="L11" s="505">
        <v>95.432000000000002</v>
      </c>
    </row>
    <row r="12" spans="1:12" ht="18" customHeight="1">
      <c r="A12" s="517" t="s">
        <v>589</v>
      </c>
      <c r="B12" s="522"/>
      <c r="C12" s="369">
        <v>1.387</v>
      </c>
      <c r="D12" s="520">
        <v>1.266</v>
      </c>
      <c r="E12" s="505">
        <v>1.212</v>
      </c>
      <c r="F12" s="506">
        <v>1.4419999999999999</v>
      </c>
      <c r="G12" s="506">
        <v>1.4470000000000001</v>
      </c>
      <c r="H12" s="506">
        <v>1.4</v>
      </c>
      <c r="I12" s="505">
        <v>1.381</v>
      </c>
      <c r="J12" s="505">
        <v>0.83499999999999996</v>
      </c>
      <c r="K12" s="505">
        <v>0.88300000000000001</v>
      </c>
      <c r="L12" s="505">
        <v>0.78700000000000003</v>
      </c>
    </row>
    <row r="13" spans="1:12" ht="18" customHeight="1">
      <c r="A13" s="517" t="s">
        <v>590</v>
      </c>
      <c r="B13" s="522"/>
      <c r="C13" s="369">
        <v>4.2000000000000003E-2</v>
      </c>
      <c r="D13" s="520">
        <v>0.152</v>
      </c>
      <c r="E13" s="505">
        <v>6.5000000000000002E-2</v>
      </c>
      <c r="F13" s="506">
        <v>3.6999999999999998E-2</v>
      </c>
      <c r="G13" s="506">
        <v>4.1000000000000002E-2</v>
      </c>
      <c r="H13" s="506">
        <v>0.1</v>
      </c>
      <c r="I13" s="505">
        <v>5.1999999999999998E-2</v>
      </c>
      <c r="J13" s="505">
        <v>5.0999999999999997E-2</v>
      </c>
      <c r="K13" s="505">
        <v>3.9E-2</v>
      </c>
      <c r="L13" s="505">
        <v>8.9999999999999993E-3</v>
      </c>
    </row>
    <row r="14" spans="1:12" ht="18" customHeight="1">
      <c r="A14" s="370" t="s">
        <v>591</v>
      </c>
      <c r="B14" s="522"/>
      <c r="C14" s="369"/>
      <c r="D14" s="520" t="s">
        <v>13</v>
      </c>
      <c r="E14" s="505" t="s">
        <v>13</v>
      </c>
      <c r="F14" s="506">
        <v>0.15</v>
      </c>
      <c r="G14" s="506">
        <v>1.038</v>
      </c>
      <c r="H14" s="506">
        <v>1.2</v>
      </c>
      <c r="I14" s="505">
        <v>1.68</v>
      </c>
      <c r="J14" s="505">
        <v>2.133</v>
      </c>
      <c r="K14" s="505">
        <v>2.3149999999999999</v>
      </c>
      <c r="L14" s="505">
        <v>2.3530000000000002</v>
      </c>
    </row>
    <row r="15" spans="1:12" ht="4.5" customHeight="1">
      <c r="A15" s="368"/>
      <c r="B15" s="371"/>
      <c r="C15" s="372"/>
      <c r="D15" s="521"/>
      <c r="E15" s="507"/>
      <c r="F15" s="507"/>
      <c r="G15" s="507"/>
      <c r="H15" s="507"/>
      <c r="I15" s="507"/>
      <c r="J15" s="507"/>
      <c r="K15" s="507"/>
      <c r="L15" s="507"/>
    </row>
    <row r="16" spans="1:12" ht="8.25" customHeight="1">
      <c r="A16" s="810" t="s">
        <v>861</v>
      </c>
      <c r="B16" s="810"/>
      <c r="C16" s="810"/>
      <c r="D16" s="810"/>
      <c r="E16" s="810"/>
      <c r="F16" s="810"/>
      <c r="G16" s="810"/>
      <c r="H16" s="810"/>
      <c r="I16" s="810"/>
      <c r="J16" s="810"/>
      <c r="K16" s="810"/>
      <c r="L16" s="810"/>
    </row>
    <row r="17" spans="1:12" ht="9" customHeight="1">
      <c r="A17" s="812" t="s">
        <v>862</v>
      </c>
      <c r="B17" s="812"/>
      <c r="C17" s="812"/>
      <c r="D17" s="812"/>
      <c r="E17" s="812"/>
      <c r="F17" s="812"/>
      <c r="G17" s="812"/>
      <c r="H17" s="812"/>
      <c r="I17" s="812"/>
      <c r="J17" s="812"/>
      <c r="K17" s="812"/>
      <c r="L17" s="812"/>
    </row>
    <row r="18" spans="1:12" ht="9" customHeight="1">
      <c r="A18" s="320" t="s">
        <v>593</v>
      </c>
      <c r="C18" s="320"/>
      <c r="D18" s="320"/>
      <c r="E18" s="320"/>
      <c r="F18" s="320"/>
      <c r="G18" s="320"/>
      <c r="H18" s="320"/>
      <c r="I18" s="320"/>
    </row>
    <row r="19" spans="1:12" ht="9" customHeight="1">
      <c r="A19" s="593" t="s">
        <v>738</v>
      </c>
      <c r="B19" s="433"/>
    </row>
    <row r="20" spans="1:12">
      <c r="B20" s="433"/>
    </row>
    <row r="21" spans="1:12">
      <c r="B21" s="433"/>
    </row>
    <row r="22" spans="1:12">
      <c r="B22" s="433"/>
    </row>
    <row r="23" spans="1:12">
      <c r="B23" s="433"/>
    </row>
    <row r="24" spans="1:12">
      <c r="B24" s="433"/>
    </row>
    <row r="25" spans="1:12">
      <c r="B25" s="433"/>
    </row>
    <row r="26" spans="1:12">
      <c r="B26" s="433"/>
    </row>
  </sheetData>
  <mergeCells count="4">
    <mergeCell ref="A4:B4"/>
    <mergeCell ref="A16:L16"/>
    <mergeCell ref="A1:L1"/>
    <mergeCell ref="A17:L17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1"/>
  <sheetViews>
    <sheetView showGridLines="0" showOutlineSymbols="0" topLeftCell="A63" zoomScaleNormal="100" zoomScaleSheetLayoutView="145" workbookViewId="0">
      <selection activeCell="A63" sqref="A63:E63"/>
    </sheetView>
  </sheetViews>
  <sheetFormatPr baseColWidth="10" defaultColWidth="11.42578125" defaultRowHeight="12.75"/>
  <cols>
    <col min="1" max="1" width="25.7109375" style="236" customWidth="1"/>
    <col min="2" max="5" width="14" style="6" customWidth="1"/>
    <col min="6" max="16384" width="11.42578125" style="6"/>
  </cols>
  <sheetData>
    <row r="1" spans="1:5" ht="9.75" hidden="1" customHeight="1">
      <c r="A1" s="700"/>
      <c r="B1" s="701"/>
      <c r="C1" s="701"/>
      <c r="D1" s="701"/>
      <c r="E1" s="701"/>
    </row>
    <row r="2" spans="1:5" ht="9.75" hidden="1" customHeight="1">
      <c r="A2" s="99"/>
      <c r="B2" s="156"/>
      <c r="C2" s="156"/>
      <c r="D2" s="156"/>
      <c r="E2" s="156"/>
    </row>
    <row r="3" spans="1:5" ht="9.75" hidden="1" customHeight="1">
      <c r="A3" s="237" t="s">
        <v>327</v>
      </c>
      <c r="B3" s="44" t="s">
        <v>14</v>
      </c>
      <c r="C3" s="45" t="s">
        <v>22</v>
      </c>
      <c r="D3" s="45" t="s">
        <v>23</v>
      </c>
      <c r="E3" s="45" t="s">
        <v>24</v>
      </c>
    </row>
    <row r="4" spans="1:5" ht="9.75" hidden="1" customHeight="1">
      <c r="A4" s="239"/>
      <c r="B4" s="150"/>
      <c r="C4" s="43"/>
      <c r="D4" s="43"/>
      <c r="E4" s="43"/>
    </row>
    <row r="5" spans="1:5" ht="9.75" hidden="1" customHeight="1">
      <c r="A5" s="239">
        <v>2009</v>
      </c>
      <c r="B5" s="46"/>
      <c r="C5" s="47"/>
      <c r="D5" s="48"/>
      <c r="E5" s="48"/>
    </row>
    <row r="6" spans="1:5" ht="9.75" hidden="1" customHeight="1">
      <c r="A6" s="239" t="s">
        <v>14</v>
      </c>
      <c r="B6" s="49">
        <f t="shared" ref="B6:B17" si="0">SUM(C6:E6)</f>
        <v>439</v>
      </c>
      <c r="C6" s="47">
        <f>SUM(C7:C17)</f>
        <v>11</v>
      </c>
      <c r="D6" s="48">
        <f>SUM(D7:D17)</f>
        <v>84</v>
      </c>
      <c r="E6" s="48">
        <f>SUM(E7:E17)</f>
        <v>344</v>
      </c>
    </row>
    <row r="7" spans="1:5" ht="9.75" hidden="1" customHeight="1">
      <c r="A7" s="238" t="s">
        <v>15</v>
      </c>
      <c r="B7" s="50">
        <f t="shared" si="0"/>
        <v>78</v>
      </c>
      <c r="C7" s="51">
        <v>1</v>
      </c>
      <c r="D7" s="52">
        <v>18</v>
      </c>
      <c r="E7" s="52">
        <v>59</v>
      </c>
    </row>
    <row r="8" spans="1:5" ht="9.75" hidden="1" customHeight="1">
      <c r="A8" s="238" t="s">
        <v>40</v>
      </c>
      <c r="B8" s="50">
        <f t="shared" si="0"/>
        <v>29</v>
      </c>
      <c r="C8" s="51">
        <v>1</v>
      </c>
      <c r="D8" s="52">
        <v>7</v>
      </c>
      <c r="E8" s="52">
        <v>21</v>
      </c>
    </row>
    <row r="9" spans="1:5" ht="9.75" hidden="1" customHeight="1">
      <c r="A9" s="238" t="s">
        <v>36</v>
      </c>
      <c r="B9" s="50">
        <f>SUM(C9:E9)</f>
        <v>25</v>
      </c>
      <c r="C9" s="51">
        <v>1</v>
      </c>
      <c r="D9" s="52">
        <v>4</v>
      </c>
      <c r="E9" s="52">
        <v>20</v>
      </c>
    </row>
    <row r="10" spans="1:5" ht="9.75" hidden="1" customHeight="1">
      <c r="A10" s="238" t="s">
        <v>16</v>
      </c>
      <c r="B10" s="50">
        <f>SUM(C10:E10)</f>
        <v>44</v>
      </c>
      <c r="C10" s="51">
        <v>1</v>
      </c>
      <c r="D10" s="52">
        <v>7</v>
      </c>
      <c r="E10" s="52">
        <v>36</v>
      </c>
    </row>
    <row r="11" spans="1:5" ht="9.75" hidden="1" customHeight="1">
      <c r="A11" s="238" t="s">
        <v>37</v>
      </c>
      <c r="B11" s="50">
        <f>SUM(C11:E11)</f>
        <v>42</v>
      </c>
      <c r="C11" s="51">
        <v>1</v>
      </c>
      <c r="D11" s="52">
        <v>7</v>
      </c>
      <c r="E11" s="52">
        <v>34</v>
      </c>
    </row>
    <row r="12" spans="1:5" ht="9.75" hidden="1" customHeight="1">
      <c r="A12" s="238" t="s">
        <v>41</v>
      </c>
      <c r="B12" s="50">
        <f>SUM(C12:E12)</f>
        <v>60</v>
      </c>
      <c r="C12" s="51">
        <v>1</v>
      </c>
      <c r="D12" s="52">
        <v>7</v>
      </c>
      <c r="E12" s="52">
        <v>52</v>
      </c>
    </row>
    <row r="13" spans="1:5" ht="9.75" hidden="1" customHeight="1">
      <c r="A13" s="238" t="s">
        <v>17</v>
      </c>
      <c r="B13" s="50">
        <f>SUM(C13:E13)</f>
        <v>16</v>
      </c>
      <c r="C13" s="51">
        <v>1</v>
      </c>
      <c r="D13" s="52">
        <v>3</v>
      </c>
      <c r="E13" s="52">
        <v>12</v>
      </c>
    </row>
    <row r="14" spans="1:5" ht="9.75" hidden="1" customHeight="1">
      <c r="A14" s="238" t="s">
        <v>19</v>
      </c>
      <c r="B14" s="50">
        <f t="shared" si="0"/>
        <v>61</v>
      </c>
      <c r="C14" s="51">
        <v>1</v>
      </c>
      <c r="D14" s="52">
        <v>12</v>
      </c>
      <c r="E14" s="52">
        <v>48</v>
      </c>
    </row>
    <row r="15" spans="1:5" ht="9.75" hidden="1" customHeight="1">
      <c r="A15" s="238" t="s">
        <v>48</v>
      </c>
      <c r="B15" s="50">
        <f t="shared" si="0"/>
        <v>46</v>
      </c>
      <c r="C15" s="51">
        <v>1</v>
      </c>
      <c r="D15" s="52">
        <v>11</v>
      </c>
      <c r="E15" s="52">
        <v>34</v>
      </c>
    </row>
    <row r="16" spans="1:5" ht="9.75" hidden="1" customHeight="1">
      <c r="A16" s="238" t="s">
        <v>20</v>
      </c>
      <c r="B16" s="50">
        <f t="shared" si="0"/>
        <v>22</v>
      </c>
      <c r="C16" s="51">
        <v>1</v>
      </c>
      <c r="D16" s="52">
        <v>4</v>
      </c>
      <c r="E16" s="52">
        <v>17</v>
      </c>
    </row>
    <row r="17" spans="1:5" ht="9.75" hidden="1" customHeight="1">
      <c r="A17" s="238" t="s">
        <v>21</v>
      </c>
      <c r="B17" s="46">
        <f t="shared" si="0"/>
        <v>16</v>
      </c>
      <c r="C17" s="51">
        <v>1</v>
      </c>
      <c r="D17" s="52">
        <v>4</v>
      </c>
      <c r="E17" s="52">
        <v>11</v>
      </c>
    </row>
    <row r="18" spans="1:5" ht="9.75" hidden="1" customHeight="1">
      <c r="A18" s="238"/>
      <c r="B18" s="46"/>
      <c r="C18" s="51"/>
      <c r="D18" s="52"/>
      <c r="E18" s="52"/>
    </row>
    <row r="19" spans="1:5" ht="9.75" hidden="1" customHeight="1">
      <c r="A19" s="239">
        <v>2010</v>
      </c>
      <c r="B19" s="46"/>
      <c r="C19" s="47"/>
      <c r="D19" s="110"/>
      <c r="E19" s="110"/>
    </row>
    <row r="20" spans="1:5" ht="9.75" hidden="1" customHeight="1">
      <c r="A20" s="239" t="s">
        <v>14</v>
      </c>
      <c r="B20" s="144">
        <f>SUM(C20:E20)</f>
        <v>443</v>
      </c>
      <c r="C20" s="48">
        <f>SUM(C21:C31)</f>
        <v>11</v>
      </c>
      <c r="D20" s="48">
        <f>SUM(D21:D31)</f>
        <v>82</v>
      </c>
      <c r="E20" s="48">
        <f>SUM(E21:E31)</f>
        <v>350</v>
      </c>
    </row>
    <row r="21" spans="1:5" ht="9.75" hidden="1" customHeight="1">
      <c r="A21" s="238" t="s">
        <v>15</v>
      </c>
      <c r="B21" s="50">
        <f t="shared" ref="B21:B30" si="1">SUM(C21:E21)</f>
        <v>78</v>
      </c>
      <c r="C21" s="47">
        <v>1</v>
      </c>
      <c r="D21" s="52">
        <v>18</v>
      </c>
      <c r="E21" s="52">
        <v>59</v>
      </c>
    </row>
    <row r="22" spans="1:5" ht="9.75" hidden="1" customHeight="1">
      <c r="A22" s="238" t="s">
        <v>40</v>
      </c>
      <c r="B22" s="50">
        <f t="shared" si="1"/>
        <v>30</v>
      </c>
      <c r="C22" s="51">
        <v>1</v>
      </c>
      <c r="D22" s="52">
        <v>8</v>
      </c>
      <c r="E22" s="52">
        <v>21</v>
      </c>
    </row>
    <row r="23" spans="1:5" ht="9.75" hidden="1" customHeight="1">
      <c r="A23" s="238" t="s">
        <v>36</v>
      </c>
      <c r="B23" s="50">
        <f>SUM(C23:E23)</f>
        <v>25</v>
      </c>
      <c r="C23" s="51">
        <v>1</v>
      </c>
      <c r="D23" s="52">
        <v>5</v>
      </c>
      <c r="E23" s="52">
        <v>19</v>
      </c>
    </row>
    <row r="24" spans="1:5" ht="9.75" hidden="1" customHeight="1">
      <c r="A24" s="238" t="s">
        <v>16</v>
      </c>
      <c r="B24" s="50">
        <f>SUM(C24:E24)</f>
        <v>44</v>
      </c>
      <c r="C24" s="51">
        <v>1</v>
      </c>
      <c r="D24" s="52">
        <v>7</v>
      </c>
      <c r="E24" s="52">
        <v>36</v>
      </c>
    </row>
    <row r="25" spans="1:5" ht="9.75" hidden="1" customHeight="1">
      <c r="A25" s="238" t="s">
        <v>37</v>
      </c>
      <c r="B25" s="50">
        <f>SUM(C25:E25)</f>
        <v>42</v>
      </c>
      <c r="C25" s="51">
        <v>1</v>
      </c>
      <c r="D25" s="52">
        <v>4</v>
      </c>
      <c r="E25" s="52">
        <v>37</v>
      </c>
    </row>
    <row r="26" spans="1:5" ht="9.75" hidden="1" customHeight="1">
      <c r="A26" s="238" t="s">
        <v>41</v>
      </c>
      <c r="B26" s="50">
        <f>SUM(C26:E26)</f>
        <v>61</v>
      </c>
      <c r="C26" s="51">
        <v>1</v>
      </c>
      <c r="D26" s="52">
        <v>7</v>
      </c>
      <c r="E26" s="52">
        <v>53</v>
      </c>
    </row>
    <row r="27" spans="1:5" ht="9.75" hidden="1" customHeight="1">
      <c r="A27" s="238" t="s">
        <v>17</v>
      </c>
      <c r="B27" s="50">
        <f>SUM(C27:E27)</f>
        <v>17</v>
      </c>
      <c r="C27" s="51">
        <v>1</v>
      </c>
      <c r="D27" s="52">
        <v>4</v>
      </c>
      <c r="E27" s="52">
        <v>12</v>
      </c>
    </row>
    <row r="28" spans="1:5" ht="9.75" hidden="1" customHeight="1">
      <c r="A28" s="238" t="s">
        <v>19</v>
      </c>
      <c r="B28" s="50">
        <f t="shared" si="1"/>
        <v>62</v>
      </c>
      <c r="C28" s="51">
        <v>1</v>
      </c>
      <c r="D28" s="52">
        <v>12</v>
      </c>
      <c r="E28" s="52">
        <v>49</v>
      </c>
    </row>
    <row r="29" spans="1:5" ht="9.75" hidden="1" customHeight="1">
      <c r="A29" s="238" t="s">
        <v>48</v>
      </c>
      <c r="B29" s="50">
        <f t="shared" si="1"/>
        <v>46</v>
      </c>
      <c r="C29" s="51">
        <v>1</v>
      </c>
      <c r="D29" s="52">
        <v>10</v>
      </c>
      <c r="E29" s="52">
        <v>35</v>
      </c>
    </row>
    <row r="30" spans="1:5" ht="9.75" hidden="1" customHeight="1">
      <c r="A30" s="238" t="s">
        <v>20</v>
      </c>
      <c r="B30" s="50">
        <f t="shared" si="1"/>
        <v>22</v>
      </c>
      <c r="C30" s="51">
        <v>1</v>
      </c>
      <c r="D30" s="52">
        <v>4</v>
      </c>
      <c r="E30" s="52">
        <v>17</v>
      </c>
    </row>
    <row r="31" spans="1:5" ht="9.75" hidden="1" customHeight="1">
      <c r="A31" s="238" t="s">
        <v>21</v>
      </c>
      <c r="B31" s="6">
        <v>16</v>
      </c>
      <c r="C31" s="6">
        <v>1</v>
      </c>
      <c r="D31" s="6">
        <v>3</v>
      </c>
      <c r="E31" s="6">
        <v>12</v>
      </c>
    </row>
    <row r="32" spans="1:5" ht="9.75" hidden="1" customHeight="1">
      <c r="A32" s="238"/>
    </row>
    <row r="33" spans="1:5" ht="9.75" hidden="1" customHeight="1">
      <c r="A33" s="239">
        <v>2011</v>
      </c>
      <c r="D33" s="96"/>
    </row>
    <row r="34" spans="1:5" ht="9.75" hidden="1" customHeight="1">
      <c r="A34" s="239" t="s">
        <v>14</v>
      </c>
      <c r="B34" s="11">
        <f>SUM(B35:B45)</f>
        <v>428</v>
      </c>
      <c r="C34" s="11">
        <f>SUM(C35:C45)</f>
        <v>11</v>
      </c>
      <c r="D34" s="11">
        <f>SUM(D35:D45)</f>
        <v>94</v>
      </c>
      <c r="E34" s="11">
        <f>SUM(E35:E45)</f>
        <v>323</v>
      </c>
    </row>
    <row r="35" spans="1:5" ht="9.75" hidden="1" customHeight="1">
      <c r="A35" s="238" t="s">
        <v>15</v>
      </c>
      <c r="B35" s="6">
        <f t="shared" ref="B35:B45" si="2">SUM(C35:E35)</f>
        <v>76</v>
      </c>
      <c r="C35" s="6">
        <v>1</v>
      </c>
      <c r="D35" s="6">
        <v>17</v>
      </c>
      <c r="E35" s="6">
        <v>58</v>
      </c>
    </row>
    <row r="36" spans="1:5" ht="9.75" hidden="1" customHeight="1">
      <c r="A36" s="238" t="s">
        <v>40</v>
      </c>
      <c r="B36" s="6">
        <f t="shared" si="2"/>
        <v>30</v>
      </c>
      <c r="C36" s="6">
        <v>1</v>
      </c>
      <c r="D36" s="6">
        <v>9</v>
      </c>
      <c r="E36" s="6">
        <v>20</v>
      </c>
    </row>
    <row r="37" spans="1:5" ht="9.75" hidden="1" customHeight="1">
      <c r="A37" s="238" t="s">
        <v>36</v>
      </c>
      <c r="B37" s="6">
        <f t="shared" si="2"/>
        <v>25</v>
      </c>
      <c r="C37" s="6">
        <v>1</v>
      </c>
      <c r="D37" s="6">
        <v>5</v>
      </c>
      <c r="E37" s="6">
        <v>19</v>
      </c>
    </row>
    <row r="38" spans="1:5" ht="9.75" hidden="1" customHeight="1">
      <c r="A38" s="238" t="s">
        <v>16</v>
      </c>
      <c r="B38" s="6">
        <f t="shared" si="2"/>
        <v>44</v>
      </c>
      <c r="C38" s="6">
        <v>1</v>
      </c>
      <c r="D38" s="6">
        <v>9</v>
      </c>
      <c r="E38" s="6">
        <v>34</v>
      </c>
    </row>
    <row r="39" spans="1:5" ht="9.75" hidden="1" customHeight="1">
      <c r="A39" s="238" t="s">
        <v>37</v>
      </c>
      <c r="B39" s="6">
        <f t="shared" si="2"/>
        <v>42</v>
      </c>
      <c r="C39" s="6">
        <v>1</v>
      </c>
      <c r="D39" s="6">
        <v>7</v>
      </c>
      <c r="E39" s="6">
        <v>34</v>
      </c>
    </row>
    <row r="40" spans="1:5" ht="9.75" hidden="1" customHeight="1">
      <c r="A40" s="238" t="s">
        <v>41</v>
      </c>
      <c r="B40" s="6">
        <f t="shared" si="2"/>
        <v>57</v>
      </c>
      <c r="C40" s="6">
        <v>1</v>
      </c>
      <c r="D40" s="6">
        <v>8</v>
      </c>
      <c r="E40" s="6">
        <v>48</v>
      </c>
    </row>
    <row r="41" spans="1:5" ht="9.75" hidden="1" customHeight="1">
      <c r="A41" s="238" t="s">
        <v>17</v>
      </c>
      <c r="B41" s="6">
        <f t="shared" si="2"/>
        <v>17</v>
      </c>
      <c r="C41" s="6">
        <v>1</v>
      </c>
      <c r="D41" s="6">
        <v>4</v>
      </c>
      <c r="E41" s="6">
        <v>12</v>
      </c>
    </row>
    <row r="42" spans="1:5" ht="9.75" hidden="1" customHeight="1">
      <c r="A42" s="238" t="s">
        <v>19</v>
      </c>
      <c r="B42" s="6">
        <f t="shared" si="2"/>
        <v>54</v>
      </c>
      <c r="C42" s="6">
        <v>1</v>
      </c>
      <c r="D42" s="6">
        <v>13</v>
      </c>
      <c r="E42" s="6">
        <v>40</v>
      </c>
    </row>
    <row r="43" spans="1:5" ht="9.75" hidden="1" customHeight="1">
      <c r="A43" s="238" t="s">
        <v>48</v>
      </c>
      <c r="B43" s="6">
        <f t="shared" si="2"/>
        <v>45</v>
      </c>
      <c r="C43" s="6">
        <v>1</v>
      </c>
      <c r="D43" s="6">
        <v>11</v>
      </c>
      <c r="E43" s="6">
        <v>33</v>
      </c>
    </row>
    <row r="44" spans="1:5" ht="9.75" hidden="1" customHeight="1">
      <c r="A44" s="238" t="s">
        <v>20</v>
      </c>
      <c r="B44" s="6">
        <f t="shared" si="2"/>
        <v>22</v>
      </c>
      <c r="C44" s="6">
        <v>1</v>
      </c>
      <c r="D44" s="6">
        <v>6</v>
      </c>
      <c r="E44" s="6">
        <v>15</v>
      </c>
    </row>
    <row r="45" spans="1:5" ht="9.75" hidden="1" customHeight="1">
      <c r="A45" s="238" t="s">
        <v>21</v>
      </c>
      <c r="B45" s="51">
        <f t="shared" si="2"/>
        <v>16</v>
      </c>
      <c r="C45" s="51">
        <v>1</v>
      </c>
      <c r="D45" s="52">
        <v>5</v>
      </c>
      <c r="E45" s="52">
        <v>10</v>
      </c>
    </row>
    <row r="46" spans="1:5" ht="9.75" hidden="1" customHeight="1">
      <c r="A46" s="238"/>
      <c r="B46" s="51"/>
      <c r="C46" s="51"/>
      <c r="D46" s="52"/>
      <c r="E46" s="52"/>
    </row>
    <row r="47" spans="1:5" ht="9.75" hidden="1" customHeight="1">
      <c r="A47" s="239">
        <v>2012</v>
      </c>
      <c r="D47" s="96"/>
    </row>
    <row r="48" spans="1:5" ht="9.75" hidden="1" customHeight="1">
      <c r="A48" s="239" t="s">
        <v>14</v>
      </c>
      <c r="B48" s="11">
        <f>SUM(B49:B59)</f>
        <v>430</v>
      </c>
      <c r="C48" s="11">
        <f>SUM(C49:C59)</f>
        <v>11</v>
      </c>
      <c r="D48" s="11">
        <f>SUM(D49:D59)</f>
        <v>96</v>
      </c>
      <c r="E48" s="11">
        <f>SUM(E49:E59)</f>
        <v>323</v>
      </c>
    </row>
    <row r="49" spans="1:5" ht="9.75" hidden="1" customHeight="1">
      <c r="A49" s="238" t="s">
        <v>15</v>
      </c>
      <c r="B49" s="6">
        <f t="shared" ref="B49:B59" si="3">SUM(C49:E49)</f>
        <v>76</v>
      </c>
      <c r="C49" s="6">
        <v>1</v>
      </c>
      <c r="D49" s="6">
        <v>17</v>
      </c>
      <c r="E49" s="6">
        <v>58</v>
      </c>
    </row>
    <row r="50" spans="1:5" ht="9.75" hidden="1" customHeight="1">
      <c r="A50" s="238" t="s">
        <v>40</v>
      </c>
      <c r="B50" s="6">
        <f t="shared" si="3"/>
        <v>31</v>
      </c>
      <c r="C50" s="6">
        <v>1</v>
      </c>
      <c r="D50" s="6">
        <v>10</v>
      </c>
      <c r="E50" s="6">
        <v>20</v>
      </c>
    </row>
    <row r="51" spans="1:5" ht="9.75" hidden="1" customHeight="1">
      <c r="A51" s="238" t="s">
        <v>36</v>
      </c>
      <c r="B51" s="6">
        <f t="shared" si="3"/>
        <v>25</v>
      </c>
      <c r="C51" s="6">
        <v>1</v>
      </c>
      <c r="D51" s="6">
        <v>5</v>
      </c>
      <c r="E51" s="6">
        <v>19</v>
      </c>
    </row>
    <row r="52" spans="1:5" ht="9.75" hidden="1" customHeight="1">
      <c r="A52" s="238" t="s">
        <v>16</v>
      </c>
      <c r="B52" s="6">
        <f t="shared" si="3"/>
        <v>44</v>
      </c>
      <c r="C52" s="6">
        <v>1</v>
      </c>
      <c r="D52" s="6">
        <v>9</v>
      </c>
      <c r="E52" s="6">
        <v>34</v>
      </c>
    </row>
    <row r="53" spans="1:5" ht="9.75" hidden="1" customHeight="1">
      <c r="A53" s="238" t="s">
        <v>37</v>
      </c>
      <c r="B53" s="6">
        <f t="shared" si="3"/>
        <v>42</v>
      </c>
      <c r="C53" s="6">
        <v>1</v>
      </c>
      <c r="D53" s="6">
        <v>7</v>
      </c>
      <c r="E53" s="6">
        <v>34</v>
      </c>
    </row>
    <row r="54" spans="1:5" hidden="1">
      <c r="A54" s="238" t="s">
        <v>41</v>
      </c>
      <c r="B54" s="6">
        <f t="shared" si="3"/>
        <v>57</v>
      </c>
      <c r="C54" s="6">
        <v>1</v>
      </c>
      <c r="D54" s="6">
        <v>8</v>
      </c>
      <c r="E54" s="6">
        <v>48</v>
      </c>
    </row>
    <row r="55" spans="1:5" hidden="1">
      <c r="A55" s="238" t="s">
        <v>17</v>
      </c>
      <c r="B55" s="6">
        <f t="shared" si="3"/>
        <v>17</v>
      </c>
      <c r="C55" s="6">
        <v>1</v>
      </c>
      <c r="D55" s="6">
        <v>4</v>
      </c>
      <c r="E55" s="6">
        <v>12</v>
      </c>
    </row>
    <row r="56" spans="1:5" hidden="1">
      <c r="A56" s="238" t="s">
        <v>19</v>
      </c>
      <c r="B56" s="6">
        <f t="shared" si="3"/>
        <v>54</v>
      </c>
      <c r="C56" s="6">
        <v>1</v>
      </c>
      <c r="D56" s="6">
        <v>13</v>
      </c>
      <c r="E56" s="6">
        <v>40</v>
      </c>
    </row>
    <row r="57" spans="1:5" hidden="1">
      <c r="A57" s="238" t="s">
        <v>48</v>
      </c>
      <c r="B57" s="6">
        <f t="shared" si="3"/>
        <v>46</v>
      </c>
      <c r="C57" s="6">
        <v>1</v>
      </c>
      <c r="D57" s="6">
        <v>12</v>
      </c>
      <c r="E57" s="6">
        <v>33</v>
      </c>
    </row>
    <row r="58" spans="1:5" hidden="1">
      <c r="A58" s="238" t="s">
        <v>20</v>
      </c>
      <c r="B58" s="6">
        <f t="shared" si="3"/>
        <v>22</v>
      </c>
      <c r="C58" s="6">
        <v>1</v>
      </c>
      <c r="D58" s="6">
        <v>6</v>
      </c>
      <c r="E58" s="6">
        <v>15</v>
      </c>
    </row>
    <row r="59" spans="1:5" hidden="1">
      <c r="A59" s="238" t="s">
        <v>21</v>
      </c>
      <c r="B59" s="51">
        <f t="shared" si="3"/>
        <v>16</v>
      </c>
      <c r="C59" s="51">
        <v>1</v>
      </c>
      <c r="D59" s="52">
        <v>5</v>
      </c>
      <c r="E59" s="52">
        <v>10</v>
      </c>
    </row>
    <row r="60" spans="1:5" hidden="1">
      <c r="A60" s="129"/>
      <c r="B60" s="130"/>
      <c r="C60" s="130"/>
      <c r="D60" s="130"/>
      <c r="E60" s="130"/>
    </row>
    <row r="61" spans="1:5" hidden="1">
      <c r="B61" s="51"/>
      <c r="C61" s="51"/>
      <c r="D61" s="52"/>
      <c r="E61" s="166" t="s">
        <v>45</v>
      </c>
    </row>
    <row r="62" spans="1:5" hidden="1">
      <c r="B62" s="51"/>
      <c r="C62" s="51"/>
      <c r="D62" s="52"/>
      <c r="E62" s="166"/>
    </row>
    <row r="63" spans="1:5" ht="12.75" customHeight="1">
      <c r="A63" s="702" t="s">
        <v>803</v>
      </c>
      <c r="B63" s="703"/>
      <c r="C63" s="703"/>
      <c r="D63" s="703"/>
      <c r="E63" s="703"/>
    </row>
    <row r="64" spans="1:5" ht="5.0999999999999996" customHeight="1">
      <c r="A64" s="99"/>
      <c r="B64" s="156"/>
      <c r="C64" s="156"/>
      <c r="D64" s="156"/>
      <c r="E64" s="153"/>
    </row>
    <row r="65" spans="1:7" ht="24.75" customHeight="1">
      <c r="A65" s="254" t="s">
        <v>807</v>
      </c>
      <c r="B65" s="44" t="s">
        <v>14</v>
      </c>
      <c r="C65" s="45" t="s">
        <v>22</v>
      </c>
      <c r="D65" s="45" t="s">
        <v>23</v>
      </c>
      <c r="E65" s="45" t="s">
        <v>24</v>
      </c>
      <c r="G65" s="438"/>
    </row>
    <row r="66" spans="1:7" ht="15.75" hidden="1" customHeight="1">
      <c r="A66" s="239"/>
      <c r="B66" s="150"/>
      <c r="C66" s="43"/>
      <c r="D66" s="43"/>
      <c r="E66" s="43"/>
    </row>
    <row r="67" spans="1:7" ht="15.75" hidden="1" customHeight="1">
      <c r="A67" s="212">
        <v>2013</v>
      </c>
      <c r="D67" s="96"/>
    </row>
    <row r="68" spans="1:7" ht="15.75" hidden="1" customHeight="1">
      <c r="A68" s="239" t="s">
        <v>14</v>
      </c>
      <c r="B68" s="11">
        <f>SUM(B69:B79)</f>
        <v>435</v>
      </c>
      <c r="C68" s="11">
        <f>SUM(C69:C79)</f>
        <v>11</v>
      </c>
      <c r="D68" s="11">
        <f>SUM(D69:D79)</f>
        <v>94</v>
      </c>
      <c r="E68" s="11">
        <f>SUM(E69:E79)</f>
        <v>330</v>
      </c>
    </row>
    <row r="69" spans="1:7" ht="15.75" hidden="1" customHeight="1">
      <c r="A69" s="238" t="s">
        <v>15</v>
      </c>
      <c r="B69" s="6">
        <f>SUM(C69:E69)</f>
        <v>78</v>
      </c>
      <c r="C69" s="6">
        <v>1</v>
      </c>
      <c r="D69" s="6">
        <v>17</v>
      </c>
      <c r="E69" s="6">
        <v>60</v>
      </c>
    </row>
    <row r="70" spans="1:7" ht="15.75" hidden="1" customHeight="1">
      <c r="A70" s="238" t="s">
        <v>40</v>
      </c>
      <c r="B70" s="6">
        <f t="shared" ref="B70:B79" si="4">SUM(C70:E70)</f>
        <v>31</v>
      </c>
      <c r="C70" s="6">
        <v>1</v>
      </c>
      <c r="D70" s="6">
        <v>9</v>
      </c>
      <c r="E70" s="6">
        <v>21</v>
      </c>
    </row>
    <row r="71" spans="1:7" ht="15.75" hidden="1" customHeight="1">
      <c r="A71" s="238" t="s">
        <v>36</v>
      </c>
      <c r="B71" s="6">
        <f t="shared" si="4"/>
        <v>25</v>
      </c>
      <c r="C71" s="6">
        <v>1</v>
      </c>
      <c r="D71" s="6">
        <v>5</v>
      </c>
      <c r="E71" s="6">
        <v>19</v>
      </c>
    </row>
    <row r="72" spans="1:7" ht="15.75" hidden="1" customHeight="1">
      <c r="A72" s="238" t="s">
        <v>16</v>
      </c>
      <c r="B72" s="6">
        <f t="shared" si="4"/>
        <v>44</v>
      </c>
      <c r="C72" s="6">
        <v>1</v>
      </c>
      <c r="D72" s="6">
        <v>9</v>
      </c>
      <c r="E72" s="6">
        <v>34</v>
      </c>
    </row>
    <row r="73" spans="1:7" ht="15.75" hidden="1" customHeight="1">
      <c r="A73" s="238" t="s">
        <v>37</v>
      </c>
      <c r="B73" s="6">
        <f>SUM(C73:E73)</f>
        <v>43</v>
      </c>
      <c r="C73" s="6">
        <v>1</v>
      </c>
      <c r="D73" s="6">
        <v>7</v>
      </c>
      <c r="E73" s="6">
        <v>35</v>
      </c>
    </row>
    <row r="74" spans="1:7" ht="15.75" hidden="1" customHeight="1">
      <c r="A74" s="238" t="s">
        <v>41</v>
      </c>
      <c r="B74" s="6">
        <f t="shared" si="4"/>
        <v>57</v>
      </c>
      <c r="C74" s="6">
        <v>1</v>
      </c>
      <c r="D74" s="6">
        <v>8</v>
      </c>
      <c r="E74" s="6">
        <v>48</v>
      </c>
    </row>
    <row r="75" spans="1:7" ht="15.75" hidden="1" customHeight="1">
      <c r="A75" s="238" t="s">
        <v>17</v>
      </c>
      <c r="B75" s="6">
        <f t="shared" si="4"/>
        <v>17</v>
      </c>
      <c r="C75" s="6">
        <v>1</v>
      </c>
      <c r="D75" s="6">
        <v>4</v>
      </c>
      <c r="E75" s="6">
        <v>12</v>
      </c>
    </row>
    <row r="76" spans="1:7" ht="15.75" hidden="1" customHeight="1">
      <c r="A76" s="238" t="s">
        <v>19</v>
      </c>
      <c r="B76" s="6">
        <f t="shared" si="4"/>
        <v>55</v>
      </c>
      <c r="C76" s="6">
        <v>1</v>
      </c>
      <c r="D76" s="6">
        <v>13</v>
      </c>
      <c r="E76" s="6">
        <v>41</v>
      </c>
    </row>
    <row r="77" spans="1:7" ht="15.75" hidden="1" customHeight="1">
      <c r="A77" s="238" t="s">
        <v>48</v>
      </c>
      <c r="B77" s="6">
        <f t="shared" si="4"/>
        <v>47</v>
      </c>
      <c r="C77" s="6">
        <v>1</v>
      </c>
      <c r="D77" s="6">
        <v>11</v>
      </c>
      <c r="E77" s="6">
        <v>35</v>
      </c>
    </row>
    <row r="78" spans="1:7" ht="15.75" hidden="1" customHeight="1">
      <c r="A78" s="238" t="s">
        <v>20</v>
      </c>
      <c r="B78" s="6">
        <f t="shared" si="4"/>
        <v>22</v>
      </c>
      <c r="C78" s="6">
        <v>1</v>
      </c>
      <c r="D78" s="6">
        <v>6</v>
      </c>
      <c r="E78" s="6">
        <v>15</v>
      </c>
    </row>
    <row r="79" spans="1:7" ht="15.75" hidden="1" customHeight="1">
      <c r="A79" s="238" t="s">
        <v>21</v>
      </c>
      <c r="B79" s="6">
        <f t="shared" si="4"/>
        <v>16</v>
      </c>
      <c r="C79" s="6">
        <v>1</v>
      </c>
      <c r="D79" s="6">
        <v>5</v>
      </c>
      <c r="E79" s="6">
        <v>10</v>
      </c>
    </row>
    <row r="80" spans="1:7" ht="15.75" hidden="1" customHeight="1">
      <c r="A80" s="239"/>
      <c r="B80" s="150"/>
      <c r="C80" s="43"/>
      <c r="D80" s="43"/>
      <c r="E80" s="43"/>
    </row>
    <row r="81" spans="1:5" ht="15.75" hidden="1" customHeight="1">
      <c r="A81" s="212">
        <v>2014</v>
      </c>
      <c r="D81" s="96"/>
    </row>
    <row r="82" spans="1:5" ht="15.75" hidden="1" customHeight="1">
      <c r="A82" s="239" t="s">
        <v>14</v>
      </c>
      <c r="B82" s="213">
        <f>SUM(B83:B93)</f>
        <v>447</v>
      </c>
      <c r="C82" s="213">
        <f>SUM(C83:C93)</f>
        <v>11</v>
      </c>
      <c r="D82" s="213">
        <f>SUM(D83:D93)</f>
        <v>97</v>
      </c>
      <c r="E82" s="213">
        <f>SUM(E83:E93)</f>
        <v>339</v>
      </c>
    </row>
    <row r="83" spans="1:5" ht="15.75" hidden="1" customHeight="1">
      <c r="A83" s="238" t="s">
        <v>15</v>
      </c>
      <c r="B83" s="88">
        <f>SUM(C83:E83)</f>
        <v>76</v>
      </c>
      <c r="C83" s="88">
        <v>1</v>
      </c>
      <c r="D83" s="88">
        <v>15</v>
      </c>
      <c r="E83" s="88">
        <v>60</v>
      </c>
    </row>
    <row r="84" spans="1:5" ht="15.75" hidden="1" customHeight="1">
      <c r="A84" s="238" t="s">
        <v>40</v>
      </c>
      <c r="B84" s="88">
        <f t="shared" ref="B84:B92" si="5">SUM(C84:E84)</f>
        <v>30</v>
      </c>
      <c r="C84" s="88">
        <v>1</v>
      </c>
      <c r="D84" s="88">
        <v>9</v>
      </c>
      <c r="E84" s="88">
        <v>20</v>
      </c>
    </row>
    <row r="85" spans="1:5" ht="15.75" hidden="1" customHeight="1">
      <c r="A85" s="238" t="s">
        <v>36</v>
      </c>
      <c r="B85" s="88">
        <f t="shared" si="5"/>
        <v>25</v>
      </c>
      <c r="C85" s="88">
        <v>1</v>
      </c>
      <c r="D85" s="88">
        <v>5</v>
      </c>
      <c r="E85" s="88">
        <v>19</v>
      </c>
    </row>
    <row r="86" spans="1:5" ht="15.75" hidden="1" customHeight="1">
      <c r="A86" s="238" t="s">
        <v>16</v>
      </c>
      <c r="B86" s="88">
        <f t="shared" si="5"/>
        <v>47</v>
      </c>
      <c r="C86" s="88">
        <v>1</v>
      </c>
      <c r="D86" s="88">
        <v>9</v>
      </c>
      <c r="E86" s="88">
        <v>37</v>
      </c>
    </row>
    <row r="87" spans="1:5" ht="15.75" hidden="1" customHeight="1">
      <c r="A87" s="238" t="s">
        <v>37</v>
      </c>
      <c r="B87" s="88">
        <f t="shared" si="5"/>
        <v>43</v>
      </c>
      <c r="C87" s="88">
        <v>1</v>
      </c>
      <c r="D87" s="88">
        <v>9</v>
      </c>
      <c r="E87" s="88">
        <v>33</v>
      </c>
    </row>
    <row r="88" spans="1:5" ht="15.75" hidden="1" customHeight="1">
      <c r="A88" s="238" t="s">
        <v>41</v>
      </c>
      <c r="B88" s="88">
        <f t="shared" si="5"/>
        <v>57</v>
      </c>
      <c r="C88" s="88">
        <v>1</v>
      </c>
      <c r="D88" s="88">
        <v>8</v>
      </c>
      <c r="E88" s="88">
        <v>48</v>
      </c>
    </row>
    <row r="89" spans="1:5" ht="15.75" hidden="1" customHeight="1">
      <c r="A89" s="238" t="s">
        <v>17</v>
      </c>
      <c r="B89" s="88">
        <f t="shared" si="5"/>
        <v>17</v>
      </c>
      <c r="C89" s="88">
        <v>1</v>
      </c>
      <c r="D89" s="88">
        <v>4</v>
      </c>
      <c r="E89" s="88">
        <v>12</v>
      </c>
    </row>
    <row r="90" spans="1:5" ht="15.75" hidden="1" customHeight="1">
      <c r="A90" s="238" t="s">
        <v>19</v>
      </c>
      <c r="B90" s="88">
        <f t="shared" si="5"/>
        <v>63</v>
      </c>
      <c r="C90" s="88">
        <v>1</v>
      </c>
      <c r="D90" s="88">
        <v>13</v>
      </c>
      <c r="E90" s="88">
        <v>49</v>
      </c>
    </row>
    <row r="91" spans="1:5" ht="15.75" hidden="1" customHeight="1">
      <c r="A91" s="238" t="s">
        <v>48</v>
      </c>
      <c r="B91" s="88">
        <f t="shared" si="5"/>
        <v>49</v>
      </c>
      <c r="C91" s="88">
        <v>1</v>
      </c>
      <c r="D91" s="88">
        <v>12</v>
      </c>
      <c r="E91" s="88">
        <v>36</v>
      </c>
    </row>
    <row r="92" spans="1:5" ht="15.75" hidden="1" customHeight="1">
      <c r="A92" s="238" t="s">
        <v>20</v>
      </c>
      <c r="B92" s="88">
        <f t="shared" si="5"/>
        <v>24</v>
      </c>
      <c r="C92" s="88">
        <v>1</v>
      </c>
      <c r="D92" s="88">
        <v>7</v>
      </c>
      <c r="E92" s="88">
        <v>16</v>
      </c>
    </row>
    <row r="93" spans="1:5" hidden="1">
      <c r="A93" s="238" t="s">
        <v>21</v>
      </c>
      <c r="B93" s="88">
        <f>SUM(C93:E93)</f>
        <v>16</v>
      </c>
      <c r="C93" s="88">
        <v>1</v>
      </c>
      <c r="D93" s="88">
        <v>6</v>
      </c>
      <c r="E93" s="88">
        <v>9</v>
      </c>
    </row>
    <row r="94" spans="1:5" ht="16.5" hidden="1" customHeight="1">
      <c r="A94" s="212">
        <v>2015</v>
      </c>
      <c r="D94" s="96"/>
    </row>
    <row r="95" spans="1:5" ht="12.75" hidden="1" customHeight="1">
      <c r="A95" s="239" t="s">
        <v>14</v>
      </c>
      <c r="B95" s="11">
        <f>SUM(C95:E95)</f>
        <v>456</v>
      </c>
      <c r="C95" s="11">
        <f>SUM(C96:C106)</f>
        <v>11</v>
      </c>
      <c r="D95" s="11">
        <f>SUM(D96:D106)</f>
        <v>95</v>
      </c>
      <c r="E95" s="11">
        <f>SUM(E96:E106)</f>
        <v>350</v>
      </c>
    </row>
    <row r="96" spans="1:5" ht="12.75" hidden="1" customHeight="1">
      <c r="A96" s="238" t="s">
        <v>15</v>
      </c>
      <c r="B96" s="6">
        <f t="shared" ref="B96:B105" si="6">SUM(C96:E96)</f>
        <v>78</v>
      </c>
      <c r="C96" s="24">
        <v>1</v>
      </c>
      <c r="D96" s="24">
        <v>12</v>
      </c>
      <c r="E96" s="6">
        <v>65</v>
      </c>
    </row>
    <row r="97" spans="1:5" ht="12.75" hidden="1" customHeight="1">
      <c r="A97" s="238" t="s">
        <v>40</v>
      </c>
      <c r="B97" s="6">
        <f t="shared" si="6"/>
        <v>28</v>
      </c>
      <c r="C97" s="6">
        <v>1</v>
      </c>
      <c r="D97" s="6">
        <v>9</v>
      </c>
      <c r="E97" s="6">
        <v>18</v>
      </c>
    </row>
    <row r="98" spans="1:5" ht="12.75" hidden="1" customHeight="1">
      <c r="A98" s="238" t="s">
        <v>36</v>
      </c>
      <c r="B98" s="6">
        <f t="shared" si="6"/>
        <v>26</v>
      </c>
      <c r="C98" s="26">
        <v>1</v>
      </c>
      <c r="D98" s="26">
        <v>5</v>
      </c>
      <c r="E98" s="26">
        <v>20</v>
      </c>
    </row>
    <row r="99" spans="1:5" ht="12.75" hidden="1" customHeight="1">
      <c r="A99" s="238" t="s">
        <v>16</v>
      </c>
      <c r="B99" s="6">
        <f t="shared" si="6"/>
        <v>47</v>
      </c>
      <c r="C99" s="6">
        <v>1</v>
      </c>
      <c r="D99" s="6">
        <v>7</v>
      </c>
      <c r="E99" s="6">
        <v>39</v>
      </c>
    </row>
    <row r="100" spans="1:5" ht="12.75" hidden="1" customHeight="1">
      <c r="A100" s="238" t="s">
        <v>37</v>
      </c>
      <c r="B100" s="6">
        <f t="shared" si="6"/>
        <v>44</v>
      </c>
      <c r="C100" s="6">
        <v>1</v>
      </c>
      <c r="D100" s="6">
        <v>9</v>
      </c>
      <c r="E100" s="6">
        <v>34</v>
      </c>
    </row>
    <row r="101" spans="1:5" ht="12.75" hidden="1" customHeight="1">
      <c r="A101" s="238" t="s">
        <v>41</v>
      </c>
      <c r="B101" s="6">
        <f t="shared" si="6"/>
        <v>58</v>
      </c>
      <c r="C101" s="6">
        <v>1</v>
      </c>
      <c r="D101" s="6">
        <v>8</v>
      </c>
      <c r="E101" s="6">
        <v>49</v>
      </c>
    </row>
    <row r="102" spans="1:5" ht="12.75" hidden="1" customHeight="1">
      <c r="A102" s="238" t="s">
        <v>17</v>
      </c>
      <c r="B102" s="6">
        <f t="shared" si="6"/>
        <v>17</v>
      </c>
      <c r="C102" s="6">
        <v>1</v>
      </c>
      <c r="D102" s="6">
        <v>4</v>
      </c>
      <c r="E102" s="6">
        <v>12</v>
      </c>
    </row>
    <row r="103" spans="1:5" ht="12.75" hidden="1" customHeight="1">
      <c r="A103" s="238" t="s">
        <v>19</v>
      </c>
      <c r="B103" s="6">
        <f t="shared" si="6"/>
        <v>70</v>
      </c>
      <c r="C103" s="6">
        <v>1</v>
      </c>
      <c r="D103" s="6">
        <v>14</v>
      </c>
      <c r="E103" s="6">
        <v>55</v>
      </c>
    </row>
    <row r="104" spans="1:5" ht="12.75" hidden="1" customHeight="1">
      <c r="A104" s="238" t="s">
        <v>48</v>
      </c>
      <c r="B104" s="6">
        <f t="shared" si="6"/>
        <v>48</v>
      </c>
      <c r="C104" s="6">
        <v>1</v>
      </c>
      <c r="D104" s="6">
        <v>13</v>
      </c>
      <c r="E104" s="6">
        <v>34</v>
      </c>
    </row>
    <row r="105" spans="1:5" ht="12.75" hidden="1" customHeight="1">
      <c r="A105" s="238" t="s">
        <v>20</v>
      </c>
      <c r="B105" s="6">
        <f t="shared" si="6"/>
        <v>24</v>
      </c>
      <c r="C105" s="6">
        <v>1</v>
      </c>
      <c r="D105" s="6">
        <v>6</v>
      </c>
      <c r="E105" s="6">
        <v>17</v>
      </c>
    </row>
    <row r="106" spans="1:5" ht="12.75" hidden="1" customHeight="1">
      <c r="A106" s="238" t="s">
        <v>21</v>
      </c>
      <c r="B106" s="6">
        <f>SUM(C106:E106)</f>
        <v>16</v>
      </c>
      <c r="C106" s="6">
        <v>1</v>
      </c>
      <c r="D106" s="6">
        <v>8</v>
      </c>
      <c r="E106" s="6">
        <v>7</v>
      </c>
    </row>
    <row r="107" spans="1:5" ht="15.75" hidden="1" customHeight="1">
      <c r="A107" s="212">
        <v>2016</v>
      </c>
      <c r="D107" s="96"/>
    </row>
    <row r="108" spans="1:5" ht="15.75" hidden="1" customHeight="1">
      <c r="A108" s="239" t="s">
        <v>14</v>
      </c>
      <c r="B108" s="11">
        <f>SUM(C108:E108)</f>
        <v>455</v>
      </c>
      <c r="C108" s="11">
        <f>SUM(C109:C119)</f>
        <v>11</v>
      </c>
      <c r="D108" s="11">
        <f>SUM(D109:D119)</f>
        <v>95</v>
      </c>
      <c r="E108" s="11">
        <f>SUM(E109:E119)</f>
        <v>349</v>
      </c>
    </row>
    <row r="109" spans="1:5" ht="15.75" hidden="1" customHeight="1">
      <c r="A109" s="238" t="s">
        <v>15</v>
      </c>
      <c r="B109" s="6">
        <f>SUM(C109:E109)</f>
        <v>78</v>
      </c>
      <c r="C109" s="24">
        <v>1</v>
      </c>
      <c r="D109" s="24">
        <v>12</v>
      </c>
      <c r="E109" s="6">
        <v>65</v>
      </c>
    </row>
    <row r="110" spans="1:5" ht="15.75" hidden="1" customHeight="1">
      <c r="A110" s="238" t="s">
        <v>40</v>
      </c>
      <c r="B110" s="6">
        <f>SUM(C110:E110)</f>
        <v>28</v>
      </c>
      <c r="C110" s="6">
        <v>1</v>
      </c>
      <c r="D110" s="6">
        <v>9</v>
      </c>
      <c r="E110" s="6">
        <v>18</v>
      </c>
    </row>
    <row r="111" spans="1:5" ht="15.75" hidden="1" customHeight="1">
      <c r="A111" s="238" t="s">
        <v>36</v>
      </c>
      <c r="B111" s="6">
        <f t="shared" ref="B111:B119" si="7">SUM(C111:E111)</f>
        <v>26</v>
      </c>
      <c r="C111" s="6">
        <v>1</v>
      </c>
      <c r="D111" s="6">
        <v>5</v>
      </c>
      <c r="E111" s="6">
        <v>20</v>
      </c>
    </row>
    <row r="112" spans="1:5" ht="15.75" hidden="1" customHeight="1">
      <c r="A112" s="238" t="s">
        <v>16</v>
      </c>
      <c r="B112" s="6">
        <f t="shared" si="7"/>
        <v>46</v>
      </c>
      <c r="C112" s="6">
        <v>1</v>
      </c>
      <c r="D112" s="6">
        <v>7</v>
      </c>
      <c r="E112" s="6">
        <v>38</v>
      </c>
    </row>
    <row r="113" spans="1:5" ht="15.75" hidden="1" customHeight="1">
      <c r="A113" s="238" t="s">
        <v>37</v>
      </c>
      <c r="B113" s="6">
        <f t="shared" si="7"/>
        <v>44</v>
      </c>
      <c r="C113" s="6">
        <v>1</v>
      </c>
      <c r="D113" s="6">
        <v>9</v>
      </c>
      <c r="E113" s="6">
        <v>34</v>
      </c>
    </row>
    <row r="114" spans="1:5" ht="15.75" hidden="1" customHeight="1">
      <c r="A114" s="238" t="s">
        <v>41</v>
      </c>
      <c r="B114" s="6">
        <f t="shared" si="7"/>
        <v>58</v>
      </c>
      <c r="C114" s="6">
        <v>1</v>
      </c>
      <c r="D114" s="6">
        <v>8</v>
      </c>
      <c r="E114" s="6">
        <v>49</v>
      </c>
    </row>
    <row r="115" spans="1:5" ht="15.75" hidden="1" customHeight="1">
      <c r="A115" s="238" t="s">
        <v>17</v>
      </c>
      <c r="B115" s="6">
        <f t="shared" si="7"/>
        <v>17</v>
      </c>
      <c r="C115" s="6">
        <v>1</v>
      </c>
      <c r="D115" s="6">
        <v>4</v>
      </c>
      <c r="E115" s="6">
        <v>12</v>
      </c>
    </row>
    <row r="116" spans="1:5" ht="15.75" hidden="1" customHeight="1">
      <c r="A116" s="238" t="s">
        <v>19</v>
      </c>
      <c r="B116" s="6">
        <f t="shared" si="7"/>
        <v>70</v>
      </c>
      <c r="C116" s="6">
        <v>1</v>
      </c>
      <c r="D116" s="6">
        <v>14</v>
      </c>
      <c r="E116" s="6">
        <v>55</v>
      </c>
    </row>
    <row r="117" spans="1:5" ht="15.75" hidden="1" customHeight="1">
      <c r="A117" s="238" t="s">
        <v>48</v>
      </c>
      <c r="B117" s="6">
        <f t="shared" si="7"/>
        <v>48</v>
      </c>
      <c r="C117" s="6">
        <v>1</v>
      </c>
      <c r="D117" s="6">
        <v>13</v>
      </c>
      <c r="E117" s="6">
        <v>34</v>
      </c>
    </row>
    <row r="118" spans="1:5" ht="15.75" hidden="1" customHeight="1">
      <c r="A118" s="238" t="s">
        <v>20</v>
      </c>
      <c r="B118" s="6">
        <f t="shared" si="7"/>
        <v>24</v>
      </c>
      <c r="C118" s="6">
        <v>1</v>
      </c>
      <c r="D118" s="6">
        <v>6</v>
      </c>
      <c r="E118" s="6">
        <v>17</v>
      </c>
    </row>
    <row r="119" spans="1:5" ht="15.75" hidden="1" customHeight="1">
      <c r="A119" s="238" t="s">
        <v>21</v>
      </c>
      <c r="B119" s="6">
        <f t="shared" si="7"/>
        <v>16</v>
      </c>
      <c r="C119" s="6">
        <v>1</v>
      </c>
      <c r="D119" s="6">
        <v>8</v>
      </c>
      <c r="E119" s="6">
        <v>7</v>
      </c>
    </row>
    <row r="120" spans="1:5" ht="11.1" hidden="1" customHeight="1">
      <c r="A120" s="239">
        <v>2017</v>
      </c>
      <c r="D120" s="96"/>
    </row>
    <row r="121" spans="1:5" ht="11.1" hidden="1" customHeight="1">
      <c r="A121" s="239" t="s">
        <v>14</v>
      </c>
      <c r="B121" s="11">
        <f>SUM(C121:E121)</f>
        <v>457</v>
      </c>
      <c r="C121" s="11">
        <f>SUM(C122:C132)</f>
        <v>11</v>
      </c>
      <c r="D121" s="11">
        <f>SUM(D122:D132)</f>
        <v>95</v>
      </c>
      <c r="E121" s="11">
        <f>SUM(E122:E132)</f>
        <v>351</v>
      </c>
    </row>
    <row r="122" spans="1:5" ht="11.1" hidden="1" customHeight="1">
      <c r="A122" s="238" t="s">
        <v>15</v>
      </c>
      <c r="B122" s="6">
        <f>SUM(C122:E122)</f>
        <v>78</v>
      </c>
      <c r="C122" s="6">
        <v>1</v>
      </c>
      <c r="D122" s="6">
        <v>12</v>
      </c>
      <c r="E122" s="6">
        <v>65</v>
      </c>
    </row>
    <row r="123" spans="1:5" ht="11.1" hidden="1" customHeight="1">
      <c r="A123" s="238" t="s">
        <v>40</v>
      </c>
      <c r="B123" s="6">
        <f>SUM(C123:E123)</f>
        <v>28</v>
      </c>
      <c r="C123" s="6">
        <v>1</v>
      </c>
      <c r="D123" s="6">
        <v>9</v>
      </c>
      <c r="E123" s="6">
        <v>18</v>
      </c>
    </row>
    <row r="124" spans="1:5" ht="11.1" hidden="1" customHeight="1">
      <c r="A124" s="238" t="s">
        <v>36</v>
      </c>
      <c r="B124" s="6">
        <f t="shared" ref="B124:B131" si="8">SUM(C124:E124)</f>
        <v>26</v>
      </c>
      <c r="C124" s="6">
        <v>1</v>
      </c>
      <c r="D124" s="6">
        <v>5</v>
      </c>
      <c r="E124" s="6">
        <v>20</v>
      </c>
    </row>
    <row r="125" spans="1:5" ht="11.1" hidden="1" customHeight="1">
      <c r="A125" s="238" t="s">
        <v>16</v>
      </c>
      <c r="B125" s="6">
        <f t="shared" si="8"/>
        <v>47</v>
      </c>
      <c r="C125" s="6">
        <v>1</v>
      </c>
      <c r="D125" s="6">
        <v>7</v>
      </c>
      <c r="E125" s="6">
        <v>39</v>
      </c>
    </row>
    <row r="126" spans="1:5" ht="11.1" hidden="1" customHeight="1">
      <c r="A126" s="238" t="s">
        <v>37</v>
      </c>
      <c r="B126" s="6">
        <f t="shared" si="8"/>
        <v>44</v>
      </c>
      <c r="C126" s="6">
        <v>1</v>
      </c>
      <c r="D126" s="6">
        <v>9</v>
      </c>
      <c r="E126" s="6">
        <v>34</v>
      </c>
    </row>
    <row r="127" spans="1:5" ht="11.1" hidden="1" customHeight="1">
      <c r="A127" s="238" t="s">
        <v>41</v>
      </c>
      <c r="B127" s="6">
        <f t="shared" si="8"/>
        <v>58</v>
      </c>
      <c r="C127" s="6">
        <v>1</v>
      </c>
      <c r="D127" s="6">
        <v>8</v>
      </c>
      <c r="E127" s="6">
        <v>49</v>
      </c>
    </row>
    <row r="128" spans="1:5" ht="11.1" hidden="1" customHeight="1">
      <c r="A128" s="238" t="s">
        <v>17</v>
      </c>
      <c r="B128" s="6">
        <f t="shared" si="8"/>
        <v>17</v>
      </c>
      <c r="C128" s="6">
        <v>1</v>
      </c>
      <c r="D128" s="6">
        <v>4</v>
      </c>
      <c r="E128" s="6">
        <v>12</v>
      </c>
    </row>
    <row r="129" spans="1:5" ht="11.1" hidden="1" customHeight="1">
      <c r="A129" s="238" t="s">
        <v>19</v>
      </c>
      <c r="B129" s="6">
        <f t="shared" si="8"/>
        <v>70</v>
      </c>
      <c r="C129" s="6">
        <v>1</v>
      </c>
      <c r="D129" s="6">
        <v>14</v>
      </c>
      <c r="E129" s="6">
        <v>55</v>
      </c>
    </row>
    <row r="130" spans="1:5" ht="11.1" hidden="1" customHeight="1">
      <c r="A130" s="238" t="s">
        <v>48</v>
      </c>
      <c r="B130" s="6">
        <f t="shared" si="8"/>
        <v>48</v>
      </c>
      <c r="C130" s="6">
        <v>1</v>
      </c>
      <c r="D130" s="6">
        <v>13</v>
      </c>
      <c r="E130" s="6">
        <v>34</v>
      </c>
    </row>
    <row r="131" spans="1:5" ht="11.1" hidden="1" customHeight="1">
      <c r="A131" s="238" t="s">
        <v>20</v>
      </c>
      <c r="B131" s="6">
        <f t="shared" si="8"/>
        <v>25</v>
      </c>
      <c r="C131" s="6">
        <v>1</v>
      </c>
      <c r="D131" s="6">
        <v>6</v>
      </c>
      <c r="E131" s="6">
        <v>18</v>
      </c>
    </row>
    <row r="132" spans="1:5" ht="11.1" hidden="1" customHeight="1">
      <c r="A132" s="238" t="s">
        <v>21</v>
      </c>
      <c r="B132" s="6">
        <f>SUM(C132:E132)</f>
        <v>16</v>
      </c>
      <c r="C132" s="6">
        <v>1</v>
      </c>
      <c r="D132" s="6">
        <v>8</v>
      </c>
      <c r="E132" s="6">
        <v>7</v>
      </c>
    </row>
    <row r="133" spans="1:5" ht="11.1" hidden="1" customHeight="1">
      <c r="A133" s="239">
        <v>2018</v>
      </c>
      <c r="D133" s="96"/>
    </row>
    <row r="134" spans="1:5" ht="11.1" hidden="1" customHeight="1">
      <c r="A134" s="239" t="s">
        <v>736</v>
      </c>
      <c r="B134" s="11">
        <f>SUM(C134:E134)</f>
        <v>433</v>
      </c>
      <c r="C134" s="405">
        <f>SUM(C135:C145)</f>
        <v>11</v>
      </c>
      <c r="D134" s="405">
        <f>SUM(D135:D145)</f>
        <v>90</v>
      </c>
      <c r="E134" s="405">
        <f>SUM(E135:E145)</f>
        <v>332</v>
      </c>
    </row>
    <row r="135" spans="1:5" ht="11.1" hidden="1" customHeight="1">
      <c r="A135" s="238" t="s">
        <v>15</v>
      </c>
      <c r="B135" s="6">
        <f>SUM(C135:E135)</f>
        <v>80</v>
      </c>
      <c r="C135" s="24">
        <v>1</v>
      </c>
      <c r="D135" s="6">
        <v>12</v>
      </c>
      <c r="E135" s="24">
        <v>67</v>
      </c>
    </row>
    <row r="136" spans="1:5" ht="11.1" hidden="1" customHeight="1">
      <c r="A136" s="238" t="s">
        <v>40</v>
      </c>
      <c r="B136" s="6">
        <f>SUM(C136:E136)</f>
        <v>40</v>
      </c>
      <c r="C136" s="24">
        <v>1</v>
      </c>
      <c r="D136" s="6">
        <v>12</v>
      </c>
      <c r="E136" s="24">
        <v>27</v>
      </c>
    </row>
    <row r="137" spans="1:5" ht="11.1" hidden="1" customHeight="1">
      <c r="A137" s="238" t="s">
        <v>36</v>
      </c>
      <c r="B137" s="6">
        <f t="shared" ref="B137:B145" si="9">SUM(C137:E137)</f>
        <v>38</v>
      </c>
      <c r="C137" s="24">
        <v>1</v>
      </c>
      <c r="D137" s="6">
        <v>8</v>
      </c>
      <c r="E137" s="24">
        <v>29</v>
      </c>
    </row>
    <row r="138" spans="1:5" ht="11.1" hidden="1" customHeight="1">
      <c r="A138" s="238" t="s">
        <v>16</v>
      </c>
      <c r="B138" s="6">
        <f t="shared" si="9"/>
        <v>47</v>
      </c>
      <c r="C138" s="24">
        <v>1</v>
      </c>
      <c r="D138" s="6">
        <v>7</v>
      </c>
      <c r="E138" s="24">
        <v>39</v>
      </c>
    </row>
    <row r="139" spans="1:5" ht="11.1" hidden="1" customHeight="1">
      <c r="A139" s="238" t="s">
        <v>37</v>
      </c>
      <c r="B139" s="6">
        <f t="shared" si="9"/>
        <v>45</v>
      </c>
      <c r="C139" s="24">
        <v>1</v>
      </c>
      <c r="D139" s="6">
        <v>9</v>
      </c>
      <c r="E139" s="24">
        <v>35</v>
      </c>
    </row>
    <row r="140" spans="1:5" ht="11.1" hidden="1" customHeight="1">
      <c r="A140" s="238" t="s">
        <v>41</v>
      </c>
      <c r="B140" s="6">
        <f t="shared" si="9"/>
        <v>36</v>
      </c>
      <c r="C140" s="24">
        <v>1</v>
      </c>
      <c r="D140" s="6">
        <v>5</v>
      </c>
      <c r="E140" s="24">
        <v>30</v>
      </c>
    </row>
    <row r="141" spans="1:5" ht="11.1" hidden="1" customHeight="1">
      <c r="A141" s="238" t="s">
        <v>17</v>
      </c>
      <c r="B141" s="6">
        <f t="shared" si="9"/>
        <v>28</v>
      </c>
      <c r="C141" s="24">
        <v>1</v>
      </c>
      <c r="D141" s="6">
        <v>5</v>
      </c>
      <c r="E141" s="24">
        <v>22</v>
      </c>
    </row>
    <row r="142" spans="1:5" ht="11.1" hidden="1" customHeight="1">
      <c r="A142" s="238" t="s">
        <v>19</v>
      </c>
      <c r="B142" s="6">
        <f t="shared" si="9"/>
        <v>39</v>
      </c>
      <c r="C142" s="24">
        <v>1</v>
      </c>
      <c r="D142" s="6">
        <v>7</v>
      </c>
      <c r="E142" s="24">
        <v>31</v>
      </c>
    </row>
    <row r="143" spans="1:5" ht="11.1" hidden="1" customHeight="1">
      <c r="A143" s="238" t="s">
        <v>48</v>
      </c>
      <c r="B143" s="6">
        <f t="shared" si="9"/>
        <v>29</v>
      </c>
      <c r="C143" s="24">
        <v>1</v>
      </c>
      <c r="D143" s="6">
        <v>9</v>
      </c>
      <c r="E143" s="24">
        <v>19</v>
      </c>
    </row>
    <row r="144" spans="1:5" ht="11.1" hidden="1" customHeight="1">
      <c r="A144" s="238" t="s">
        <v>20</v>
      </c>
      <c r="B144" s="6">
        <f t="shared" si="9"/>
        <v>35</v>
      </c>
      <c r="C144" s="24">
        <v>1</v>
      </c>
      <c r="D144" s="6">
        <v>8</v>
      </c>
      <c r="E144" s="24">
        <v>26</v>
      </c>
    </row>
    <row r="145" spans="1:7" ht="11.1" hidden="1" customHeight="1">
      <c r="A145" s="238" t="s">
        <v>21</v>
      </c>
      <c r="B145" s="6">
        <f t="shared" si="9"/>
        <v>16</v>
      </c>
      <c r="C145" s="24">
        <v>1</v>
      </c>
      <c r="D145" s="6">
        <v>8</v>
      </c>
      <c r="E145" s="24">
        <v>7</v>
      </c>
    </row>
    <row r="146" spans="1:7" ht="11.1" hidden="1" customHeight="1">
      <c r="A146" s="239">
        <v>2019</v>
      </c>
      <c r="D146" s="96"/>
    </row>
    <row r="147" spans="1:7" ht="11.1" hidden="1" customHeight="1">
      <c r="A147" s="239" t="s">
        <v>736</v>
      </c>
      <c r="B147" s="11">
        <f>SUM(C147:E147)</f>
        <v>433</v>
      </c>
      <c r="C147" s="405">
        <f>SUM(C148:C158)</f>
        <v>11</v>
      </c>
      <c r="D147" s="405">
        <f>SUM(D148:D158)</f>
        <v>90</v>
      </c>
      <c r="E147" s="405">
        <f>SUM(E148:E158)</f>
        <v>332</v>
      </c>
      <c r="G147" s="24"/>
    </row>
    <row r="148" spans="1:7" ht="11.1" hidden="1" customHeight="1">
      <c r="A148" s="238" t="s">
        <v>15</v>
      </c>
      <c r="B148" s="6">
        <f t="shared" ref="B148:B158" si="10">SUM(C148:E148)</f>
        <v>79</v>
      </c>
      <c r="C148" s="24">
        <v>1</v>
      </c>
      <c r="D148" s="6">
        <v>12</v>
      </c>
      <c r="E148" s="24">
        <v>66</v>
      </c>
      <c r="G148" s="24"/>
    </row>
    <row r="149" spans="1:7" ht="11.1" hidden="1" customHeight="1">
      <c r="A149" s="238" t="s">
        <v>40</v>
      </c>
      <c r="B149" s="6">
        <f>SUM(C149:E149)</f>
        <v>40</v>
      </c>
      <c r="C149" s="24">
        <v>1</v>
      </c>
      <c r="D149" s="6">
        <v>12</v>
      </c>
      <c r="E149" s="24">
        <v>27</v>
      </c>
      <c r="G149" s="24"/>
    </row>
    <row r="150" spans="1:7" ht="11.1" hidden="1" customHeight="1">
      <c r="A150" s="238" t="s">
        <v>36</v>
      </c>
      <c r="B150" s="6">
        <f t="shared" si="10"/>
        <v>38</v>
      </c>
      <c r="C150" s="24">
        <v>1</v>
      </c>
      <c r="D150" s="6">
        <v>8</v>
      </c>
      <c r="E150" s="24">
        <v>29</v>
      </c>
      <c r="G150" s="24"/>
    </row>
    <row r="151" spans="1:7" ht="11.1" hidden="1" customHeight="1">
      <c r="A151" s="238" t="s">
        <v>16</v>
      </c>
      <c r="B151" s="6">
        <f t="shared" si="10"/>
        <v>46</v>
      </c>
      <c r="C151" s="24">
        <v>1</v>
      </c>
      <c r="D151" s="6">
        <v>7</v>
      </c>
      <c r="E151" s="24">
        <v>38</v>
      </c>
      <c r="G151" s="24"/>
    </row>
    <row r="152" spans="1:7" ht="11.1" hidden="1" customHeight="1">
      <c r="A152" s="238" t="s">
        <v>37</v>
      </c>
      <c r="B152" s="6">
        <f t="shared" si="10"/>
        <v>47</v>
      </c>
      <c r="C152" s="24">
        <v>1</v>
      </c>
      <c r="D152" s="6">
        <v>9</v>
      </c>
      <c r="E152" s="24">
        <v>37</v>
      </c>
      <c r="G152" s="24"/>
    </row>
    <row r="153" spans="1:7" ht="11.1" hidden="1" customHeight="1">
      <c r="A153" s="238" t="s">
        <v>41</v>
      </c>
      <c r="B153" s="6">
        <f t="shared" si="10"/>
        <v>35</v>
      </c>
      <c r="C153" s="24">
        <v>1</v>
      </c>
      <c r="D153" s="6">
        <v>5</v>
      </c>
      <c r="E153" s="24">
        <v>29</v>
      </c>
      <c r="G153" s="24"/>
    </row>
    <row r="154" spans="1:7" ht="11.1" hidden="1" customHeight="1">
      <c r="A154" s="238" t="s">
        <v>17</v>
      </c>
      <c r="B154" s="6">
        <f t="shared" si="10"/>
        <v>28</v>
      </c>
      <c r="C154" s="24">
        <v>1</v>
      </c>
      <c r="D154" s="6">
        <v>5</v>
      </c>
      <c r="E154" s="24">
        <v>22</v>
      </c>
      <c r="G154" s="24"/>
    </row>
    <row r="155" spans="1:7" ht="11.1" hidden="1" customHeight="1">
      <c r="A155" s="238" t="s">
        <v>19</v>
      </c>
      <c r="B155" s="6">
        <f t="shared" si="10"/>
        <v>39</v>
      </c>
      <c r="C155" s="24">
        <v>1</v>
      </c>
      <c r="D155" s="6">
        <v>7</v>
      </c>
      <c r="E155" s="24">
        <v>31</v>
      </c>
      <c r="G155" s="24"/>
    </row>
    <row r="156" spans="1:7" ht="11.1" hidden="1" customHeight="1">
      <c r="A156" s="238" t="s">
        <v>48</v>
      </c>
      <c r="B156" s="6">
        <f t="shared" si="10"/>
        <v>29</v>
      </c>
      <c r="C156" s="24">
        <v>1</v>
      </c>
      <c r="D156" s="6">
        <v>9</v>
      </c>
      <c r="E156" s="24">
        <v>19</v>
      </c>
      <c r="G156" s="24"/>
    </row>
    <row r="157" spans="1:7" ht="11.1" hidden="1" customHeight="1">
      <c r="A157" s="238" t="s">
        <v>20</v>
      </c>
      <c r="B157" s="6">
        <f t="shared" si="10"/>
        <v>36</v>
      </c>
      <c r="C157" s="24">
        <v>1</v>
      </c>
      <c r="D157" s="6">
        <v>8</v>
      </c>
      <c r="E157" s="24">
        <v>27</v>
      </c>
      <c r="G157" s="24"/>
    </row>
    <row r="158" spans="1:7" ht="11.1" hidden="1" customHeight="1">
      <c r="A158" s="238" t="s">
        <v>21</v>
      </c>
      <c r="B158" s="6">
        <f t="shared" si="10"/>
        <v>16</v>
      </c>
      <c r="C158" s="24">
        <v>1</v>
      </c>
      <c r="D158" s="6">
        <v>8</v>
      </c>
      <c r="E158" s="24">
        <v>7</v>
      </c>
    </row>
    <row r="159" spans="1:7" ht="5.0999999999999996" customHeight="1">
      <c r="A159" s="238"/>
      <c r="C159" s="24"/>
      <c r="E159" s="24"/>
    </row>
    <row r="160" spans="1:7" ht="11.1" customHeight="1">
      <c r="A160" s="239">
        <v>2020</v>
      </c>
      <c r="D160" s="96"/>
    </row>
    <row r="161" spans="1:5" ht="11.1" customHeight="1">
      <c r="A161" s="239" t="s">
        <v>736</v>
      </c>
      <c r="B161" s="11">
        <f>SUM(C161:E161)</f>
        <v>445</v>
      </c>
      <c r="C161" s="405">
        <f>SUM(C162:C172)</f>
        <v>11</v>
      </c>
      <c r="D161" s="405">
        <f>SUM(D162:D172)</f>
        <v>101</v>
      </c>
      <c r="E161" s="405">
        <f>SUM(E162:E172)</f>
        <v>333</v>
      </c>
    </row>
    <row r="162" spans="1:5" ht="11.1" customHeight="1">
      <c r="A162" s="238" t="s">
        <v>15</v>
      </c>
      <c r="B162" s="6">
        <f>SUM(C162:E162)</f>
        <v>83</v>
      </c>
      <c r="C162" s="24">
        <v>1</v>
      </c>
      <c r="D162" s="6">
        <v>16</v>
      </c>
      <c r="E162" s="24">
        <v>66</v>
      </c>
    </row>
    <row r="163" spans="1:5" ht="11.1" customHeight="1">
      <c r="A163" s="238" t="s">
        <v>40</v>
      </c>
      <c r="B163" s="6">
        <f>SUM(C163:E163)</f>
        <v>41</v>
      </c>
      <c r="C163" s="24">
        <v>1</v>
      </c>
      <c r="D163" s="6">
        <v>13</v>
      </c>
      <c r="E163" s="24">
        <v>27</v>
      </c>
    </row>
    <row r="164" spans="1:5" ht="11.1" customHeight="1">
      <c r="A164" s="238" t="s">
        <v>36</v>
      </c>
      <c r="B164" s="6">
        <f t="shared" ref="B164:B172" si="11">SUM(C164:E164)</f>
        <v>37</v>
      </c>
      <c r="C164" s="24">
        <v>1</v>
      </c>
      <c r="D164" s="6">
        <v>7</v>
      </c>
      <c r="E164" s="24">
        <v>29</v>
      </c>
    </row>
    <row r="165" spans="1:5" ht="11.1" customHeight="1">
      <c r="A165" s="238" t="s">
        <v>16</v>
      </c>
      <c r="B165" s="6">
        <f t="shared" si="11"/>
        <v>49</v>
      </c>
      <c r="C165" s="24">
        <v>1</v>
      </c>
      <c r="D165" s="6">
        <v>8</v>
      </c>
      <c r="E165" s="24">
        <v>40</v>
      </c>
    </row>
    <row r="166" spans="1:5" ht="11.1" customHeight="1">
      <c r="A166" s="238" t="s">
        <v>37</v>
      </c>
      <c r="B166" s="6">
        <f t="shared" si="11"/>
        <v>45</v>
      </c>
      <c r="C166" s="24">
        <v>1</v>
      </c>
      <c r="D166" s="6">
        <v>9</v>
      </c>
      <c r="E166" s="24">
        <v>35</v>
      </c>
    </row>
    <row r="167" spans="1:5" ht="11.1" customHeight="1">
      <c r="A167" s="238" t="s">
        <v>41</v>
      </c>
      <c r="B167" s="6">
        <f t="shared" si="11"/>
        <v>37</v>
      </c>
      <c r="C167" s="24">
        <v>1</v>
      </c>
      <c r="D167" s="6">
        <v>6</v>
      </c>
      <c r="E167" s="24">
        <v>30</v>
      </c>
    </row>
    <row r="168" spans="1:5" ht="11.1" customHeight="1">
      <c r="A168" s="238" t="s">
        <v>17</v>
      </c>
      <c r="B168" s="6">
        <f t="shared" si="11"/>
        <v>27</v>
      </c>
      <c r="C168" s="24">
        <v>1</v>
      </c>
      <c r="D168" s="6">
        <v>5</v>
      </c>
      <c r="E168" s="24">
        <v>21</v>
      </c>
    </row>
    <row r="169" spans="1:5" ht="11.1" customHeight="1">
      <c r="A169" s="238" t="s">
        <v>19</v>
      </c>
      <c r="B169" s="6">
        <f t="shared" si="11"/>
        <v>40</v>
      </c>
      <c r="C169" s="24">
        <v>1</v>
      </c>
      <c r="D169" s="6">
        <v>8</v>
      </c>
      <c r="E169" s="24">
        <v>31</v>
      </c>
    </row>
    <row r="170" spans="1:5" ht="11.1" customHeight="1">
      <c r="A170" s="238" t="s">
        <v>48</v>
      </c>
      <c r="B170" s="6">
        <f t="shared" si="11"/>
        <v>33</v>
      </c>
      <c r="C170" s="24">
        <v>1</v>
      </c>
      <c r="D170" s="6">
        <v>13</v>
      </c>
      <c r="E170" s="24">
        <v>19</v>
      </c>
    </row>
    <row r="171" spans="1:5" ht="11.1" customHeight="1">
      <c r="A171" s="238" t="s">
        <v>20</v>
      </c>
      <c r="B171" s="6">
        <f t="shared" si="11"/>
        <v>37</v>
      </c>
      <c r="C171" s="24">
        <v>1</v>
      </c>
      <c r="D171" s="6">
        <v>8</v>
      </c>
      <c r="E171" s="24">
        <v>28</v>
      </c>
    </row>
    <row r="172" spans="1:5" ht="11.1" customHeight="1">
      <c r="A172" s="238" t="s">
        <v>21</v>
      </c>
      <c r="B172" s="6">
        <f t="shared" si="11"/>
        <v>16</v>
      </c>
      <c r="C172" s="24">
        <v>1</v>
      </c>
      <c r="D172" s="6">
        <v>8</v>
      </c>
      <c r="E172" s="24">
        <v>7</v>
      </c>
    </row>
    <row r="173" spans="1:5" ht="11.1" customHeight="1">
      <c r="A173" s="239">
        <v>2021</v>
      </c>
      <c r="D173" s="96"/>
    </row>
    <row r="174" spans="1:5" ht="11.1" customHeight="1">
      <c r="A174" s="239" t="s">
        <v>736</v>
      </c>
      <c r="B174" s="11">
        <f>SUM(C174:E174)</f>
        <v>445</v>
      </c>
      <c r="C174" s="405">
        <f>SUM(C175:C185)</f>
        <v>11</v>
      </c>
      <c r="D174" s="405">
        <f>SUM(D175:D185)</f>
        <v>101</v>
      </c>
      <c r="E174" s="405">
        <f>SUM(E175:E185)</f>
        <v>333</v>
      </c>
    </row>
    <row r="175" spans="1:5" ht="11.1" customHeight="1">
      <c r="A175" s="238" t="s">
        <v>15</v>
      </c>
      <c r="B175" s="6">
        <f>SUM(C175:E175)</f>
        <v>83</v>
      </c>
      <c r="C175" s="24">
        <v>1</v>
      </c>
      <c r="D175" s="6">
        <v>16</v>
      </c>
      <c r="E175" s="24">
        <v>66</v>
      </c>
    </row>
    <row r="176" spans="1:5" ht="11.1" customHeight="1">
      <c r="A176" s="238" t="s">
        <v>40</v>
      </c>
      <c r="B176" s="6">
        <f>SUM(C176:E176)</f>
        <v>41</v>
      </c>
      <c r="C176" s="24">
        <v>1</v>
      </c>
      <c r="D176" s="6">
        <v>13</v>
      </c>
      <c r="E176" s="24">
        <v>27</v>
      </c>
    </row>
    <row r="177" spans="1:5" ht="11.1" customHeight="1">
      <c r="A177" s="238" t="s">
        <v>36</v>
      </c>
      <c r="B177" s="6">
        <f t="shared" ref="B177:B185" si="12">SUM(C177:E177)</f>
        <v>37</v>
      </c>
      <c r="C177" s="24">
        <v>1</v>
      </c>
      <c r="D177" s="6">
        <v>7</v>
      </c>
      <c r="E177" s="24">
        <v>29</v>
      </c>
    </row>
    <row r="178" spans="1:5" ht="11.1" customHeight="1">
      <c r="A178" s="238" t="s">
        <v>16</v>
      </c>
      <c r="B178" s="6">
        <f t="shared" si="12"/>
        <v>49</v>
      </c>
      <c r="C178" s="24">
        <v>1</v>
      </c>
      <c r="D178" s="6">
        <v>8</v>
      </c>
      <c r="E178" s="24">
        <v>40</v>
      </c>
    </row>
    <row r="179" spans="1:5" ht="11.1" customHeight="1">
      <c r="A179" s="238" t="s">
        <v>37</v>
      </c>
      <c r="B179" s="6">
        <f t="shared" si="12"/>
        <v>45</v>
      </c>
      <c r="C179" s="24">
        <v>1</v>
      </c>
      <c r="D179" s="6">
        <v>9</v>
      </c>
      <c r="E179" s="24">
        <v>35</v>
      </c>
    </row>
    <row r="180" spans="1:5" ht="11.1" customHeight="1">
      <c r="A180" s="238" t="s">
        <v>41</v>
      </c>
      <c r="B180" s="6">
        <f t="shared" si="12"/>
        <v>37</v>
      </c>
      <c r="C180" s="24">
        <v>1</v>
      </c>
      <c r="D180" s="6">
        <v>6</v>
      </c>
      <c r="E180" s="24">
        <v>30</v>
      </c>
    </row>
    <row r="181" spans="1:5" ht="11.1" customHeight="1">
      <c r="A181" s="238" t="s">
        <v>17</v>
      </c>
      <c r="B181" s="6">
        <f t="shared" si="12"/>
        <v>27</v>
      </c>
      <c r="C181" s="24">
        <v>1</v>
      </c>
      <c r="D181" s="6">
        <v>5</v>
      </c>
      <c r="E181" s="24">
        <v>21</v>
      </c>
    </row>
    <row r="182" spans="1:5" ht="11.1" customHeight="1">
      <c r="A182" s="238" t="s">
        <v>19</v>
      </c>
      <c r="B182" s="6">
        <f t="shared" si="12"/>
        <v>40</v>
      </c>
      <c r="C182" s="24">
        <v>1</v>
      </c>
      <c r="D182" s="6">
        <v>8</v>
      </c>
      <c r="E182" s="24">
        <v>31</v>
      </c>
    </row>
    <row r="183" spans="1:5" ht="11.1" customHeight="1">
      <c r="A183" s="238" t="s">
        <v>48</v>
      </c>
      <c r="B183" s="6">
        <f t="shared" si="12"/>
        <v>33</v>
      </c>
      <c r="C183" s="24">
        <v>1</v>
      </c>
      <c r="D183" s="6">
        <v>13</v>
      </c>
      <c r="E183" s="24">
        <v>19</v>
      </c>
    </row>
    <row r="184" spans="1:5" ht="11.1" customHeight="1">
      <c r="A184" s="238" t="s">
        <v>20</v>
      </c>
      <c r="B184" s="6">
        <f t="shared" si="12"/>
        <v>37</v>
      </c>
      <c r="C184" s="24">
        <v>1</v>
      </c>
      <c r="D184" s="6">
        <v>8</v>
      </c>
      <c r="E184" s="24">
        <v>28</v>
      </c>
    </row>
    <row r="185" spans="1:5" ht="11.1" customHeight="1">
      <c r="A185" s="238" t="s">
        <v>21</v>
      </c>
      <c r="B185" s="6">
        <f t="shared" si="12"/>
        <v>16</v>
      </c>
      <c r="C185" s="24">
        <v>1</v>
      </c>
      <c r="D185" s="6">
        <v>8</v>
      </c>
      <c r="E185" s="24">
        <v>7</v>
      </c>
    </row>
    <row r="186" spans="1:5" ht="11.1" customHeight="1">
      <c r="A186" s="239">
        <v>2022</v>
      </c>
      <c r="D186" s="96"/>
    </row>
    <row r="187" spans="1:5" ht="11.1" customHeight="1">
      <c r="A187" s="239" t="s">
        <v>736</v>
      </c>
      <c r="B187" s="11">
        <f>SUM(C187:E187)</f>
        <v>478</v>
      </c>
      <c r="C187" s="405">
        <f>SUM(C188:C198)</f>
        <v>11</v>
      </c>
      <c r="D187" s="405">
        <f>SUM(D188:D198)</f>
        <v>108</v>
      </c>
      <c r="E187" s="405">
        <f>SUM(E188:E198)</f>
        <v>359</v>
      </c>
    </row>
    <row r="188" spans="1:5" ht="11.1" customHeight="1">
      <c r="A188" s="238" t="s">
        <v>15</v>
      </c>
      <c r="B188" s="6">
        <f>SUM(C188:E188)</f>
        <v>82</v>
      </c>
      <c r="C188" s="24">
        <v>1</v>
      </c>
      <c r="D188" s="6">
        <v>15</v>
      </c>
      <c r="E188" s="24">
        <v>66</v>
      </c>
    </row>
    <row r="189" spans="1:5" ht="11.1" customHeight="1">
      <c r="A189" s="238" t="s">
        <v>40</v>
      </c>
      <c r="B189" s="6">
        <f>SUM(C189:E189)</f>
        <v>29</v>
      </c>
      <c r="C189" s="24">
        <v>1</v>
      </c>
      <c r="D189" s="6">
        <v>10</v>
      </c>
      <c r="E189" s="24">
        <v>18</v>
      </c>
    </row>
    <row r="190" spans="1:5" ht="11.1" customHeight="1">
      <c r="A190" s="238" t="s">
        <v>36</v>
      </c>
      <c r="B190" s="6">
        <f t="shared" ref="B190:B198" si="13">SUM(C190:E190)</f>
        <v>27</v>
      </c>
      <c r="C190" s="24">
        <v>1</v>
      </c>
      <c r="D190" s="6">
        <v>5</v>
      </c>
      <c r="E190" s="24">
        <v>21</v>
      </c>
    </row>
    <row r="191" spans="1:5" ht="11.1" customHeight="1">
      <c r="A191" s="238" t="s">
        <v>16</v>
      </c>
      <c r="B191" s="6">
        <f t="shared" si="13"/>
        <v>51</v>
      </c>
      <c r="C191" s="24">
        <v>1</v>
      </c>
      <c r="D191" s="6">
        <v>8</v>
      </c>
      <c r="E191" s="24">
        <v>42</v>
      </c>
    </row>
    <row r="192" spans="1:5" ht="11.1" customHeight="1">
      <c r="A192" s="238" t="s">
        <v>37</v>
      </c>
      <c r="B192" s="6">
        <f t="shared" si="13"/>
        <v>47</v>
      </c>
      <c r="C192" s="24">
        <v>1</v>
      </c>
      <c r="D192" s="6">
        <v>9</v>
      </c>
      <c r="E192" s="24">
        <v>37</v>
      </c>
    </row>
    <row r="193" spans="1:5" ht="11.1" customHeight="1">
      <c r="A193" s="238" t="s">
        <v>41</v>
      </c>
      <c r="B193" s="6">
        <f t="shared" si="13"/>
        <v>59</v>
      </c>
      <c r="C193" s="24">
        <v>1</v>
      </c>
      <c r="D193" s="6">
        <v>9</v>
      </c>
      <c r="E193" s="24">
        <v>49</v>
      </c>
    </row>
    <row r="194" spans="1:5" ht="11.1" customHeight="1">
      <c r="A194" s="238" t="s">
        <v>17</v>
      </c>
      <c r="B194" s="6">
        <f t="shared" si="13"/>
        <v>17</v>
      </c>
      <c r="C194" s="24">
        <v>1</v>
      </c>
      <c r="D194" s="6">
        <v>4</v>
      </c>
      <c r="E194" s="24">
        <v>12</v>
      </c>
    </row>
    <row r="195" spans="1:5" ht="11.1" customHeight="1">
      <c r="A195" s="238" t="s">
        <v>19</v>
      </c>
      <c r="B195" s="6">
        <f t="shared" si="13"/>
        <v>71</v>
      </c>
      <c r="C195" s="24">
        <v>1</v>
      </c>
      <c r="D195" s="6">
        <v>15</v>
      </c>
      <c r="E195" s="24">
        <v>55</v>
      </c>
    </row>
    <row r="196" spans="1:5" ht="11.1" customHeight="1">
      <c r="A196" s="238" t="s">
        <v>48</v>
      </c>
      <c r="B196" s="6">
        <f t="shared" si="13"/>
        <v>52</v>
      </c>
      <c r="C196" s="24">
        <v>1</v>
      </c>
      <c r="D196" s="6">
        <v>18</v>
      </c>
      <c r="E196" s="24">
        <v>33</v>
      </c>
    </row>
    <row r="197" spans="1:5" ht="11.1" customHeight="1">
      <c r="A197" s="238" t="s">
        <v>20</v>
      </c>
      <c r="B197" s="6">
        <f t="shared" si="13"/>
        <v>27</v>
      </c>
      <c r="C197" s="24">
        <v>1</v>
      </c>
      <c r="D197" s="6">
        <v>7</v>
      </c>
      <c r="E197" s="24">
        <v>19</v>
      </c>
    </row>
    <row r="198" spans="1:5" ht="11.1" customHeight="1">
      <c r="A198" s="238" t="s">
        <v>21</v>
      </c>
      <c r="B198" s="6">
        <f t="shared" si="13"/>
        <v>16</v>
      </c>
      <c r="C198" s="24">
        <v>1</v>
      </c>
      <c r="D198" s="6">
        <v>8</v>
      </c>
      <c r="E198" s="24">
        <v>7</v>
      </c>
    </row>
    <row r="199" spans="1:5" ht="11.1" customHeight="1">
      <c r="A199" s="239" t="s">
        <v>742</v>
      </c>
      <c r="D199" s="96"/>
    </row>
    <row r="200" spans="1:5" ht="11.1" customHeight="1">
      <c r="A200" s="239" t="s">
        <v>736</v>
      </c>
      <c r="B200" s="11">
        <f>SUM(C200:E200)</f>
        <v>483</v>
      </c>
      <c r="C200" s="405">
        <f>SUM(C201:C211)</f>
        <v>11</v>
      </c>
      <c r="D200" s="405">
        <f>SUM(D201:D211)</f>
        <v>116</v>
      </c>
      <c r="E200" s="405">
        <f>SUM(E201:E211)</f>
        <v>356</v>
      </c>
    </row>
    <row r="201" spans="1:5" ht="11.1" customHeight="1">
      <c r="A201" s="238" t="s">
        <v>15</v>
      </c>
      <c r="B201" s="6">
        <f>SUM(C201:E201)</f>
        <v>88</v>
      </c>
      <c r="C201" s="24">
        <v>1</v>
      </c>
      <c r="D201" s="6">
        <v>21</v>
      </c>
      <c r="E201" s="24">
        <v>66</v>
      </c>
    </row>
    <row r="202" spans="1:5" ht="11.1" customHeight="1">
      <c r="A202" s="238" t="s">
        <v>40</v>
      </c>
      <c r="B202" s="6">
        <f>SUM(C202:E202)</f>
        <v>41</v>
      </c>
      <c r="C202" s="24">
        <v>1</v>
      </c>
      <c r="D202" s="6">
        <v>13</v>
      </c>
      <c r="E202" s="24">
        <v>27</v>
      </c>
    </row>
    <row r="203" spans="1:5" ht="11.1" customHeight="1">
      <c r="A203" s="238" t="s">
        <v>36</v>
      </c>
      <c r="B203" s="6">
        <f t="shared" ref="B203:B211" si="14">SUM(C203:E203)</f>
        <v>40</v>
      </c>
      <c r="C203" s="24">
        <v>1</v>
      </c>
      <c r="D203" s="6">
        <v>8</v>
      </c>
      <c r="E203" s="24">
        <v>31</v>
      </c>
    </row>
    <row r="204" spans="1:5" ht="11.1" customHeight="1">
      <c r="A204" s="238" t="s">
        <v>16</v>
      </c>
      <c r="B204" s="6">
        <f t="shared" si="14"/>
        <v>52</v>
      </c>
      <c r="C204" s="24">
        <v>1</v>
      </c>
      <c r="D204" s="6">
        <v>9</v>
      </c>
      <c r="E204" s="24">
        <v>42</v>
      </c>
    </row>
    <row r="205" spans="1:5" ht="11.1" customHeight="1">
      <c r="A205" s="238" t="s">
        <v>37</v>
      </c>
      <c r="B205" s="6">
        <f t="shared" si="14"/>
        <v>47</v>
      </c>
      <c r="C205" s="24">
        <v>1</v>
      </c>
      <c r="D205" s="6">
        <v>11</v>
      </c>
      <c r="E205" s="24">
        <v>35</v>
      </c>
    </row>
    <row r="206" spans="1:5" ht="11.1" customHeight="1">
      <c r="A206" s="238" t="s">
        <v>41</v>
      </c>
      <c r="B206" s="6">
        <f t="shared" si="14"/>
        <v>63</v>
      </c>
      <c r="C206" s="24">
        <v>1</v>
      </c>
      <c r="D206" s="6">
        <v>11</v>
      </c>
      <c r="E206" s="24">
        <v>51</v>
      </c>
    </row>
    <row r="207" spans="1:5" ht="11.1" customHeight="1">
      <c r="A207" s="238" t="s">
        <v>17</v>
      </c>
      <c r="B207" s="6">
        <f t="shared" si="14"/>
        <v>26</v>
      </c>
      <c r="C207" s="24">
        <v>1</v>
      </c>
      <c r="D207" s="6">
        <v>6</v>
      </c>
      <c r="E207" s="24">
        <v>19</v>
      </c>
    </row>
    <row r="208" spans="1:5" ht="11.1" customHeight="1">
      <c r="A208" s="238" t="s">
        <v>19</v>
      </c>
      <c r="B208" s="6">
        <f t="shared" si="14"/>
        <v>40</v>
      </c>
      <c r="C208" s="24">
        <v>1</v>
      </c>
      <c r="D208" s="6">
        <v>8</v>
      </c>
      <c r="E208" s="24">
        <v>31</v>
      </c>
    </row>
    <row r="209" spans="1:5" ht="11.1" customHeight="1">
      <c r="A209" s="238" t="s">
        <v>48</v>
      </c>
      <c r="B209" s="6">
        <f t="shared" si="14"/>
        <v>34</v>
      </c>
      <c r="C209" s="24">
        <v>1</v>
      </c>
      <c r="D209" s="6">
        <v>14</v>
      </c>
      <c r="E209" s="24">
        <v>19</v>
      </c>
    </row>
    <row r="210" spans="1:5" ht="11.1" customHeight="1">
      <c r="A210" s="238" t="s">
        <v>20</v>
      </c>
      <c r="B210" s="6">
        <f t="shared" si="14"/>
        <v>36</v>
      </c>
      <c r="C210" s="24">
        <v>1</v>
      </c>
      <c r="D210" s="6">
        <v>7</v>
      </c>
      <c r="E210" s="24">
        <v>28</v>
      </c>
    </row>
    <row r="211" spans="1:5" ht="11.1" customHeight="1">
      <c r="A211" s="238" t="s">
        <v>21</v>
      </c>
      <c r="B211" s="6">
        <f t="shared" si="14"/>
        <v>16</v>
      </c>
      <c r="C211" s="24">
        <v>1</v>
      </c>
      <c r="D211" s="6">
        <v>8</v>
      </c>
      <c r="E211" s="24">
        <v>7</v>
      </c>
    </row>
    <row r="212" spans="1:5" ht="11.1" customHeight="1">
      <c r="A212" s="239" t="s">
        <v>754</v>
      </c>
      <c r="D212" s="96"/>
    </row>
    <row r="213" spans="1:5" ht="11.1" customHeight="1">
      <c r="A213" s="239" t="s">
        <v>736</v>
      </c>
      <c r="B213" s="11">
        <f>SUM(C213:E213)</f>
        <v>486</v>
      </c>
      <c r="C213" s="405">
        <f>SUM(C214:C224)</f>
        <v>11</v>
      </c>
      <c r="D213" s="405">
        <f>SUM(D214:D224)</f>
        <v>115</v>
      </c>
      <c r="E213" s="405">
        <f>SUM(E214:E224)</f>
        <v>360</v>
      </c>
    </row>
    <row r="214" spans="1:5" ht="11.1" customHeight="1">
      <c r="A214" s="238" t="s">
        <v>15</v>
      </c>
      <c r="B214" s="6">
        <f>SUM(C214:E214)</f>
        <v>83</v>
      </c>
      <c r="C214" s="24">
        <v>1</v>
      </c>
      <c r="D214" s="6">
        <v>16</v>
      </c>
      <c r="E214" s="24">
        <v>66</v>
      </c>
    </row>
    <row r="215" spans="1:5" ht="11.1" customHeight="1">
      <c r="A215" s="238" t="s">
        <v>40</v>
      </c>
      <c r="B215" s="6">
        <f>SUM(C215:E215)</f>
        <v>29</v>
      </c>
      <c r="C215" s="24">
        <v>1</v>
      </c>
      <c r="D215" s="6">
        <v>10</v>
      </c>
      <c r="E215" s="24">
        <v>18</v>
      </c>
    </row>
    <row r="216" spans="1:5" ht="11.1" customHeight="1">
      <c r="A216" s="238" t="s">
        <v>36</v>
      </c>
      <c r="B216" s="6">
        <f t="shared" ref="B216:B224" si="15">SUM(C216:E216)</f>
        <v>29</v>
      </c>
      <c r="C216" s="24">
        <v>1</v>
      </c>
      <c r="D216" s="6">
        <v>7</v>
      </c>
      <c r="E216" s="24">
        <v>21</v>
      </c>
    </row>
    <row r="217" spans="1:5" ht="11.1" customHeight="1">
      <c r="A217" s="238" t="s">
        <v>16</v>
      </c>
      <c r="B217" s="6">
        <f t="shared" si="15"/>
        <v>51</v>
      </c>
      <c r="C217" s="24">
        <v>1</v>
      </c>
      <c r="D217" s="6">
        <v>8</v>
      </c>
      <c r="E217" s="24">
        <v>42</v>
      </c>
    </row>
    <row r="218" spans="1:5" ht="11.1" customHeight="1">
      <c r="A218" s="238" t="s">
        <v>37</v>
      </c>
      <c r="B218" s="6">
        <f t="shared" si="15"/>
        <v>49</v>
      </c>
      <c r="C218" s="24">
        <v>1</v>
      </c>
      <c r="D218" s="6">
        <v>11</v>
      </c>
      <c r="E218" s="24">
        <v>37</v>
      </c>
    </row>
    <row r="219" spans="1:5" ht="11.1" customHeight="1">
      <c r="A219" s="238" t="s">
        <v>41</v>
      </c>
      <c r="B219" s="6">
        <f t="shared" si="15"/>
        <v>59</v>
      </c>
      <c r="C219" s="24">
        <v>1</v>
      </c>
      <c r="D219" s="6">
        <v>9</v>
      </c>
      <c r="E219" s="24">
        <v>49</v>
      </c>
    </row>
    <row r="220" spans="1:5" ht="11.1" customHeight="1">
      <c r="A220" s="238" t="s">
        <v>17</v>
      </c>
      <c r="B220" s="6">
        <f t="shared" si="15"/>
        <v>18</v>
      </c>
      <c r="C220" s="24">
        <v>1</v>
      </c>
      <c r="D220" s="6">
        <v>5</v>
      </c>
      <c r="E220" s="24">
        <v>12</v>
      </c>
    </row>
    <row r="221" spans="1:5" ht="11.1" customHeight="1">
      <c r="A221" s="238" t="s">
        <v>19</v>
      </c>
      <c r="B221" s="6">
        <f t="shared" si="15"/>
        <v>72</v>
      </c>
      <c r="C221" s="24">
        <v>1</v>
      </c>
      <c r="D221" s="6">
        <v>15</v>
      </c>
      <c r="E221" s="24">
        <v>56</v>
      </c>
    </row>
    <row r="222" spans="1:5" ht="11.1" customHeight="1">
      <c r="A222" s="238" t="s">
        <v>48</v>
      </c>
      <c r="B222" s="6">
        <f t="shared" si="15"/>
        <v>53</v>
      </c>
      <c r="C222" s="24">
        <v>1</v>
      </c>
      <c r="D222" s="6">
        <v>19</v>
      </c>
      <c r="E222" s="24">
        <v>33</v>
      </c>
    </row>
    <row r="223" spans="1:5" ht="11.1" customHeight="1">
      <c r="A223" s="238" t="s">
        <v>20</v>
      </c>
      <c r="B223" s="6">
        <f t="shared" si="15"/>
        <v>26</v>
      </c>
      <c r="C223" s="24">
        <v>1</v>
      </c>
      <c r="D223" s="6">
        <v>6</v>
      </c>
      <c r="E223" s="24">
        <v>19</v>
      </c>
    </row>
    <row r="224" spans="1:5" ht="11.1" customHeight="1">
      <c r="A224" s="238" t="s">
        <v>21</v>
      </c>
      <c r="B224" s="6">
        <f t="shared" si="15"/>
        <v>17</v>
      </c>
      <c r="C224" s="24">
        <v>1</v>
      </c>
      <c r="D224" s="6">
        <v>9</v>
      </c>
      <c r="E224" s="24">
        <v>7</v>
      </c>
    </row>
    <row r="225" spans="1:7" ht="5.0999999999999996" customHeight="1">
      <c r="A225" s="129"/>
      <c r="B225" s="130"/>
      <c r="C225" s="130"/>
      <c r="D225" s="130"/>
      <c r="E225" s="130"/>
    </row>
    <row r="226" spans="1:7" ht="3" customHeight="1">
      <c r="A226" s="605"/>
      <c r="B226" s="272"/>
      <c r="C226" s="272"/>
      <c r="D226" s="272"/>
      <c r="E226" s="272"/>
    </row>
    <row r="227" spans="1:7" ht="7.5" customHeight="1">
      <c r="A227" s="606" t="s">
        <v>753</v>
      </c>
      <c r="B227" s="272"/>
      <c r="C227" s="272"/>
      <c r="D227" s="272"/>
      <c r="E227" s="272"/>
    </row>
    <row r="228" spans="1:7" ht="11.1" customHeight="1">
      <c r="A228" s="704" t="s">
        <v>63</v>
      </c>
      <c r="B228" s="704"/>
      <c r="C228" s="704"/>
      <c r="D228" s="404"/>
      <c r="E228" s="404"/>
      <c r="F228" s="289"/>
      <c r="G228" s="289"/>
    </row>
    <row r="229" spans="1:7" ht="15" customHeight="1">
      <c r="A229" s="7"/>
    </row>
    <row r="230" spans="1:7">
      <c r="B230" s="97"/>
      <c r="C230" s="97"/>
      <c r="D230" s="97"/>
      <c r="E230" s="97"/>
    </row>
    <row r="231" spans="1:7">
      <c r="B231" s="98"/>
      <c r="C231" s="98"/>
      <c r="D231" s="98"/>
      <c r="E231" s="98"/>
    </row>
    <row r="232" spans="1:7">
      <c r="B232" s="98"/>
      <c r="C232" s="98"/>
      <c r="D232" s="98"/>
      <c r="E232" s="98"/>
    </row>
    <row r="233" spans="1:7">
      <c r="B233" s="98"/>
      <c r="C233" s="98"/>
      <c r="D233" s="98"/>
      <c r="E233" s="98"/>
    </row>
    <row r="234" spans="1:7">
      <c r="B234" s="98"/>
      <c r="C234" s="98"/>
      <c r="D234" s="98"/>
      <c r="E234" s="98"/>
    </row>
    <row r="235" spans="1:7">
      <c r="B235" s="98"/>
      <c r="C235" s="98"/>
      <c r="D235" s="98"/>
      <c r="E235" s="98"/>
    </row>
    <row r="236" spans="1:7">
      <c r="B236" s="98"/>
      <c r="C236" s="98"/>
      <c r="D236" s="98"/>
      <c r="E236" s="98"/>
    </row>
    <row r="237" spans="1:7">
      <c r="B237" s="98"/>
      <c r="C237" s="98"/>
      <c r="D237" s="98"/>
      <c r="E237" s="98"/>
    </row>
    <row r="238" spans="1:7">
      <c r="B238" s="98"/>
      <c r="C238" s="98"/>
      <c r="D238" s="98"/>
      <c r="E238" s="98"/>
    </row>
    <row r="239" spans="1:7">
      <c r="B239" s="98"/>
      <c r="C239" s="98"/>
      <c r="D239" s="98"/>
      <c r="E239" s="98"/>
    </row>
    <row r="240" spans="1:7">
      <c r="B240" s="98"/>
      <c r="C240" s="98"/>
      <c r="D240" s="98"/>
      <c r="E240" s="98"/>
    </row>
    <row r="241" spans="2:5">
      <c r="B241" s="98"/>
      <c r="C241" s="98"/>
      <c r="D241" s="98"/>
      <c r="E241" s="98"/>
    </row>
  </sheetData>
  <mergeCells count="3">
    <mergeCell ref="A1:E1"/>
    <mergeCell ref="A63:E63"/>
    <mergeCell ref="A228:C228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zoomScaleNormal="100" zoomScaleSheetLayoutView="100" workbookViewId="0">
      <selection sqref="A1:L1"/>
    </sheetView>
  </sheetViews>
  <sheetFormatPr baseColWidth="10" defaultColWidth="11.42578125" defaultRowHeight="12.75"/>
  <cols>
    <col min="1" max="1" width="5.7109375" style="478" customWidth="1"/>
    <col min="2" max="2" width="17.42578125" style="478" customWidth="1"/>
    <col min="3" max="3" width="10.7109375" style="478" hidden="1" customWidth="1"/>
    <col min="4" max="5" width="8.7109375" style="478" hidden="1" customWidth="1"/>
    <col min="6" max="12" width="8.7109375" style="478" customWidth="1"/>
    <col min="13" max="16384" width="11.42578125" style="478"/>
  </cols>
  <sheetData>
    <row r="1" spans="1:12" ht="13.5" customHeight="1">
      <c r="A1" s="814" t="s">
        <v>806</v>
      </c>
      <c r="B1" s="814"/>
      <c r="C1" s="814"/>
      <c r="D1" s="814"/>
      <c r="E1" s="814"/>
      <c r="F1" s="814"/>
      <c r="G1" s="814"/>
      <c r="H1" s="814"/>
      <c r="I1" s="814"/>
      <c r="J1" s="814"/>
      <c r="K1" s="814"/>
      <c r="L1" s="814"/>
    </row>
    <row r="2" spans="1:12" ht="13.5" customHeight="1">
      <c r="A2" s="694" t="s">
        <v>732</v>
      </c>
      <c r="C2" s="447"/>
    </row>
    <row r="3" spans="1:12" ht="5.0999999999999996" customHeight="1">
      <c r="C3" s="447"/>
    </row>
    <row r="4" spans="1:12" ht="20.100000000000001" customHeight="1">
      <c r="A4" s="813" t="s">
        <v>587</v>
      </c>
      <c r="B4" s="806"/>
      <c r="C4" s="524">
        <v>2008</v>
      </c>
      <c r="D4" s="519">
        <v>2015</v>
      </c>
      <c r="E4" s="448">
        <v>2016</v>
      </c>
      <c r="F4" s="448">
        <v>2017</v>
      </c>
      <c r="G4" s="448">
        <v>2018</v>
      </c>
      <c r="H4" s="448">
        <v>2019</v>
      </c>
      <c r="I4" s="448">
        <v>2020</v>
      </c>
      <c r="J4" s="448">
        <v>2021</v>
      </c>
      <c r="K4" s="448">
        <v>2022</v>
      </c>
      <c r="L4" s="448">
        <v>2023</v>
      </c>
    </row>
    <row r="5" spans="1:12">
      <c r="A5" s="503" t="s">
        <v>594</v>
      </c>
      <c r="B5" s="529"/>
      <c r="C5" s="508"/>
      <c r="D5" s="527"/>
      <c r="E5" s="509"/>
      <c r="F5" s="509"/>
      <c r="G5" s="509"/>
      <c r="H5" s="509"/>
      <c r="I5" s="509"/>
      <c r="J5" s="509"/>
      <c r="K5" s="509"/>
      <c r="L5" s="509"/>
    </row>
    <row r="6" spans="1:12" ht="20.100000000000001" customHeight="1">
      <c r="A6" s="525" t="s">
        <v>596</v>
      </c>
      <c r="B6" s="529"/>
      <c r="C6" s="510">
        <v>73442</v>
      </c>
      <c r="D6" s="520">
        <v>100.886</v>
      </c>
      <c r="E6" s="505">
        <v>101.11799999999999</v>
      </c>
      <c r="F6" s="506">
        <v>104.515</v>
      </c>
      <c r="G6" s="506">
        <v>109.06</v>
      </c>
      <c r="H6" s="506">
        <v>111.258</v>
      </c>
      <c r="I6" s="506">
        <v>113.41500000000001</v>
      </c>
      <c r="J6" s="506">
        <v>117.36799999999999</v>
      </c>
      <c r="K6" s="506">
        <v>138.751</v>
      </c>
      <c r="L6" s="506">
        <v>140.833</v>
      </c>
    </row>
    <row r="7" spans="1:12" ht="20.100000000000001" customHeight="1">
      <c r="A7" s="525" t="s">
        <v>597</v>
      </c>
      <c r="B7" s="529"/>
      <c r="C7" s="510">
        <v>13238</v>
      </c>
      <c r="D7" s="520">
        <v>15.92</v>
      </c>
      <c r="E7" s="505">
        <v>16.21</v>
      </c>
      <c r="F7" s="506">
        <v>16.84</v>
      </c>
      <c r="G7" s="506">
        <v>17.215</v>
      </c>
      <c r="H7" s="506">
        <v>17.622</v>
      </c>
      <c r="I7" s="506">
        <v>17.974</v>
      </c>
      <c r="J7" s="506">
        <v>18.637</v>
      </c>
      <c r="K7" s="506">
        <v>18.882000000000001</v>
      </c>
      <c r="L7" s="506">
        <v>19.626000000000001</v>
      </c>
    </row>
    <row r="8" spans="1:12" ht="20.100000000000001" customHeight="1">
      <c r="A8" s="525" t="s">
        <v>598</v>
      </c>
      <c r="B8" s="529"/>
      <c r="C8" s="510" t="s">
        <v>13</v>
      </c>
      <c r="D8" s="520">
        <v>9.7680000000000007</v>
      </c>
      <c r="E8" s="505">
        <v>9.6920000000000002</v>
      </c>
      <c r="F8" s="506">
        <v>10.212</v>
      </c>
      <c r="G8" s="506">
        <v>10.167</v>
      </c>
      <c r="H8" s="506">
        <v>11.916</v>
      </c>
      <c r="I8" s="506">
        <v>14.108000000000001</v>
      </c>
      <c r="J8" s="506">
        <v>14.388999999999999</v>
      </c>
      <c r="K8" s="506">
        <v>12.907999999999999</v>
      </c>
      <c r="L8" s="506">
        <v>12.631</v>
      </c>
    </row>
    <row r="9" spans="1:12">
      <c r="A9" s="583" t="s">
        <v>595</v>
      </c>
      <c r="B9" s="529"/>
      <c r="C9" s="508"/>
      <c r="D9" s="527"/>
      <c r="E9" s="509"/>
      <c r="F9" s="509"/>
      <c r="G9" s="509"/>
      <c r="H9" s="509"/>
      <c r="I9" s="509"/>
      <c r="J9" s="509"/>
      <c r="K9" s="509"/>
      <c r="L9" s="509"/>
    </row>
    <row r="10" spans="1:12" ht="20.100000000000001" customHeight="1">
      <c r="A10" s="525" t="s">
        <v>596</v>
      </c>
      <c r="B10" s="529"/>
      <c r="C10" s="510">
        <v>76600</v>
      </c>
      <c r="D10" s="520">
        <v>91.087999999999994</v>
      </c>
      <c r="E10" s="505">
        <v>85.155000000000001</v>
      </c>
      <c r="F10" s="506">
        <v>86.444000000000003</v>
      </c>
      <c r="G10" s="506">
        <v>87.617000000000004</v>
      </c>
      <c r="H10" s="506">
        <v>88.614999999999995</v>
      </c>
      <c r="I10" s="505">
        <v>83.771000000000001</v>
      </c>
      <c r="J10" s="505">
        <v>80.838999999999999</v>
      </c>
      <c r="K10" s="505">
        <v>84.478999999999999</v>
      </c>
      <c r="L10" s="505">
        <v>82.626000000000005</v>
      </c>
    </row>
    <row r="11" spans="1:12" ht="20.100000000000001" customHeight="1">
      <c r="A11" s="525" t="s">
        <v>597</v>
      </c>
      <c r="B11" s="529"/>
      <c r="C11" s="510">
        <v>6023</v>
      </c>
      <c r="D11" s="520">
        <v>6.335</v>
      </c>
      <c r="E11" s="505">
        <v>6.1340000000000003</v>
      </c>
      <c r="F11" s="506">
        <v>6.181</v>
      </c>
      <c r="G11" s="506">
        <v>6.2080000000000002</v>
      </c>
      <c r="H11" s="506">
        <v>6.3680000000000003</v>
      </c>
      <c r="I11" s="505">
        <v>6.3</v>
      </c>
      <c r="J11" s="505">
        <v>6.0289999999999999</v>
      </c>
      <c r="K11" s="505">
        <v>5.9489999999999998</v>
      </c>
      <c r="L11" s="505">
        <v>5.9409999999999998</v>
      </c>
    </row>
    <row r="12" spans="1:12" ht="20.100000000000001" customHeight="1">
      <c r="A12" s="525" t="s">
        <v>598</v>
      </c>
      <c r="B12" s="529"/>
      <c r="C12" s="511" t="s">
        <v>13</v>
      </c>
      <c r="D12" s="520">
        <v>6.1230000000000002</v>
      </c>
      <c r="E12" s="505">
        <v>5.4509999999999996</v>
      </c>
      <c r="F12" s="506">
        <v>5.859</v>
      </c>
      <c r="G12" s="506">
        <v>5.8920000000000003</v>
      </c>
      <c r="H12" s="506">
        <v>6.2709999999999999</v>
      </c>
      <c r="I12" s="505">
        <v>6.7750000000000004</v>
      </c>
      <c r="J12" s="505">
        <v>6.8559999999999999</v>
      </c>
      <c r="K12" s="505">
        <v>6.5229999999999997</v>
      </c>
      <c r="L12" s="505">
        <v>6.8650000000000002</v>
      </c>
    </row>
    <row r="13" spans="1:12" ht="5.0999999999999996" customHeight="1">
      <c r="A13" s="515"/>
      <c r="B13" s="512"/>
      <c r="C13" s="513"/>
      <c r="D13" s="528"/>
      <c r="E13" s="483"/>
      <c r="F13" s="483"/>
      <c r="G13" s="483"/>
      <c r="H13" s="483"/>
      <c r="I13" s="483"/>
      <c r="J13" s="483"/>
      <c r="K13" s="483"/>
      <c r="L13" s="483"/>
    </row>
    <row r="14" spans="1:12" ht="11.1" customHeight="1">
      <c r="A14" s="526" t="s">
        <v>739</v>
      </c>
      <c r="B14" s="594"/>
      <c r="C14" s="594"/>
      <c r="D14" s="594"/>
      <c r="E14" s="594"/>
      <c r="F14" s="594"/>
      <c r="G14" s="594"/>
      <c r="H14" s="594"/>
      <c r="I14" s="594"/>
      <c r="J14" s="594"/>
    </row>
    <row r="15" spans="1:12" ht="9.9499999999999993" customHeight="1">
      <c r="B15" s="595"/>
      <c r="C15" s="595"/>
      <c r="D15" s="595"/>
      <c r="E15" s="595"/>
      <c r="F15" s="595"/>
      <c r="G15" s="595"/>
      <c r="H15" s="595"/>
      <c r="I15" s="595"/>
      <c r="J15" s="595"/>
    </row>
    <row r="16" spans="1:12">
      <c r="B16" s="514"/>
    </row>
    <row r="17" spans="2:2">
      <c r="B17" s="515"/>
    </row>
    <row r="18" spans="2:2">
      <c r="B18" s="514"/>
    </row>
    <row r="19" spans="2:2">
      <c r="B19" s="514"/>
    </row>
    <row r="20" spans="2:2">
      <c r="B20" s="514"/>
    </row>
    <row r="21" spans="2:2">
      <c r="B21" s="514"/>
    </row>
    <row r="22" spans="2:2">
      <c r="B22" s="514"/>
    </row>
    <row r="23" spans="2:2">
      <c r="B23" s="514"/>
    </row>
    <row r="24" spans="2:2">
      <c r="B24" s="514"/>
    </row>
    <row r="25" spans="2:2">
      <c r="B25" s="514"/>
    </row>
    <row r="26" spans="2:2">
      <c r="B26" s="514"/>
    </row>
    <row r="27" spans="2:2">
      <c r="B27" s="514"/>
    </row>
  </sheetData>
  <mergeCells count="2">
    <mergeCell ref="A4:B4"/>
    <mergeCell ref="A1:L1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R304"/>
  <sheetViews>
    <sheetView showGridLines="0" topLeftCell="A31" zoomScale="90" zoomScaleNormal="90" workbookViewId="0">
      <selection activeCell="F38" sqref="F38"/>
    </sheetView>
  </sheetViews>
  <sheetFormatPr baseColWidth="10" defaultColWidth="4.140625" defaultRowHeight="12.75"/>
  <cols>
    <col min="1" max="1" width="48.42578125" customWidth="1"/>
    <col min="2" max="2" width="8.85546875" customWidth="1"/>
    <col min="3" max="5" width="7.85546875" customWidth="1"/>
    <col min="6" max="6" width="8.85546875" customWidth="1"/>
    <col min="7" max="7" width="11.42578125" customWidth="1"/>
    <col min="8" max="9" width="11.42578125" hidden="1" customWidth="1"/>
    <col min="10" max="10" width="11.42578125" customWidth="1"/>
    <col min="11" max="11" width="10.7109375" customWidth="1"/>
    <col min="12" max="12" width="9.7109375" customWidth="1"/>
    <col min="13" max="13" width="19.28515625" customWidth="1"/>
    <col min="14" max="14" width="7.7109375" customWidth="1"/>
    <col min="15" max="15" width="16.28515625" customWidth="1"/>
    <col min="16" max="16" width="33.28515625" customWidth="1"/>
    <col min="17" max="258" width="11.42578125" customWidth="1"/>
  </cols>
  <sheetData>
    <row r="1" spans="1:10" ht="15.75">
      <c r="A1" s="765" t="s">
        <v>81</v>
      </c>
      <c r="B1" s="815"/>
      <c r="C1" s="815"/>
      <c r="D1" s="815"/>
      <c r="E1" s="815"/>
      <c r="F1" s="815"/>
      <c r="G1" s="158"/>
      <c r="H1" s="133"/>
      <c r="I1" s="134" t="s">
        <v>66</v>
      </c>
      <c r="J1" s="134"/>
    </row>
    <row r="2" spans="1:10" ht="5.0999999999999996" customHeight="1">
      <c r="A2" s="158"/>
      <c r="B2" s="158"/>
      <c r="C2" s="158"/>
      <c r="D2" s="158"/>
      <c r="E2" s="158"/>
      <c r="F2" s="158"/>
      <c r="G2" s="158"/>
      <c r="H2" s="133"/>
      <c r="I2" s="133"/>
      <c r="J2" s="133"/>
    </row>
    <row r="3" spans="1:10" ht="13.5" customHeight="1">
      <c r="A3" s="816" t="s">
        <v>329</v>
      </c>
      <c r="B3" s="818" t="s">
        <v>301</v>
      </c>
      <c r="C3" s="819"/>
      <c r="D3" s="820" t="s">
        <v>52</v>
      </c>
      <c r="E3" s="820" t="s">
        <v>59</v>
      </c>
      <c r="F3" s="820" t="s">
        <v>302</v>
      </c>
      <c r="G3" s="158"/>
      <c r="H3" s="135"/>
      <c r="I3" s="133"/>
      <c r="J3" s="133"/>
    </row>
    <row r="4" spans="1:10" ht="13.5">
      <c r="A4" s="817"/>
      <c r="B4" s="198" t="s">
        <v>68</v>
      </c>
      <c r="C4" s="199" t="s">
        <v>67</v>
      </c>
      <c r="D4" s="820"/>
      <c r="E4" s="820"/>
      <c r="F4" s="820"/>
      <c r="G4" s="158"/>
      <c r="H4" s="136" t="s">
        <v>59</v>
      </c>
      <c r="I4" s="136" t="s">
        <v>69</v>
      </c>
      <c r="J4" s="136"/>
    </row>
    <row r="5" spans="1:10" ht="0.75" customHeight="1">
      <c r="A5" s="169"/>
      <c r="B5" s="170"/>
      <c r="C5" s="170"/>
      <c r="D5" s="171"/>
      <c r="E5" s="171"/>
      <c r="F5" s="171"/>
      <c r="G5" s="158"/>
      <c r="H5" s="136"/>
      <c r="I5" s="136"/>
      <c r="J5" s="136"/>
    </row>
    <row r="6" spans="1:10" ht="12.75" customHeight="1">
      <c r="A6" s="172" t="s">
        <v>303</v>
      </c>
      <c r="B6" s="167">
        <v>110247</v>
      </c>
      <c r="C6" s="167">
        <v>86233</v>
      </c>
      <c r="D6" s="167">
        <v>196480</v>
      </c>
      <c r="E6" s="173">
        <f>SUM(D6/H6)*100</f>
        <v>21.778769468488509</v>
      </c>
      <c r="F6" s="174">
        <f>SUM(D6/I6)*1000</f>
        <v>141.38466010978036</v>
      </c>
      <c r="G6" s="205"/>
      <c r="H6" s="135">
        <f>SUM(D$17)</f>
        <v>902163</v>
      </c>
      <c r="I6" s="145">
        <v>1389684</v>
      </c>
      <c r="J6" s="145"/>
    </row>
    <row r="7" spans="1:10" ht="21.75" customHeight="1">
      <c r="A7" s="172" t="s">
        <v>304</v>
      </c>
      <c r="B7" s="167">
        <v>98569</v>
      </c>
      <c r="C7" s="167">
        <v>55459</v>
      </c>
      <c r="D7" s="167">
        <v>154028</v>
      </c>
      <c r="E7" s="173">
        <f t="shared" ref="E7:E16" si="0">SUM(D7/H7)*100</f>
        <v>17.073189656414637</v>
      </c>
      <c r="F7" s="174">
        <f t="shared" ref="F7:F16" si="1">SUM(D7/I7)*1000</f>
        <v>110.83670820128893</v>
      </c>
      <c r="G7" s="205"/>
      <c r="H7" s="135">
        <f t="shared" ref="H7:H16" si="2">SUM(D$17)</f>
        <v>902163</v>
      </c>
      <c r="I7" s="145">
        <v>1389684</v>
      </c>
      <c r="J7" s="145"/>
    </row>
    <row r="8" spans="1:10" ht="20.25" customHeight="1">
      <c r="A8" s="172" t="s">
        <v>305</v>
      </c>
      <c r="B8" s="167">
        <v>29682</v>
      </c>
      <c r="C8" s="167">
        <v>13643</v>
      </c>
      <c r="D8" s="167">
        <v>43325</v>
      </c>
      <c r="E8" s="173">
        <f t="shared" si="0"/>
        <v>4.8023472476703208</v>
      </c>
      <c r="F8" s="174">
        <f t="shared" si="1"/>
        <v>31.176152276344837</v>
      </c>
      <c r="G8" s="175"/>
      <c r="H8" s="135">
        <f t="shared" si="2"/>
        <v>902163</v>
      </c>
      <c r="I8" s="145">
        <v>1389684</v>
      </c>
      <c r="J8" s="145"/>
    </row>
    <row r="9" spans="1:10" ht="16.5" customHeight="1">
      <c r="A9" s="172" t="s">
        <v>306</v>
      </c>
      <c r="B9" s="167">
        <v>15182</v>
      </c>
      <c r="C9" s="167">
        <v>17084</v>
      </c>
      <c r="D9" s="167">
        <v>32266</v>
      </c>
      <c r="E9" s="173">
        <f t="shared" si="0"/>
        <v>3.5765155520676419</v>
      </c>
      <c r="F9" s="174">
        <f t="shared" si="1"/>
        <v>23.218228028818064</v>
      </c>
      <c r="G9" s="175"/>
      <c r="H9" s="135">
        <f t="shared" si="2"/>
        <v>902163</v>
      </c>
      <c r="I9" s="145">
        <v>1389684</v>
      </c>
      <c r="J9" s="145"/>
    </row>
    <row r="10" spans="1:10" ht="13.5" customHeight="1">
      <c r="A10" s="172" t="s">
        <v>307</v>
      </c>
      <c r="B10" s="167">
        <v>17589</v>
      </c>
      <c r="C10" s="167">
        <v>12190</v>
      </c>
      <c r="D10" s="167">
        <v>29779</v>
      </c>
      <c r="E10" s="173">
        <f t="shared" si="0"/>
        <v>3.3008447475677896</v>
      </c>
      <c r="F10" s="174">
        <f t="shared" si="1"/>
        <v>21.428612547888584</v>
      </c>
      <c r="G10" s="175"/>
      <c r="H10" s="135">
        <f t="shared" si="2"/>
        <v>902163</v>
      </c>
      <c r="I10" s="145">
        <v>1389684</v>
      </c>
      <c r="J10" s="145"/>
    </row>
    <row r="11" spans="1:10" ht="15.75" customHeight="1">
      <c r="A11" s="172" t="s">
        <v>308</v>
      </c>
      <c r="B11" s="167">
        <v>15545</v>
      </c>
      <c r="C11" s="167">
        <v>13150</v>
      </c>
      <c r="D11" s="167">
        <v>28695</v>
      </c>
      <c r="E11" s="173">
        <f t="shared" si="0"/>
        <v>3.1806890772510066</v>
      </c>
      <c r="F11" s="174">
        <f t="shared" si="1"/>
        <v>20.64857910143601</v>
      </c>
      <c r="G11" s="175"/>
      <c r="H11" s="135">
        <f t="shared" si="2"/>
        <v>902163</v>
      </c>
      <c r="I11" s="145">
        <v>1389684</v>
      </c>
      <c r="J11" s="145"/>
    </row>
    <row r="12" spans="1:10" ht="15.75" customHeight="1">
      <c r="A12" s="172" t="s">
        <v>309</v>
      </c>
      <c r="B12" s="167">
        <v>15956</v>
      </c>
      <c r="C12" s="167">
        <v>11006</v>
      </c>
      <c r="D12" s="167">
        <v>26962</v>
      </c>
      <c r="E12" s="173">
        <f t="shared" si="0"/>
        <v>2.9885951873441936</v>
      </c>
      <c r="F12" s="174">
        <f t="shared" si="1"/>
        <v>19.401533010382217</v>
      </c>
      <c r="G12" s="175"/>
      <c r="H12" s="135">
        <f t="shared" si="2"/>
        <v>902163</v>
      </c>
      <c r="I12" s="145">
        <v>1389684</v>
      </c>
      <c r="J12" s="145"/>
    </row>
    <row r="13" spans="1:10" ht="15.75" customHeight="1">
      <c r="A13" s="172" t="s">
        <v>310</v>
      </c>
      <c r="B13" s="167">
        <v>12455</v>
      </c>
      <c r="C13" s="167">
        <v>11441</v>
      </c>
      <c r="D13" s="167">
        <v>23896</v>
      </c>
      <c r="E13" s="173">
        <f t="shared" si="0"/>
        <v>2.6487452932563182</v>
      </c>
      <c r="F13" s="174">
        <f t="shared" si="1"/>
        <v>17.19527604836783</v>
      </c>
      <c r="G13" s="175"/>
      <c r="H13" s="135">
        <f t="shared" si="2"/>
        <v>902163</v>
      </c>
      <c r="I13" s="145">
        <v>1389684</v>
      </c>
      <c r="J13" s="145"/>
    </row>
    <row r="14" spans="1:10" ht="15.75" customHeight="1">
      <c r="A14" s="172" t="s">
        <v>311</v>
      </c>
      <c r="B14" s="167">
        <v>18638</v>
      </c>
      <c r="C14" s="167">
        <v>5048</v>
      </c>
      <c r="D14" s="167">
        <v>23686</v>
      </c>
      <c r="E14" s="173">
        <f t="shared" si="0"/>
        <v>2.6254679032502994</v>
      </c>
      <c r="F14" s="174">
        <f t="shared" si="1"/>
        <v>17.0441625578189</v>
      </c>
      <c r="G14" s="175"/>
      <c r="H14" s="135">
        <f t="shared" si="2"/>
        <v>902163</v>
      </c>
      <c r="I14" s="145">
        <v>1389684</v>
      </c>
      <c r="J14" s="145"/>
    </row>
    <row r="15" spans="1:10" ht="15.75" customHeight="1">
      <c r="A15" s="172" t="s">
        <v>312</v>
      </c>
      <c r="B15" s="167">
        <v>13778</v>
      </c>
      <c r="C15" s="167">
        <v>7274</v>
      </c>
      <c r="D15" s="167">
        <v>21052</v>
      </c>
      <c r="E15" s="173">
        <f t="shared" si="0"/>
        <v>2.3335029257462345</v>
      </c>
      <c r="F15" s="174">
        <f t="shared" si="1"/>
        <v>15.148767633505171</v>
      </c>
      <c r="G15" s="175"/>
      <c r="H15" s="135">
        <f t="shared" si="2"/>
        <v>902163</v>
      </c>
      <c r="I15" s="145">
        <v>1389684</v>
      </c>
      <c r="J15" s="145"/>
    </row>
    <row r="16" spans="1:10" ht="15.75" customHeight="1">
      <c r="A16" s="176" t="s">
        <v>111</v>
      </c>
      <c r="B16" s="167">
        <v>206653</v>
      </c>
      <c r="C16" s="167">
        <v>115341</v>
      </c>
      <c r="D16" s="167">
        <v>321994</v>
      </c>
      <c r="E16" s="173">
        <f t="shared" si="0"/>
        <v>35.691332940943042</v>
      </c>
      <c r="F16" s="174">
        <f t="shared" si="1"/>
        <v>231.70303464672546</v>
      </c>
      <c r="G16" s="175"/>
      <c r="H16" s="135">
        <f t="shared" si="2"/>
        <v>902163</v>
      </c>
      <c r="I16" s="145">
        <v>1389684</v>
      </c>
      <c r="J16" s="145"/>
    </row>
    <row r="17" spans="1:13" ht="15.75" customHeight="1">
      <c r="A17" s="177" t="s">
        <v>14</v>
      </c>
      <c r="B17" s="193">
        <f>SUM(B6:B16)</f>
        <v>554294</v>
      </c>
      <c r="C17" s="193">
        <f>SUM(C6:C16)</f>
        <v>347869</v>
      </c>
      <c r="D17" s="193">
        <f>SUM(D6:D16)</f>
        <v>902163</v>
      </c>
      <c r="E17" s="179">
        <f>SUM(E6:E16)</f>
        <v>99.999999999999986</v>
      </c>
      <c r="F17" s="178"/>
      <c r="G17" s="205"/>
      <c r="H17" s="12"/>
      <c r="I17" s="12"/>
      <c r="J17" s="12"/>
    </row>
    <row r="18" spans="1:13" ht="6.75" customHeight="1">
      <c r="A18" s="180"/>
      <c r="B18" s="181"/>
      <c r="C18" s="182"/>
      <c r="D18" s="182"/>
      <c r="E18" s="183"/>
      <c r="F18" s="182"/>
      <c r="G18" s="175"/>
      <c r="H18" s="12"/>
      <c r="I18" s="12"/>
      <c r="J18" s="12"/>
    </row>
    <row r="19" spans="1:13">
      <c r="A19" s="168" t="s">
        <v>63</v>
      </c>
      <c r="B19" s="158"/>
      <c r="C19" s="159"/>
      <c r="D19" s="158"/>
      <c r="E19" s="158"/>
      <c r="F19" s="158"/>
      <c r="G19" s="158"/>
      <c r="H19" s="135"/>
      <c r="I19" s="135"/>
      <c r="J19" s="135"/>
    </row>
    <row r="20" spans="1:13" ht="33" customHeight="1">
      <c r="A20" s="168"/>
      <c r="B20" s="158"/>
      <c r="C20" s="159"/>
      <c r="D20" s="158"/>
      <c r="E20" s="158"/>
      <c r="F20" s="158"/>
      <c r="G20" s="158"/>
      <c r="H20" s="135"/>
      <c r="I20" s="135"/>
      <c r="J20" s="206"/>
      <c r="K20" s="135"/>
      <c r="L20" s="135"/>
    </row>
    <row r="21" spans="1:13">
      <c r="A21" s="158"/>
      <c r="B21" s="158"/>
      <c r="C21" s="158"/>
      <c r="D21" s="158"/>
      <c r="E21" s="158"/>
      <c r="F21" s="158"/>
      <c r="G21" s="158"/>
      <c r="H21" s="135"/>
      <c r="I21" s="135"/>
      <c r="J21" s="135"/>
      <c r="K21" s="135"/>
      <c r="L21" s="135"/>
    </row>
    <row r="22" spans="1:13" ht="13.5">
      <c r="A22" s="821" t="s">
        <v>82</v>
      </c>
      <c r="B22" s="821"/>
      <c r="C22" s="821"/>
      <c r="D22" s="821"/>
      <c r="E22" s="821"/>
      <c r="F22" s="821"/>
      <c r="G22" s="204"/>
      <c r="H22" s="204"/>
      <c r="I22" s="204"/>
      <c r="J22" s="204"/>
      <c r="K22" s="204"/>
      <c r="L22" s="204"/>
      <c r="M22" s="204"/>
    </row>
    <row r="23" spans="1:13" ht="5.25" customHeight="1">
      <c r="A23" s="158"/>
      <c r="B23" s="158"/>
      <c r="C23" s="158"/>
      <c r="D23" s="158"/>
      <c r="E23" s="158"/>
      <c r="F23" s="158"/>
      <c r="G23" s="184"/>
      <c r="H23" s="135"/>
      <c r="I23" s="135"/>
      <c r="J23" s="135"/>
      <c r="K23" s="135"/>
      <c r="L23" s="135"/>
    </row>
    <row r="24" spans="1:13" ht="13.5" customHeight="1">
      <c r="A24" s="816" t="s">
        <v>329</v>
      </c>
      <c r="B24" s="818" t="s">
        <v>301</v>
      </c>
      <c r="C24" s="819"/>
      <c r="D24" s="822" t="s">
        <v>52</v>
      </c>
      <c r="E24" s="822" t="s">
        <v>59</v>
      </c>
      <c r="F24" s="822" t="s">
        <v>302</v>
      </c>
      <c r="G24" s="184"/>
      <c r="H24" s="135"/>
      <c r="I24" s="135"/>
      <c r="J24" s="135"/>
      <c r="K24" s="135"/>
      <c r="L24" s="135"/>
    </row>
    <row r="25" spans="1:13" ht="13.5">
      <c r="A25" s="817"/>
      <c r="B25" s="198" t="s">
        <v>68</v>
      </c>
      <c r="C25" s="199" t="s">
        <v>67</v>
      </c>
      <c r="D25" s="822"/>
      <c r="E25" s="822"/>
      <c r="F25" s="822"/>
      <c r="G25" s="184"/>
      <c r="H25" s="136" t="s">
        <v>59</v>
      </c>
      <c r="I25" s="136" t="s">
        <v>69</v>
      </c>
      <c r="J25" s="136"/>
      <c r="K25" s="136"/>
      <c r="L25" s="136"/>
    </row>
    <row r="26" spans="1:13" ht="5.0999999999999996" customHeight="1">
      <c r="A26" s="169"/>
      <c r="B26" s="170"/>
      <c r="C26" s="170"/>
      <c r="D26" s="171"/>
      <c r="E26" s="171"/>
      <c r="F26" s="171"/>
      <c r="G26" s="184"/>
      <c r="H26" s="136"/>
      <c r="I26" s="136"/>
      <c r="J26" s="136"/>
      <c r="K26" s="136"/>
      <c r="L26" s="136"/>
    </row>
    <row r="27" spans="1:13" ht="15.75" customHeight="1">
      <c r="A27" s="172" t="s">
        <v>303</v>
      </c>
      <c r="B27" s="167">
        <v>53845</v>
      </c>
      <c r="C27" s="167">
        <v>53467</v>
      </c>
      <c r="D27" s="167">
        <f t="shared" ref="D27:D36" si="3">SUM(B27:C27)</f>
        <v>107312</v>
      </c>
      <c r="E27" s="173">
        <f t="shared" ref="E27:E37" si="4">SUM(D27/H27)*100</f>
        <v>20.781957158709531</v>
      </c>
      <c r="F27" s="174">
        <f t="shared" ref="F27:F37" si="5">(D27/I27)*1000</f>
        <v>298.85844939608381</v>
      </c>
      <c r="G27" s="143"/>
      <c r="H27" s="135">
        <f>SUM(D$38)</f>
        <v>516371</v>
      </c>
      <c r="I27" s="145">
        <v>359073</v>
      </c>
      <c r="J27" s="145"/>
      <c r="K27" s="145"/>
      <c r="L27" s="145"/>
    </row>
    <row r="28" spans="1:13" ht="20.100000000000001" customHeight="1">
      <c r="A28" s="172" t="s">
        <v>304</v>
      </c>
      <c r="B28" s="167">
        <v>28597</v>
      </c>
      <c r="C28" s="167">
        <v>28498</v>
      </c>
      <c r="D28" s="167">
        <f t="shared" si="3"/>
        <v>57095</v>
      </c>
      <c r="E28" s="173">
        <f t="shared" si="4"/>
        <v>11.056972603031541</v>
      </c>
      <c r="F28" s="174">
        <f t="shared" si="5"/>
        <v>159.00666438300848</v>
      </c>
      <c r="G28" s="143"/>
      <c r="H28" s="135">
        <f t="shared" ref="H28:H37" si="6">SUM(D$38)</f>
        <v>516371</v>
      </c>
      <c r="I28" s="145">
        <v>359073</v>
      </c>
      <c r="J28" s="145"/>
      <c r="K28" s="145"/>
      <c r="L28" s="145"/>
    </row>
    <row r="29" spans="1:13">
      <c r="A29" s="196" t="s">
        <v>306</v>
      </c>
      <c r="B29" s="167">
        <v>13569</v>
      </c>
      <c r="C29" s="167">
        <v>15897</v>
      </c>
      <c r="D29" s="167">
        <f t="shared" si="3"/>
        <v>29466</v>
      </c>
      <c r="E29" s="173">
        <f t="shared" si="4"/>
        <v>5.7063622860307799</v>
      </c>
      <c r="F29" s="174">
        <f t="shared" si="5"/>
        <v>82.061307867759481</v>
      </c>
      <c r="G29" s="143"/>
      <c r="H29" s="135">
        <f t="shared" si="6"/>
        <v>516371</v>
      </c>
      <c r="I29" s="145">
        <v>359073</v>
      </c>
      <c r="J29" s="145"/>
      <c r="K29" s="145"/>
      <c r="L29" s="145"/>
    </row>
    <row r="30" spans="1:13" ht="20.25" customHeight="1">
      <c r="A30" s="172" t="s">
        <v>310</v>
      </c>
      <c r="B30" s="167">
        <v>7254</v>
      </c>
      <c r="C30" s="167">
        <v>7984</v>
      </c>
      <c r="D30" s="167">
        <f t="shared" si="3"/>
        <v>15238</v>
      </c>
      <c r="E30" s="173">
        <f t="shared" si="4"/>
        <v>2.9509790441368708</v>
      </c>
      <c r="F30" s="174">
        <f t="shared" si="5"/>
        <v>42.437053189741363</v>
      </c>
      <c r="G30" s="143"/>
      <c r="H30" s="135">
        <f t="shared" si="6"/>
        <v>516371</v>
      </c>
      <c r="I30" s="145">
        <v>359073</v>
      </c>
      <c r="J30" s="145"/>
      <c r="K30" s="145"/>
      <c r="L30" s="145"/>
    </row>
    <row r="31" spans="1:13" ht="20.25" customHeight="1">
      <c r="A31" s="172" t="s">
        <v>313</v>
      </c>
      <c r="B31" s="167">
        <v>6958</v>
      </c>
      <c r="C31" s="167">
        <v>7589</v>
      </c>
      <c r="D31" s="167">
        <f t="shared" si="3"/>
        <v>14547</v>
      </c>
      <c r="E31" s="173">
        <f t="shared" si="4"/>
        <v>2.8171605299290627</v>
      </c>
      <c r="F31" s="174">
        <f t="shared" si="5"/>
        <v>40.512653415879221</v>
      </c>
      <c r="G31" s="143"/>
      <c r="H31" s="135">
        <f t="shared" si="6"/>
        <v>516371</v>
      </c>
      <c r="I31" s="145">
        <v>359073</v>
      </c>
      <c r="J31" s="145"/>
      <c r="K31" s="145"/>
      <c r="L31" s="145"/>
    </row>
    <row r="32" spans="1:13" ht="20.25" customHeight="1">
      <c r="A32" s="172" t="s">
        <v>308</v>
      </c>
      <c r="B32" s="167">
        <v>7052</v>
      </c>
      <c r="C32" s="167">
        <v>6502</v>
      </c>
      <c r="D32" s="167">
        <f t="shared" si="3"/>
        <v>13554</v>
      </c>
      <c r="E32" s="173">
        <f t="shared" si="4"/>
        <v>2.6248569342585077</v>
      </c>
      <c r="F32" s="174">
        <f t="shared" si="5"/>
        <v>37.747199037521618</v>
      </c>
      <c r="G32" s="143"/>
      <c r="H32" s="135">
        <f t="shared" si="6"/>
        <v>516371</v>
      </c>
      <c r="I32" s="145">
        <v>359073</v>
      </c>
      <c r="J32" s="145"/>
      <c r="K32" s="145"/>
      <c r="L32" s="145"/>
    </row>
    <row r="33" spans="1:13" ht="20.25" customHeight="1">
      <c r="A33" s="172" t="s">
        <v>314</v>
      </c>
      <c r="B33" s="167">
        <v>4012</v>
      </c>
      <c r="C33" s="167">
        <v>4186</v>
      </c>
      <c r="D33" s="167">
        <f t="shared" si="3"/>
        <v>8198</v>
      </c>
      <c r="E33" s="173">
        <f t="shared" si="4"/>
        <v>1.5876182047403904</v>
      </c>
      <c r="F33" s="174">
        <f t="shared" si="5"/>
        <v>22.831012078323909</v>
      </c>
      <c r="G33" s="143"/>
      <c r="H33" s="135">
        <f t="shared" si="6"/>
        <v>516371</v>
      </c>
      <c r="I33" s="145">
        <v>359073</v>
      </c>
      <c r="J33" s="145"/>
      <c r="K33" s="145"/>
      <c r="L33" s="145"/>
    </row>
    <row r="34" spans="1:13" ht="20.25" customHeight="1">
      <c r="A34" s="172" t="s">
        <v>88</v>
      </c>
      <c r="B34" s="167">
        <v>3019</v>
      </c>
      <c r="C34" s="167">
        <v>3058</v>
      </c>
      <c r="D34" s="167">
        <f t="shared" si="3"/>
        <v>6077</v>
      </c>
      <c r="E34" s="173">
        <f t="shared" si="4"/>
        <v>1.1768670200301721</v>
      </c>
      <c r="F34" s="174">
        <f t="shared" si="5"/>
        <v>16.924135203705099</v>
      </c>
      <c r="G34" s="143"/>
      <c r="H34" s="135">
        <f t="shared" si="6"/>
        <v>516371</v>
      </c>
      <c r="I34" s="145">
        <v>359073</v>
      </c>
      <c r="J34" s="145"/>
      <c r="K34" s="145"/>
      <c r="L34" s="145"/>
    </row>
    <row r="35" spans="1:13" ht="20.25" customHeight="1">
      <c r="A35" s="172" t="s">
        <v>315</v>
      </c>
      <c r="B35" s="167">
        <v>2156</v>
      </c>
      <c r="C35" s="167">
        <v>2345</v>
      </c>
      <c r="D35" s="167">
        <f t="shared" si="3"/>
        <v>4501</v>
      </c>
      <c r="E35" s="173">
        <f t="shared" si="4"/>
        <v>0.87166010484709644</v>
      </c>
      <c r="F35" s="174">
        <f t="shared" si="5"/>
        <v>12.535055545808234</v>
      </c>
      <c r="G35" s="143"/>
      <c r="H35" s="135">
        <f t="shared" si="6"/>
        <v>516371</v>
      </c>
      <c r="I35" s="145">
        <v>359073</v>
      </c>
      <c r="J35" s="145"/>
      <c r="K35" s="145"/>
      <c r="L35" s="145"/>
    </row>
    <row r="36" spans="1:13" ht="20.25" customHeight="1">
      <c r="A36" s="172" t="s">
        <v>316</v>
      </c>
      <c r="B36" s="167">
        <v>1409</v>
      </c>
      <c r="C36" s="167">
        <v>1489</v>
      </c>
      <c r="D36" s="167">
        <f t="shared" si="3"/>
        <v>2898</v>
      </c>
      <c r="E36" s="173">
        <f t="shared" si="4"/>
        <v>0.56122439099019894</v>
      </c>
      <c r="F36" s="174">
        <f t="shared" si="5"/>
        <v>8.070782264330651</v>
      </c>
      <c r="G36" s="143"/>
      <c r="H36" s="135">
        <f t="shared" si="6"/>
        <v>516371</v>
      </c>
      <c r="I36" s="145">
        <v>359073</v>
      </c>
      <c r="J36" s="145"/>
      <c r="K36" s="145"/>
      <c r="L36" s="145"/>
    </row>
    <row r="37" spans="1:13" ht="20.25" customHeight="1">
      <c r="A37" s="176" t="s">
        <v>111</v>
      </c>
      <c r="B37" s="167">
        <v>128954</v>
      </c>
      <c r="C37" s="167">
        <v>147896</v>
      </c>
      <c r="D37" s="167">
        <v>257485</v>
      </c>
      <c r="E37" s="173">
        <f t="shared" si="4"/>
        <v>49.864341723295844</v>
      </c>
      <c r="F37" s="174">
        <f t="shared" si="5"/>
        <v>717.08259880302899</v>
      </c>
      <c r="G37" s="143"/>
      <c r="H37" s="135">
        <f t="shared" si="6"/>
        <v>516371</v>
      </c>
      <c r="I37" s="145">
        <v>359073</v>
      </c>
      <c r="J37" s="145"/>
      <c r="K37" s="145"/>
      <c r="L37" s="145"/>
    </row>
    <row r="38" spans="1:13" ht="20.25" customHeight="1">
      <c r="A38" s="177" t="s">
        <v>14</v>
      </c>
      <c r="B38" s="193">
        <f>SUM(B27:B37)</f>
        <v>256825</v>
      </c>
      <c r="C38" s="193">
        <f>SUM(C27:C37)</f>
        <v>278911</v>
      </c>
      <c r="D38" s="193">
        <f>SUM(D27:D37)</f>
        <v>516371</v>
      </c>
      <c r="E38" s="179">
        <f>SUM(E27:E37)</f>
        <v>100</v>
      </c>
      <c r="F38" s="178"/>
      <c r="G38" s="143"/>
      <c r="H38" s="6"/>
      <c r="I38" s="6"/>
      <c r="J38" s="6"/>
      <c r="K38" s="6"/>
      <c r="L38" s="6"/>
    </row>
    <row r="39" spans="1:13" ht="5.0999999999999996" customHeight="1">
      <c r="A39" s="180"/>
      <c r="B39" s="181"/>
      <c r="C39" s="182"/>
      <c r="D39" s="182"/>
      <c r="E39" s="183"/>
      <c r="F39" s="182"/>
      <c r="G39" s="143"/>
      <c r="H39" s="6"/>
      <c r="I39" s="6"/>
      <c r="J39" s="6"/>
      <c r="K39" s="6"/>
      <c r="L39" s="6"/>
    </row>
    <row r="40" spans="1:13" ht="14.25" customHeight="1">
      <c r="A40" s="168" t="s">
        <v>63</v>
      </c>
      <c r="B40" s="185"/>
      <c r="C40" s="185"/>
      <c r="D40" s="185"/>
      <c r="E40" s="186"/>
      <c r="F40" s="185"/>
      <c r="G40" s="184"/>
      <c r="H40" s="135"/>
      <c r="I40" s="135"/>
      <c r="J40" s="135"/>
      <c r="K40" s="135"/>
      <c r="L40" s="135"/>
    </row>
    <row r="41" spans="1:13" ht="11.25" customHeight="1">
      <c r="A41" s="187"/>
      <c r="B41" s="185"/>
      <c r="C41" s="185"/>
      <c r="D41" s="185"/>
      <c r="E41" s="186"/>
      <c r="F41" s="185"/>
      <c r="G41" s="184"/>
      <c r="H41" s="135"/>
      <c r="I41" s="135"/>
      <c r="J41" s="206">
        <f>I37-I47</f>
        <v>0</v>
      </c>
      <c r="K41" s="135"/>
      <c r="L41" s="135"/>
    </row>
    <row r="42" spans="1:13" ht="15">
      <c r="A42" s="765" t="s">
        <v>83</v>
      </c>
      <c r="B42" s="823"/>
      <c r="C42" s="823"/>
      <c r="D42" s="823"/>
      <c r="E42" s="823"/>
      <c r="F42" s="823"/>
      <c r="G42" s="188"/>
      <c r="H42" s="135"/>
      <c r="I42" s="135"/>
      <c r="J42" s="135"/>
      <c r="K42" s="135"/>
      <c r="L42" s="135"/>
      <c r="M42" s="132"/>
    </row>
    <row r="43" spans="1:13" ht="6" customHeight="1">
      <c r="A43" s="158"/>
      <c r="B43" s="158"/>
      <c r="C43" s="158"/>
      <c r="D43" s="158"/>
      <c r="E43" s="158"/>
      <c r="F43" s="158"/>
      <c r="G43" s="184"/>
      <c r="H43" s="135"/>
      <c r="I43" s="135"/>
      <c r="J43" s="135"/>
      <c r="K43" s="135"/>
      <c r="L43" s="135"/>
      <c r="M43" s="132"/>
    </row>
    <row r="44" spans="1:13" ht="13.5" customHeight="1">
      <c r="A44" s="816" t="s">
        <v>329</v>
      </c>
      <c r="B44" s="818" t="s">
        <v>301</v>
      </c>
      <c r="C44" s="819"/>
      <c r="D44" s="822" t="s">
        <v>52</v>
      </c>
      <c r="E44" s="822" t="s">
        <v>59</v>
      </c>
      <c r="F44" s="822" t="s">
        <v>302</v>
      </c>
      <c r="G44" s="184"/>
      <c r="H44" s="136" t="s">
        <v>59</v>
      </c>
      <c r="I44" s="136" t="s">
        <v>70</v>
      </c>
      <c r="J44" s="136"/>
      <c r="K44" s="136"/>
      <c r="L44" s="136"/>
      <c r="M44" s="132"/>
    </row>
    <row r="45" spans="1:13" ht="13.5" customHeight="1">
      <c r="A45" s="817"/>
      <c r="B45" s="198" t="s">
        <v>68</v>
      </c>
      <c r="C45" s="199" t="s">
        <v>67</v>
      </c>
      <c r="D45" s="822"/>
      <c r="E45" s="822"/>
      <c r="F45" s="822"/>
      <c r="G45" s="184"/>
      <c r="H45" s="135"/>
      <c r="I45" s="135"/>
      <c r="J45" s="135"/>
      <c r="K45" s="135"/>
      <c r="L45" s="135"/>
      <c r="M45" s="132"/>
    </row>
    <row r="46" spans="1:13" ht="5.0999999999999996" customHeight="1">
      <c r="A46" s="169"/>
      <c r="B46" s="170"/>
      <c r="C46" s="170"/>
      <c r="D46" s="171"/>
      <c r="E46" s="171"/>
      <c r="F46" s="171"/>
      <c r="G46" s="184"/>
      <c r="H46" s="135"/>
      <c r="I46" s="135"/>
      <c r="J46" s="135"/>
      <c r="K46" s="135"/>
      <c r="L46" s="135"/>
      <c r="M46" s="132"/>
    </row>
    <row r="47" spans="1:13">
      <c r="A47" s="172" t="s">
        <v>303</v>
      </c>
      <c r="B47" s="167">
        <v>52378</v>
      </c>
      <c r="C47" s="167">
        <v>54694</v>
      </c>
      <c r="D47" s="167">
        <f t="shared" ref="D47:D56" si="7">SUM(B47:C47)</f>
        <v>107072</v>
      </c>
      <c r="E47" s="173">
        <f t="shared" ref="E47:E57" si="8">SUM(D47/H47)*100</f>
        <v>15.546656522155786</v>
      </c>
      <c r="F47" s="174">
        <f t="shared" ref="F47:F57" si="9">(D47/I47)*1000</f>
        <v>298.19006163092183</v>
      </c>
      <c r="G47" s="143"/>
      <c r="H47" s="135">
        <f>SUM(D$58)</f>
        <v>688714</v>
      </c>
      <c r="I47" s="145">
        <v>359073</v>
      </c>
      <c r="J47" s="145"/>
      <c r="K47" s="145"/>
      <c r="L47" s="145"/>
      <c r="M47" s="132"/>
    </row>
    <row r="48" spans="1:13" ht="25.5">
      <c r="A48" s="196" t="s">
        <v>304</v>
      </c>
      <c r="B48" s="167">
        <v>28732</v>
      </c>
      <c r="C48" s="167">
        <v>27769</v>
      </c>
      <c r="D48" s="167">
        <f t="shared" si="7"/>
        <v>56501</v>
      </c>
      <c r="E48" s="173">
        <f t="shared" si="8"/>
        <v>8.2038407815145327</v>
      </c>
      <c r="F48" s="174">
        <f t="shared" si="9"/>
        <v>157.35240466423261</v>
      </c>
      <c r="G48" s="143"/>
      <c r="H48" s="135">
        <f t="shared" ref="H48:H57" si="10">SUM(D$58)</f>
        <v>688714</v>
      </c>
      <c r="I48" s="145">
        <v>359073</v>
      </c>
      <c r="J48" s="145"/>
      <c r="K48" s="145"/>
      <c r="L48" s="145"/>
      <c r="M48" s="132"/>
    </row>
    <row r="49" spans="1:13">
      <c r="A49" s="172" t="s">
        <v>306</v>
      </c>
      <c r="B49" s="167">
        <v>13841</v>
      </c>
      <c r="C49" s="167">
        <v>27769</v>
      </c>
      <c r="D49" s="167">
        <f t="shared" si="7"/>
        <v>41610</v>
      </c>
      <c r="E49" s="173">
        <f t="shared" si="8"/>
        <v>6.0416951013047502</v>
      </c>
      <c r="F49" s="174">
        <f t="shared" si="9"/>
        <v>115.88172878495459</v>
      </c>
      <c r="G49" s="143"/>
      <c r="H49" s="135">
        <f t="shared" si="10"/>
        <v>688714</v>
      </c>
      <c r="I49" s="145">
        <v>359073</v>
      </c>
      <c r="J49" s="145"/>
      <c r="K49" s="145"/>
      <c r="L49" s="145"/>
      <c r="M49" s="132"/>
    </row>
    <row r="50" spans="1:13" ht="14.25" customHeight="1">
      <c r="A50" s="172" t="s">
        <v>310</v>
      </c>
      <c r="B50" s="167">
        <v>7161</v>
      </c>
      <c r="C50" s="167">
        <v>27769</v>
      </c>
      <c r="D50" s="167">
        <f t="shared" si="7"/>
        <v>34930</v>
      </c>
      <c r="E50" s="173">
        <f t="shared" si="8"/>
        <v>5.0717714464930292</v>
      </c>
      <c r="F50" s="174">
        <f t="shared" si="9"/>
        <v>97.278269321280078</v>
      </c>
      <c r="G50" s="143"/>
      <c r="H50" s="135">
        <f t="shared" si="10"/>
        <v>688714</v>
      </c>
      <c r="I50" s="145">
        <v>359073</v>
      </c>
      <c r="J50" s="145"/>
      <c r="K50" s="145"/>
      <c r="L50" s="145"/>
      <c r="M50" s="132"/>
    </row>
    <row r="51" spans="1:13" ht="14.25" customHeight="1">
      <c r="A51" s="172" t="s">
        <v>313</v>
      </c>
      <c r="B51" s="167">
        <v>6923</v>
      </c>
      <c r="C51" s="167">
        <v>27769</v>
      </c>
      <c r="D51" s="167">
        <f t="shared" si="7"/>
        <v>34692</v>
      </c>
      <c r="E51" s="173">
        <f t="shared" si="8"/>
        <v>5.0372142863365639</v>
      </c>
      <c r="F51" s="174">
        <f t="shared" si="9"/>
        <v>96.615451454161132</v>
      </c>
      <c r="G51" s="143"/>
      <c r="H51" s="135">
        <f t="shared" si="10"/>
        <v>688714</v>
      </c>
      <c r="I51" s="145">
        <v>359073</v>
      </c>
      <c r="J51" s="145"/>
      <c r="K51" s="145"/>
      <c r="L51" s="145"/>
      <c r="M51" s="132"/>
    </row>
    <row r="52" spans="1:13" ht="14.25" customHeight="1">
      <c r="A52" s="172" t="s">
        <v>308</v>
      </c>
      <c r="B52" s="167">
        <v>7084</v>
      </c>
      <c r="C52" s="167">
        <v>27769</v>
      </c>
      <c r="D52" s="167">
        <f t="shared" si="7"/>
        <v>34853</v>
      </c>
      <c r="E52" s="173">
        <f t="shared" si="8"/>
        <v>5.0605911887953496</v>
      </c>
      <c r="F52" s="174">
        <f t="shared" si="9"/>
        <v>97.063828246623942</v>
      </c>
      <c r="G52" s="143"/>
      <c r="H52" s="135">
        <f t="shared" si="10"/>
        <v>688714</v>
      </c>
      <c r="I52" s="145">
        <v>359073</v>
      </c>
      <c r="J52" s="145"/>
      <c r="K52" s="145"/>
      <c r="L52" s="145"/>
      <c r="M52" s="132"/>
    </row>
    <row r="53" spans="1:13" ht="14.25" customHeight="1">
      <c r="A53" s="172" t="s">
        <v>314</v>
      </c>
      <c r="B53" s="167">
        <v>3934</v>
      </c>
      <c r="C53" s="167">
        <v>27769</v>
      </c>
      <c r="D53" s="167">
        <f t="shared" si="7"/>
        <v>31703</v>
      </c>
      <c r="E53" s="173">
        <f t="shared" si="8"/>
        <v>4.6032170102538936</v>
      </c>
      <c r="F53" s="174">
        <f t="shared" si="9"/>
        <v>88.291238828873247</v>
      </c>
      <c r="G53" s="143"/>
      <c r="H53" s="135">
        <f t="shared" si="10"/>
        <v>688714</v>
      </c>
      <c r="I53" s="145">
        <v>359073</v>
      </c>
      <c r="J53" s="145"/>
      <c r="K53" s="145"/>
      <c r="L53" s="145"/>
      <c r="M53" s="132"/>
    </row>
    <row r="54" spans="1:13" ht="14.25" customHeight="1">
      <c r="A54" s="172" t="s">
        <v>88</v>
      </c>
      <c r="B54" s="167">
        <v>3051</v>
      </c>
      <c r="C54" s="167">
        <v>27769</v>
      </c>
      <c r="D54" s="167">
        <f t="shared" si="7"/>
        <v>30820</v>
      </c>
      <c r="E54" s="173">
        <f t="shared" si="8"/>
        <v>4.4750070421103683</v>
      </c>
      <c r="F54" s="174">
        <f t="shared" si="9"/>
        <v>85.832128842881531</v>
      </c>
      <c r="G54" s="143"/>
      <c r="H54" s="135">
        <f t="shared" si="10"/>
        <v>688714</v>
      </c>
      <c r="I54" s="145">
        <v>359073</v>
      </c>
      <c r="J54" s="145"/>
      <c r="K54" s="145"/>
      <c r="L54" s="145"/>
      <c r="M54" s="132"/>
    </row>
    <row r="55" spans="1:13" ht="14.25" customHeight="1">
      <c r="A55" s="172" t="s">
        <v>315</v>
      </c>
      <c r="B55" s="167">
        <v>2144</v>
      </c>
      <c r="C55" s="167">
        <v>27769</v>
      </c>
      <c r="D55" s="167">
        <f t="shared" si="7"/>
        <v>29913</v>
      </c>
      <c r="E55" s="173">
        <f t="shared" si="8"/>
        <v>4.3433123183208124</v>
      </c>
      <c r="F55" s="174">
        <f t="shared" si="9"/>
        <v>83.306180080373636</v>
      </c>
      <c r="G55" s="143"/>
      <c r="H55" s="135">
        <f t="shared" si="10"/>
        <v>688714</v>
      </c>
      <c r="I55" s="145">
        <v>359073</v>
      </c>
      <c r="J55" s="145"/>
      <c r="K55" s="145"/>
      <c r="L55" s="145"/>
      <c r="M55" s="132"/>
    </row>
    <row r="56" spans="1:13" ht="14.25" customHeight="1">
      <c r="A56" s="172" t="s">
        <v>316</v>
      </c>
      <c r="B56" s="167">
        <v>1366</v>
      </c>
      <c r="C56" s="167">
        <v>27769</v>
      </c>
      <c r="D56" s="167">
        <f t="shared" si="7"/>
        <v>29135</v>
      </c>
      <c r="E56" s="173">
        <f t="shared" si="8"/>
        <v>4.2303481561286684</v>
      </c>
      <c r="F56" s="174">
        <f t="shared" si="9"/>
        <v>81.13948974164029</v>
      </c>
      <c r="G56" s="143"/>
      <c r="H56" s="135">
        <f t="shared" si="10"/>
        <v>688714</v>
      </c>
      <c r="I56" s="145">
        <v>359073</v>
      </c>
      <c r="J56" s="145"/>
      <c r="K56" s="145"/>
      <c r="L56" s="145"/>
      <c r="M56" s="132"/>
    </row>
    <row r="57" spans="1:13" ht="14.25" customHeight="1">
      <c r="A57" s="176" t="s">
        <v>111</v>
      </c>
      <c r="B57" s="167">
        <v>126614</v>
      </c>
      <c r="C57" s="167">
        <v>27769</v>
      </c>
      <c r="D57" s="167">
        <v>257485</v>
      </c>
      <c r="E57" s="173">
        <f t="shared" si="8"/>
        <v>37.386346146586249</v>
      </c>
      <c r="F57" s="174">
        <f t="shared" si="9"/>
        <v>717.08259880302899</v>
      </c>
      <c r="G57" s="143"/>
      <c r="H57" s="135">
        <f t="shared" si="10"/>
        <v>688714</v>
      </c>
      <c r="I57" s="145">
        <v>359073</v>
      </c>
      <c r="J57" s="145"/>
      <c r="K57" s="145"/>
      <c r="L57" s="145"/>
      <c r="M57" s="132"/>
    </row>
    <row r="58" spans="1:13" ht="14.25" customHeight="1">
      <c r="A58" s="177" t="s">
        <v>14</v>
      </c>
      <c r="B58" s="193">
        <f>SUM(B47:B57)</f>
        <v>253228</v>
      </c>
      <c r="C58" s="193">
        <v>27769</v>
      </c>
      <c r="D58" s="193">
        <f>SUM(D47:D57)</f>
        <v>688714</v>
      </c>
      <c r="E58" s="179">
        <f>SUM(E47:E57)</f>
        <v>100</v>
      </c>
      <c r="F58" s="178"/>
      <c r="G58" s="143"/>
      <c r="H58" s="6"/>
      <c r="I58" s="6"/>
      <c r="J58" s="6"/>
      <c r="K58" s="6"/>
      <c r="L58" s="6"/>
      <c r="M58" s="132"/>
    </row>
    <row r="59" spans="1:13" ht="5.0999999999999996" customHeight="1">
      <c r="A59" s="180"/>
      <c r="B59" s="181"/>
      <c r="C59" s="182"/>
      <c r="D59" s="182"/>
      <c r="E59" s="183"/>
      <c r="F59" s="182"/>
      <c r="G59" s="143"/>
      <c r="H59" s="6"/>
      <c r="I59" s="6"/>
      <c r="J59" s="6"/>
      <c r="K59" s="6"/>
      <c r="L59" s="6"/>
      <c r="M59" s="132"/>
    </row>
    <row r="60" spans="1:13" ht="12" customHeight="1">
      <c r="A60" s="168" t="s">
        <v>63</v>
      </c>
      <c r="B60" s="158"/>
      <c r="C60" s="184"/>
      <c r="D60" s="184"/>
      <c r="E60" s="184"/>
      <c r="F60" s="184"/>
      <c r="G60" s="184"/>
      <c r="H60" s="135"/>
      <c r="I60" s="135"/>
      <c r="J60" s="135"/>
      <c r="K60" s="135"/>
      <c r="L60" s="135"/>
      <c r="M60" s="132"/>
    </row>
    <row r="61" spans="1:13" ht="12" customHeight="1">
      <c r="A61" s="168"/>
      <c r="B61" s="158"/>
      <c r="C61" s="184"/>
      <c r="D61" s="184"/>
      <c r="E61" s="184"/>
      <c r="F61" s="184"/>
      <c r="G61" s="184"/>
      <c r="H61" s="135"/>
      <c r="I61" s="135"/>
      <c r="J61" s="206"/>
      <c r="K61" s="135"/>
      <c r="L61" s="135"/>
      <c r="M61" s="132"/>
    </row>
    <row r="62" spans="1:13" ht="33" customHeight="1">
      <c r="A62" s="168"/>
      <c r="B62" s="158"/>
      <c r="C62" s="184"/>
      <c r="D62" s="184"/>
      <c r="E62" s="184"/>
      <c r="F62" s="184"/>
      <c r="G62" s="184"/>
      <c r="H62" s="135"/>
      <c r="I62" s="135"/>
      <c r="J62" s="135"/>
      <c r="K62" s="135"/>
      <c r="L62" s="135"/>
      <c r="M62" s="132"/>
    </row>
    <row r="63" spans="1:13" ht="15.75">
      <c r="A63" s="765" t="s">
        <v>84</v>
      </c>
      <c r="B63" s="823"/>
      <c r="C63" s="823"/>
      <c r="D63" s="823"/>
      <c r="E63" s="823"/>
      <c r="F63" s="823"/>
      <c r="G63" s="188"/>
      <c r="H63" s="137" t="s">
        <v>71</v>
      </c>
      <c r="M63" s="132"/>
    </row>
    <row r="64" spans="1:13" ht="5.0999999999999996" customHeight="1">
      <c r="A64" s="158"/>
      <c r="B64" s="158"/>
      <c r="C64" s="158"/>
      <c r="D64" s="158"/>
      <c r="E64" s="158"/>
      <c r="F64" s="158"/>
      <c r="G64" s="184"/>
      <c r="H64" s="135"/>
      <c r="I64" s="135"/>
      <c r="J64" s="135"/>
      <c r="K64" s="135"/>
      <c r="L64" s="135"/>
      <c r="M64" s="132"/>
    </row>
    <row r="65" spans="1:13" ht="13.5" customHeight="1">
      <c r="A65" s="816" t="s">
        <v>329</v>
      </c>
      <c r="B65" s="818" t="s">
        <v>301</v>
      </c>
      <c r="C65" s="819"/>
      <c r="D65" s="822" t="s">
        <v>52</v>
      </c>
      <c r="E65" s="822" t="s">
        <v>59</v>
      </c>
      <c r="F65" s="822" t="s">
        <v>302</v>
      </c>
      <c r="G65" s="184"/>
      <c r="H65" s="135"/>
      <c r="I65" s="135"/>
      <c r="J65" s="135"/>
      <c r="K65" s="135"/>
      <c r="L65" s="135"/>
      <c r="M65" s="132"/>
    </row>
    <row r="66" spans="1:13" ht="13.5" customHeight="1">
      <c r="A66" s="817"/>
      <c r="B66" s="198" t="s">
        <v>68</v>
      </c>
      <c r="C66" s="199" t="s">
        <v>67</v>
      </c>
      <c r="D66" s="822"/>
      <c r="E66" s="822"/>
      <c r="F66" s="822"/>
      <c r="G66" s="184"/>
      <c r="H66" s="136" t="s">
        <v>59</v>
      </c>
      <c r="I66" s="136" t="s">
        <v>72</v>
      </c>
      <c r="J66" s="136"/>
      <c r="K66" s="136"/>
      <c r="L66" s="136"/>
      <c r="M66" s="132"/>
    </row>
    <row r="67" spans="1:13" ht="5.0999999999999996" customHeight="1">
      <c r="A67" s="169"/>
      <c r="B67" s="170"/>
      <c r="C67" s="170"/>
      <c r="D67" s="171"/>
      <c r="E67" s="171"/>
      <c r="F67" s="171"/>
      <c r="G67" s="184"/>
      <c r="H67" s="136"/>
      <c r="I67" s="136"/>
      <c r="J67" s="136"/>
      <c r="K67" s="136"/>
      <c r="L67" s="136"/>
      <c r="M67" s="132"/>
    </row>
    <row r="68" spans="1:13" ht="25.5">
      <c r="A68" s="196" t="s">
        <v>304</v>
      </c>
      <c r="B68" s="167">
        <v>14939</v>
      </c>
      <c r="C68" s="167">
        <v>10003</v>
      </c>
      <c r="D68" s="167">
        <f t="shared" ref="D68:D77" si="11">SUM(B68:C68)</f>
        <v>24942</v>
      </c>
      <c r="E68" s="173">
        <f t="shared" ref="E68:E78" si="12">SUM(D68/H68)*100</f>
        <v>26.601395021437256</v>
      </c>
      <c r="F68" s="174">
        <f t="shared" ref="F68:F78" si="13">SUM(D68/I68)*1000</f>
        <v>140.86432024578681</v>
      </c>
      <c r="G68" s="143"/>
      <c r="H68" s="135">
        <f>SUM(D$79)</f>
        <v>93762</v>
      </c>
      <c r="I68" s="145">
        <v>177064</v>
      </c>
      <c r="J68" s="145"/>
      <c r="K68" s="145"/>
      <c r="L68" s="145"/>
    </row>
    <row r="69" spans="1:13">
      <c r="A69" s="172" t="s">
        <v>303</v>
      </c>
      <c r="B69" s="167">
        <v>9166</v>
      </c>
      <c r="C69" s="167">
        <v>7738</v>
      </c>
      <c r="D69" s="167">
        <f t="shared" si="11"/>
        <v>16904</v>
      </c>
      <c r="E69" s="173">
        <f t="shared" si="12"/>
        <v>18.028625669247671</v>
      </c>
      <c r="F69" s="174">
        <f t="shared" si="13"/>
        <v>95.468305245560927</v>
      </c>
      <c r="G69" s="143"/>
      <c r="H69" s="135">
        <f t="shared" ref="H69:H78" si="14">SUM(D$79)</f>
        <v>93762</v>
      </c>
      <c r="I69" s="145">
        <v>177064</v>
      </c>
      <c r="J69" s="145"/>
      <c r="K69" s="145"/>
      <c r="L69" s="145"/>
    </row>
    <row r="70" spans="1:13">
      <c r="A70" s="196" t="s">
        <v>317</v>
      </c>
      <c r="B70" s="167">
        <v>6256</v>
      </c>
      <c r="C70" s="167">
        <v>5516</v>
      </c>
      <c r="D70" s="167">
        <f t="shared" si="11"/>
        <v>11772</v>
      </c>
      <c r="E70" s="173">
        <f t="shared" si="12"/>
        <v>12.555192935304282</v>
      </c>
      <c r="F70" s="174">
        <f t="shared" si="13"/>
        <v>66.484435006551308</v>
      </c>
      <c r="G70" s="143"/>
      <c r="H70" s="135">
        <f t="shared" si="14"/>
        <v>93762</v>
      </c>
      <c r="I70" s="145">
        <v>177064</v>
      </c>
      <c r="J70" s="145"/>
      <c r="K70" s="145"/>
      <c r="L70" s="145"/>
    </row>
    <row r="71" spans="1:13" ht="12.75" customHeight="1">
      <c r="A71" s="172" t="s">
        <v>308</v>
      </c>
      <c r="B71" s="167">
        <v>4204</v>
      </c>
      <c r="C71" s="167">
        <v>3530</v>
      </c>
      <c r="D71" s="167">
        <f t="shared" si="11"/>
        <v>7734</v>
      </c>
      <c r="E71" s="173">
        <f t="shared" si="12"/>
        <v>8.248544186344148</v>
      </c>
      <c r="F71" s="174">
        <f t="shared" si="13"/>
        <v>43.679121673519177</v>
      </c>
      <c r="G71" s="143"/>
      <c r="H71" s="135">
        <f t="shared" si="14"/>
        <v>93762</v>
      </c>
      <c r="I71" s="145">
        <v>177064</v>
      </c>
      <c r="J71" s="145"/>
      <c r="K71" s="145"/>
      <c r="L71" s="145"/>
    </row>
    <row r="72" spans="1:13">
      <c r="A72" s="196" t="s">
        <v>306</v>
      </c>
      <c r="B72" s="167">
        <v>1244</v>
      </c>
      <c r="C72" s="167">
        <v>1280</v>
      </c>
      <c r="D72" s="167">
        <f t="shared" si="11"/>
        <v>2524</v>
      </c>
      <c r="E72" s="173">
        <f t="shared" si="12"/>
        <v>2.6919221006377851</v>
      </c>
      <c r="F72" s="174">
        <f t="shared" si="13"/>
        <v>14.254732751999278</v>
      </c>
      <c r="G72" s="143"/>
      <c r="H72" s="135">
        <f t="shared" si="14"/>
        <v>93762</v>
      </c>
      <c r="I72" s="145">
        <v>177064</v>
      </c>
      <c r="J72" s="145"/>
      <c r="K72" s="145"/>
      <c r="L72" s="145"/>
    </row>
    <row r="73" spans="1:13">
      <c r="A73" s="172" t="s">
        <v>307</v>
      </c>
      <c r="B73" s="167">
        <v>905</v>
      </c>
      <c r="C73" s="167">
        <v>860</v>
      </c>
      <c r="D73" s="167">
        <f t="shared" si="11"/>
        <v>1765</v>
      </c>
      <c r="E73" s="173">
        <f t="shared" si="12"/>
        <v>1.8824257161749962</v>
      </c>
      <c r="F73" s="174">
        <f t="shared" si="13"/>
        <v>9.968147110649257</v>
      </c>
      <c r="G73" s="143"/>
      <c r="H73" s="135">
        <f t="shared" si="14"/>
        <v>93762</v>
      </c>
      <c r="I73" s="145">
        <v>177064</v>
      </c>
      <c r="J73" s="145"/>
      <c r="K73" s="145"/>
      <c r="L73" s="145"/>
    </row>
    <row r="74" spans="1:13" ht="12.75" customHeight="1">
      <c r="A74" s="172" t="s">
        <v>314</v>
      </c>
      <c r="B74" s="167">
        <v>896</v>
      </c>
      <c r="C74" s="167">
        <v>665</v>
      </c>
      <c r="D74" s="167">
        <f t="shared" si="11"/>
        <v>1561</v>
      </c>
      <c r="E74" s="173">
        <f t="shared" si="12"/>
        <v>1.6648535654102941</v>
      </c>
      <c r="F74" s="174">
        <f t="shared" si="13"/>
        <v>8.8160213256223727</v>
      </c>
      <c r="G74" s="143"/>
      <c r="H74" s="135">
        <f t="shared" si="14"/>
        <v>93762</v>
      </c>
      <c r="I74" s="145">
        <v>177064</v>
      </c>
      <c r="J74" s="145"/>
      <c r="K74" s="145"/>
      <c r="L74" s="145"/>
    </row>
    <row r="75" spans="1:13">
      <c r="A75" s="172" t="s">
        <v>305</v>
      </c>
      <c r="B75" s="167">
        <v>1038</v>
      </c>
      <c r="C75" s="167">
        <v>447</v>
      </c>
      <c r="D75" s="167">
        <f t="shared" si="11"/>
        <v>1485</v>
      </c>
      <c r="E75" s="173">
        <f t="shared" si="12"/>
        <v>1.5837972739489348</v>
      </c>
      <c r="F75" s="174">
        <f t="shared" si="13"/>
        <v>8.3867979939456934</v>
      </c>
      <c r="G75" s="143"/>
      <c r="H75" s="135">
        <f t="shared" si="14"/>
        <v>93762</v>
      </c>
      <c r="I75" s="145">
        <v>177064</v>
      </c>
      <c r="J75" s="145"/>
      <c r="K75" s="145"/>
      <c r="L75" s="145"/>
    </row>
    <row r="76" spans="1:13" ht="12.75" customHeight="1">
      <c r="A76" s="172" t="s">
        <v>318</v>
      </c>
      <c r="B76" s="167">
        <v>1072</v>
      </c>
      <c r="C76" s="167">
        <v>411</v>
      </c>
      <c r="D76" s="167">
        <f t="shared" si="11"/>
        <v>1483</v>
      </c>
      <c r="E76" s="173">
        <f t="shared" si="12"/>
        <v>1.58166421364732</v>
      </c>
      <c r="F76" s="174">
        <f t="shared" si="13"/>
        <v>8.3755026431120942</v>
      </c>
      <c r="G76" s="143"/>
      <c r="H76" s="135">
        <f t="shared" si="14"/>
        <v>93762</v>
      </c>
      <c r="I76" s="145">
        <v>177064</v>
      </c>
      <c r="J76" s="145"/>
      <c r="K76" s="145"/>
      <c r="L76" s="145"/>
    </row>
    <row r="77" spans="1:13" ht="12.75" customHeight="1">
      <c r="A77" s="172" t="s">
        <v>319</v>
      </c>
      <c r="B77" s="167">
        <v>837</v>
      </c>
      <c r="C77" s="167">
        <v>639</v>
      </c>
      <c r="D77" s="167">
        <f t="shared" si="11"/>
        <v>1476</v>
      </c>
      <c r="E77" s="173">
        <f t="shared" si="12"/>
        <v>1.5741985025916683</v>
      </c>
      <c r="F77" s="174">
        <f t="shared" si="13"/>
        <v>8.3359689151945062</v>
      </c>
      <c r="G77" s="143"/>
      <c r="H77" s="135">
        <f t="shared" si="14"/>
        <v>93762</v>
      </c>
      <c r="I77" s="145">
        <v>177064</v>
      </c>
      <c r="J77" s="145"/>
      <c r="K77" s="145"/>
      <c r="L77" s="145"/>
    </row>
    <row r="78" spans="1:13" ht="12.75" customHeight="1">
      <c r="A78" s="176" t="s">
        <v>111</v>
      </c>
      <c r="B78" s="167">
        <v>12944</v>
      </c>
      <c r="C78" s="167">
        <v>9172</v>
      </c>
      <c r="D78" s="167">
        <v>22116</v>
      </c>
      <c r="E78" s="173">
        <f t="shared" si="12"/>
        <v>23.587380815255649</v>
      </c>
      <c r="F78" s="174">
        <f t="shared" si="13"/>
        <v>124.90398951791443</v>
      </c>
      <c r="G78" s="143"/>
      <c r="H78" s="135">
        <f t="shared" si="14"/>
        <v>93762</v>
      </c>
      <c r="I78" s="145">
        <v>177064</v>
      </c>
      <c r="J78" s="145"/>
      <c r="K78" s="145"/>
      <c r="L78" s="145"/>
    </row>
    <row r="79" spans="1:13" ht="12.75" customHeight="1">
      <c r="A79" s="177" t="s">
        <v>14</v>
      </c>
      <c r="B79" s="193">
        <f>SUM(B68:B78)</f>
        <v>53501</v>
      </c>
      <c r="C79" s="193">
        <f>SUM(C68:C78)</f>
        <v>40261</v>
      </c>
      <c r="D79" s="193">
        <f>SUM(D68:D78)</f>
        <v>93762</v>
      </c>
      <c r="E79" s="179">
        <f>SUM(E68:E78)</f>
        <v>100</v>
      </c>
      <c r="F79" s="178"/>
      <c r="G79" s="143"/>
      <c r="H79" s="6"/>
      <c r="I79" s="6"/>
      <c r="J79" s="6"/>
      <c r="K79" s="6"/>
      <c r="L79" s="6"/>
    </row>
    <row r="80" spans="1:13" ht="5.0999999999999996" customHeight="1">
      <c r="A80" s="180"/>
      <c r="B80" s="181"/>
      <c r="C80" s="182"/>
      <c r="D80" s="182"/>
      <c r="E80" s="183"/>
      <c r="F80" s="182"/>
      <c r="G80" s="143"/>
      <c r="H80" s="6"/>
      <c r="I80" s="6"/>
      <c r="J80" s="6"/>
      <c r="K80" s="6"/>
      <c r="L80" s="6"/>
    </row>
    <row r="81" spans="1:13" ht="11.25" customHeight="1">
      <c r="A81" s="168" t="s">
        <v>63</v>
      </c>
      <c r="B81" s="185"/>
      <c r="C81" s="185"/>
      <c r="D81" s="185"/>
      <c r="E81" s="186"/>
      <c r="F81" s="185"/>
      <c r="G81" s="184"/>
      <c r="H81" s="135"/>
      <c r="I81" s="135"/>
      <c r="J81" s="135"/>
      <c r="K81" s="135"/>
      <c r="L81" s="135"/>
      <c r="M81" s="132"/>
    </row>
    <row r="82" spans="1:13" ht="9.75" customHeight="1">
      <c r="A82" s="189"/>
      <c r="B82" s="158"/>
      <c r="C82" s="184"/>
      <c r="D82" s="184"/>
      <c r="E82" s="184"/>
      <c r="F82" s="184"/>
      <c r="G82" s="184"/>
      <c r="H82" s="135"/>
      <c r="I82" s="135"/>
      <c r="J82" s="135"/>
      <c r="K82" s="135"/>
      <c r="L82" s="135"/>
      <c r="M82" s="132"/>
    </row>
    <row r="83" spans="1:13" ht="15.75">
      <c r="A83" s="765" t="s">
        <v>85</v>
      </c>
      <c r="B83" s="823"/>
      <c r="C83" s="823"/>
      <c r="D83" s="823"/>
      <c r="E83" s="823"/>
      <c r="F83" s="823"/>
      <c r="G83" s="158"/>
      <c r="H83" s="137"/>
      <c r="I83" s="135"/>
      <c r="J83" s="207"/>
      <c r="M83" s="132"/>
    </row>
    <row r="84" spans="1:13" ht="8.25" customHeight="1">
      <c r="A84" s="158"/>
      <c r="B84" s="158"/>
      <c r="C84" s="158"/>
      <c r="D84" s="158"/>
      <c r="E84" s="158"/>
      <c r="F84" s="158"/>
      <c r="G84" s="158"/>
      <c r="H84" s="135"/>
      <c r="I84" s="135"/>
      <c r="J84" s="135"/>
      <c r="K84" s="135"/>
      <c r="L84" s="135"/>
      <c r="M84" s="132"/>
    </row>
    <row r="85" spans="1:13" ht="13.5" customHeight="1">
      <c r="A85" s="816" t="s">
        <v>329</v>
      </c>
      <c r="B85" s="818" t="s">
        <v>301</v>
      </c>
      <c r="C85" s="819"/>
      <c r="D85" s="822" t="s">
        <v>52</v>
      </c>
      <c r="E85" s="822" t="s">
        <v>59</v>
      </c>
      <c r="F85" s="822" t="s">
        <v>302</v>
      </c>
      <c r="G85" s="158"/>
      <c r="H85" s="135"/>
      <c r="I85" s="135"/>
      <c r="J85" s="135"/>
      <c r="K85" s="135"/>
      <c r="L85" s="135"/>
      <c r="M85" s="132"/>
    </row>
    <row r="86" spans="1:13" ht="13.5" customHeight="1">
      <c r="A86" s="817"/>
      <c r="B86" s="198" t="s">
        <v>68</v>
      </c>
      <c r="C86" s="199" t="s">
        <v>67</v>
      </c>
      <c r="D86" s="822"/>
      <c r="E86" s="822"/>
      <c r="F86" s="822"/>
      <c r="G86" s="158"/>
      <c r="H86" s="136" t="s">
        <v>59</v>
      </c>
      <c r="I86" s="136" t="s">
        <v>73</v>
      </c>
      <c r="J86" s="136"/>
      <c r="K86" s="136"/>
      <c r="L86" s="136"/>
      <c r="M86" s="132"/>
    </row>
    <row r="87" spans="1:13" ht="5.0999999999999996" customHeight="1">
      <c r="A87" s="169"/>
      <c r="B87" s="170"/>
      <c r="C87" s="170"/>
      <c r="D87" s="171"/>
      <c r="E87" s="171"/>
      <c r="F87" s="171"/>
      <c r="G87" s="158"/>
      <c r="H87" s="136"/>
      <c r="I87" s="136"/>
      <c r="J87" s="136"/>
      <c r="K87" s="136"/>
      <c r="L87" s="136"/>
      <c r="M87" s="132"/>
    </row>
    <row r="88" spans="1:13" ht="25.5">
      <c r="A88" s="196" t="s">
        <v>304</v>
      </c>
      <c r="B88" s="167">
        <v>24337</v>
      </c>
      <c r="C88" s="167">
        <v>4350</v>
      </c>
      <c r="D88" s="167">
        <v>28687</v>
      </c>
      <c r="E88" s="173">
        <f t="shared" ref="E88:E98" si="15">SUM(D88/H88)*100</f>
        <v>15.201309918712974</v>
      </c>
      <c r="F88" s="174">
        <f t="shared" ref="F88:F98" si="16">SUM(D88/I88)*1000</f>
        <v>93.406790201843592</v>
      </c>
      <c r="G88" s="143"/>
      <c r="H88" s="135">
        <f>SUM(D$99)</f>
        <v>188714</v>
      </c>
      <c r="I88" s="145">
        <v>307119</v>
      </c>
      <c r="J88" s="145"/>
      <c r="K88" s="145"/>
      <c r="L88" s="145"/>
    </row>
    <row r="89" spans="1:13">
      <c r="A89" s="172" t="s">
        <v>303</v>
      </c>
      <c r="B89" s="167">
        <v>16557</v>
      </c>
      <c r="C89" s="167">
        <v>5019</v>
      </c>
      <c r="D89" s="167">
        <v>21576</v>
      </c>
      <c r="E89" s="173">
        <f t="shared" si="15"/>
        <v>11.433174009347479</v>
      </c>
      <c r="F89" s="174">
        <f t="shared" si="16"/>
        <v>70.252898713527983</v>
      </c>
      <c r="G89" s="143"/>
      <c r="H89" s="135">
        <f t="shared" ref="H89:H98" si="17">SUM(D$99)</f>
        <v>188714</v>
      </c>
      <c r="I89" s="145">
        <v>307119</v>
      </c>
      <c r="J89" s="145"/>
      <c r="K89" s="145"/>
      <c r="L89" s="145"/>
    </row>
    <row r="90" spans="1:13" ht="25.5">
      <c r="A90" s="172" t="s">
        <v>320</v>
      </c>
      <c r="B90" s="167">
        <v>11636</v>
      </c>
      <c r="C90" s="194">
        <v>0</v>
      </c>
      <c r="D90" s="167">
        <v>11636</v>
      </c>
      <c r="E90" s="173">
        <f t="shared" si="15"/>
        <v>6.1659442330722678</v>
      </c>
      <c r="F90" s="174">
        <f t="shared" si="16"/>
        <v>37.88759405963161</v>
      </c>
      <c r="G90" s="143"/>
      <c r="H90" s="135">
        <f t="shared" si="17"/>
        <v>188714</v>
      </c>
      <c r="I90" s="145">
        <v>307119</v>
      </c>
      <c r="J90" s="145"/>
      <c r="K90" s="145"/>
      <c r="L90" s="145"/>
    </row>
    <row r="91" spans="1:13">
      <c r="A91" s="196" t="s">
        <v>321</v>
      </c>
      <c r="B91" s="167">
        <v>8516</v>
      </c>
      <c r="C91" s="167">
        <v>132</v>
      </c>
      <c r="D91" s="167">
        <v>8648</v>
      </c>
      <c r="E91" s="173">
        <f t="shared" si="15"/>
        <v>4.5825958858378284</v>
      </c>
      <c r="F91" s="174">
        <f t="shared" si="16"/>
        <v>28.158466262263161</v>
      </c>
      <c r="G91" s="143"/>
      <c r="H91" s="135">
        <f t="shared" si="17"/>
        <v>188714</v>
      </c>
      <c r="I91" s="145">
        <v>307119</v>
      </c>
      <c r="J91" s="145"/>
      <c r="K91" s="145"/>
      <c r="L91" s="145"/>
    </row>
    <row r="92" spans="1:13">
      <c r="A92" s="172" t="s">
        <v>305</v>
      </c>
      <c r="B92" s="167">
        <v>4177</v>
      </c>
      <c r="C92" s="167">
        <v>1199</v>
      </c>
      <c r="D92" s="167">
        <v>5376</v>
      </c>
      <c r="E92" s="173">
        <f t="shared" si="15"/>
        <v>2.8487552592812402</v>
      </c>
      <c r="F92" s="174">
        <f>SUM(D92/I92)*1000</f>
        <v>17.504615474783392</v>
      </c>
      <c r="G92" s="143"/>
      <c r="H92" s="135">
        <f t="shared" si="17"/>
        <v>188714</v>
      </c>
      <c r="I92" s="145">
        <v>307119</v>
      </c>
      <c r="J92" s="145"/>
      <c r="K92" s="145"/>
      <c r="L92" s="145"/>
    </row>
    <row r="93" spans="1:13">
      <c r="A93" s="172" t="s">
        <v>307</v>
      </c>
      <c r="B93" s="167">
        <v>3698</v>
      </c>
      <c r="C93" s="167">
        <v>1504</v>
      </c>
      <c r="D93" s="167">
        <v>5202</v>
      </c>
      <c r="E93" s="173">
        <f t="shared" si="15"/>
        <v>2.7565522430768254</v>
      </c>
      <c r="F93" s="174">
        <f t="shared" si="16"/>
        <v>16.938059839996871</v>
      </c>
      <c r="G93" s="143"/>
      <c r="H93" s="135">
        <f t="shared" si="17"/>
        <v>188714</v>
      </c>
      <c r="I93" s="145">
        <v>307119</v>
      </c>
      <c r="J93" s="145"/>
      <c r="K93" s="145"/>
      <c r="L93" s="145"/>
    </row>
    <row r="94" spans="1:13">
      <c r="A94" s="172" t="s">
        <v>311</v>
      </c>
      <c r="B94" s="167">
        <v>4519</v>
      </c>
      <c r="C94" s="167">
        <v>341</v>
      </c>
      <c r="D94" s="167">
        <v>4860</v>
      </c>
      <c r="E94" s="173">
        <f t="shared" si="15"/>
        <v>2.5753256250198713</v>
      </c>
      <c r="F94" s="174">
        <f t="shared" si="16"/>
        <v>15.824484971623379</v>
      </c>
      <c r="G94" s="143"/>
      <c r="H94" s="135">
        <f t="shared" si="17"/>
        <v>188714</v>
      </c>
      <c r="I94" s="145">
        <v>307119</v>
      </c>
      <c r="J94" s="145"/>
      <c r="K94" s="145"/>
      <c r="L94" s="145"/>
    </row>
    <row r="95" spans="1:13" ht="12.75" customHeight="1">
      <c r="A95" s="172" t="s">
        <v>318</v>
      </c>
      <c r="B95" s="167">
        <v>2866</v>
      </c>
      <c r="C95" s="167">
        <v>215</v>
      </c>
      <c r="D95" s="167">
        <v>3081</v>
      </c>
      <c r="E95" s="173">
        <f t="shared" si="15"/>
        <v>1.6326292696885232</v>
      </c>
      <c r="F95" s="174">
        <f t="shared" si="16"/>
        <v>10.03194201596124</v>
      </c>
      <c r="G95" s="143"/>
      <c r="H95" s="135">
        <f t="shared" si="17"/>
        <v>188714</v>
      </c>
      <c r="I95" s="145">
        <v>307119</v>
      </c>
      <c r="J95" s="145"/>
      <c r="K95" s="145"/>
      <c r="L95" s="145"/>
    </row>
    <row r="96" spans="1:13">
      <c r="A96" s="196" t="s">
        <v>322</v>
      </c>
      <c r="B96" s="167">
        <v>2671</v>
      </c>
      <c r="C96" s="194">
        <v>0</v>
      </c>
      <c r="D96" s="167">
        <v>2671</v>
      </c>
      <c r="E96" s="173">
        <f t="shared" si="15"/>
        <v>1.4153692889769705</v>
      </c>
      <c r="F96" s="174">
        <f t="shared" si="16"/>
        <v>8.6969546006596801</v>
      </c>
      <c r="G96" s="143"/>
      <c r="H96" s="135">
        <f t="shared" si="17"/>
        <v>188714</v>
      </c>
      <c r="I96" s="145">
        <v>307119</v>
      </c>
      <c r="J96" s="145"/>
      <c r="K96" s="145"/>
      <c r="L96" s="145"/>
    </row>
    <row r="97" spans="1:14" ht="12.75" customHeight="1">
      <c r="A97" s="172" t="s">
        <v>323</v>
      </c>
      <c r="B97" s="167">
        <v>2046</v>
      </c>
      <c r="C97" s="167">
        <v>574</v>
      </c>
      <c r="D97" s="167">
        <v>2620</v>
      </c>
      <c r="E97" s="173">
        <f t="shared" si="15"/>
        <v>1.3883442669860211</v>
      </c>
      <c r="F97" s="174">
        <f t="shared" si="16"/>
        <v>8.5308951904636316</v>
      </c>
      <c r="G97" s="143"/>
      <c r="H97" s="135">
        <f t="shared" si="17"/>
        <v>188714</v>
      </c>
      <c r="I97" s="145">
        <v>307119</v>
      </c>
      <c r="J97" s="145"/>
      <c r="K97" s="145"/>
      <c r="L97" s="145"/>
    </row>
    <row r="98" spans="1:14" ht="12.75" customHeight="1">
      <c r="A98" s="176" t="s">
        <v>111</v>
      </c>
      <c r="B98" s="167">
        <v>81023</v>
      </c>
      <c r="C98" s="167">
        <v>13334</v>
      </c>
      <c r="D98" s="167">
        <v>94357</v>
      </c>
      <c r="E98" s="173">
        <f t="shared" si="15"/>
        <v>50</v>
      </c>
      <c r="F98" s="174">
        <f t="shared" si="16"/>
        <v>307.23270133075454</v>
      </c>
      <c r="G98" s="143"/>
      <c r="H98" s="135">
        <f t="shared" si="17"/>
        <v>188714</v>
      </c>
      <c r="I98" s="145">
        <v>307119</v>
      </c>
      <c r="J98" s="145"/>
      <c r="K98" s="145"/>
      <c r="L98" s="145"/>
    </row>
    <row r="99" spans="1:14" ht="12.75" customHeight="1">
      <c r="A99" s="177" t="s">
        <v>14</v>
      </c>
      <c r="B99" s="193">
        <f>SUM(B88:B98)</f>
        <v>162046</v>
      </c>
      <c r="C99" s="193">
        <f>SUM(C88:C98)</f>
        <v>26668</v>
      </c>
      <c r="D99" s="193">
        <f>SUM(D88:D98)</f>
        <v>188714</v>
      </c>
      <c r="E99" s="179">
        <f>SUM(E88:E98)</f>
        <v>100</v>
      </c>
      <c r="F99" s="178"/>
      <c r="G99" s="143"/>
      <c r="H99" s="6"/>
      <c r="I99" s="6"/>
      <c r="J99" s="6"/>
      <c r="K99" s="6"/>
      <c r="L99" s="6"/>
    </row>
    <row r="100" spans="1:14" ht="5.0999999999999996" customHeight="1">
      <c r="A100" s="180"/>
      <c r="B100" s="181"/>
      <c r="C100" s="182"/>
      <c r="D100" s="182"/>
      <c r="E100" s="183"/>
      <c r="F100" s="182"/>
      <c r="G100" s="143"/>
      <c r="H100" s="6"/>
      <c r="I100" s="6"/>
      <c r="J100" s="6"/>
      <c r="K100" s="6"/>
      <c r="L100" s="6"/>
    </row>
    <row r="101" spans="1:14" ht="12" customHeight="1">
      <c r="A101" s="190" t="s">
        <v>63</v>
      </c>
      <c r="B101" s="158"/>
      <c r="C101" s="159"/>
      <c r="D101" s="158"/>
      <c r="E101" s="158"/>
      <c r="F101" s="158"/>
      <c r="G101" s="158"/>
      <c r="H101" s="135"/>
      <c r="I101" s="135"/>
      <c r="J101" s="135"/>
      <c r="K101" s="135"/>
      <c r="L101" s="135"/>
    </row>
    <row r="102" spans="1:14" ht="12" customHeight="1">
      <c r="A102" s="190"/>
      <c r="B102" s="158"/>
      <c r="C102" s="159"/>
      <c r="D102" s="158"/>
      <c r="E102" s="158"/>
      <c r="F102" s="158"/>
      <c r="G102" s="158"/>
      <c r="H102" s="135"/>
      <c r="I102" s="135"/>
      <c r="J102" s="135"/>
      <c r="K102" s="135"/>
      <c r="L102" s="135"/>
    </row>
    <row r="103" spans="1:14" ht="12" customHeight="1">
      <c r="A103" s="190"/>
      <c r="B103" s="158"/>
      <c r="C103" s="159"/>
      <c r="D103" s="158"/>
      <c r="E103" s="158"/>
      <c r="F103" s="158"/>
      <c r="G103" s="158"/>
      <c r="H103" s="135"/>
      <c r="I103" s="135"/>
      <c r="J103" s="135"/>
      <c r="K103" s="135"/>
      <c r="L103" s="135"/>
    </row>
    <row r="104" spans="1:14" ht="12" customHeight="1">
      <c r="A104" s="190"/>
      <c r="B104" s="158"/>
      <c r="C104" s="159"/>
      <c r="D104" s="158"/>
      <c r="E104" s="158"/>
      <c r="F104" s="158"/>
      <c r="G104" s="158"/>
      <c r="H104" s="135"/>
      <c r="I104" s="135"/>
      <c r="J104" s="135"/>
      <c r="K104" s="135"/>
      <c r="L104" s="135"/>
      <c r="M104" s="200"/>
      <c r="N104" s="200"/>
    </row>
    <row r="105" spans="1:14" ht="12.75" customHeight="1">
      <c r="A105" s="184"/>
      <c r="B105" s="184"/>
      <c r="C105" s="184"/>
      <c r="D105" s="184"/>
      <c r="E105" s="184"/>
      <c r="F105" s="184"/>
      <c r="G105" s="184"/>
      <c r="H105" s="135"/>
      <c r="I105" s="135"/>
      <c r="J105" s="135"/>
      <c r="K105" s="135"/>
      <c r="L105" s="135"/>
      <c r="M105" s="217" t="s">
        <v>86</v>
      </c>
      <c r="N105" s="201">
        <v>22116</v>
      </c>
    </row>
    <row r="106" spans="1:14" ht="14.25" customHeight="1">
      <c r="A106" s="184"/>
      <c r="B106" s="184"/>
      <c r="C106" s="184"/>
      <c r="D106" s="184"/>
      <c r="E106" s="184"/>
      <c r="F106" s="184"/>
      <c r="G106" s="184"/>
      <c r="H106" s="135"/>
      <c r="I106" s="135"/>
      <c r="J106" s="135"/>
      <c r="K106" s="135"/>
      <c r="L106" s="135"/>
      <c r="M106" s="217" t="s">
        <v>377</v>
      </c>
      <c r="N106" s="201">
        <v>24942</v>
      </c>
    </row>
    <row r="107" spans="1:14" ht="14.25" customHeight="1">
      <c r="A107" s="184"/>
      <c r="B107" s="184"/>
      <c r="C107" s="184"/>
      <c r="D107" s="184"/>
      <c r="E107" s="184"/>
      <c r="F107" s="184"/>
      <c r="G107" s="184"/>
      <c r="H107" s="135"/>
      <c r="I107" s="135"/>
      <c r="J107" s="135"/>
      <c r="K107" s="135"/>
      <c r="L107" s="135"/>
      <c r="M107" s="217" t="s">
        <v>378</v>
      </c>
      <c r="N107" s="201">
        <v>16904</v>
      </c>
    </row>
    <row r="108" spans="1:14" ht="14.25" customHeight="1">
      <c r="A108" s="184"/>
      <c r="B108" s="184"/>
      <c r="C108" s="184"/>
      <c r="D108" s="184"/>
      <c r="E108" s="184"/>
      <c r="F108" s="184"/>
      <c r="G108" s="184"/>
      <c r="H108" s="135"/>
      <c r="I108" s="135"/>
      <c r="J108" s="135"/>
      <c r="K108" s="135"/>
      <c r="L108" s="135"/>
      <c r="M108" s="217" t="s">
        <v>89</v>
      </c>
      <c r="N108" s="201">
        <v>11772</v>
      </c>
    </row>
    <row r="109" spans="1:14" ht="14.25" customHeight="1">
      <c r="A109" s="184"/>
      <c r="B109" s="184"/>
      <c r="C109" s="184"/>
      <c r="D109" s="184"/>
      <c r="E109" s="184"/>
      <c r="F109" s="184"/>
      <c r="G109" s="184"/>
      <c r="H109" s="135"/>
      <c r="I109" s="135"/>
      <c r="J109" s="135"/>
      <c r="K109" s="135"/>
      <c r="L109" s="135"/>
      <c r="M109" s="217" t="s">
        <v>308</v>
      </c>
      <c r="N109" s="201">
        <v>7734</v>
      </c>
    </row>
    <row r="110" spans="1:14" ht="14.25" customHeight="1">
      <c r="A110" s="184"/>
      <c r="B110" s="184"/>
      <c r="C110" s="184"/>
      <c r="D110" s="184"/>
      <c r="E110" s="184"/>
      <c r="F110" s="184"/>
      <c r="G110" s="184"/>
      <c r="H110" s="135"/>
      <c r="I110" s="135"/>
      <c r="J110" s="135"/>
      <c r="K110" s="135"/>
      <c r="L110" s="135"/>
      <c r="M110" s="217" t="s">
        <v>379</v>
      </c>
      <c r="N110" s="201">
        <v>2524</v>
      </c>
    </row>
    <row r="111" spans="1:14" ht="14.25" customHeight="1">
      <c r="A111" s="184"/>
      <c r="B111" s="184"/>
      <c r="C111" s="184"/>
      <c r="D111" s="184"/>
      <c r="E111" s="184"/>
      <c r="F111" s="184"/>
      <c r="G111" s="184"/>
      <c r="H111" s="135"/>
      <c r="I111" s="135"/>
      <c r="J111" s="135"/>
      <c r="K111" s="135"/>
      <c r="L111" s="135"/>
      <c r="M111" s="217" t="s">
        <v>380</v>
      </c>
      <c r="N111" s="201">
        <v>1765</v>
      </c>
    </row>
    <row r="112" spans="1:14" ht="14.25" customHeight="1">
      <c r="A112" s="184"/>
      <c r="B112" s="184"/>
      <c r="C112" s="184"/>
      <c r="D112" s="184"/>
      <c r="E112" s="184"/>
      <c r="F112" s="184"/>
      <c r="G112" s="184"/>
      <c r="H112" s="135"/>
      <c r="I112" s="135"/>
      <c r="J112" s="135"/>
      <c r="K112" s="135"/>
      <c r="L112" s="135"/>
      <c r="M112" s="217" t="s">
        <v>87</v>
      </c>
      <c r="N112" s="201">
        <v>1561</v>
      </c>
    </row>
    <row r="113" spans="1:14" ht="14.25" customHeight="1">
      <c r="A113" s="184"/>
      <c r="B113" s="184"/>
      <c r="C113" s="184"/>
      <c r="D113" s="184"/>
      <c r="E113" s="184"/>
      <c r="F113" s="184"/>
      <c r="G113" s="184"/>
      <c r="H113" s="135"/>
      <c r="I113" s="135"/>
      <c r="J113" s="135"/>
      <c r="K113" s="135"/>
      <c r="L113" s="135"/>
      <c r="M113" s="217" t="s">
        <v>381</v>
      </c>
      <c r="N113" s="201">
        <v>1485</v>
      </c>
    </row>
    <row r="114" spans="1:14" ht="14.25" customHeight="1">
      <c r="A114" s="184"/>
      <c r="B114" s="184"/>
      <c r="C114" s="184"/>
      <c r="D114" s="184"/>
      <c r="E114" s="184"/>
      <c r="F114" s="184"/>
      <c r="G114" s="184"/>
      <c r="H114" s="135"/>
      <c r="I114" s="135"/>
      <c r="J114" s="135"/>
      <c r="K114" s="135"/>
      <c r="L114" s="135"/>
      <c r="M114" s="217" t="s">
        <v>382</v>
      </c>
      <c r="N114" s="201">
        <v>1483</v>
      </c>
    </row>
    <row r="115" spans="1:14" ht="14.25" customHeight="1">
      <c r="A115" s="184"/>
      <c r="B115" s="184"/>
      <c r="C115" s="184"/>
      <c r="D115" s="184"/>
      <c r="E115" s="184"/>
      <c r="F115" s="184"/>
      <c r="G115" s="184"/>
      <c r="H115" s="135"/>
      <c r="I115" s="135"/>
      <c r="J115" s="135"/>
      <c r="K115" s="135"/>
      <c r="L115" s="135"/>
      <c r="M115" s="217" t="s">
        <v>383</v>
      </c>
      <c r="N115" s="201">
        <v>1476</v>
      </c>
    </row>
    <row r="116" spans="1:14" ht="14.25" customHeight="1">
      <c r="A116" s="184"/>
      <c r="B116" s="184"/>
      <c r="C116" s="184"/>
      <c r="D116" s="184"/>
      <c r="E116" s="184"/>
      <c r="F116" s="184"/>
      <c r="G116" s="184"/>
      <c r="H116" s="135"/>
      <c r="I116" s="135"/>
      <c r="J116" s="135"/>
      <c r="K116" s="135"/>
      <c r="L116" s="135"/>
      <c r="M116" s="202"/>
      <c r="N116" s="200"/>
    </row>
    <row r="117" spans="1:14" ht="14.25" customHeight="1">
      <c r="A117" s="184"/>
      <c r="B117" s="184"/>
      <c r="C117" s="184"/>
      <c r="D117" s="184"/>
      <c r="E117" s="184"/>
      <c r="F117" s="184"/>
      <c r="G117" s="184"/>
      <c r="H117" s="135"/>
      <c r="I117" s="135"/>
      <c r="J117" s="135"/>
      <c r="K117" s="135"/>
      <c r="L117" s="135"/>
      <c r="M117" s="132"/>
    </row>
    <row r="118" spans="1:14" ht="14.25" customHeight="1">
      <c r="A118" s="184"/>
      <c r="B118" s="184"/>
      <c r="C118" s="184"/>
      <c r="D118" s="184"/>
      <c r="E118" s="184"/>
      <c r="F118" s="184"/>
      <c r="G118" s="184"/>
      <c r="H118" s="135"/>
      <c r="I118" s="135"/>
      <c r="J118" s="135"/>
      <c r="K118" s="135"/>
      <c r="L118" s="135"/>
      <c r="M118" s="132"/>
    </row>
    <row r="119" spans="1:14" ht="14.25" customHeight="1">
      <c r="A119" s="184"/>
      <c r="B119" s="184"/>
      <c r="C119" s="184"/>
      <c r="D119" s="184"/>
      <c r="E119" s="184"/>
      <c r="F119" s="184"/>
      <c r="G119" s="184"/>
      <c r="H119" s="135"/>
      <c r="I119" s="135"/>
      <c r="J119" s="135"/>
      <c r="K119" s="135"/>
      <c r="L119" s="135"/>
      <c r="M119" s="132"/>
    </row>
    <row r="120" spans="1:14" ht="14.25" customHeight="1">
      <c r="A120" s="184"/>
      <c r="B120" s="184"/>
      <c r="C120" s="184"/>
      <c r="D120" s="184"/>
      <c r="E120" s="184"/>
      <c r="F120" s="184"/>
      <c r="G120" s="184"/>
      <c r="H120" s="135"/>
      <c r="I120" s="135"/>
      <c r="J120" s="135"/>
      <c r="K120" s="135"/>
      <c r="L120" s="135"/>
      <c r="M120" s="132"/>
    </row>
    <row r="121" spans="1:14" ht="14.25" customHeight="1">
      <c r="A121" s="184"/>
      <c r="B121" s="184"/>
      <c r="C121" s="184"/>
      <c r="D121" s="184"/>
      <c r="E121" s="184"/>
      <c r="F121" s="184"/>
      <c r="G121" s="184"/>
      <c r="H121" s="135"/>
      <c r="I121" s="135"/>
      <c r="J121" s="135"/>
      <c r="K121" s="135"/>
      <c r="L121" s="135"/>
      <c r="M121" s="132"/>
    </row>
    <row r="122" spans="1:14" ht="15.75">
      <c r="A122" s="765" t="s">
        <v>79</v>
      </c>
      <c r="B122" s="823"/>
      <c r="C122" s="823"/>
      <c r="D122" s="823"/>
      <c r="E122" s="823"/>
      <c r="F122" s="823"/>
      <c r="G122" s="158"/>
      <c r="H122" s="137"/>
      <c r="J122" s="207"/>
      <c r="M122" s="132"/>
    </row>
    <row r="123" spans="1:14" ht="5.0999999999999996" customHeight="1">
      <c r="A123" s="158"/>
      <c r="B123" s="158"/>
      <c r="C123" s="158"/>
      <c r="D123" s="158"/>
      <c r="E123" s="158"/>
      <c r="F123" s="158"/>
      <c r="G123" s="158"/>
      <c r="H123" s="135"/>
      <c r="I123" s="135"/>
      <c r="J123" s="135"/>
      <c r="K123" s="135"/>
      <c r="L123" s="135"/>
      <c r="M123" s="132"/>
    </row>
    <row r="124" spans="1:14" ht="13.5" customHeight="1">
      <c r="A124" s="816" t="s">
        <v>329</v>
      </c>
      <c r="B124" s="818" t="s">
        <v>301</v>
      </c>
      <c r="C124" s="819"/>
      <c r="D124" s="822" t="s">
        <v>52</v>
      </c>
      <c r="E124" s="822" t="s">
        <v>59</v>
      </c>
      <c r="F124" s="822" t="s">
        <v>302</v>
      </c>
      <c r="G124" s="158"/>
      <c r="H124" s="135"/>
      <c r="I124" s="135"/>
      <c r="J124" s="135"/>
      <c r="K124" s="135"/>
      <c r="L124" s="135"/>
      <c r="M124" s="132"/>
    </row>
    <row r="125" spans="1:14" ht="13.5" customHeight="1">
      <c r="A125" s="817"/>
      <c r="B125" s="198" t="s">
        <v>68</v>
      </c>
      <c r="C125" s="199" t="s">
        <v>67</v>
      </c>
      <c r="D125" s="822"/>
      <c r="E125" s="822"/>
      <c r="F125" s="822"/>
      <c r="G125" s="158"/>
      <c r="H125" s="136" t="s">
        <v>59</v>
      </c>
      <c r="I125" s="136" t="s">
        <v>74</v>
      </c>
      <c r="J125" s="136"/>
      <c r="K125" s="136"/>
      <c r="L125" s="136"/>
      <c r="M125" s="132"/>
    </row>
    <row r="126" spans="1:14" ht="5.0999999999999996" customHeight="1">
      <c r="A126" s="169"/>
      <c r="B126" s="170"/>
      <c r="C126" s="170"/>
      <c r="D126" s="171"/>
      <c r="E126" s="171"/>
      <c r="F126" s="171"/>
      <c r="G126" s="158"/>
      <c r="H126" s="136"/>
      <c r="I126" s="136"/>
      <c r="J126" s="136"/>
      <c r="K126" s="136"/>
      <c r="L126" s="136"/>
      <c r="M126" s="132"/>
    </row>
    <row r="127" spans="1:14">
      <c r="A127" s="172" t="s">
        <v>303</v>
      </c>
      <c r="B127" s="167">
        <v>23494</v>
      </c>
      <c r="C127" s="167">
        <v>11428</v>
      </c>
      <c r="D127" s="167">
        <v>34922</v>
      </c>
      <c r="E127" s="173">
        <f t="shared" ref="E127:E137" si="18">SUM(D127/H127)*100</f>
        <v>12.054206304278791</v>
      </c>
      <c r="F127" s="174">
        <f t="shared" ref="F127:F137" si="19">SUM(D127/I127)*1000</f>
        <v>83.197735778933492</v>
      </c>
      <c r="G127" s="143"/>
      <c r="H127" s="135">
        <f>SUM(D$138)</f>
        <v>289708</v>
      </c>
      <c r="I127" s="145">
        <v>419747</v>
      </c>
      <c r="J127" s="145"/>
      <c r="K127" s="145"/>
      <c r="L127" s="145"/>
    </row>
    <row r="128" spans="1:14" ht="25.5">
      <c r="A128" s="196" t="s">
        <v>304</v>
      </c>
      <c r="B128" s="167">
        <v>22933</v>
      </c>
      <c r="C128" s="167">
        <v>7565</v>
      </c>
      <c r="D128" s="167">
        <v>30498</v>
      </c>
      <c r="E128" s="173">
        <f t="shared" si="18"/>
        <v>10.527151476659256</v>
      </c>
      <c r="F128" s="174">
        <f t="shared" si="19"/>
        <v>72.658053541776354</v>
      </c>
      <c r="G128" s="143"/>
      <c r="H128" s="135">
        <f t="shared" ref="H128:H137" si="20">SUM(D$138)</f>
        <v>289708</v>
      </c>
      <c r="I128" s="145">
        <v>419747</v>
      </c>
      <c r="J128" s="145"/>
      <c r="K128" s="145"/>
      <c r="L128" s="145"/>
    </row>
    <row r="129" spans="1:13">
      <c r="A129" s="172" t="s">
        <v>305</v>
      </c>
      <c r="B129" s="167">
        <v>12389</v>
      </c>
      <c r="C129" s="167">
        <v>4953</v>
      </c>
      <c r="D129" s="167">
        <v>17342</v>
      </c>
      <c r="E129" s="173">
        <f t="shared" si="18"/>
        <v>5.9860273102572243</v>
      </c>
      <c r="F129" s="174">
        <f t="shared" si="19"/>
        <v>41.315363778657144</v>
      </c>
      <c r="G129" s="143"/>
      <c r="H129" s="135">
        <f t="shared" si="20"/>
        <v>289708</v>
      </c>
      <c r="I129" s="145">
        <v>419747</v>
      </c>
      <c r="J129" s="145"/>
      <c r="K129" s="145"/>
      <c r="L129" s="145"/>
    </row>
    <row r="130" spans="1:13">
      <c r="A130" s="172" t="s">
        <v>307</v>
      </c>
      <c r="B130" s="167">
        <v>7328</v>
      </c>
      <c r="C130" s="167">
        <v>4326</v>
      </c>
      <c r="D130" s="167">
        <v>11654</v>
      </c>
      <c r="E130" s="173">
        <f t="shared" si="18"/>
        <v>4.0226711033178235</v>
      </c>
      <c r="F130" s="174">
        <f t="shared" si="19"/>
        <v>27.764343759455098</v>
      </c>
      <c r="G130" s="143"/>
      <c r="H130" s="135">
        <f t="shared" si="20"/>
        <v>289708</v>
      </c>
      <c r="I130" s="145">
        <v>419747</v>
      </c>
      <c r="J130" s="145"/>
      <c r="K130" s="145"/>
      <c r="L130" s="145"/>
    </row>
    <row r="131" spans="1:13">
      <c r="A131" s="196" t="s">
        <v>321</v>
      </c>
      <c r="B131" s="167">
        <v>10630</v>
      </c>
      <c r="C131" s="167">
        <v>193</v>
      </c>
      <c r="D131" s="167">
        <v>10823</v>
      </c>
      <c r="E131" s="173">
        <f t="shared" si="18"/>
        <v>3.7358305604263604</v>
      </c>
      <c r="F131" s="174">
        <f t="shared" si="19"/>
        <v>25.784579758759442</v>
      </c>
      <c r="G131" s="143"/>
      <c r="H131" s="135">
        <f t="shared" si="20"/>
        <v>289708</v>
      </c>
      <c r="I131" s="145">
        <v>419747</v>
      </c>
      <c r="J131" s="145"/>
      <c r="K131" s="145"/>
      <c r="L131" s="145"/>
    </row>
    <row r="132" spans="1:13" ht="13.5" customHeight="1">
      <c r="A132" s="172" t="s">
        <v>309</v>
      </c>
      <c r="B132" s="167">
        <v>6674</v>
      </c>
      <c r="C132" s="167">
        <v>4043</v>
      </c>
      <c r="D132" s="167">
        <v>10717</v>
      </c>
      <c r="E132" s="173">
        <f t="shared" si="18"/>
        <v>3.6992419953884603</v>
      </c>
      <c r="F132" s="174">
        <f t="shared" si="19"/>
        <v>25.532046685265172</v>
      </c>
      <c r="G132" s="143"/>
      <c r="H132" s="135">
        <f t="shared" si="20"/>
        <v>289708</v>
      </c>
      <c r="I132" s="145">
        <v>419747</v>
      </c>
      <c r="J132" s="145"/>
      <c r="K132" s="145"/>
      <c r="L132" s="145"/>
    </row>
    <row r="133" spans="1:13">
      <c r="A133" s="172" t="s">
        <v>311</v>
      </c>
      <c r="B133" s="167">
        <v>7901</v>
      </c>
      <c r="C133" s="167">
        <v>1211</v>
      </c>
      <c r="D133" s="167">
        <v>9112</v>
      </c>
      <c r="E133" s="173">
        <f t="shared" si="18"/>
        <v>3.1452358926919519</v>
      </c>
      <c r="F133" s="174">
        <f t="shared" si="19"/>
        <v>21.708314770564176</v>
      </c>
      <c r="G133" s="143"/>
      <c r="H133" s="135">
        <f t="shared" si="20"/>
        <v>289708</v>
      </c>
      <c r="I133" s="145">
        <v>419747</v>
      </c>
      <c r="J133" s="145"/>
      <c r="K133" s="145"/>
      <c r="L133" s="145"/>
    </row>
    <row r="134" spans="1:13" ht="13.5" customHeight="1">
      <c r="A134" s="172" t="s">
        <v>318</v>
      </c>
      <c r="B134" s="167">
        <v>6861</v>
      </c>
      <c r="C134" s="167">
        <v>1355</v>
      </c>
      <c r="D134" s="167">
        <v>8216</v>
      </c>
      <c r="E134" s="173">
        <f t="shared" si="18"/>
        <v>2.8359589655791351</v>
      </c>
      <c r="F134" s="174">
        <f t="shared" si="19"/>
        <v>19.57369558329184</v>
      </c>
      <c r="G134" s="143"/>
      <c r="H134" s="135">
        <f t="shared" si="20"/>
        <v>289708</v>
      </c>
      <c r="I134" s="145">
        <v>419747</v>
      </c>
      <c r="J134" s="145"/>
      <c r="K134" s="145"/>
      <c r="L134" s="145"/>
    </row>
    <row r="135" spans="1:13" ht="13.5" customHeight="1">
      <c r="A135" s="172" t="s">
        <v>323</v>
      </c>
      <c r="B135" s="167">
        <v>5123</v>
      </c>
      <c r="C135" s="167">
        <v>1448</v>
      </c>
      <c r="D135" s="167">
        <v>6571</v>
      </c>
      <c r="E135" s="173">
        <f t="shared" si="18"/>
        <v>2.2681458572079474</v>
      </c>
      <c r="F135" s="174">
        <f t="shared" si="19"/>
        <v>15.654668169159041</v>
      </c>
      <c r="G135" s="143"/>
      <c r="H135" s="135">
        <f t="shared" si="20"/>
        <v>289708</v>
      </c>
      <c r="I135" s="145">
        <v>419747</v>
      </c>
      <c r="J135" s="145"/>
      <c r="K135" s="145"/>
      <c r="L135" s="145"/>
    </row>
    <row r="136" spans="1:13" ht="25.5">
      <c r="A136" s="196" t="s">
        <v>320</v>
      </c>
      <c r="B136" s="167">
        <v>4999</v>
      </c>
      <c r="C136" s="194">
        <v>0</v>
      </c>
      <c r="D136" s="167">
        <v>4999</v>
      </c>
      <c r="E136" s="173">
        <f t="shared" si="18"/>
        <v>1.7255305341930496</v>
      </c>
      <c r="F136" s="174">
        <f t="shared" si="19"/>
        <v>11.909555041489277</v>
      </c>
      <c r="G136" s="143"/>
      <c r="H136" s="135">
        <f t="shared" si="20"/>
        <v>289708</v>
      </c>
      <c r="I136" s="145">
        <v>419747</v>
      </c>
      <c r="J136" s="145"/>
      <c r="K136" s="145"/>
      <c r="L136" s="145"/>
    </row>
    <row r="137" spans="1:13" ht="13.5" customHeight="1">
      <c r="A137" s="176" t="s">
        <v>111</v>
      </c>
      <c r="B137" s="167">
        <v>108332</v>
      </c>
      <c r="C137" s="167">
        <v>36522</v>
      </c>
      <c r="D137" s="167">
        <v>144854</v>
      </c>
      <c r="E137" s="173">
        <f t="shared" si="18"/>
        <v>50</v>
      </c>
      <c r="F137" s="174">
        <f t="shared" si="19"/>
        <v>345.09835686735107</v>
      </c>
      <c r="G137" s="143"/>
      <c r="H137" s="135">
        <f t="shared" si="20"/>
        <v>289708</v>
      </c>
      <c r="I137" s="145">
        <v>419747</v>
      </c>
      <c r="J137" s="145"/>
      <c r="K137" s="145"/>
      <c r="L137" s="145"/>
    </row>
    <row r="138" spans="1:13" ht="13.5" customHeight="1">
      <c r="A138" s="177" t="s">
        <v>14</v>
      </c>
      <c r="B138" s="193">
        <f>SUM(B127:B137)</f>
        <v>216664</v>
      </c>
      <c r="C138" s="193">
        <f>SUM(C127:C137)</f>
        <v>73044</v>
      </c>
      <c r="D138" s="193">
        <f>SUM(D127:D137)</f>
        <v>289708</v>
      </c>
      <c r="E138" s="179">
        <f>SUM(E127:E137)</f>
        <v>100</v>
      </c>
      <c r="F138" s="178"/>
      <c r="G138" s="143"/>
      <c r="H138" s="6"/>
      <c r="I138" s="6"/>
      <c r="J138" s="6"/>
      <c r="K138" s="6"/>
      <c r="L138" s="6"/>
    </row>
    <row r="139" spans="1:13" ht="5.0999999999999996" customHeight="1">
      <c r="A139" s="180"/>
      <c r="B139" s="181"/>
      <c r="C139" s="182"/>
      <c r="D139" s="182"/>
      <c r="E139" s="183"/>
      <c r="F139" s="182"/>
      <c r="G139" s="143"/>
      <c r="H139" s="6"/>
      <c r="I139" s="6"/>
      <c r="J139" s="6"/>
      <c r="K139" s="6"/>
      <c r="L139" s="6"/>
    </row>
    <row r="140" spans="1:13">
      <c r="A140" s="190" t="s">
        <v>63</v>
      </c>
      <c r="B140" s="158"/>
      <c r="C140" s="159"/>
      <c r="D140" s="158"/>
      <c r="E140" s="158"/>
      <c r="F140" s="158"/>
      <c r="G140" s="158"/>
      <c r="H140" s="135"/>
      <c r="I140" s="135"/>
      <c r="J140" s="135"/>
      <c r="K140" s="135"/>
      <c r="L140" s="135"/>
      <c r="M140" s="132"/>
    </row>
    <row r="141" spans="1:13">
      <c r="A141" s="190"/>
      <c r="B141" s="158"/>
      <c r="C141" s="159"/>
      <c r="D141" s="158"/>
      <c r="E141" s="158"/>
      <c r="F141" s="158"/>
      <c r="G141" s="158"/>
      <c r="H141" s="135"/>
      <c r="I141" s="135"/>
      <c r="J141" s="135"/>
      <c r="K141" s="135"/>
      <c r="L141" s="135"/>
      <c r="M141" s="132"/>
    </row>
    <row r="142" spans="1:13" ht="36" customHeight="1">
      <c r="A142" s="190"/>
      <c r="B142" s="158"/>
      <c r="C142" s="159"/>
      <c r="D142" s="158"/>
      <c r="E142" s="158"/>
      <c r="F142" s="158"/>
      <c r="G142" s="158"/>
      <c r="H142" s="135"/>
      <c r="I142" s="135"/>
      <c r="J142" s="206"/>
      <c r="K142" s="135"/>
      <c r="L142" s="135"/>
      <c r="M142" s="132"/>
    </row>
    <row r="143" spans="1:13" ht="15.75">
      <c r="A143" s="765" t="s">
        <v>80</v>
      </c>
      <c r="B143" s="823"/>
      <c r="C143" s="823"/>
      <c r="D143" s="823"/>
      <c r="E143" s="823"/>
      <c r="F143" s="823"/>
      <c r="G143" s="158"/>
      <c r="H143" s="137"/>
      <c r="M143" s="132"/>
    </row>
    <row r="144" spans="1:13" ht="5.0999999999999996" customHeight="1">
      <c r="A144" s="158"/>
      <c r="B144" s="158"/>
      <c r="C144" s="158"/>
      <c r="D144" s="158"/>
      <c r="E144" s="158"/>
      <c r="F144" s="158"/>
      <c r="G144" s="158"/>
      <c r="H144" s="135"/>
      <c r="I144" s="135"/>
      <c r="J144" s="135"/>
      <c r="K144" s="135"/>
      <c r="L144" s="135"/>
      <c r="M144" s="132"/>
    </row>
    <row r="145" spans="1:18" ht="13.5" customHeight="1">
      <c r="A145" s="816" t="s">
        <v>329</v>
      </c>
      <c r="B145" s="818" t="s">
        <v>301</v>
      </c>
      <c r="C145" s="819"/>
      <c r="D145" s="822" t="s">
        <v>52</v>
      </c>
      <c r="E145" s="822" t="s">
        <v>59</v>
      </c>
      <c r="F145" s="822" t="s">
        <v>302</v>
      </c>
      <c r="G145" s="158"/>
      <c r="H145" s="135"/>
      <c r="I145" s="135"/>
      <c r="J145" s="135"/>
      <c r="K145" s="135"/>
      <c r="L145" s="135"/>
      <c r="M145" s="132"/>
    </row>
    <row r="146" spans="1:18" ht="13.5" customHeight="1">
      <c r="A146" s="817"/>
      <c r="B146" s="198" t="s">
        <v>68</v>
      </c>
      <c r="C146" s="199" t="s">
        <v>67</v>
      </c>
      <c r="D146" s="822"/>
      <c r="E146" s="822"/>
      <c r="F146" s="822"/>
      <c r="G146" s="158"/>
      <c r="H146" s="136" t="s">
        <v>59</v>
      </c>
      <c r="I146" s="136" t="s">
        <v>75</v>
      </c>
      <c r="J146" s="136"/>
      <c r="K146" s="136"/>
      <c r="L146" s="136"/>
      <c r="M146" s="132"/>
    </row>
    <row r="147" spans="1:18" ht="5.0999999999999996" customHeight="1">
      <c r="A147" s="169"/>
      <c r="B147" s="170"/>
      <c r="C147" s="170"/>
      <c r="D147" s="171"/>
      <c r="E147" s="171"/>
      <c r="F147" s="171"/>
      <c r="G147" s="158"/>
      <c r="H147" s="136"/>
      <c r="I147" s="136"/>
      <c r="J147" s="136"/>
      <c r="K147" s="136"/>
      <c r="L147" s="136"/>
      <c r="M147" s="132"/>
    </row>
    <row r="148" spans="1:18" ht="13.5">
      <c r="A148" s="172" t="s">
        <v>305</v>
      </c>
      <c r="B148" s="167">
        <v>11655</v>
      </c>
      <c r="C148" s="167">
        <v>6736</v>
      </c>
      <c r="D148" s="167">
        <v>18391</v>
      </c>
      <c r="E148" s="173">
        <f t="shared" ref="E148:E158" si="21">SUM(D148/H148)*100</f>
        <v>10.934657232891373</v>
      </c>
      <c r="F148" s="174">
        <f t="shared" ref="F148:F158" si="22">SUM(D148/I148)*1000</f>
        <v>145.17567748912623</v>
      </c>
      <c r="G148" s="143"/>
      <c r="H148" s="135">
        <f>SUM(D$159)</f>
        <v>168190</v>
      </c>
      <c r="I148" s="145">
        <v>126681</v>
      </c>
      <c r="J148" s="145"/>
      <c r="K148" s="145"/>
      <c r="L148" s="145"/>
      <c r="O148" s="138"/>
      <c r="P148" s="131"/>
      <c r="Q148" s="131"/>
      <c r="R148" s="12"/>
    </row>
    <row r="149" spans="1:18" ht="13.5">
      <c r="A149" s="172" t="s">
        <v>303</v>
      </c>
      <c r="B149" s="167">
        <v>8652</v>
      </c>
      <c r="C149" s="167">
        <v>7354</v>
      </c>
      <c r="D149" s="167">
        <v>16006</v>
      </c>
      <c r="E149" s="173">
        <f t="shared" si="21"/>
        <v>9.5166181104703007</v>
      </c>
      <c r="F149" s="174">
        <f t="shared" si="22"/>
        <v>126.34886052367759</v>
      </c>
      <c r="G149" s="143"/>
      <c r="H149" s="135">
        <f t="shared" ref="H149:H158" si="23">SUM(D$159)</f>
        <v>168190</v>
      </c>
      <c r="I149" s="145">
        <v>126681</v>
      </c>
      <c r="J149" s="145"/>
      <c r="K149" s="145"/>
      <c r="L149" s="145"/>
      <c r="O149" s="138"/>
      <c r="P149" s="131"/>
      <c r="Q149" s="131"/>
      <c r="R149" s="12"/>
    </row>
    <row r="150" spans="1:18" ht="14.25" customHeight="1">
      <c r="A150" s="172" t="s">
        <v>312</v>
      </c>
      <c r="B150" s="167">
        <v>10024</v>
      </c>
      <c r="C150" s="167">
        <v>5869</v>
      </c>
      <c r="D150" s="167">
        <v>15893</v>
      </c>
      <c r="E150" s="173">
        <f t="shared" si="21"/>
        <v>9.4494321897853624</v>
      </c>
      <c r="F150" s="174">
        <f t="shared" si="22"/>
        <v>125.45685619785129</v>
      </c>
      <c r="G150" s="143"/>
      <c r="H150" s="135">
        <f t="shared" si="23"/>
        <v>168190</v>
      </c>
      <c r="I150" s="145">
        <v>126681</v>
      </c>
      <c r="J150" s="145"/>
      <c r="K150" s="145"/>
      <c r="L150" s="145"/>
      <c r="O150" s="138"/>
      <c r="P150" s="131"/>
      <c r="Q150" s="131"/>
      <c r="R150" s="12"/>
    </row>
    <row r="151" spans="1:18" ht="25.5">
      <c r="A151" s="172" t="s">
        <v>304</v>
      </c>
      <c r="B151" s="167">
        <v>7628</v>
      </c>
      <c r="C151" s="167">
        <v>5772</v>
      </c>
      <c r="D151" s="167">
        <v>13400</v>
      </c>
      <c r="E151" s="173">
        <f t="shared" si="21"/>
        <v>7.9671799750282419</v>
      </c>
      <c r="F151" s="174">
        <f t="shared" si="22"/>
        <v>105.77750412453328</v>
      </c>
      <c r="G151" s="143"/>
      <c r="H151" s="135">
        <f t="shared" si="23"/>
        <v>168190</v>
      </c>
      <c r="I151" s="145">
        <v>126681</v>
      </c>
      <c r="J151" s="145"/>
      <c r="K151" s="145"/>
      <c r="L151" s="145"/>
      <c r="O151" s="138"/>
      <c r="P151" s="131"/>
      <c r="Q151" s="131"/>
      <c r="R151" s="12"/>
    </row>
    <row r="152" spans="1:18" ht="14.25" customHeight="1">
      <c r="A152" s="172" t="s">
        <v>309</v>
      </c>
      <c r="B152" s="167">
        <v>7028</v>
      </c>
      <c r="C152" s="167">
        <v>5715</v>
      </c>
      <c r="D152" s="167">
        <v>12743</v>
      </c>
      <c r="E152" s="173">
        <f t="shared" si="21"/>
        <v>7.576550329983947</v>
      </c>
      <c r="F152" s="174">
        <f t="shared" si="22"/>
        <v>100.5912488849946</v>
      </c>
      <c r="G152" s="143"/>
      <c r="H152" s="135">
        <f t="shared" si="23"/>
        <v>168190</v>
      </c>
      <c r="I152" s="145">
        <v>126681</v>
      </c>
      <c r="J152" s="145"/>
      <c r="K152" s="145"/>
      <c r="L152" s="145"/>
      <c r="O152" s="138"/>
      <c r="P152" s="131"/>
      <c r="Q152" s="131"/>
      <c r="R152" s="12"/>
    </row>
    <row r="153" spans="1:18" ht="13.5">
      <c r="A153" s="172" t="s">
        <v>307</v>
      </c>
      <c r="B153" s="167">
        <v>5243</v>
      </c>
      <c r="C153" s="167">
        <v>4927</v>
      </c>
      <c r="D153" s="167">
        <v>10170</v>
      </c>
      <c r="E153" s="173">
        <f t="shared" si="21"/>
        <v>6.0467328616445686</v>
      </c>
      <c r="F153" s="174">
        <f t="shared" si="22"/>
        <v>80.280389324365927</v>
      </c>
      <c r="G153" s="143"/>
      <c r="H153" s="135">
        <f t="shared" si="23"/>
        <v>168190</v>
      </c>
      <c r="I153" s="145">
        <v>126681</v>
      </c>
      <c r="J153" s="145"/>
      <c r="K153" s="145"/>
      <c r="L153" s="145"/>
      <c r="O153" s="138"/>
      <c r="P153" s="131"/>
      <c r="Q153" s="131"/>
      <c r="R153" s="12"/>
    </row>
    <row r="154" spans="1:18" ht="14.25" customHeight="1">
      <c r="A154" s="172" t="s">
        <v>324</v>
      </c>
      <c r="B154" s="167">
        <v>4469</v>
      </c>
      <c r="C154" s="167">
        <v>3926</v>
      </c>
      <c r="D154" s="167">
        <v>8395</v>
      </c>
      <c r="E154" s="173">
        <f t="shared" si="21"/>
        <v>4.991378797788216</v>
      </c>
      <c r="F154" s="174">
        <f t="shared" si="22"/>
        <v>66.268816949660959</v>
      </c>
      <c r="G154" s="143"/>
      <c r="H154" s="135">
        <f t="shared" si="23"/>
        <v>168190</v>
      </c>
      <c r="I154" s="145">
        <v>126681</v>
      </c>
      <c r="J154" s="145"/>
      <c r="K154" s="145"/>
      <c r="L154" s="145"/>
      <c r="O154" s="138"/>
      <c r="P154" s="131"/>
      <c r="Q154" s="131"/>
      <c r="R154" s="12"/>
    </row>
    <row r="155" spans="1:18" ht="14.25" customHeight="1">
      <c r="A155" s="172" t="s">
        <v>308</v>
      </c>
      <c r="B155" s="167">
        <v>3997</v>
      </c>
      <c r="C155" s="167">
        <v>3063</v>
      </c>
      <c r="D155" s="167">
        <v>7060</v>
      </c>
      <c r="E155" s="173">
        <f t="shared" si="21"/>
        <v>4.197633628634283</v>
      </c>
      <c r="F155" s="174">
        <f t="shared" si="22"/>
        <v>55.730535755164546</v>
      </c>
      <c r="G155" s="143"/>
      <c r="H155" s="135">
        <f t="shared" si="23"/>
        <v>168190</v>
      </c>
      <c r="I155" s="145">
        <v>126681</v>
      </c>
      <c r="J155" s="145"/>
      <c r="K155" s="145"/>
      <c r="L155" s="145"/>
      <c r="O155" s="138"/>
      <c r="P155" s="131"/>
      <c r="Q155" s="131"/>
      <c r="R155" s="12"/>
    </row>
    <row r="156" spans="1:18" ht="13.5">
      <c r="A156" s="172" t="s">
        <v>311</v>
      </c>
      <c r="B156" s="167">
        <v>3756</v>
      </c>
      <c r="C156" s="167">
        <v>2554</v>
      </c>
      <c r="D156" s="167">
        <v>6310</v>
      </c>
      <c r="E156" s="173">
        <f t="shared" si="21"/>
        <v>3.7517093763006124</v>
      </c>
      <c r="F156" s="174">
        <f t="shared" si="22"/>
        <v>49.810153061627233</v>
      </c>
      <c r="G156" s="143"/>
      <c r="H156" s="135">
        <f t="shared" si="23"/>
        <v>168190</v>
      </c>
      <c r="I156" s="145">
        <v>126681</v>
      </c>
      <c r="J156" s="145"/>
      <c r="K156" s="145"/>
      <c r="L156" s="145"/>
      <c r="O156" s="138"/>
      <c r="P156" s="131"/>
      <c r="Q156" s="131"/>
      <c r="R156" s="12"/>
    </row>
    <row r="157" spans="1:18" ht="14.25" customHeight="1">
      <c r="A157" s="172" t="s">
        <v>325</v>
      </c>
      <c r="B157" s="167">
        <v>3342</v>
      </c>
      <c r="C157" s="167">
        <v>2498</v>
      </c>
      <c r="D157" s="167">
        <v>5840</v>
      </c>
      <c r="E157" s="173">
        <f t="shared" si="21"/>
        <v>3.4722635115048459</v>
      </c>
      <c r="F157" s="174">
        <f t="shared" si="22"/>
        <v>46.10004657367719</v>
      </c>
      <c r="G157" s="143"/>
      <c r="H157" s="135">
        <f t="shared" si="23"/>
        <v>168190</v>
      </c>
      <c r="I157" s="145">
        <v>126681</v>
      </c>
      <c r="J157" s="145"/>
      <c r="K157" s="145"/>
      <c r="L157" s="145"/>
      <c r="O157" s="138"/>
      <c r="P157" s="131"/>
      <c r="Q157" s="131"/>
      <c r="R157" s="12"/>
    </row>
    <row r="158" spans="1:18" ht="14.25" customHeight="1">
      <c r="A158" s="176" t="s">
        <v>111</v>
      </c>
      <c r="B158" s="167">
        <v>28828</v>
      </c>
      <c r="C158" s="167">
        <v>25154</v>
      </c>
      <c r="D158" s="167">
        <v>53982</v>
      </c>
      <c r="E158" s="173">
        <f t="shared" si="21"/>
        <v>32.095843985968244</v>
      </c>
      <c r="F158" s="174">
        <f t="shared" si="22"/>
        <v>426.12546475004143</v>
      </c>
      <c r="G158" s="143"/>
      <c r="H158" s="135">
        <f t="shared" si="23"/>
        <v>168190</v>
      </c>
      <c r="I158" s="145">
        <v>126681</v>
      </c>
      <c r="J158" s="145"/>
      <c r="K158" s="145"/>
      <c r="L158" s="145"/>
      <c r="O158" s="14"/>
      <c r="P158" s="131"/>
      <c r="Q158" s="12"/>
      <c r="R158" s="12"/>
    </row>
    <row r="159" spans="1:18" ht="14.25" customHeight="1">
      <c r="A159" s="177" t="s">
        <v>14</v>
      </c>
      <c r="B159" s="193">
        <f>SUM(B148:B158)</f>
        <v>94622</v>
      </c>
      <c r="C159" s="193">
        <f>SUM(C148:C158)</f>
        <v>73568</v>
      </c>
      <c r="D159" s="193">
        <f>SUM(D148:D158)</f>
        <v>168190</v>
      </c>
      <c r="E159" s="179">
        <f>SUM(E148:E158)</f>
        <v>100</v>
      </c>
      <c r="F159" s="178"/>
      <c r="G159" s="143"/>
      <c r="H159" s="6"/>
      <c r="I159" s="6"/>
      <c r="J159" s="6"/>
      <c r="K159" s="6"/>
      <c r="L159" s="6"/>
      <c r="P159" s="131"/>
    </row>
    <row r="160" spans="1:18" ht="5.0999999999999996" customHeight="1">
      <c r="A160" s="180"/>
      <c r="B160" s="181"/>
      <c r="C160" s="182"/>
      <c r="D160" s="182"/>
      <c r="E160" s="183"/>
      <c r="F160" s="182"/>
      <c r="G160" s="143"/>
      <c r="H160" s="6"/>
      <c r="I160" s="6"/>
      <c r="J160" s="6"/>
      <c r="K160" s="6"/>
      <c r="L160" s="6"/>
    </row>
    <row r="161" spans="1:13">
      <c r="A161" s="190" t="s">
        <v>63</v>
      </c>
      <c r="B161" s="158"/>
      <c r="C161" s="159"/>
      <c r="D161" s="158"/>
      <c r="E161" s="158"/>
      <c r="F161" s="158"/>
      <c r="G161" s="158"/>
      <c r="H161" s="80"/>
      <c r="I161" s="80"/>
      <c r="J161" s="80"/>
      <c r="K161" s="80"/>
      <c r="L161" s="80"/>
      <c r="M161" s="132"/>
    </row>
    <row r="162" spans="1:13">
      <c r="A162" s="190"/>
      <c r="B162" s="158"/>
      <c r="C162" s="159"/>
      <c r="D162" s="158"/>
      <c r="E162" s="158"/>
      <c r="F162" s="158"/>
      <c r="G162" s="158"/>
      <c r="H162" s="80"/>
      <c r="I162" s="80"/>
      <c r="J162" s="80"/>
      <c r="K162" s="80"/>
      <c r="L162" s="80"/>
      <c r="M162" s="132"/>
    </row>
    <row r="163" spans="1:13">
      <c r="A163" s="190"/>
      <c r="B163" s="158"/>
      <c r="C163" s="159"/>
      <c r="D163" s="158"/>
      <c r="E163" s="158"/>
      <c r="F163" s="158"/>
      <c r="G163" s="158"/>
      <c r="H163" s="80"/>
      <c r="I163" s="80"/>
      <c r="J163" s="80"/>
      <c r="K163" s="80"/>
      <c r="L163" s="80"/>
      <c r="M163" s="132"/>
    </row>
    <row r="164" spans="1:13">
      <c r="A164" s="190"/>
      <c r="B164" s="158"/>
      <c r="C164" s="159"/>
      <c r="D164" s="158"/>
      <c r="E164" s="158"/>
      <c r="F164" s="158"/>
      <c r="G164" s="158"/>
      <c r="H164" s="80"/>
      <c r="I164" s="80"/>
      <c r="J164" s="80"/>
      <c r="K164" s="80"/>
      <c r="L164" s="80"/>
      <c r="M164" s="132"/>
    </row>
    <row r="165" spans="1:13">
      <c r="A165" s="190"/>
      <c r="B165" s="158"/>
      <c r="C165" s="159"/>
      <c r="D165" s="158"/>
      <c r="E165" s="158"/>
      <c r="F165" s="158"/>
      <c r="G165" s="158"/>
      <c r="H165" s="80"/>
      <c r="I165" s="80"/>
      <c r="J165" s="80"/>
      <c r="K165" s="80"/>
      <c r="L165" s="80"/>
      <c r="M165" s="132"/>
    </row>
    <row r="166" spans="1:13">
      <c r="A166" s="190"/>
      <c r="B166" s="158"/>
      <c r="C166" s="159"/>
      <c r="D166" s="158"/>
      <c r="E166" s="158"/>
      <c r="F166" s="158"/>
      <c r="G166" s="158"/>
      <c r="H166" s="80"/>
      <c r="I166" s="80"/>
      <c r="J166" s="80"/>
      <c r="K166" s="80"/>
      <c r="L166" s="80"/>
      <c r="M166" s="132"/>
    </row>
    <row r="167" spans="1:13">
      <c r="A167" s="190"/>
      <c r="B167" s="158"/>
      <c r="C167" s="159"/>
      <c r="D167" s="158"/>
      <c r="E167" s="158"/>
      <c r="F167" s="158"/>
      <c r="G167" s="158"/>
      <c r="H167" s="80"/>
      <c r="I167" s="80"/>
      <c r="J167" s="80"/>
      <c r="K167" s="80"/>
      <c r="L167" s="80"/>
      <c r="M167" s="132"/>
    </row>
    <row r="168" spans="1:13">
      <c r="A168" s="190"/>
      <c r="B168" s="158"/>
      <c r="C168" s="159"/>
      <c r="D168" s="158"/>
      <c r="E168" s="158"/>
      <c r="F168" s="158"/>
      <c r="G168" s="158"/>
      <c r="H168" s="80"/>
      <c r="I168" s="80"/>
      <c r="J168" s="80"/>
      <c r="K168" s="80"/>
      <c r="L168" s="80"/>
      <c r="M168" s="132"/>
    </row>
    <row r="169" spans="1:13">
      <c r="A169" s="158"/>
      <c r="B169" s="158"/>
      <c r="C169" s="158"/>
      <c r="D169" s="158"/>
      <c r="E169" s="158"/>
      <c r="F169" s="158"/>
      <c r="G169" s="158"/>
      <c r="H169" s="80"/>
      <c r="I169" s="80"/>
      <c r="J169" s="80"/>
      <c r="K169" s="80"/>
      <c r="L169" s="80"/>
      <c r="M169" s="132"/>
    </row>
    <row r="170" spans="1:13">
      <c r="A170" s="158"/>
      <c r="B170" s="158"/>
      <c r="C170" s="158"/>
      <c r="D170" s="158"/>
      <c r="E170" s="158"/>
      <c r="F170" s="158"/>
      <c r="G170" s="158"/>
      <c r="H170" s="80"/>
      <c r="I170" s="80"/>
      <c r="J170" s="80"/>
      <c r="K170" s="80"/>
      <c r="L170" s="80"/>
      <c r="M170" s="132"/>
    </row>
    <row r="171" spans="1:13">
      <c r="A171" s="158"/>
      <c r="B171" s="158"/>
      <c r="C171" s="158"/>
      <c r="D171" s="158"/>
      <c r="E171" s="158"/>
      <c r="F171" s="158"/>
      <c r="G171" s="158"/>
      <c r="H171" s="80"/>
      <c r="I171" s="80"/>
      <c r="J171" s="80"/>
      <c r="K171" s="80"/>
      <c r="L171" s="80"/>
      <c r="M171" s="132"/>
    </row>
    <row r="172" spans="1:13">
      <c r="A172" s="158"/>
      <c r="B172" s="158"/>
      <c r="C172" s="158"/>
      <c r="D172" s="158"/>
      <c r="E172" s="158"/>
      <c r="F172" s="158"/>
      <c r="G172" s="158"/>
      <c r="H172" s="80"/>
      <c r="I172" s="80"/>
      <c r="J172" s="80"/>
      <c r="K172" s="80"/>
      <c r="L172" s="80"/>
      <c r="M172" s="132"/>
    </row>
    <row r="173" spans="1:13">
      <c r="A173" s="158"/>
      <c r="B173" s="158"/>
      <c r="C173" s="158"/>
      <c r="D173" s="158"/>
      <c r="E173" s="158"/>
      <c r="F173" s="158"/>
      <c r="G173" s="158"/>
      <c r="M173" s="132"/>
    </row>
    <row r="174" spans="1:13">
      <c r="A174" s="158"/>
      <c r="B174" s="158"/>
      <c r="C174" s="158"/>
      <c r="D174" s="158"/>
      <c r="E174" s="158"/>
      <c r="F174" s="158"/>
      <c r="G174" s="158"/>
      <c r="M174" s="132"/>
    </row>
    <row r="175" spans="1:13">
      <c r="A175" s="158"/>
      <c r="B175" s="158"/>
      <c r="C175" s="158"/>
      <c r="D175" s="158"/>
      <c r="E175" s="158"/>
      <c r="F175" s="158"/>
      <c r="G175" s="158"/>
      <c r="M175" s="132"/>
    </row>
    <row r="176" spans="1:13">
      <c r="A176" s="158"/>
      <c r="B176" s="158"/>
      <c r="C176" s="158"/>
      <c r="D176" s="158"/>
      <c r="E176" s="158"/>
      <c r="F176" s="158"/>
      <c r="G176" s="158"/>
      <c r="M176" s="132"/>
    </row>
    <row r="177" spans="1:13">
      <c r="A177" s="158"/>
      <c r="B177" s="158"/>
      <c r="C177" s="158"/>
      <c r="D177" s="158"/>
      <c r="E177" s="158"/>
      <c r="F177" s="158"/>
      <c r="G177" s="158"/>
      <c r="M177" s="132"/>
    </row>
    <row r="178" spans="1:13">
      <c r="A178" s="158"/>
      <c r="B178" s="158"/>
      <c r="C178" s="158"/>
      <c r="D178" s="158"/>
      <c r="E178" s="158"/>
      <c r="F178" s="158"/>
      <c r="G178" s="158"/>
      <c r="M178" s="132"/>
    </row>
    <row r="179" spans="1:13">
      <c r="A179" s="158"/>
      <c r="B179" s="158"/>
      <c r="C179" s="158"/>
      <c r="D179" s="158"/>
      <c r="E179" s="158"/>
      <c r="F179" s="158"/>
      <c r="G179" s="158"/>
      <c r="M179" s="132"/>
    </row>
    <row r="180" spans="1:13" ht="19.5" customHeight="1">
      <c r="A180" s="158"/>
      <c r="B180" s="158"/>
      <c r="C180" s="158"/>
      <c r="D180" s="158"/>
      <c r="E180" s="158"/>
      <c r="F180" s="158"/>
      <c r="G180" s="158"/>
      <c r="M180" s="132"/>
    </row>
    <row r="181" spans="1:13" ht="19.5" customHeight="1">
      <c r="A181" s="158"/>
      <c r="B181" s="158"/>
      <c r="C181" s="158"/>
      <c r="D181" s="158"/>
      <c r="E181" s="158"/>
      <c r="F181" s="158"/>
      <c r="G181" s="158"/>
      <c r="M181" s="132"/>
    </row>
    <row r="182" spans="1:13" ht="19.5" customHeight="1">
      <c r="A182" s="158"/>
      <c r="B182" s="158"/>
      <c r="C182" s="158"/>
      <c r="D182" s="158"/>
      <c r="E182" s="158"/>
      <c r="F182" s="158"/>
      <c r="G182" s="158"/>
      <c r="M182" s="132"/>
    </row>
    <row r="183" spans="1:13" ht="19.5" customHeight="1">
      <c r="A183" s="158"/>
      <c r="B183" s="158"/>
      <c r="C183" s="158"/>
      <c r="D183" s="158"/>
      <c r="E183" s="158"/>
      <c r="F183" s="158"/>
      <c r="G183" s="158"/>
      <c r="M183" s="132"/>
    </row>
    <row r="184" spans="1:13" ht="19.5" customHeight="1">
      <c r="A184" s="158"/>
      <c r="B184" s="158"/>
      <c r="C184" s="158"/>
      <c r="D184" s="158"/>
      <c r="E184" s="158"/>
      <c r="F184" s="158"/>
      <c r="G184" s="158"/>
      <c r="M184" s="132"/>
    </row>
    <row r="185" spans="1:13" ht="19.5" customHeight="1">
      <c r="A185" s="158"/>
      <c r="B185" s="158"/>
      <c r="C185" s="158"/>
      <c r="D185" s="158"/>
      <c r="E185" s="158"/>
      <c r="F185" s="158"/>
      <c r="G185" s="158"/>
      <c r="M185" s="132"/>
    </row>
    <row r="186" spans="1:13" ht="19.5" customHeight="1">
      <c r="A186" s="158"/>
      <c r="B186" s="158"/>
      <c r="C186" s="158"/>
      <c r="D186" s="158"/>
      <c r="E186" s="158"/>
      <c r="F186" s="158"/>
      <c r="G186" s="158"/>
      <c r="M186" s="132"/>
    </row>
    <row r="187" spans="1:13" ht="19.5" customHeight="1">
      <c r="A187" s="158"/>
      <c r="B187" s="158"/>
      <c r="C187" s="158"/>
      <c r="D187" s="158"/>
      <c r="E187" s="158"/>
      <c r="F187" s="158"/>
      <c r="G187" s="158"/>
      <c r="M187" s="132"/>
    </row>
    <row r="188" spans="1:13" ht="19.5" customHeight="1">
      <c r="M188" s="132"/>
    </row>
    <row r="189" spans="1:13" ht="15.75" customHeight="1">
      <c r="M189" s="132"/>
    </row>
    <row r="190" spans="1:13" ht="19.5" customHeight="1">
      <c r="M190" s="132"/>
    </row>
    <row r="191" spans="1:13" ht="19.5" customHeight="1">
      <c r="M191" s="132"/>
    </row>
    <row r="192" spans="1:13">
      <c r="M192" s="132"/>
    </row>
    <row r="193" spans="1:13">
      <c r="A193" s="132"/>
      <c r="B193" s="132"/>
      <c r="C193" s="132"/>
      <c r="D193" s="132"/>
      <c r="E193" s="132"/>
      <c r="F193" s="132"/>
      <c r="G193" s="132"/>
      <c r="H193" s="132"/>
      <c r="I193" s="132"/>
      <c r="J193" s="132"/>
      <c r="K193" s="132"/>
      <c r="L193" s="132"/>
      <c r="M193" s="132"/>
    </row>
    <row r="194" spans="1:13">
      <c r="A194" s="132"/>
      <c r="B194" s="132"/>
      <c r="C194" s="132"/>
      <c r="D194" s="132"/>
      <c r="E194" s="132"/>
      <c r="F194" s="132"/>
      <c r="G194" s="132"/>
      <c r="H194" s="132"/>
      <c r="I194" s="132"/>
      <c r="J194" s="132"/>
      <c r="K194" s="132"/>
      <c r="L194" s="132"/>
      <c r="M194" s="132"/>
    </row>
    <row r="195" spans="1:13">
      <c r="A195" s="132"/>
      <c r="B195" s="132"/>
      <c r="C195" s="132"/>
      <c r="D195" s="132"/>
      <c r="E195" s="132"/>
      <c r="F195" s="132"/>
      <c r="G195" s="132"/>
      <c r="H195" s="132"/>
      <c r="I195" s="132"/>
      <c r="J195" s="132"/>
      <c r="K195" s="132"/>
      <c r="L195" s="132"/>
      <c r="M195" s="132"/>
    </row>
    <row r="196" spans="1:13">
      <c r="A196" s="132"/>
      <c r="B196" s="132"/>
      <c r="C196" s="132"/>
      <c r="D196" s="132"/>
      <c r="E196" s="132"/>
      <c r="F196" s="132"/>
      <c r="G196" s="132"/>
      <c r="H196" s="132"/>
      <c r="I196" s="132"/>
      <c r="J196" s="132"/>
      <c r="K196" s="132"/>
      <c r="L196" s="132"/>
      <c r="M196" s="132"/>
    </row>
    <row r="197" spans="1:13">
      <c r="A197" s="132"/>
      <c r="B197" s="132"/>
      <c r="C197" s="132"/>
      <c r="D197" s="132"/>
      <c r="E197" s="132"/>
      <c r="F197" s="132"/>
      <c r="G197" s="132"/>
      <c r="H197" s="132"/>
      <c r="I197" s="132"/>
      <c r="J197" s="132"/>
      <c r="K197" s="132"/>
      <c r="L197" s="132"/>
      <c r="M197" s="132"/>
    </row>
    <row r="198" spans="1:13">
      <c r="A198" s="132"/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  <c r="L198" s="132"/>
      <c r="M198" s="132"/>
    </row>
    <row r="199" spans="1:13">
      <c r="A199" s="132"/>
      <c r="B199" s="132"/>
      <c r="C199" s="132"/>
      <c r="D199" s="132"/>
      <c r="E199" s="132"/>
      <c r="F199" s="132"/>
      <c r="G199" s="132"/>
      <c r="H199" s="132"/>
      <c r="I199" s="132"/>
      <c r="J199" s="132"/>
      <c r="K199" s="132"/>
      <c r="L199" s="132"/>
      <c r="M199" s="132"/>
    </row>
    <row r="200" spans="1:13">
      <c r="A200" s="132"/>
      <c r="B200" s="132"/>
      <c r="C200" s="132"/>
      <c r="D200" s="132"/>
      <c r="E200" s="132"/>
      <c r="F200" s="132"/>
      <c r="G200" s="132"/>
      <c r="H200" s="132"/>
      <c r="I200" s="132"/>
      <c r="J200" s="132"/>
      <c r="K200" s="132"/>
      <c r="L200" s="132"/>
      <c r="M200" s="132"/>
    </row>
    <row r="201" spans="1:13">
      <c r="A201" s="132"/>
      <c r="B201" s="132"/>
      <c r="C201" s="132"/>
      <c r="D201" s="132"/>
      <c r="E201" s="132"/>
      <c r="F201" s="132"/>
      <c r="G201" s="132"/>
      <c r="H201" s="132"/>
      <c r="I201" s="132"/>
      <c r="J201" s="132"/>
      <c r="K201" s="132"/>
      <c r="L201" s="132"/>
      <c r="M201" s="132"/>
    </row>
    <row r="202" spans="1:13">
      <c r="A202" s="132"/>
      <c r="B202" s="132"/>
      <c r="C202" s="132"/>
      <c r="D202" s="132"/>
      <c r="E202" s="132"/>
      <c r="F202" s="132"/>
      <c r="G202" s="132"/>
      <c r="H202" s="132"/>
      <c r="I202" s="132"/>
      <c r="J202" s="132"/>
      <c r="K202" s="132"/>
      <c r="L202" s="132"/>
      <c r="M202" s="132"/>
    </row>
    <row r="203" spans="1:13">
      <c r="A203" s="132"/>
      <c r="B203" s="132"/>
      <c r="C203" s="132"/>
      <c r="D203" s="132"/>
      <c r="E203" s="132"/>
      <c r="F203" s="132"/>
      <c r="G203" s="132"/>
      <c r="H203" s="132"/>
      <c r="I203" s="132"/>
      <c r="J203" s="132"/>
      <c r="K203" s="132"/>
      <c r="L203" s="132"/>
      <c r="M203" s="132"/>
    </row>
    <row r="204" spans="1:13">
      <c r="A204" s="132"/>
      <c r="B204" s="132"/>
      <c r="C204" s="132"/>
      <c r="D204" s="132"/>
      <c r="E204" s="132"/>
      <c r="F204" s="132"/>
      <c r="G204" s="132"/>
      <c r="H204" s="132"/>
      <c r="I204" s="132"/>
      <c r="J204" s="132"/>
      <c r="K204" s="132"/>
      <c r="L204" s="132"/>
      <c r="M204" s="132"/>
    </row>
    <row r="205" spans="1:13">
      <c r="A205" s="132"/>
      <c r="B205" s="132"/>
      <c r="C205" s="132"/>
      <c r="D205" s="132"/>
      <c r="E205" s="132"/>
      <c r="F205" s="132"/>
      <c r="G205" s="132"/>
      <c r="H205" s="132"/>
      <c r="I205" s="132"/>
      <c r="J205" s="132"/>
      <c r="K205" s="132"/>
      <c r="L205" s="132"/>
      <c r="M205" s="132"/>
    </row>
    <row r="206" spans="1:13">
      <c r="A206" s="132"/>
      <c r="B206" s="132"/>
      <c r="C206" s="132"/>
      <c r="D206" s="132"/>
      <c r="E206" s="132"/>
      <c r="F206" s="132"/>
      <c r="G206" s="132"/>
      <c r="H206" s="132"/>
      <c r="I206" s="132"/>
      <c r="J206" s="132"/>
      <c r="K206" s="132"/>
      <c r="L206" s="132"/>
      <c r="M206" s="132"/>
    </row>
    <row r="207" spans="1:13">
      <c r="A207" s="132"/>
      <c r="B207" s="132"/>
      <c r="C207" s="132"/>
      <c r="D207" s="132"/>
      <c r="E207" s="132"/>
      <c r="F207" s="132"/>
      <c r="G207" s="132"/>
      <c r="H207" s="132"/>
      <c r="I207" s="132"/>
      <c r="J207" s="132"/>
      <c r="K207" s="132"/>
      <c r="L207" s="132"/>
      <c r="M207" s="132"/>
    </row>
    <row r="208" spans="1:13">
      <c r="A208" s="132"/>
      <c r="B208" s="132"/>
      <c r="C208" s="132"/>
      <c r="D208" s="132"/>
      <c r="E208" s="132"/>
      <c r="F208" s="132"/>
      <c r="G208" s="132"/>
      <c r="H208" s="132"/>
      <c r="I208" s="132"/>
      <c r="J208" s="132"/>
      <c r="K208" s="132"/>
      <c r="L208" s="132"/>
      <c r="M208" s="132"/>
    </row>
    <row r="209" spans="1:13">
      <c r="A209" s="132"/>
      <c r="B209" s="132"/>
      <c r="C209" s="132"/>
      <c r="D209" s="132"/>
      <c r="E209" s="132"/>
      <c r="F209" s="132"/>
      <c r="G209" s="132"/>
      <c r="H209" s="132"/>
      <c r="I209" s="132"/>
      <c r="J209" s="132"/>
      <c r="K209" s="132"/>
      <c r="L209" s="132"/>
      <c r="M209" s="132"/>
    </row>
    <row r="210" spans="1:13">
      <c r="A210" s="132"/>
      <c r="B210" s="132"/>
      <c r="C210" s="132"/>
      <c r="D210" s="132"/>
      <c r="E210" s="132"/>
      <c r="F210" s="132"/>
      <c r="G210" s="132"/>
      <c r="H210" s="132"/>
      <c r="I210" s="132"/>
      <c r="J210" s="132"/>
      <c r="K210" s="132"/>
      <c r="L210" s="132"/>
      <c r="M210" s="132"/>
    </row>
    <row r="211" spans="1:13">
      <c r="A211" s="132"/>
      <c r="B211" s="132"/>
      <c r="C211" s="132"/>
      <c r="D211" s="132"/>
      <c r="E211" s="132"/>
      <c r="F211" s="132"/>
      <c r="G211" s="132"/>
      <c r="H211" s="132"/>
      <c r="I211" s="132"/>
      <c r="J211" s="132"/>
      <c r="K211" s="132"/>
      <c r="L211" s="132"/>
      <c r="M211" s="132"/>
    </row>
    <row r="212" spans="1:13">
      <c r="A212" s="132"/>
      <c r="B212" s="132"/>
      <c r="C212" s="132"/>
      <c r="D212" s="132"/>
      <c r="E212" s="132"/>
      <c r="F212" s="132"/>
      <c r="G212" s="132"/>
      <c r="H212" s="132"/>
      <c r="I212" s="132"/>
      <c r="J212" s="132"/>
      <c r="K212" s="132"/>
      <c r="L212" s="132"/>
      <c r="M212" s="132"/>
    </row>
    <row r="213" spans="1:13">
      <c r="A213" s="132"/>
      <c r="B213" s="132"/>
      <c r="C213" s="132"/>
      <c r="D213" s="132"/>
      <c r="E213" s="132"/>
      <c r="F213" s="132"/>
      <c r="G213" s="132"/>
      <c r="H213" s="132"/>
      <c r="I213" s="132"/>
      <c r="J213" s="132"/>
      <c r="K213" s="132"/>
      <c r="L213" s="132"/>
      <c r="M213" s="132"/>
    </row>
    <row r="214" spans="1:13">
      <c r="A214" s="132"/>
      <c r="B214" s="132"/>
      <c r="C214" s="132"/>
      <c r="D214" s="132"/>
      <c r="E214" s="132"/>
      <c r="F214" s="132"/>
      <c r="G214" s="132"/>
      <c r="H214" s="132"/>
      <c r="I214" s="132"/>
      <c r="J214" s="132"/>
      <c r="K214" s="132"/>
      <c r="L214" s="132"/>
      <c r="M214" s="132"/>
    </row>
    <row r="215" spans="1:13">
      <c r="A215" s="132"/>
      <c r="B215" s="132"/>
      <c r="C215" s="132"/>
      <c r="D215" s="132"/>
      <c r="E215" s="132"/>
      <c r="F215" s="132"/>
      <c r="G215" s="132"/>
      <c r="H215" s="132"/>
      <c r="I215" s="132"/>
      <c r="J215" s="132"/>
      <c r="K215" s="132"/>
      <c r="L215" s="132"/>
      <c r="M215" s="132"/>
    </row>
    <row r="216" spans="1:13">
      <c r="A216" s="132"/>
      <c r="B216" s="132"/>
      <c r="C216" s="132"/>
      <c r="D216" s="132"/>
      <c r="E216" s="132"/>
      <c r="F216" s="132"/>
      <c r="G216" s="132"/>
      <c r="H216" s="132"/>
      <c r="I216" s="132"/>
      <c r="J216" s="132"/>
      <c r="K216" s="132"/>
      <c r="L216" s="132"/>
      <c r="M216" s="132"/>
    </row>
    <row r="217" spans="1:13">
      <c r="A217" s="132"/>
      <c r="B217" s="132"/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</row>
    <row r="218" spans="1:13">
      <c r="A218" s="132"/>
      <c r="B218" s="132"/>
      <c r="C218" s="132"/>
      <c r="D218" s="132"/>
      <c r="E218" s="132"/>
      <c r="F218" s="132"/>
      <c r="G218" s="132"/>
      <c r="H218" s="132"/>
      <c r="I218" s="132"/>
      <c r="J218" s="132"/>
      <c r="K218" s="132"/>
      <c r="L218" s="132"/>
      <c r="M218" s="132"/>
    </row>
    <row r="219" spans="1:13">
      <c r="A219" s="132"/>
      <c r="B219" s="132"/>
      <c r="C219" s="132"/>
      <c r="D219" s="132"/>
      <c r="E219" s="132"/>
      <c r="F219" s="132"/>
      <c r="G219" s="132"/>
      <c r="H219" s="132"/>
      <c r="I219" s="132"/>
      <c r="J219" s="132"/>
      <c r="K219" s="132"/>
      <c r="L219" s="132"/>
      <c r="M219" s="132"/>
    </row>
    <row r="220" spans="1:13">
      <c r="A220" s="132"/>
      <c r="B220" s="132"/>
      <c r="C220" s="132"/>
      <c r="D220" s="132"/>
      <c r="E220" s="132"/>
      <c r="F220" s="132"/>
      <c r="G220" s="132"/>
      <c r="H220" s="132"/>
      <c r="I220" s="132"/>
      <c r="J220" s="132"/>
      <c r="K220" s="132"/>
      <c r="L220" s="132"/>
      <c r="M220" s="132"/>
    </row>
    <row r="221" spans="1:13">
      <c r="A221" s="132"/>
      <c r="B221" s="132"/>
      <c r="C221" s="132"/>
      <c r="D221" s="132"/>
      <c r="E221" s="132"/>
      <c r="F221" s="132"/>
      <c r="G221" s="132"/>
      <c r="H221" s="132"/>
      <c r="I221" s="132"/>
      <c r="J221" s="132"/>
      <c r="K221" s="132"/>
      <c r="L221" s="132"/>
      <c r="M221" s="132"/>
    </row>
    <row r="222" spans="1:13">
      <c r="A222" s="132"/>
      <c r="B222" s="132"/>
      <c r="C222" s="132"/>
      <c r="D222" s="132"/>
      <c r="E222" s="132"/>
      <c r="F222" s="132"/>
      <c r="G222" s="132"/>
      <c r="H222" s="132"/>
      <c r="I222" s="132"/>
      <c r="J222" s="132"/>
      <c r="K222" s="132"/>
      <c r="L222" s="132"/>
      <c r="M222" s="132"/>
    </row>
    <row r="223" spans="1:13">
      <c r="A223" s="132"/>
      <c r="B223" s="132"/>
      <c r="C223" s="132"/>
      <c r="D223" s="132"/>
      <c r="E223" s="132"/>
      <c r="F223" s="132"/>
      <c r="G223" s="132"/>
      <c r="H223" s="132"/>
      <c r="I223" s="132"/>
      <c r="J223" s="132"/>
      <c r="K223" s="132"/>
      <c r="L223" s="132"/>
      <c r="M223" s="132"/>
    </row>
    <row r="224" spans="1:13">
      <c r="A224" s="132"/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</row>
    <row r="225" spans="1:13">
      <c r="A225" s="132"/>
      <c r="B225" s="132"/>
      <c r="C225" s="132"/>
      <c r="D225" s="132"/>
      <c r="E225" s="132"/>
      <c r="F225" s="132"/>
      <c r="G225" s="132"/>
      <c r="H225" s="132"/>
      <c r="I225" s="132"/>
      <c r="J225" s="132"/>
      <c r="K225" s="132"/>
      <c r="L225" s="132"/>
      <c r="M225" s="132"/>
    </row>
    <row r="226" spans="1:13">
      <c r="A226" s="132"/>
      <c r="B226" s="132"/>
      <c r="C226" s="132"/>
      <c r="D226" s="132"/>
      <c r="E226" s="132"/>
      <c r="F226" s="132"/>
      <c r="G226" s="132"/>
      <c r="H226" s="132"/>
      <c r="I226" s="132"/>
      <c r="J226" s="132"/>
      <c r="K226" s="132"/>
      <c r="L226" s="132"/>
      <c r="M226" s="132"/>
    </row>
    <row r="227" spans="1:13">
      <c r="A227" s="132"/>
      <c r="B227" s="132"/>
      <c r="C227" s="132"/>
      <c r="D227" s="132"/>
      <c r="E227" s="132"/>
      <c r="F227" s="132"/>
      <c r="G227" s="132"/>
      <c r="H227" s="132"/>
      <c r="I227" s="132"/>
      <c r="J227" s="132"/>
      <c r="K227" s="132"/>
      <c r="L227" s="132"/>
      <c r="M227" s="132"/>
    </row>
    <row r="228" spans="1:13">
      <c r="A228" s="132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</row>
    <row r="229" spans="1:13">
      <c r="A229" s="132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</row>
    <row r="230" spans="1:13">
      <c r="A230" s="132"/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</row>
    <row r="231" spans="1:13">
      <c r="A231" s="132"/>
      <c r="B231" s="132"/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</row>
    <row r="232" spans="1:13">
      <c r="A232" s="132"/>
      <c r="B232" s="132"/>
      <c r="C232" s="132"/>
      <c r="D232" s="132"/>
      <c r="E232" s="132"/>
      <c r="F232" s="132"/>
      <c r="G232" s="132"/>
      <c r="H232" s="132"/>
      <c r="I232" s="132"/>
      <c r="J232" s="132"/>
      <c r="K232" s="132"/>
      <c r="L232" s="132"/>
      <c r="M232" s="132"/>
    </row>
    <row r="233" spans="1:13">
      <c r="A233" s="132"/>
      <c r="B233" s="132"/>
      <c r="C233" s="132"/>
      <c r="D233" s="132"/>
      <c r="E233" s="132"/>
      <c r="F233" s="132"/>
      <c r="G233" s="132"/>
      <c r="H233" s="132"/>
      <c r="I233" s="132"/>
      <c r="J233" s="132"/>
      <c r="K233" s="132"/>
      <c r="L233" s="132"/>
      <c r="M233" s="132"/>
    </row>
    <row r="234" spans="1:13">
      <c r="A234" s="132"/>
      <c r="B234" s="132"/>
      <c r="C234" s="132"/>
      <c r="D234" s="132"/>
      <c r="E234" s="132"/>
      <c r="F234" s="132"/>
      <c r="G234" s="132"/>
      <c r="H234" s="132"/>
      <c r="I234" s="132"/>
      <c r="J234" s="132"/>
      <c r="K234" s="132"/>
      <c r="L234" s="132"/>
      <c r="M234" s="132"/>
    </row>
    <row r="235" spans="1:13">
      <c r="A235" s="132"/>
      <c r="B235" s="132"/>
      <c r="C235" s="132"/>
      <c r="D235" s="132"/>
      <c r="E235" s="132"/>
      <c r="F235" s="132"/>
      <c r="G235" s="132"/>
      <c r="H235" s="132"/>
      <c r="I235" s="132"/>
      <c r="J235" s="132"/>
      <c r="K235" s="132"/>
      <c r="L235" s="132"/>
      <c r="M235" s="132"/>
    </row>
    <row r="236" spans="1:13">
      <c r="A236" s="132"/>
      <c r="B236" s="132"/>
      <c r="C236" s="132"/>
      <c r="D236" s="132"/>
      <c r="E236" s="132"/>
      <c r="F236" s="132"/>
      <c r="G236" s="132"/>
      <c r="H236" s="132"/>
      <c r="I236" s="132"/>
      <c r="J236" s="132"/>
      <c r="K236" s="132"/>
      <c r="L236" s="132"/>
      <c r="M236" s="132"/>
    </row>
    <row r="237" spans="1:13">
      <c r="A237" s="132"/>
      <c r="B237" s="132"/>
      <c r="C237" s="132"/>
      <c r="D237" s="132"/>
      <c r="E237" s="132"/>
      <c r="F237" s="132"/>
      <c r="G237" s="132"/>
      <c r="H237" s="132"/>
      <c r="I237" s="132"/>
      <c r="J237" s="132"/>
      <c r="K237" s="132"/>
      <c r="L237" s="132"/>
      <c r="M237" s="132"/>
    </row>
    <row r="238" spans="1:13">
      <c r="A238" s="132"/>
      <c r="B238" s="132"/>
      <c r="C238" s="132"/>
      <c r="D238" s="132"/>
      <c r="E238" s="132"/>
      <c r="F238" s="132"/>
      <c r="G238" s="132"/>
      <c r="H238" s="132"/>
      <c r="I238" s="132"/>
      <c r="J238" s="132"/>
      <c r="K238" s="132"/>
      <c r="L238" s="132"/>
      <c r="M238" s="132"/>
    </row>
    <row r="239" spans="1:13">
      <c r="A239" s="132"/>
      <c r="B239" s="132"/>
      <c r="C239" s="132"/>
      <c r="D239" s="132"/>
      <c r="E239" s="132"/>
      <c r="F239" s="132"/>
      <c r="G239" s="132"/>
      <c r="H239" s="132"/>
      <c r="I239" s="132"/>
      <c r="J239" s="132"/>
      <c r="K239" s="132"/>
      <c r="L239" s="132"/>
      <c r="M239" s="132"/>
    </row>
    <row r="240" spans="1:13">
      <c r="A240" s="132"/>
      <c r="B240" s="132"/>
      <c r="C240" s="132"/>
      <c r="D240" s="132"/>
      <c r="E240" s="132"/>
      <c r="F240" s="132"/>
      <c r="G240" s="132"/>
      <c r="H240" s="132"/>
      <c r="I240" s="132"/>
      <c r="J240" s="132"/>
      <c r="K240" s="132"/>
      <c r="L240" s="132"/>
      <c r="M240" s="132"/>
    </row>
    <row r="241" spans="1:13">
      <c r="A241" s="132"/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</row>
    <row r="242" spans="1:13">
      <c r="A242" s="132"/>
      <c r="B242" s="132"/>
      <c r="C242" s="132"/>
      <c r="D242" s="132"/>
      <c r="E242" s="132"/>
      <c r="F242" s="132"/>
      <c r="G242" s="132"/>
      <c r="H242" s="132"/>
      <c r="I242" s="132"/>
      <c r="J242" s="132"/>
      <c r="K242" s="132"/>
      <c r="L242" s="132"/>
      <c r="M242" s="132"/>
    </row>
    <row r="243" spans="1:13">
      <c r="A243" s="132"/>
      <c r="B243" s="132"/>
      <c r="C243" s="132"/>
      <c r="D243" s="132"/>
      <c r="E243" s="132"/>
      <c r="F243" s="132"/>
      <c r="G243" s="132"/>
      <c r="H243" s="132"/>
      <c r="I243" s="132"/>
      <c r="J243" s="132"/>
      <c r="K243" s="132"/>
      <c r="L243" s="132"/>
      <c r="M243" s="132"/>
    </row>
    <row r="244" spans="1:13">
      <c r="A244" s="132"/>
      <c r="B244" s="132"/>
      <c r="C244" s="132"/>
      <c r="D244" s="132"/>
      <c r="E244" s="132"/>
      <c r="F244" s="132"/>
      <c r="G244" s="132"/>
      <c r="H244" s="132"/>
      <c r="I244" s="132"/>
      <c r="J244" s="132"/>
      <c r="K244" s="132"/>
      <c r="L244" s="132"/>
      <c r="M244" s="132"/>
    </row>
    <row r="245" spans="1:13">
      <c r="A245" s="132"/>
      <c r="B245" s="132"/>
      <c r="C245" s="132"/>
      <c r="D245" s="132"/>
      <c r="E245" s="132"/>
      <c r="F245" s="132"/>
      <c r="G245" s="132"/>
      <c r="H245" s="132"/>
      <c r="I245" s="132"/>
      <c r="J245" s="132"/>
      <c r="K245" s="132"/>
      <c r="L245" s="132"/>
      <c r="M245" s="132"/>
    </row>
    <row r="246" spans="1:13">
      <c r="A246" s="132"/>
      <c r="B246" s="132"/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</row>
    <row r="247" spans="1:13">
      <c r="A247" s="132"/>
      <c r="B247" s="132"/>
      <c r="C247" s="132"/>
      <c r="D247" s="132"/>
      <c r="E247" s="132"/>
      <c r="F247" s="132"/>
      <c r="G247" s="132"/>
      <c r="H247" s="132"/>
      <c r="I247" s="132"/>
      <c r="J247" s="132"/>
      <c r="K247" s="132"/>
      <c r="L247" s="132"/>
      <c r="M247" s="132"/>
    </row>
    <row r="248" spans="1:13">
      <c r="A248" s="132"/>
      <c r="B248" s="132"/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</row>
    <row r="249" spans="1:13">
      <c r="A249" s="132"/>
      <c r="B249" s="132"/>
      <c r="C249" s="132"/>
      <c r="D249" s="132"/>
      <c r="E249" s="132"/>
      <c r="F249" s="132"/>
      <c r="G249" s="132"/>
      <c r="H249" s="132"/>
      <c r="I249" s="132"/>
      <c r="J249" s="132"/>
      <c r="K249" s="132"/>
      <c r="L249" s="132"/>
      <c r="M249" s="132"/>
    </row>
    <row r="250" spans="1:13">
      <c r="A250" s="132"/>
      <c r="B250" s="132"/>
      <c r="C250" s="132"/>
      <c r="D250" s="132"/>
      <c r="E250" s="132"/>
      <c r="F250" s="132"/>
      <c r="G250" s="132"/>
      <c r="H250" s="132"/>
      <c r="I250" s="132"/>
      <c r="J250" s="132"/>
      <c r="K250" s="132"/>
      <c r="L250" s="132"/>
      <c r="M250" s="132"/>
    </row>
    <row r="251" spans="1:13">
      <c r="A251" s="132"/>
      <c r="B251" s="132"/>
      <c r="C251" s="132"/>
      <c r="D251" s="132"/>
      <c r="E251" s="132"/>
      <c r="F251" s="132"/>
      <c r="G251" s="132"/>
      <c r="H251" s="132"/>
      <c r="I251" s="132"/>
      <c r="J251" s="132"/>
      <c r="K251" s="132"/>
      <c r="L251" s="132"/>
      <c r="M251" s="132"/>
    </row>
    <row r="252" spans="1:13">
      <c r="A252" s="132"/>
      <c r="B252" s="132"/>
      <c r="C252" s="132"/>
      <c r="D252" s="132"/>
      <c r="E252" s="132"/>
      <c r="F252" s="132"/>
      <c r="G252" s="132"/>
      <c r="H252" s="132"/>
      <c r="I252" s="132"/>
      <c r="J252" s="132"/>
      <c r="K252" s="132"/>
      <c r="L252" s="132"/>
      <c r="M252" s="132"/>
    </row>
    <row r="253" spans="1:13">
      <c r="A253" s="132"/>
      <c r="B253" s="132"/>
      <c r="C253" s="132"/>
      <c r="D253" s="132"/>
      <c r="E253" s="132"/>
      <c r="F253" s="132"/>
      <c r="G253" s="132"/>
      <c r="H253" s="132"/>
      <c r="I253" s="132"/>
      <c r="J253" s="132"/>
      <c r="K253" s="132"/>
      <c r="L253" s="132"/>
      <c r="M253" s="132"/>
    </row>
    <row r="254" spans="1:13">
      <c r="A254" s="132"/>
      <c r="B254" s="132"/>
      <c r="C254" s="132"/>
      <c r="D254" s="132"/>
      <c r="E254" s="132"/>
      <c r="F254" s="132"/>
      <c r="G254" s="132"/>
      <c r="H254" s="132"/>
      <c r="I254" s="132"/>
      <c r="J254" s="132"/>
      <c r="K254" s="132"/>
      <c r="L254" s="132"/>
      <c r="M254" s="132"/>
    </row>
    <row r="255" spans="1:13">
      <c r="A255" s="132"/>
      <c r="B255" s="132"/>
      <c r="C255" s="132"/>
      <c r="D255" s="132"/>
      <c r="E255" s="132"/>
      <c r="F255" s="132"/>
      <c r="G255" s="132"/>
      <c r="H255" s="132"/>
      <c r="I255" s="132"/>
      <c r="J255" s="132"/>
      <c r="K255" s="132"/>
      <c r="L255" s="132"/>
      <c r="M255" s="132"/>
    </row>
    <row r="256" spans="1:13">
      <c r="A256" s="132"/>
      <c r="B256" s="132"/>
      <c r="C256" s="132"/>
      <c r="D256" s="132"/>
      <c r="E256" s="132"/>
      <c r="F256" s="132"/>
      <c r="G256" s="132"/>
      <c r="H256" s="132"/>
      <c r="I256" s="132"/>
      <c r="J256" s="132"/>
      <c r="K256" s="132"/>
      <c r="L256" s="132"/>
      <c r="M256" s="132"/>
    </row>
    <row r="257" spans="1:13">
      <c r="A257" s="132"/>
      <c r="B257" s="132"/>
      <c r="C257" s="132"/>
      <c r="D257" s="132"/>
      <c r="E257" s="132"/>
      <c r="F257" s="132"/>
      <c r="G257" s="132"/>
      <c r="H257" s="132"/>
      <c r="I257" s="132"/>
      <c r="J257" s="132"/>
      <c r="K257" s="132"/>
      <c r="L257" s="132"/>
      <c r="M257" s="132"/>
    </row>
    <row r="258" spans="1:13">
      <c r="A258" s="132"/>
      <c r="B258" s="132"/>
      <c r="C258" s="132"/>
      <c r="D258" s="132"/>
      <c r="E258" s="132"/>
      <c r="F258" s="132"/>
      <c r="G258" s="132"/>
      <c r="H258" s="132"/>
      <c r="I258" s="132"/>
      <c r="J258" s="132"/>
      <c r="K258" s="132"/>
      <c r="L258" s="132"/>
      <c r="M258" s="132"/>
    </row>
    <row r="259" spans="1:13">
      <c r="A259" s="132"/>
      <c r="B259" s="132"/>
      <c r="C259" s="132"/>
      <c r="D259" s="132"/>
      <c r="E259" s="132"/>
      <c r="F259" s="132"/>
      <c r="G259" s="132"/>
      <c r="H259" s="132"/>
      <c r="I259" s="132"/>
      <c r="J259" s="132"/>
      <c r="K259" s="132"/>
      <c r="L259" s="132"/>
      <c r="M259" s="132"/>
    </row>
    <row r="260" spans="1:13">
      <c r="A260" s="132"/>
      <c r="B260" s="132"/>
      <c r="C260" s="132"/>
      <c r="D260" s="132"/>
      <c r="E260" s="132"/>
      <c r="F260" s="132"/>
      <c r="G260" s="132"/>
      <c r="H260" s="132"/>
      <c r="I260" s="132"/>
      <c r="J260" s="132"/>
      <c r="K260" s="132"/>
      <c r="L260" s="132"/>
      <c r="M260" s="132"/>
    </row>
    <row r="261" spans="1:13">
      <c r="A261" s="132"/>
      <c r="B261" s="132"/>
      <c r="C261" s="132"/>
      <c r="D261" s="132"/>
      <c r="E261" s="132"/>
      <c r="F261" s="132"/>
      <c r="G261" s="132"/>
      <c r="H261" s="132"/>
      <c r="I261" s="132"/>
      <c r="J261" s="132"/>
      <c r="K261" s="132"/>
      <c r="L261" s="132"/>
      <c r="M261" s="132"/>
    </row>
    <row r="262" spans="1:13">
      <c r="A262" s="132"/>
      <c r="B262" s="132"/>
      <c r="C262" s="132"/>
      <c r="D262" s="132"/>
      <c r="E262" s="132"/>
      <c r="F262" s="132"/>
      <c r="G262" s="132"/>
      <c r="H262" s="132"/>
      <c r="I262" s="132"/>
      <c r="J262" s="132"/>
      <c r="K262" s="132"/>
      <c r="L262" s="132"/>
      <c r="M262" s="132"/>
    </row>
    <row r="263" spans="1:13">
      <c r="A263" s="132"/>
      <c r="B263" s="132"/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</row>
    <row r="264" spans="1:13">
      <c r="A264" s="132"/>
      <c r="B264" s="132"/>
      <c r="C264" s="132"/>
      <c r="D264" s="132"/>
      <c r="E264" s="132"/>
      <c r="F264" s="132"/>
      <c r="G264" s="132"/>
      <c r="H264" s="132"/>
      <c r="I264" s="132"/>
      <c r="J264" s="132"/>
      <c r="K264" s="132"/>
      <c r="L264" s="132"/>
      <c r="M264" s="132"/>
    </row>
    <row r="265" spans="1:13">
      <c r="A265" s="132"/>
      <c r="B265" s="132"/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</row>
    <row r="266" spans="1:13">
      <c r="A266" s="132"/>
      <c r="B266" s="132"/>
      <c r="C266" s="132"/>
      <c r="D266" s="132"/>
      <c r="E266" s="132"/>
      <c r="F266" s="132"/>
      <c r="G266" s="132"/>
      <c r="H266" s="132"/>
      <c r="I266" s="132"/>
      <c r="J266" s="132"/>
      <c r="K266" s="132"/>
      <c r="L266" s="132"/>
      <c r="M266" s="132"/>
    </row>
    <row r="267" spans="1:13">
      <c r="A267" s="132"/>
      <c r="B267" s="132"/>
      <c r="C267" s="132"/>
      <c r="D267" s="132"/>
      <c r="E267" s="132"/>
      <c r="F267" s="132"/>
      <c r="G267" s="132"/>
      <c r="H267" s="132"/>
      <c r="I267" s="132"/>
      <c r="J267" s="132"/>
      <c r="K267" s="132"/>
      <c r="L267" s="132"/>
      <c r="M267" s="132"/>
    </row>
    <row r="268" spans="1:13">
      <c r="A268" s="132"/>
      <c r="B268" s="132"/>
      <c r="C268" s="132"/>
      <c r="D268" s="132"/>
      <c r="E268" s="132"/>
      <c r="F268" s="132"/>
      <c r="G268" s="132"/>
      <c r="H268" s="132"/>
      <c r="I268" s="132"/>
      <c r="J268" s="132"/>
      <c r="K268" s="132"/>
      <c r="L268" s="132"/>
      <c r="M268" s="132"/>
    </row>
    <row r="269" spans="1:13">
      <c r="A269" s="132"/>
      <c r="B269" s="132"/>
      <c r="C269" s="132"/>
      <c r="D269" s="132"/>
      <c r="E269" s="132"/>
      <c r="F269" s="132"/>
      <c r="G269" s="132"/>
      <c r="H269" s="132"/>
      <c r="I269" s="132"/>
      <c r="J269" s="132"/>
      <c r="K269" s="132"/>
      <c r="L269" s="132"/>
      <c r="M269" s="132"/>
    </row>
    <row r="270" spans="1:13">
      <c r="A270" s="132"/>
      <c r="B270" s="132"/>
      <c r="C270" s="132"/>
      <c r="D270" s="132"/>
      <c r="E270" s="132"/>
      <c r="F270" s="132"/>
      <c r="G270" s="132"/>
      <c r="H270" s="132"/>
      <c r="I270" s="132"/>
      <c r="J270" s="132"/>
      <c r="K270" s="132"/>
      <c r="L270" s="132"/>
      <c r="M270" s="132"/>
    </row>
    <row r="271" spans="1:13">
      <c r="A271" s="132"/>
      <c r="B271" s="132"/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</row>
    <row r="272" spans="1:13">
      <c r="A272" s="132"/>
      <c r="B272" s="132"/>
      <c r="C272" s="132"/>
      <c r="D272" s="132"/>
      <c r="E272" s="132"/>
      <c r="F272" s="132"/>
      <c r="G272" s="132"/>
      <c r="H272" s="132"/>
      <c r="I272" s="132"/>
      <c r="J272" s="132"/>
      <c r="K272" s="132"/>
      <c r="L272" s="132"/>
      <c r="M272" s="132"/>
    </row>
    <row r="273" spans="1:13">
      <c r="A273" s="132"/>
      <c r="B273" s="132"/>
      <c r="C273" s="132"/>
      <c r="D273" s="132"/>
      <c r="E273" s="132"/>
      <c r="F273" s="132"/>
      <c r="G273" s="132"/>
      <c r="H273" s="132"/>
      <c r="I273" s="132"/>
      <c r="J273" s="132"/>
      <c r="K273" s="132"/>
      <c r="L273" s="132"/>
      <c r="M273" s="132"/>
    </row>
    <row r="274" spans="1:13">
      <c r="A274" s="132"/>
      <c r="B274" s="132"/>
      <c r="C274" s="132"/>
      <c r="D274" s="132"/>
      <c r="E274" s="132"/>
      <c r="F274" s="132"/>
      <c r="G274" s="132"/>
      <c r="H274" s="132"/>
      <c r="I274" s="132"/>
      <c r="J274" s="132"/>
      <c r="K274" s="132"/>
      <c r="L274" s="132"/>
      <c r="M274" s="132"/>
    </row>
    <row r="275" spans="1:13">
      <c r="A275" s="132"/>
      <c r="B275" s="132"/>
      <c r="C275" s="132"/>
      <c r="D275" s="132"/>
      <c r="E275" s="132"/>
      <c r="F275" s="132"/>
      <c r="G275" s="132"/>
      <c r="H275" s="132"/>
      <c r="I275" s="132"/>
      <c r="J275" s="132"/>
      <c r="K275" s="132"/>
      <c r="L275" s="132"/>
      <c r="M275" s="132"/>
    </row>
    <row r="276" spans="1:13">
      <c r="A276" s="132"/>
      <c r="B276" s="132"/>
      <c r="C276" s="132"/>
      <c r="D276" s="132"/>
      <c r="E276" s="132"/>
      <c r="F276" s="132"/>
      <c r="G276" s="132"/>
      <c r="H276" s="132"/>
      <c r="I276" s="132"/>
      <c r="J276" s="132"/>
      <c r="K276" s="132"/>
      <c r="L276" s="132"/>
      <c r="M276" s="132"/>
    </row>
    <row r="277" spans="1:13">
      <c r="A277" s="132"/>
      <c r="B277" s="132"/>
      <c r="C277" s="132"/>
      <c r="D277" s="132"/>
      <c r="E277" s="132"/>
      <c r="F277" s="132"/>
      <c r="G277" s="132"/>
      <c r="H277" s="132"/>
      <c r="I277" s="132"/>
      <c r="J277" s="132"/>
      <c r="K277" s="132"/>
      <c r="L277" s="132"/>
      <c r="M277" s="132"/>
    </row>
    <row r="278" spans="1:13">
      <c r="A278" s="132"/>
      <c r="B278" s="132"/>
      <c r="C278" s="132"/>
      <c r="D278" s="132"/>
      <c r="E278" s="132"/>
      <c r="F278" s="132"/>
      <c r="G278" s="132"/>
      <c r="H278" s="132"/>
      <c r="I278" s="132"/>
      <c r="J278" s="132"/>
      <c r="K278" s="132"/>
      <c r="L278" s="132"/>
      <c r="M278" s="132"/>
    </row>
    <row r="279" spans="1:13">
      <c r="A279" s="132"/>
      <c r="B279" s="132"/>
      <c r="C279" s="132"/>
      <c r="D279" s="132"/>
      <c r="E279" s="132"/>
      <c r="F279" s="132"/>
      <c r="G279" s="132"/>
      <c r="H279" s="132"/>
      <c r="I279" s="132"/>
      <c r="J279" s="132"/>
      <c r="K279" s="132"/>
      <c r="L279" s="132"/>
      <c r="M279" s="132"/>
    </row>
    <row r="280" spans="1:13">
      <c r="A280" s="132"/>
      <c r="B280" s="132"/>
      <c r="C280" s="132"/>
      <c r="D280" s="132"/>
      <c r="E280" s="132"/>
      <c r="F280" s="132"/>
      <c r="G280" s="132"/>
      <c r="H280" s="132"/>
      <c r="I280" s="132"/>
      <c r="J280" s="132"/>
      <c r="K280" s="132"/>
      <c r="L280" s="132"/>
      <c r="M280" s="132"/>
    </row>
    <row r="281" spans="1:13">
      <c r="A281" s="132"/>
      <c r="B281" s="132"/>
      <c r="C281" s="132"/>
      <c r="D281" s="132"/>
      <c r="E281" s="132"/>
      <c r="F281" s="132"/>
      <c r="G281" s="132"/>
      <c r="H281" s="132"/>
      <c r="I281" s="132"/>
      <c r="J281" s="132"/>
      <c r="K281" s="132"/>
      <c r="L281" s="132"/>
      <c r="M281" s="132"/>
    </row>
    <row r="282" spans="1:13">
      <c r="A282" s="132"/>
      <c r="B282" s="132"/>
      <c r="C282" s="132"/>
      <c r="D282" s="132"/>
      <c r="E282" s="132"/>
      <c r="F282" s="132"/>
      <c r="G282" s="132"/>
      <c r="H282" s="132"/>
      <c r="I282" s="132"/>
      <c r="J282" s="132"/>
      <c r="K282" s="132"/>
      <c r="L282" s="132"/>
      <c r="M282" s="132"/>
    </row>
    <row r="283" spans="1:13">
      <c r="A283" s="132"/>
      <c r="B283" s="132"/>
      <c r="C283" s="132"/>
      <c r="D283" s="132"/>
      <c r="E283" s="132"/>
      <c r="F283" s="132"/>
      <c r="G283" s="132"/>
      <c r="H283" s="132"/>
      <c r="I283" s="132"/>
      <c r="J283" s="132"/>
      <c r="K283" s="132"/>
      <c r="L283" s="132"/>
      <c r="M283" s="132"/>
    </row>
    <row r="284" spans="1:13">
      <c r="A284" s="132"/>
      <c r="B284" s="132"/>
      <c r="C284" s="132"/>
      <c r="D284" s="132"/>
      <c r="E284" s="132"/>
      <c r="F284" s="132"/>
      <c r="G284" s="132"/>
      <c r="H284" s="132"/>
      <c r="I284" s="132"/>
      <c r="J284" s="132"/>
      <c r="K284" s="132"/>
      <c r="L284" s="132"/>
      <c r="M284" s="132"/>
    </row>
    <row r="285" spans="1:13">
      <c r="A285" s="132"/>
      <c r="B285" s="132"/>
      <c r="C285" s="132"/>
      <c r="D285" s="132"/>
      <c r="E285" s="132"/>
      <c r="F285" s="132"/>
      <c r="G285" s="132"/>
      <c r="H285" s="132"/>
      <c r="I285" s="132"/>
      <c r="J285" s="132"/>
      <c r="K285" s="132"/>
      <c r="L285" s="132"/>
      <c r="M285" s="132"/>
    </row>
    <row r="286" spans="1:13">
      <c r="A286" s="132"/>
      <c r="B286" s="132"/>
      <c r="C286" s="132"/>
      <c r="D286" s="132"/>
      <c r="E286" s="132"/>
      <c r="F286" s="132"/>
      <c r="G286" s="132"/>
      <c r="H286" s="132"/>
      <c r="I286" s="132"/>
      <c r="J286" s="132"/>
      <c r="K286" s="132"/>
      <c r="L286" s="132"/>
      <c r="M286" s="132"/>
    </row>
    <row r="287" spans="1:13">
      <c r="A287" s="132"/>
      <c r="B287" s="132"/>
      <c r="C287" s="132"/>
      <c r="D287" s="132"/>
      <c r="E287" s="132"/>
      <c r="F287" s="132"/>
      <c r="G287" s="132"/>
      <c r="H287" s="132"/>
      <c r="I287" s="132"/>
      <c r="J287" s="132"/>
      <c r="K287" s="132"/>
      <c r="L287" s="132"/>
      <c r="M287" s="132"/>
    </row>
    <row r="288" spans="1:13">
      <c r="A288" s="132"/>
      <c r="B288" s="132"/>
      <c r="C288" s="132"/>
      <c r="D288" s="132"/>
      <c r="E288" s="132"/>
      <c r="F288" s="132"/>
      <c r="G288" s="132"/>
      <c r="H288" s="132"/>
      <c r="I288" s="132"/>
      <c r="J288" s="132"/>
      <c r="K288" s="132"/>
      <c r="L288" s="132"/>
      <c r="M288" s="132"/>
    </row>
    <row r="289" spans="1:13">
      <c r="A289" s="132"/>
      <c r="B289" s="132"/>
      <c r="C289" s="132"/>
      <c r="D289" s="132"/>
      <c r="E289" s="132"/>
      <c r="F289" s="132"/>
      <c r="G289" s="132"/>
      <c r="H289" s="132"/>
      <c r="I289" s="132"/>
      <c r="J289" s="132"/>
      <c r="K289" s="132"/>
      <c r="L289" s="132"/>
      <c r="M289" s="132"/>
    </row>
    <row r="290" spans="1:13">
      <c r="A290" s="132"/>
      <c r="B290" s="132"/>
      <c r="C290" s="132"/>
      <c r="D290" s="132"/>
      <c r="E290" s="132"/>
      <c r="F290" s="132"/>
      <c r="G290" s="132"/>
      <c r="H290" s="132"/>
      <c r="I290" s="132"/>
      <c r="J290" s="132"/>
      <c r="K290" s="132"/>
      <c r="L290" s="132"/>
      <c r="M290" s="132"/>
    </row>
    <row r="291" spans="1:13">
      <c r="A291" s="132"/>
      <c r="B291" s="132"/>
      <c r="C291" s="132"/>
      <c r="D291" s="132"/>
      <c r="E291" s="132"/>
      <c r="F291" s="132"/>
      <c r="G291" s="132"/>
      <c r="H291" s="132"/>
      <c r="I291" s="132"/>
      <c r="J291" s="132"/>
      <c r="K291" s="132"/>
      <c r="L291" s="132"/>
      <c r="M291" s="132"/>
    </row>
    <row r="292" spans="1:13">
      <c r="A292" s="132"/>
      <c r="B292" s="132"/>
      <c r="C292" s="132"/>
      <c r="D292" s="132"/>
      <c r="E292" s="132"/>
      <c r="F292" s="132"/>
      <c r="G292" s="132"/>
      <c r="H292" s="132"/>
      <c r="I292" s="132"/>
      <c r="J292" s="132"/>
      <c r="K292" s="132"/>
      <c r="L292" s="132"/>
      <c r="M292" s="132"/>
    </row>
    <row r="293" spans="1:13">
      <c r="A293" s="132"/>
      <c r="B293" s="132"/>
      <c r="C293" s="132"/>
      <c r="D293" s="132"/>
      <c r="E293" s="132"/>
      <c r="F293" s="132"/>
      <c r="G293" s="132"/>
      <c r="H293" s="132"/>
      <c r="I293" s="132"/>
      <c r="J293" s="132"/>
      <c r="K293" s="132"/>
      <c r="L293" s="132"/>
      <c r="M293" s="132"/>
    </row>
    <row r="294" spans="1:13">
      <c r="A294" s="132"/>
      <c r="B294" s="132"/>
      <c r="C294" s="132"/>
      <c r="D294" s="132"/>
      <c r="E294" s="132"/>
      <c r="F294" s="132"/>
      <c r="G294" s="132"/>
      <c r="H294" s="132"/>
      <c r="I294" s="132"/>
      <c r="J294" s="132"/>
      <c r="K294" s="132"/>
      <c r="L294" s="132"/>
      <c r="M294" s="132"/>
    </row>
    <row r="295" spans="1:13">
      <c r="A295" s="132"/>
      <c r="B295" s="132"/>
      <c r="C295" s="132"/>
      <c r="D295" s="132"/>
      <c r="E295" s="132"/>
      <c r="F295" s="132"/>
      <c r="G295" s="132"/>
      <c r="H295" s="132"/>
      <c r="I295" s="132"/>
      <c r="J295" s="132"/>
      <c r="K295" s="132"/>
      <c r="L295" s="132"/>
      <c r="M295" s="132"/>
    </row>
    <row r="296" spans="1:13">
      <c r="A296" s="132"/>
      <c r="B296" s="132"/>
      <c r="C296" s="132"/>
      <c r="D296" s="132"/>
      <c r="E296" s="132"/>
      <c r="F296" s="132"/>
      <c r="G296" s="132"/>
      <c r="H296" s="132"/>
      <c r="I296" s="132"/>
      <c r="J296" s="132"/>
      <c r="K296" s="132"/>
      <c r="L296" s="132"/>
      <c r="M296" s="132"/>
    </row>
    <row r="297" spans="1:13">
      <c r="A297" s="132"/>
      <c r="B297" s="132"/>
      <c r="C297" s="132"/>
      <c r="D297" s="132"/>
      <c r="E297" s="132"/>
      <c r="F297" s="132"/>
      <c r="G297" s="132"/>
      <c r="H297" s="132"/>
      <c r="I297" s="132"/>
      <c r="J297" s="132"/>
      <c r="K297" s="132"/>
      <c r="L297" s="132"/>
      <c r="M297" s="132"/>
    </row>
    <row r="298" spans="1:13">
      <c r="A298" s="132"/>
      <c r="B298" s="132"/>
      <c r="C298" s="132"/>
      <c r="D298" s="132"/>
      <c r="E298" s="132"/>
      <c r="F298" s="132"/>
      <c r="G298" s="132"/>
      <c r="H298" s="132"/>
      <c r="I298" s="132"/>
      <c r="J298" s="132"/>
      <c r="K298" s="132"/>
      <c r="L298" s="132"/>
      <c r="M298" s="132"/>
    </row>
    <row r="299" spans="1:13">
      <c r="A299" s="132"/>
      <c r="B299" s="132"/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</row>
    <row r="300" spans="1:13">
      <c r="A300" s="132"/>
      <c r="B300" s="132"/>
      <c r="C300" s="132"/>
      <c r="D300" s="132"/>
      <c r="E300" s="132"/>
      <c r="F300" s="132"/>
      <c r="G300" s="132"/>
      <c r="H300" s="132"/>
      <c r="I300" s="132"/>
      <c r="J300" s="132"/>
      <c r="K300" s="132"/>
      <c r="L300" s="132"/>
      <c r="M300" s="132"/>
    </row>
    <row r="301" spans="1:13">
      <c r="A301" s="132"/>
      <c r="B301" s="132"/>
      <c r="C301" s="132"/>
      <c r="D301" s="132"/>
      <c r="E301" s="132"/>
      <c r="F301" s="132"/>
      <c r="G301" s="132"/>
      <c r="H301" s="132"/>
      <c r="I301" s="132"/>
      <c r="J301" s="132"/>
      <c r="K301" s="132"/>
      <c r="L301" s="132"/>
      <c r="M301" s="132"/>
    </row>
    <row r="302" spans="1:13">
      <c r="A302" s="132"/>
      <c r="B302" s="132"/>
      <c r="C302" s="132"/>
      <c r="D302" s="132"/>
      <c r="E302" s="132"/>
      <c r="F302" s="132"/>
      <c r="G302" s="132"/>
      <c r="H302" s="132"/>
      <c r="I302" s="132"/>
      <c r="J302" s="132"/>
      <c r="K302" s="132"/>
      <c r="L302" s="132"/>
      <c r="M302" s="132"/>
    </row>
    <row r="303" spans="1:13">
      <c r="A303" s="132"/>
      <c r="B303" s="132"/>
      <c r="C303" s="132"/>
      <c r="D303" s="132"/>
      <c r="E303" s="132"/>
      <c r="F303" s="132"/>
      <c r="G303" s="132"/>
      <c r="H303" s="132"/>
      <c r="I303" s="132"/>
      <c r="J303" s="132"/>
      <c r="K303" s="132"/>
      <c r="L303" s="132"/>
      <c r="M303" s="132"/>
    </row>
    <row r="304" spans="1:13">
      <c r="A304" s="132"/>
      <c r="B304" s="132"/>
      <c r="C304" s="132"/>
      <c r="D304" s="132"/>
      <c r="E304" s="132"/>
      <c r="F304" s="132"/>
      <c r="G304" s="132"/>
      <c r="H304" s="132"/>
      <c r="I304" s="132"/>
      <c r="J304" s="132"/>
      <c r="K304" s="132"/>
      <c r="L304" s="132"/>
      <c r="M304" s="132"/>
    </row>
  </sheetData>
  <mergeCells count="42">
    <mergeCell ref="A143:F143"/>
    <mergeCell ref="A145:A146"/>
    <mergeCell ref="B145:C145"/>
    <mergeCell ref="D145:D146"/>
    <mergeCell ref="E145:E146"/>
    <mergeCell ref="F145:F146"/>
    <mergeCell ref="A122:F122"/>
    <mergeCell ref="A124:A125"/>
    <mergeCell ref="B124:C124"/>
    <mergeCell ref="D124:D125"/>
    <mergeCell ref="E124:E125"/>
    <mergeCell ref="F124:F125"/>
    <mergeCell ref="A83:F83"/>
    <mergeCell ref="A85:A86"/>
    <mergeCell ref="B85:C85"/>
    <mergeCell ref="D85:D86"/>
    <mergeCell ref="E85:E86"/>
    <mergeCell ref="F85:F86"/>
    <mergeCell ref="A63:F63"/>
    <mergeCell ref="A65:A66"/>
    <mergeCell ref="B65:C65"/>
    <mergeCell ref="D65:D66"/>
    <mergeCell ref="E65:E66"/>
    <mergeCell ref="F65:F66"/>
    <mergeCell ref="A42:F42"/>
    <mergeCell ref="A44:A45"/>
    <mergeCell ref="B44:C44"/>
    <mergeCell ref="D44:D45"/>
    <mergeCell ref="E44:E45"/>
    <mergeCell ref="F44:F45"/>
    <mergeCell ref="A22:F22"/>
    <mergeCell ref="A24:A25"/>
    <mergeCell ref="B24:C24"/>
    <mergeCell ref="D24:D25"/>
    <mergeCell ref="E24:E25"/>
    <mergeCell ref="F24:F25"/>
    <mergeCell ref="A1:F1"/>
    <mergeCell ref="A3:A4"/>
    <mergeCell ref="B3:C3"/>
    <mergeCell ref="D3:D4"/>
    <mergeCell ref="E3:E4"/>
    <mergeCell ref="F3:F4"/>
  </mergeCells>
  <pageMargins left="1.1811023622047245" right="0.98425196850393704" top="0.98425196850393704" bottom="0.98425196850393704" header="0" footer="0"/>
  <pageSetup paperSize="9" orientation="portrait" r:id="rId1"/>
  <headerFooter alignWithMargins="0"/>
  <rowBreaks count="3" manualBreakCount="3">
    <brk id="41" max="5" man="1"/>
    <brk id="82" max="5" man="1"/>
    <brk id="121" max="5" man="1"/>
  </rowBreaks>
  <ignoredErrors>
    <ignoredError sqref="B17:D17 D27:D38 B38:C38 D47:D57 B58:D58 D68:D79 B79:C79 B99:D99 B138:D138 B159:D159" unlockedFormula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M130"/>
  <sheetViews>
    <sheetView showGridLines="0" workbookViewId="0">
      <selection activeCell="G24" sqref="G24:G25"/>
    </sheetView>
  </sheetViews>
  <sheetFormatPr baseColWidth="10" defaultRowHeight="12.75"/>
  <cols>
    <col min="1" max="1" width="56.5703125" customWidth="1"/>
    <col min="3" max="3" width="9.85546875" customWidth="1"/>
    <col min="7" max="7" width="11.85546875" customWidth="1"/>
    <col min="8" max="13" width="11.85546875" hidden="1" customWidth="1"/>
    <col min="14" max="14" width="11.85546875" customWidth="1"/>
  </cols>
  <sheetData>
    <row r="1" spans="1:13">
      <c r="A1" s="824" t="s">
        <v>359</v>
      </c>
      <c r="B1" s="825"/>
      <c r="C1" s="825"/>
      <c r="D1" s="825"/>
      <c r="E1" s="825"/>
      <c r="F1" s="825"/>
      <c r="G1" s="158"/>
      <c r="H1" s="133"/>
    </row>
    <row r="2" spans="1:13">
      <c r="A2" s="158"/>
      <c r="B2" s="158"/>
      <c r="C2" s="158"/>
      <c r="D2" s="158"/>
      <c r="E2" s="158"/>
      <c r="F2" s="158"/>
      <c r="G2" s="158"/>
      <c r="H2" s="133"/>
      <c r="I2" s="133"/>
    </row>
    <row r="3" spans="1:13" ht="15.75" customHeight="1">
      <c r="A3" s="762" t="s">
        <v>329</v>
      </c>
      <c r="B3" s="827" t="s">
        <v>301</v>
      </c>
      <c r="C3" s="828"/>
      <c r="D3" s="829" t="s">
        <v>52</v>
      </c>
      <c r="E3" s="829" t="s">
        <v>59</v>
      </c>
      <c r="F3" s="829" t="s">
        <v>302</v>
      </c>
      <c r="G3" s="158"/>
      <c r="H3" s="831" t="s">
        <v>66</v>
      </c>
      <c r="I3" s="831"/>
    </row>
    <row r="4" spans="1:13" ht="13.5">
      <c r="A4" s="826"/>
      <c r="B4" s="230" t="s">
        <v>68</v>
      </c>
      <c r="C4" s="231" t="s">
        <v>67</v>
      </c>
      <c r="D4" s="830"/>
      <c r="E4" s="830"/>
      <c r="F4" s="830"/>
      <c r="G4" s="158"/>
      <c r="H4" s="136" t="s">
        <v>59</v>
      </c>
      <c r="I4" s="136" t="s">
        <v>69</v>
      </c>
    </row>
    <row r="5" spans="1:13" ht="13.5">
      <c r="A5" s="225"/>
      <c r="B5" s="170"/>
      <c r="C5" s="170"/>
      <c r="D5" s="171"/>
      <c r="E5" s="171"/>
      <c r="F5" s="171"/>
      <c r="G5" s="158"/>
      <c r="H5" s="136"/>
      <c r="I5" s="136"/>
      <c r="M5" s="218">
        <v>2015</v>
      </c>
    </row>
    <row r="6" spans="1:13" ht="19.5" customHeight="1">
      <c r="A6" s="214" t="s">
        <v>118</v>
      </c>
      <c r="B6" s="167">
        <v>6949</v>
      </c>
      <c r="C6" s="167">
        <v>5148</v>
      </c>
      <c r="D6" s="167">
        <f>SUM(B6:C6)</f>
        <v>12097</v>
      </c>
      <c r="E6" s="173">
        <f t="shared" ref="E6:E16" si="0">SUM(D6/H6)*100</f>
        <v>18.688975404770733</v>
      </c>
      <c r="F6" s="174">
        <f>SUM(D6/I6)*1000</f>
        <v>8.545444784149284</v>
      </c>
      <c r="G6" s="205"/>
      <c r="H6" s="208">
        <f t="shared" ref="H6:H16" si="1">SUM(D$17)</f>
        <v>64728</v>
      </c>
      <c r="I6" s="145">
        <v>1415608</v>
      </c>
      <c r="M6" s="219"/>
    </row>
    <row r="7" spans="1:13" ht="19.5" customHeight="1">
      <c r="A7" s="226" t="s">
        <v>119</v>
      </c>
      <c r="B7" s="167">
        <v>7498</v>
      </c>
      <c r="C7" s="167">
        <v>4454</v>
      </c>
      <c r="D7" s="167">
        <f>SUM(B7:C7)</f>
        <v>11952</v>
      </c>
      <c r="E7" s="173">
        <f>SUM(D7/H7)*100</f>
        <v>18.464961067853171</v>
      </c>
      <c r="F7" s="174">
        <f t="shared" ref="F7:F16" si="2">SUM(D7/I7)*1000</f>
        <v>8.4430152980203559</v>
      </c>
      <c r="G7" s="205"/>
      <c r="H7" s="135">
        <f t="shared" si="1"/>
        <v>64728</v>
      </c>
      <c r="I7" s="145">
        <v>1415608</v>
      </c>
      <c r="L7" s="222" t="s">
        <v>365</v>
      </c>
      <c r="M7" s="220">
        <v>1415608</v>
      </c>
    </row>
    <row r="8" spans="1:13" ht="19.5" customHeight="1">
      <c r="A8" s="226" t="s">
        <v>129</v>
      </c>
      <c r="B8" s="167">
        <v>3137</v>
      </c>
      <c r="C8" s="167">
        <v>897</v>
      </c>
      <c r="D8" s="167">
        <f t="shared" ref="D8:D15" si="3">SUM(B8:C8)</f>
        <v>4034</v>
      </c>
      <c r="E8" s="173">
        <f t="shared" si="0"/>
        <v>6.2322333456927446</v>
      </c>
      <c r="F8" s="174">
        <f t="shared" si="2"/>
        <v>2.8496589451317029</v>
      </c>
      <c r="G8" s="175"/>
      <c r="H8" s="135">
        <f t="shared" si="1"/>
        <v>64728</v>
      </c>
      <c r="I8" s="145">
        <v>1415608</v>
      </c>
      <c r="L8" s="222"/>
      <c r="M8" s="10"/>
    </row>
    <row r="9" spans="1:13" ht="19.5" customHeight="1">
      <c r="A9" s="226" t="s">
        <v>357</v>
      </c>
      <c r="B9" s="167">
        <v>1825</v>
      </c>
      <c r="C9" s="167">
        <v>809</v>
      </c>
      <c r="D9" s="167">
        <f t="shared" si="3"/>
        <v>2634</v>
      </c>
      <c r="E9" s="173">
        <f t="shared" si="0"/>
        <v>4.0693362995921394</v>
      </c>
      <c r="F9" s="174">
        <f t="shared" si="2"/>
        <v>1.8606845963006708</v>
      </c>
      <c r="G9" s="175"/>
      <c r="H9" s="135">
        <f t="shared" si="1"/>
        <v>64728</v>
      </c>
      <c r="I9" s="145">
        <v>1415608</v>
      </c>
      <c r="L9" s="223" t="s">
        <v>366</v>
      </c>
      <c r="M9" s="220">
        <v>294433</v>
      </c>
    </row>
    <row r="10" spans="1:13" ht="19.5" customHeight="1">
      <c r="A10" s="226" t="s">
        <v>126</v>
      </c>
      <c r="B10" s="167">
        <v>2125</v>
      </c>
      <c r="C10" s="167" t="s">
        <v>13</v>
      </c>
      <c r="D10" s="167">
        <f t="shared" si="3"/>
        <v>2125</v>
      </c>
      <c r="E10" s="173">
        <f t="shared" si="0"/>
        <v>3.2829687306884194</v>
      </c>
      <c r="F10" s="174">
        <f t="shared" si="2"/>
        <v>1.5011217794756742</v>
      </c>
      <c r="G10" s="175"/>
      <c r="H10" s="135">
        <f t="shared" si="1"/>
        <v>64728</v>
      </c>
      <c r="I10" s="145">
        <v>1415608</v>
      </c>
      <c r="L10" s="223"/>
      <c r="M10" s="219"/>
    </row>
    <row r="11" spans="1:13" ht="19.5" customHeight="1">
      <c r="A11" s="226" t="s">
        <v>133</v>
      </c>
      <c r="B11" s="167">
        <v>968</v>
      </c>
      <c r="C11" s="167">
        <v>1076</v>
      </c>
      <c r="D11" s="167">
        <f t="shared" si="3"/>
        <v>2044</v>
      </c>
      <c r="E11" s="173">
        <f t="shared" si="0"/>
        <v>3.1578296873068847</v>
      </c>
      <c r="F11" s="174">
        <f t="shared" si="2"/>
        <v>1.4439025492933071</v>
      </c>
      <c r="G11" s="175"/>
      <c r="H11" s="135">
        <f t="shared" si="1"/>
        <v>64728</v>
      </c>
      <c r="I11" s="145">
        <v>1415608</v>
      </c>
      <c r="L11" s="223" t="s">
        <v>367</v>
      </c>
      <c r="M11" s="220">
        <v>293712</v>
      </c>
    </row>
    <row r="12" spans="1:13" ht="19.5" customHeight="1">
      <c r="A12" s="226" t="s">
        <v>123</v>
      </c>
      <c r="B12" s="167">
        <v>920</v>
      </c>
      <c r="C12" s="167">
        <v>854</v>
      </c>
      <c r="D12" s="167">
        <f t="shared" si="3"/>
        <v>1774</v>
      </c>
      <c r="E12" s="173">
        <f t="shared" si="0"/>
        <v>2.7406995427017673</v>
      </c>
      <c r="F12" s="174">
        <f t="shared" si="2"/>
        <v>1.2531717820187509</v>
      </c>
      <c r="G12" s="175"/>
      <c r="H12" s="135">
        <f t="shared" si="1"/>
        <v>64728</v>
      </c>
      <c r="I12" s="145">
        <v>1415608</v>
      </c>
      <c r="L12" s="223"/>
      <c r="M12" s="219"/>
    </row>
    <row r="13" spans="1:13" ht="19.5" customHeight="1">
      <c r="A13" s="226" t="s">
        <v>121</v>
      </c>
      <c r="B13" s="167">
        <v>1111</v>
      </c>
      <c r="C13" s="167">
        <v>621</v>
      </c>
      <c r="D13" s="167">
        <f t="shared" si="3"/>
        <v>1732</v>
      </c>
      <c r="E13" s="173">
        <f t="shared" si="0"/>
        <v>2.6758126313187494</v>
      </c>
      <c r="F13" s="174">
        <f t="shared" si="2"/>
        <v>1.22350255155382</v>
      </c>
      <c r="G13" s="175"/>
      <c r="H13" s="135">
        <f t="shared" si="1"/>
        <v>64728</v>
      </c>
      <c r="I13" s="145">
        <v>1415608</v>
      </c>
      <c r="L13" s="223" t="s">
        <v>368</v>
      </c>
      <c r="M13" s="220">
        <v>257494</v>
      </c>
    </row>
    <row r="14" spans="1:13" ht="19.5" customHeight="1">
      <c r="A14" s="226" t="s">
        <v>127</v>
      </c>
      <c r="B14" s="167">
        <v>1709</v>
      </c>
      <c r="C14" s="167">
        <v>14</v>
      </c>
      <c r="D14" s="167">
        <f t="shared" si="3"/>
        <v>1723</v>
      </c>
      <c r="E14" s="173">
        <f t="shared" si="0"/>
        <v>2.6619082931652454</v>
      </c>
      <c r="F14" s="174">
        <f t="shared" si="2"/>
        <v>1.2171448593113348</v>
      </c>
      <c r="G14" s="175"/>
      <c r="H14" s="135">
        <f t="shared" si="1"/>
        <v>64728</v>
      </c>
      <c r="I14" s="145">
        <v>1415608</v>
      </c>
      <c r="L14" s="223"/>
      <c r="M14" s="221"/>
    </row>
    <row r="15" spans="1:13" ht="19.5" customHeight="1">
      <c r="A15" s="226" t="s">
        <v>358</v>
      </c>
      <c r="B15" s="167">
        <v>820</v>
      </c>
      <c r="C15" s="167">
        <v>888</v>
      </c>
      <c r="D15" s="167">
        <f t="shared" si="3"/>
        <v>1708</v>
      </c>
      <c r="E15" s="173">
        <f t="shared" si="0"/>
        <v>2.638734396242739</v>
      </c>
      <c r="F15" s="174">
        <f t="shared" si="2"/>
        <v>1.2065487055738595</v>
      </c>
      <c r="G15" s="175"/>
      <c r="H15" s="135">
        <f t="shared" si="1"/>
        <v>64728</v>
      </c>
      <c r="I15" s="145">
        <v>1415608</v>
      </c>
      <c r="L15" s="223" t="s">
        <v>369</v>
      </c>
      <c r="M15" s="220">
        <v>438405</v>
      </c>
    </row>
    <row r="16" spans="1:13" ht="19.5" customHeight="1">
      <c r="A16" s="227" t="s">
        <v>330</v>
      </c>
      <c r="B16" s="167">
        <v>14270</v>
      </c>
      <c r="C16" s="167">
        <v>8635</v>
      </c>
      <c r="D16" s="167">
        <f>SUM(B16:C16)</f>
        <v>22905</v>
      </c>
      <c r="E16" s="173">
        <f t="shared" si="0"/>
        <v>35.386540600667409</v>
      </c>
      <c r="F16" s="174">
        <f t="shared" si="2"/>
        <v>16.180326757124853</v>
      </c>
      <c r="G16" s="175"/>
      <c r="H16" s="208">
        <f t="shared" si="1"/>
        <v>64728</v>
      </c>
      <c r="I16" s="145">
        <v>1415608</v>
      </c>
      <c r="L16" s="223"/>
      <c r="M16" s="219"/>
    </row>
    <row r="17" spans="1:13" ht="15.75" customHeight="1">
      <c r="A17" s="228" t="s">
        <v>14</v>
      </c>
      <c r="B17" s="193">
        <f>SUM(B6:B16)</f>
        <v>41332</v>
      </c>
      <c r="C17" s="193">
        <f>SUM(C6:C16)</f>
        <v>23396</v>
      </c>
      <c r="D17" s="193">
        <f>SUM(B17:C17)</f>
        <v>64728</v>
      </c>
      <c r="E17" s="179">
        <f>SUM(E6:E16)</f>
        <v>100</v>
      </c>
      <c r="F17" s="178"/>
      <c r="G17" s="205"/>
      <c r="H17" s="12"/>
      <c r="I17" s="12"/>
      <c r="L17" s="223" t="s">
        <v>370</v>
      </c>
      <c r="M17" s="220">
        <v>131564</v>
      </c>
    </row>
    <row r="18" spans="1:13" ht="12.75" customHeight="1">
      <c r="A18" s="229"/>
      <c r="B18" s="232"/>
      <c r="C18" s="233"/>
      <c r="D18" s="234"/>
      <c r="E18" s="235"/>
      <c r="F18" s="233"/>
      <c r="G18" s="175"/>
      <c r="H18" s="12"/>
      <c r="I18" s="12"/>
    </row>
    <row r="19" spans="1:13" ht="13.5">
      <c r="A19" s="175" t="s">
        <v>376</v>
      </c>
      <c r="B19" s="178"/>
      <c r="C19" s="178"/>
      <c r="D19" s="224"/>
      <c r="E19" s="179"/>
      <c r="F19" s="178"/>
      <c r="G19" s="175"/>
      <c r="H19" s="12"/>
      <c r="I19" s="12"/>
    </row>
    <row r="20" spans="1:13">
      <c r="A20" s="168" t="s">
        <v>63</v>
      </c>
      <c r="B20" s="158"/>
      <c r="C20" s="159"/>
      <c r="D20" s="158"/>
      <c r="E20" s="158"/>
      <c r="F20" s="158"/>
      <c r="G20" s="158"/>
      <c r="H20" s="135"/>
      <c r="I20" s="135"/>
    </row>
    <row r="22" spans="1:13" ht="13.5">
      <c r="A22" s="765"/>
      <c r="B22" s="815"/>
      <c r="C22" s="815"/>
      <c r="D22" s="815"/>
      <c r="E22" s="815"/>
      <c r="F22" s="815"/>
    </row>
    <row r="23" spans="1:13" ht="12.75" customHeight="1">
      <c r="A23" s="765" t="s">
        <v>364</v>
      </c>
      <c r="B23" s="815"/>
      <c r="C23" s="815"/>
      <c r="D23" s="815"/>
      <c r="E23" s="815"/>
      <c r="F23" s="815"/>
    </row>
    <row r="24" spans="1:13">
      <c r="A24" s="158"/>
      <c r="B24" s="158"/>
      <c r="C24" s="158"/>
      <c r="D24" s="158"/>
      <c r="E24" s="158"/>
      <c r="F24" s="158"/>
    </row>
    <row r="25" spans="1:13" ht="13.5" customHeight="1">
      <c r="A25" s="762" t="s">
        <v>329</v>
      </c>
      <c r="B25" s="827" t="s">
        <v>301</v>
      </c>
      <c r="C25" s="828"/>
      <c r="D25" s="829" t="s">
        <v>52</v>
      </c>
      <c r="E25" s="829" t="s">
        <v>59</v>
      </c>
      <c r="F25" s="829" t="s">
        <v>302</v>
      </c>
    </row>
    <row r="26" spans="1:13" ht="13.5">
      <c r="A26" s="826"/>
      <c r="B26" s="230" t="s">
        <v>68</v>
      </c>
      <c r="C26" s="231" t="s">
        <v>67</v>
      </c>
      <c r="D26" s="830"/>
      <c r="E26" s="830"/>
      <c r="F26" s="830"/>
      <c r="H26" s="136" t="s">
        <v>59</v>
      </c>
      <c r="I26" s="41" t="s">
        <v>371</v>
      </c>
    </row>
    <row r="27" spans="1:13" ht="13.5">
      <c r="A27" s="225"/>
      <c r="B27" s="170"/>
      <c r="C27" s="170"/>
      <c r="D27" s="171"/>
      <c r="E27" s="171"/>
      <c r="F27" s="171"/>
      <c r="H27" s="135"/>
    </row>
    <row r="28" spans="1:13" ht="19.5" customHeight="1">
      <c r="A28" s="214" t="s">
        <v>118</v>
      </c>
      <c r="B28" s="167">
        <v>3125</v>
      </c>
      <c r="C28" s="167">
        <v>3197</v>
      </c>
      <c r="D28" s="167">
        <f>SUM(B28:C28)</f>
        <v>6322</v>
      </c>
      <c r="E28" s="173">
        <f>SUM(D28/H28)*100</f>
        <v>30.413239043633038</v>
      </c>
      <c r="F28" s="174">
        <f>SUM(D28/I28)*1000</f>
        <v>21.471777959671641</v>
      </c>
      <c r="H28" s="135">
        <f>D$39</f>
        <v>20787</v>
      </c>
      <c r="I28" s="220">
        <v>294433</v>
      </c>
    </row>
    <row r="29" spans="1:13" ht="19.5" customHeight="1">
      <c r="A29" s="226" t="s">
        <v>372</v>
      </c>
      <c r="B29" s="167">
        <v>2138</v>
      </c>
      <c r="C29" s="167">
        <v>2257</v>
      </c>
      <c r="D29" s="167">
        <f t="shared" ref="D29:D38" si="4">SUM(B29:C29)</f>
        <v>4395</v>
      </c>
      <c r="E29" s="173">
        <f t="shared" ref="E29:E37" si="5">SUM(D29/H29)*100</f>
        <v>21.143022081108384</v>
      </c>
      <c r="F29" s="174">
        <f t="shared" ref="F29:F38" si="6">SUM(D29/I29)*1000</f>
        <v>14.926995275665432</v>
      </c>
      <c r="H29" s="135">
        <f t="shared" ref="H29:H38" si="7">D$39</f>
        <v>20787</v>
      </c>
      <c r="I29" s="220">
        <v>294433</v>
      </c>
    </row>
    <row r="30" spans="1:13" ht="19.5" customHeight="1">
      <c r="A30" s="226" t="s">
        <v>133</v>
      </c>
      <c r="B30" s="167">
        <v>911</v>
      </c>
      <c r="C30" s="167">
        <v>1060</v>
      </c>
      <c r="D30" s="167">
        <f t="shared" si="4"/>
        <v>1971</v>
      </c>
      <c r="E30" s="173">
        <f>SUM(D30/H30)*100</f>
        <v>9.4818877182854671</v>
      </c>
      <c r="F30" s="174">
        <f t="shared" si="6"/>
        <v>6.6942224546840876</v>
      </c>
      <c r="H30" s="135">
        <f t="shared" si="7"/>
        <v>20787</v>
      </c>
      <c r="I30" s="220">
        <v>294433</v>
      </c>
    </row>
    <row r="31" spans="1:13" ht="19.5" customHeight="1">
      <c r="A31" s="226" t="s">
        <v>123</v>
      </c>
      <c r="B31" s="167">
        <v>476</v>
      </c>
      <c r="C31" s="167">
        <v>574</v>
      </c>
      <c r="D31" s="167">
        <f t="shared" si="4"/>
        <v>1050</v>
      </c>
      <c r="E31" s="173">
        <f t="shared" si="5"/>
        <v>5.0512339442921057</v>
      </c>
      <c r="F31" s="174">
        <f t="shared" si="6"/>
        <v>3.5661763457221167</v>
      </c>
      <c r="H31" s="135">
        <f t="shared" si="7"/>
        <v>20787</v>
      </c>
      <c r="I31" s="220">
        <v>294433</v>
      </c>
    </row>
    <row r="32" spans="1:13" ht="19.5" customHeight="1">
      <c r="A32" s="226" t="s">
        <v>384</v>
      </c>
      <c r="B32" s="167">
        <v>496</v>
      </c>
      <c r="C32" s="167">
        <v>539</v>
      </c>
      <c r="D32" s="167">
        <f t="shared" si="4"/>
        <v>1035</v>
      </c>
      <c r="E32" s="173">
        <f t="shared" si="5"/>
        <v>4.9790734593736472</v>
      </c>
      <c r="F32" s="174">
        <f t="shared" si="6"/>
        <v>3.5152309693546582</v>
      </c>
      <c r="H32" s="135">
        <f t="shared" si="7"/>
        <v>20787</v>
      </c>
      <c r="I32" s="220">
        <v>294433</v>
      </c>
    </row>
    <row r="33" spans="1:9" ht="19.5" customHeight="1">
      <c r="A33" s="226" t="s">
        <v>114</v>
      </c>
      <c r="B33" s="167">
        <v>417</v>
      </c>
      <c r="C33" s="167">
        <v>440</v>
      </c>
      <c r="D33" s="167">
        <f t="shared" si="4"/>
        <v>857</v>
      </c>
      <c r="E33" s="173">
        <f t="shared" si="5"/>
        <v>4.1227690383412705</v>
      </c>
      <c r="F33" s="174">
        <f t="shared" si="6"/>
        <v>2.9106791697941468</v>
      </c>
      <c r="H33" s="135">
        <f t="shared" si="7"/>
        <v>20787</v>
      </c>
      <c r="I33" s="220">
        <v>294433</v>
      </c>
    </row>
    <row r="34" spans="1:9" ht="19.5" customHeight="1">
      <c r="A34" s="226" t="s">
        <v>139</v>
      </c>
      <c r="B34" s="167">
        <v>253</v>
      </c>
      <c r="C34" s="167">
        <v>447</v>
      </c>
      <c r="D34" s="167">
        <f t="shared" si="4"/>
        <v>700</v>
      </c>
      <c r="E34" s="173">
        <f t="shared" si="5"/>
        <v>3.3674892961947376</v>
      </c>
      <c r="F34" s="174">
        <f t="shared" si="6"/>
        <v>2.3774508971480777</v>
      </c>
      <c r="H34" s="135">
        <f t="shared" si="7"/>
        <v>20787</v>
      </c>
      <c r="I34" s="220">
        <v>294433</v>
      </c>
    </row>
    <row r="35" spans="1:9" ht="19.5" customHeight="1">
      <c r="A35" s="226" t="s">
        <v>129</v>
      </c>
      <c r="B35" s="167">
        <v>217</v>
      </c>
      <c r="C35" s="167">
        <v>439</v>
      </c>
      <c r="D35" s="167">
        <f t="shared" si="4"/>
        <v>656</v>
      </c>
      <c r="E35" s="173">
        <f t="shared" si="5"/>
        <v>3.1558185404339252</v>
      </c>
      <c r="F35" s="174">
        <f t="shared" si="6"/>
        <v>2.2280111264701987</v>
      </c>
      <c r="H35" s="135">
        <f t="shared" si="7"/>
        <v>20787</v>
      </c>
      <c r="I35" s="220">
        <v>294433</v>
      </c>
    </row>
    <row r="36" spans="1:9" ht="19.5" customHeight="1">
      <c r="A36" s="226" t="s">
        <v>125</v>
      </c>
      <c r="B36" s="167">
        <v>273</v>
      </c>
      <c r="C36" s="167">
        <v>302</v>
      </c>
      <c r="D36" s="167">
        <f t="shared" si="4"/>
        <v>575</v>
      </c>
      <c r="E36" s="173">
        <f t="shared" si="5"/>
        <v>2.7661519218742483</v>
      </c>
      <c r="F36" s="174">
        <f t="shared" si="6"/>
        <v>1.9529060940859211</v>
      </c>
      <c r="H36" s="135">
        <f t="shared" si="7"/>
        <v>20787</v>
      </c>
      <c r="I36" s="220">
        <v>294433</v>
      </c>
    </row>
    <row r="37" spans="1:9" ht="19.5" customHeight="1">
      <c r="A37" s="226" t="s">
        <v>299</v>
      </c>
      <c r="B37" s="167">
        <v>123</v>
      </c>
      <c r="C37" s="167">
        <v>129</v>
      </c>
      <c r="D37" s="167">
        <f t="shared" si="4"/>
        <v>252</v>
      </c>
      <c r="E37" s="173">
        <f t="shared" si="5"/>
        <v>1.2122961466301052</v>
      </c>
      <c r="F37" s="174">
        <f t="shared" si="6"/>
        <v>0.85588232297330802</v>
      </c>
      <c r="H37" s="135">
        <f t="shared" si="7"/>
        <v>20787</v>
      </c>
      <c r="I37" s="220">
        <v>294433</v>
      </c>
    </row>
    <row r="38" spans="1:9">
      <c r="A38" s="227" t="s">
        <v>330</v>
      </c>
      <c r="B38" s="167">
        <v>1470</v>
      </c>
      <c r="C38" s="167">
        <v>1504</v>
      </c>
      <c r="D38" s="167">
        <f t="shared" si="4"/>
        <v>2974</v>
      </c>
      <c r="E38" s="173">
        <f>SUM(D38/H38)*100</f>
        <v>14.307018809833069</v>
      </c>
      <c r="F38" s="174">
        <f t="shared" si="6"/>
        <v>10.100769954454833</v>
      </c>
      <c r="H38" s="135">
        <f t="shared" si="7"/>
        <v>20787</v>
      </c>
      <c r="I38" s="220">
        <v>294433</v>
      </c>
    </row>
    <row r="39" spans="1:9">
      <c r="A39" s="228" t="s">
        <v>14</v>
      </c>
      <c r="B39" s="193">
        <f>SUM(B28:B38)</f>
        <v>9899</v>
      </c>
      <c r="C39" s="193">
        <f>SUM(C28:C38)</f>
        <v>10888</v>
      </c>
      <c r="D39" s="193">
        <f>SUM(D28:D38)</f>
        <v>20787</v>
      </c>
      <c r="E39" s="179">
        <f>SUM(E28:E38)</f>
        <v>100.00000000000001</v>
      </c>
      <c r="F39" s="178"/>
      <c r="H39" s="135"/>
      <c r="I39" s="220"/>
    </row>
    <row r="40" spans="1:9" ht="13.5">
      <c r="A40" s="229"/>
      <c r="B40" s="232"/>
      <c r="C40" s="233"/>
      <c r="D40" s="234"/>
      <c r="E40" s="235"/>
      <c r="F40" s="233"/>
      <c r="I40" s="167"/>
    </row>
    <row r="41" spans="1:9" ht="13.5">
      <c r="A41" s="175" t="s">
        <v>376</v>
      </c>
      <c r="B41" s="178"/>
      <c r="C41" s="178"/>
      <c r="D41" s="178"/>
      <c r="E41" s="179"/>
      <c r="F41" s="179"/>
      <c r="I41" s="167"/>
    </row>
    <row r="42" spans="1:9">
      <c r="A42" s="168" t="s">
        <v>63</v>
      </c>
      <c r="B42" s="158"/>
      <c r="C42" s="159"/>
      <c r="D42" s="158"/>
      <c r="E42" s="158"/>
      <c r="F42" s="158"/>
    </row>
    <row r="45" spans="1:9" ht="12.75" customHeight="1">
      <c r="A45" s="765" t="s">
        <v>363</v>
      </c>
      <c r="B45" s="815"/>
      <c r="C45" s="815"/>
      <c r="D45" s="815"/>
      <c r="E45" s="815"/>
      <c r="F45" s="815"/>
    </row>
    <row r="46" spans="1:9">
      <c r="A46" s="158"/>
      <c r="B46" s="158"/>
      <c r="C46" s="158"/>
      <c r="D46" s="158"/>
      <c r="E46" s="158"/>
      <c r="F46" s="158"/>
    </row>
    <row r="47" spans="1:9" ht="13.5" customHeight="1">
      <c r="A47" s="762" t="s">
        <v>329</v>
      </c>
      <c r="B47" s="827" t="s">
        <v>301</v>
      </c>
      <c r="C47" s="828"/>
      <c r="D47" s="829" t="s">
        <v>52</v>
      </c>
      <c r="E47" s="829" t="s">
        <v>59</v>
      </c>
      <c r="F47" s="829" t="s">
        <v>302</v>
      </c>
    </row>
    <row r="48" spans="1:9" ht="13.5">
      <c r="A48" s="826"/>
      <c r="B48" s="230" t="s">
        <v>68</v>
      </c>
      <c r="C48" s="231" t="s">
        <v>67</v>
      </c>
      <c r="D48" s="830"/>
      <c r="E48" s="830"/>
      <c r="F48" s="830"/>
      <c r="H48" s="136" t="s">
        <v>59</v>
      </c>
    </row>
    <row r="49" spans="1:9" ht="13.5">
      <c r="A49" s="225"/>
      <c r="B49" s="170"/>
      <c r="C49" s="170"/>
      <c r="D49" s="171"/>
      <c r="E49" s="171"/>
      <c r="F49" s="171"/>
      <c r="H49" s="135"/>
    </row>
    <row r="50" spans="1:9" ht="19.5" customHeight="1">
      <c r="A50" s="214" t="s">
        <v>373</v>
      </c>
      <c r="B50" s="167">
        <v>967</v>
      </c>
      <c r="C50" s="167">
        <v>617</v>
      </c>
      <c r="D50" s="167">
        <f>SUM(B50:C50)</f>
        <v>1584</v>
      </c>
      <c r="E50" s="173">
        <f>SUM(D50/H50)*100</f>
        <v>32.849440066362504</v>
      </c>
      <c r="F50" s="174">
        <f>SUM(D50/I50)*1000</f>
        <v>5.393038078117339</v>
      </c>
      <c r="H50" s="208">
        <f>D$61</f>
        <v>4822</v>
      </c>
      <c r="I50" s="220">
        <v>293712</v>
      </c>
    </row>
    <row r="51" spans="1:9" ht="19.5" customHeight="1">
      <c r="A51" s="226" t="s">
        <v>118</v>
      </c>
      <c r="B51" s="167">
        <v>481</v>
      </c>
      <c r="C51" s="167">
        <v>409</v>
      </c>
      <c r="D51" s="167">
        <f t="shared" ref="D51:D60" si="8">SUM(B51:C51)</f>
        <v>890</v>
      </c>
      <c r="E51" s="173">
        <f t="shared" ref="E51:E60" si="9">SUM(D51/H51)*100</f>
        <v>18.457071754458731</v>
      </c>
      <c r="F51" s="174">
        <f t="shared" ref="F51:F60" si="10">SUM(D51/I51)*1000</f>
        <v>3.0301792231846161</v>
      </c>
      <c r="H51" s="208">
        <f t="shared" ref="H51:H60" si="11">D$61</f>
        <v>4822</v>
      </c>
      <c r="I51" s="220">
        <v>293712</v>
      </c>
    </row>
    <row r="52" spans="1:9" ht="19.5" customHeight="1">
      <c r="A52" s="226" t="s">
        <v>114</v>
      </c>
      <c r="B52" s="167">
        <v>205</v>
      </c>
      <c r="C52" s="167">
        <v>121</v>
      </c>
      <c r="D52" s="167">
        <f t="shared" si="8"/>
        <v>326</v>
      </c>
      <c r="E52" s="173">
        <f t="shared" si="9"/>
        <v>6.7606802156781418</v>
      </c>
      <c r="F52" s="174">
        <f t="shared" si="10"/>
        <v>1.1099308165822304</v>
      </c>
      <c r="H52" s="208">
        <f t="shared" si="11"/>
        <v>4822</v>
      </c>
      <c r="I52" s="220">
        <v>293712</v>
      </c>
    </row>
    <row r="53" spans="1:9" ht="19.5" customHeight="1">
      <c r="A53" s="226" t="s">
        <v>139</v>
      </c>
      <c r="B53" s="167">
        <v>86</v>
      </c>
      <c r="C53" s="167">
        <v>65</v>
      </c>
      <c r="D53" s="167">
        <f t="shared" si="8"/>
        <v>151</v>
      </c>
      <c r="E53" s="173">
        <f t="shared" si="9"/>
        <v>3.1314807133969307</v>
      </c>
      <c r="F53" s="174">
        <f t="shared" si="10"/>
        <v>0.51410905921446859</v>
      </c>
      <c r="H53" s="208">
        <f t="shared" si="11"/>
        <v>4822</v>
      </c>
      <c r="I53" s="220">
        <v>293712</v>
      </c>
    </row>
    <row r="54" spans="1:9" ht="19.5" customHeight="1">
      <c r="A54" s="226" t="s">
        <v>129</v>
      </c>
      <c r="B54" s="167">
        <v>104</v>
      </c>
      <c r="C54" s="167">
        <v>44</v>
      </c>
      <c r="D54" s="167">
        <f t="shared" si="8"/>
        <v>148</v>
      </c>
      <c r="E54" s="173">
        <f t="shared" si="9"/>
        <v>3.069265864786396</v>
      </c>
      <c r="F54" s="174">
        <f t="shared" si="10"/>
        <v>0.50389497194530697</v>
      </c>
      <c r="H54" s="208">
        <f t="shared" si="11"/>
        <v>4822</v>
      </c>
      <c r="I54" s="220">
        <v>293712</v>
      </c>
    </row>
    <row r="55" spans="1:9" ht="19.5" customHeight="1">
      <c r="A55" s="226" t="s">
        <v>335</v>
      </c>
      <c r="B55" s="167">
        <v>117</v>
      </c>
      <c r="C55" s="167" t="s">
        <v>13</v>
      </c>
      <c r="D55" s="167">
        <f t="shared" si="8"/>
        <v>117</v>
      </c>
      <c r="E55" s="173">
        <f t="shared" si="9"/>
        <v>2.4263790958108671</v>
      </c>
      <c r="F55" s="174">
        <f t="shared" si="10"/>
        <v>0.39834940349730347</v>
      </c>
      <c r="H55" s="208">
        <f t="shared" si="11"/>
        <v>4822</v>
      </c>
      <c r="I55" s="220">
        <v>293712</v>
      </c>
    </row>
    <row r="56" spans="1:9" ht="19.5" customHeight="1">
      <c r="A56" s="226" t="s">
        <v>125</v>
      </c>
      <c r="B56" s="167">
        <v>51</v>
      </c>
      <c r="C56" s="167">
        <v>44</v>
      </c>
      <c r="D56" s="167">
        <f t="shared" si="8"/>
        <v>95</v>
      </c>
      <c r="E56" s="173">
        <f t="shared" si="9"/>
        <v>1.9701368726669433</v>
      </c>
      <c r="F56" s="174">
        <f t="shared" si="10"/>
        <v>0.32344609685678488</v>
      </c>
      <c r="H56" s="208">
        <f t="shared" si="11"/>
        <v>4822</v>
      </c>
      <c r="I56" s="220">
        <v>293712</v>
      </c>
    </row>
    <row r="57" spans="1:9" ht="19.5" customHeight="1">
      <c r="A57" s="226" t="s">
        <v>299</v>
      </c>
      <c r="B57" s="167">
        <v>57</v>
      </c>
      <c r="C57" s="167">
        <v>34</v>
      </c>
      <c r="D57" s="167">
        <f t="shared" si="8"/>
        <v>91</v>
      </c>
      <c r="E57" s="173">
        <f t="shared" si="9"/>
        <v>1.8871837411862296</v>
      </c>
      <c r="F57" s="174">
        <f t="shared" si="10"/>
        <v>0.30982731383123607</v>
      </c>
      <c r="H57" s="208">
        <f t="shared" si="11"/>
        <v>4822</v>
      </c>
      <c r="I57" s="220">
        <v>293712</v>
      </c>
    </row>
    <row r="58" spans="1:9" ht="19.5" customHeight="1">
      <c r="A58" s="226" t="s">
        <v>122</v>
      </c>
      <c r="B58" s="167">
        <v>41</v>
      </c>
      <c r="C58" s="167">
        <v>47</v>
      </c>
      <c r="D58" s="167">
        <f t="shared" si="8"/>
        <v>88</v>
      </c>
      <c r="E58" s="173">
        <f t="shared" si="9"/>
        <v>1.8249688925756946</v>
      </c>
      <c r="F58" s="174">
        <f t="shared" si="10"/>
        <v>0.2996132265620744</v>
      </c>
      <c r="H58" s="208">
        <f t="shared" si="11"/>
        <v>4822</v>
      </c>
      <c r="I58" s="220">
        <v>293712</v>
      </c>
    </row>
    <row r="59" spans="1:9" ht="19.5" customHeight="1">
      <c r="A59" s="226" t="s">
        <v>121</v>
      </c>
      <c r="B59" s="167">
        <v>46</v>
      </c>
      <c r="C59" s="167">
        <v>38</v>
      </c>
      <c r="D59" s="167">
        <f t="shared" si="8"/>
        <v>84</v>
      </c>
      <c r="E59" s="173">
        <f t="shared" si="9"/>
        <v>1.7420157610949814</v>
      </c>
      <c r="F59" s="174">
        <f t="shared" si="10"/>
        <v>0.28599444353652559</v>
      </c>
      <c r="H59" s="208">
        <f t="shared" si="11"/>
        <v>4822</v>
      </c>
      <c r="I59" s="220">
        <v>293712</v>
      </c>
    </row>
    <row r="60" spans="1:9" ht="19.5" customHeight="1">
      <c r="A60" s="227" t="s">
        <v>330</v>
      </c>
      <c r="B60" s="167">
        <v>738</v>
      </c>
      <c r="C60" s="167">
        <v>510</v>
      </c>
      <c r="D60" s="167">
        <f t="shared" si="8"/>
        <v>1248</v>
      </c>
      <c r="E60" s="173">
        <f t="shared" si="9"/>
        <v>25.881377021982583</v>
      </c>
      <c r="F60" s="174">
        <f t="shared" si="10"/>
        <v>4.2490603039712367</v>
      </c>
      <c r="H60" s="208">
        <f t="shared" si="11"/>
        <v>4822</v>
      </c>
      <c r="I60" s="220">
        <v>293712</v>
      </c>
    </row>
    <row r="61" spans="1:9">
      <c r="A61" s="228" t="s">
        <v>14</v>
      </c>
      <c r="B61" s="193">
        <f>SUM(B50:B60)</f>
        <v>2893</v>
      </c>
      <c r="C61" s="193">
        <f>SUM(C50:C60)</f>
        <v>1929</v>
      </c>
      <c r="D61" s="193">
        <f>SUM(D50:D60)</f>
        <v>4822</v>
      </c>
      <c r="E61" s="179">
        <f>SUM(E50:E60)</f>
        <v>100.00000000000001</v>
      </c>
      <c r="F61" s="178"/>
      <c r="H61" s="208"/>
      <c r="I61" s="220"/>
    </row>
    <row r="62" spans="1:9" ht="13.5">
      <c r="A62" s="229"/>
      <c r="B62" s="232"/>
      <c r="C62" s="233"/>
      <c r="D62" s="234"/>
      <c r="E62" s="235"/>
      <c r="F62" s="233"/>
    </row>
    <row r="63" spans="1:9" ht="13.5">
      <c r="A63" s="175" t="s">
        <v>376</v>
      </c>
      <c r="B63" s="178"/>
      <c r="C63" s="178"/>
      <c r="D63" s="178"/>
      <c r="E63" s="179"/>
      <c r="F63" s="167"/>
    </row>
    <row r="64" spans="1:9">
      <c r="A64" s="168" t="s">
        <v>63</v>
      </c>
      <c r="B64" s="158"/>
      <c r="C64" s="159"/>
      <c r="D64" s="158"/>
      <c r="E64" s="158"/>
      <c r="F64" s="158"/>
    </row>
    <row r="67" spans="1:9" ht="12.75" customHeight="1">
      <c r="A67" s="765" t="s">
        <v>362</v>
      </c>
      <c r="B67" s="815"/>
      <c r="C67" s="815"/>
      <c r="D67" s="815"/>
      <c r="E67" s="815"/>
      <c r="F67" s="815"/>
    </row>
    <row r="68" spans="1:9">
      <c r="A68" s="158"/>
      <c r="B68" s="158"/>
      <c r="C68" s="158"/>
      <c r="D68" s="158"/>
      <c r="E68" s="158"/>
      <c r="F68" s="158"/>
    </row>
    <row r="69" spans="1:9" ht="13.5" customHeight="1">
      <c r="A69" s="762" t="s">
        <v>329</v>
      </c>
      <c r="B69" s="827" t="s">
        <v>301</v>
      </c>
      <c r="C69" s="828"/>
      <c r="D69" s="829" t="s">
        <v>52</v>
      </c>
      <c r="E69" s="829" t="s">
        <v>59</v>
      </c>
      <c r="F69" s="829" t="s">
        <v>302</v>
      </c>
    </row>
    <row r="70" spans="1:9" ht="13.5">
      <c r="A70" s="826"/>
      <c r="B70" s="230" t="s">
        <v>68</v>
      </c>
      <c r="C70" s="231" t="s">
        <v>67</v>
      </c>
      <c r="D70" s="830"/>
      <c r="E70" s="830"/>
      <c r="F70" s="830"/>
      <c r="H70" s="136" t="s">
        <v>59</v>
      </c>
    </row>
    <row r="71" spans="1:9" ht="13.5">
      <c r="A71" s="225"/>
      <c r="B71" s="170"/>
      <c r="C71" s="170"/>
      <c r="D71" s="171"/>
      <c r="E71" s="171"/>
      <c r="F71" s="171"/>
      <c r="H71" s="135"/>
    </row>
    <row r="72" spans="1:9" ht="20.25" customHeight="1">
      <c r="A72" s="214" t="s">
        <v>374</v>
      </c>
      <c r="B72" s="167">
        <v>1801</v>
      </c>
      <c r="C72" s="167">
        <v>559</v>
      </c>
      <c r="D72" s="167">
        <f>SUM(B72:C72)</f>
        <v>2360</v>
      </c>
      <c r="E72" s="173">
        <f>SUM(D72/H72)*100</f>
        <v>23.112329840368233</v>
      </c>
      <c r="F72" s="174">
        <f t="shared" ref="F72:F82" si="12">SUM(D72/I72)*1000</f>
        <v>9.1652621031946371</v>
      </c>
      <c r="H72" s="208">
        <f>D$83</f>
        <v>10211</v>
      </c>
      <c r="I72" s="220">
        <v>257494</v>
      </c>
    </row>
    <row r="73" spans="1:9" ht="20.25" customHeight="1">
      <c r="A73" s="226" t="s">
        <v>118</v>
      </c>
      <c r="B73" s="167">
        <v>1452</v>
      </c>
      <c r="C73" s="167">
        <v>0</v>
      </c>
      <c r="D73" s="167">
        <f t="shared" ref="D73:D82" si="13">SUM(B73:C73)</f>
        <v>1452</v>
      </c>
      <c r="E73" s="173">
        <f t="shared" ref="E73:E82" si="14">SUM(D73/H73)*100</f>
        <v>14.219958867887572</v>
      </c>
      <c r="F73" s="174">
        <f t="shared" si="12"/>
        <v>5.6389663448468701</v>
      </c>
      <c r="H73" s="208">
        <f t="shared" ref="H73:H82" si="15">D$83</f>
        <v>10211</v>
      </c>
      <c r="I73" s="220">
        <v>257494</v>
      </c>
    </row>
    <row r="74" spans="1:9" ht="20.25" customHeight="1">
      <c r="A74" s="226" t="s">
        <v>129</v>
      </c>
      <c r="B74" s="167">
        <v>1090</v>
      </c>
      <c r="C74" s="167">
        <v>332</v>
      </c>
      <c r="D74" s="167">
        <f t="shared" si="13"/>
        <v>1422</v>
      </c>
      <c r="E74" s="173">
        <f t="shared" si="14"/>
        <v>13.926158064832045</v>
      </c>
      <c r="F74" s="174">
        <f t="shared" si="12"/>
        <v>5.522458775738464</v>
      </c>
      <c r="H74" s="208">
        <f t="shared" si="15"/>
        <v>10211</v>
      </c>
      <c r="I74" s="220">
        <v>257494</v>
      </c>
    </row>
    <row r="75" spans="1:9" ht="20.25" customHeight="1">
      <c r="A75" s="226" t="s">
        <v>127</v>
      </c>
      <c r="B75" s="167">
        <v>768</v>
      </c>
      <c r="C75" s="167">
        <v>57</v>
      </c>
      <c r="D75" s="167">
        <f t="shared" si="13"/>
        <v>825</v>
      </c>
      <c r="E75" s="173">
        <f t="shared" si="14"/>
        <v>8.0795220840270296</v>
      </c>
      <c r="F75" s="174">
        <f t="shared" si="12"/>
        <v>3.2039581504811765</v>
      </c>
      <c r="H75" s="208">
        <f t="shared" si="15"/>
        <v>10211</v>
      </c>
      <c r="I75" s="220">
        <v>257494</v>
      </c>
    </row>
    <row r="76" spans="1:9" ht="20.25" customHeight="1">
      <c r="A76" s="226" t="s">
        <v>357</v>
      </c>
      <c r="B76" s="167">
        <v>723</v>
      </c>
      <c r="C76" s="167">
        <v>5</v>
      </c>
      <c r="D76" s="167">
        <f t="shared" si="13"/>
        <v>728</v>
      </c>
      <c r="E76" s="173">
        <f t="shared" si="14"/>
        <v>7.1295661541474873</v>
      </c>
      <c r="F76" s="174">
        <f t="shared" si="12"/>
        <v>2.8272503436973286</v>
      </c>
      <c r="H76" s="208">
        <f t="shared" si="15"/>
        <v>10211</v>
      </c>
      <c r="I76" s="220">
        <v>257494</v>
      </c>
    </row>
    <row r="77" spans="1:9" ht="20.25" customHeight="1">
      <c r="A77" s="226" t="s">
        <v>121</v>
      </c>
      <c r="B77" s="167">
        <v>309</v>
      </c>
      <c r="C77" s="167">
        <v>18</v>
      </c>
      <c r="D77" s="167">
        <f t="shared" si="13"/>
        <v>327</v>
      </c>
      <c r="E77" s="173">
        <f t="shared" si="14"/>
        <v>3.2024287533052593</v>
      </c>
      <c r="F77" s="174">
        <f t="shared" si="12"/>
        <v>1.2699325032816298</v>
      </c>
      <c r="H77" s="208">
        <f t="shared" si="15"/>
        <v>10211</v>
      </c>
      <c r="I77" s="220">
        <v>257494</v>
      </c>
    </row>
    <row r="78" spans="1:9" ht="20.25" customHeight="1">
      <c r="A78" s="226" t="s">
        <v>124</v>
      </c>
      <c r="B78" s="167">
        <v>214</v>
      </c>
      <c r="C78" s="167">
        <v>79</v>
      </c>
      <c r="D78" s="167">
        <f t="shared" si="13"/>
        <v>293</v>
      </c>
      <c r="E78" s="173">
        <f t="shared" si="14"/>
        <v>2.8694545098423268</v>
      </c>
      <c r="F78" s="174">
        <f t="shared" si="12"/>
        <v>1.1378905916254358</v>
      </c>
      <c r="H78" s="208">
        <f t="shared" si="15"/>
        <v>10211</v>
      </c>
      <c r="I78" s="220">
        <v>257494</v>
      </c>
    </row>
    <row r="79" spans="1:9" ht="20.25" customHeight="1">
      <c r="A79" s="226" t="s">
        <v>336</v>
      </c>
      <c r="B79" s="167">
        <v>210</v>
      </c>
      <c r="C79" s="167">
        <v>72</v>
      </c>
      <c r="D79" s="167">
        <f t="shared" si="13"/>
        <v>282</v>
      </c>
      <c r="E79" s="173">
        <f t="shared" si="14"/>
        <v>2.7617275487219666</v>
      </c>
      <c r="F79" s="174">
        <f t="shared" si="12"/>
        <v>1.0951711496190204</v>
      </c>
      <c r="H79" s="208">
        <f t="shared" si="15"/>
        <v>10211</v>
      </c>
      <c r="I79" s="220">
        <v>257494</v>
      </c>
    </row>
    <row r="80" spans="1:9" ht="20.25" customHeight="1">
      <c r="A80" s="226" t="s">
        <v>334</v>
      </c>
      <c r="B80" s="167">
        <v>173</v>
      </c>
      <c r="C80" s="167">
        <v>0</v>
      </c>
      <c r="D80" s="167">
        <f t="shared" si="13"/>
        <v>173</v>
      </c>
      <c r="E80" s="173">
        <f t="shared" si="14"/>
        <v>1.6942512976202135</v>
      </c>
      <c r="F80" s="174">
        <f t="shared" si="12"/>
        <v>0.67186031519181033</v>
      </c>
      <c r="H80" s="208">
        <f t="shared" si="15"/>
        <v>10211</v>
      </c>
      <c r="I80" s="220">
        <v>257494</v>
      </c>
    </row>
    <row r="81" spans="1:9" ht="20.25" customHeight="1">
      <c r="A81" s="226" t="s">
        <v>130</v>
      </c>
      <c r="B81" s="167">
        <v>113</v>
      </c>
      <c r="C81" s="167">
        <v>48</v>
      </c>
      <c r="D81" s="167">
        <f t="shared" si="13"/>
        <v>161</v>
      </c>
      <c r="E81" s="173">
        <f t="shared" si="14"/>
        <v>1.5767309763980022</v>
      </c>
      <c r="F81" s="174">
        <f t="shared" si="12"/>
        <v>0.62525728754844778</v>
      </c>
      <c r="H81" s="208">
        <f t="shared" si="15"/>
        <v>10211</v>
      </c>
      <c r="I81" s="220">
        <v>257494</v>
      </c>
    </row>
    <row r="82" spans="1:9" ht="20.25" customHeight="1">
      <c r="A82" s="227" t="s">
        <v>330</v>
      </c>
      <c r="B82" s="167">
        <v>1561</v>
      </c>
      <c r="C82" s="167">
        <v>627</v>
      </c>
      <c r="D82" s="167">
        <f t="shared" si="13"/>
        <v>2188</v>
      </c>
      <c r="E82" s="173">
        <f t="shared" si="14"/>
        <v>21.427871902849869</v>
      </c>
      <c r="F82" s="174">
        <f t="shared" si="12"/>
        <v>8.4972853736397731</v>
      </c>
      <c r="H82" s="208">
        <f t="shared" si="15"/>
        <v>10211</v>
      </c>
      <c r="I82" s="220">
        <v>257494</v>
      </c>
    </row>
    <row r="83" spans="1:9">
      <c r="A83" s="228" t="s">
        <v>14</v>
      </c>
      <c r="B83" s="193">
        <f>SUM(B72:B82)</f>
        <v>8414</v>
      </c>
      <c r="C83" s="193">
        <f>SUM(C72:C82)</f>
        <v>1797</v>
      </c>
      <c r="D83" s="193">
        <f>SUM(D72:D82)</f>
        <v>10211</v>
      </c>
      <c r="E83" s="179">
        <f>SUM(E72:E82)</f>
        <v>99.999999999999986</v>
      </c>
      <c r="F83" s="178"/>
      <c r="H83" s="208"/>
      <c r="I83" s="220"/>
    </row>
    <row r="84" spans="1:9" ht="13.5">
      <c r="A84" s="229"/>
      <c r="B84" s="232"/>
      <c r="C84" s="233"/>
      <c r="D84" s="234"/>
      <c r="E84" s="235"/>
      <c r="F84" s="233"/>
    </row>
    <row r="85" spans="1:9" ht="13.5">
      <c r="A85" s="175" t="s">
        <v>376</v>
      </c>
      <c r="B85" s="178"/>
      <c r="C85" s="178"/>
      <c r="D85" s="178"/>
      <c r="E85" s="179"/>
      <c r="F85" s="167"/>
    </row>
    <row r="86" spans="1:9">
      <c r="A86" s="168" t="s">
        <v>63</v>
      </c>
      <c r="B86" s="158"/>
      <c r="C86" s="159"/>
      <c r="D86" s="158"/>
      <c r="E86" s="158"/>
      <c r="F86" s="158"/>
    </row>
    <row r="89" spans="1:9" ht="12.75" customHeight="1">
      <c r="A89" s="765" t="s">
        <v>361</v>
      </c>
      <c r="B89" s="815"/>
      <c r="C89" s="815"/>
      <c r="D89" s="815"/>
      <c r="E89" s="815"/>
      <c r="F89" s="815"/>
    </row>
    <row r="90" spans="1:9">
      <c r="A90" s="158"/>
      <c r="B90" s="158"/>
      <c r="C90" s="158"/>
      <c r="D90" s="158"/>
      <c r="E90" s="158"/>
      <c r="F90" s="158"/>
    </row>
    <row r="91" spans="1:9" ht="13.5" customHeight="1">
      <c r="A91" s="762" t="s">
        <v>329</v>
      </c>
      <c r="B91" s="827" t="s">
        <v>301</v>
      </c>
      <c r="C91" s="828"/>
      <c r="D91" s="829" t="s">
        <v>52</v>
      </c>
      <c r="E91" s="829" t="s">
        <v>59</v>
      </c>
      <c r="F91" s="829" t="s">
        <v>302</v>
      </c>
    </row>
    <row r="92" spans="1:9" ht="13.5">
      <c r="A92" s="826"/>
      <c r="B92" s="230" t="s">
        <v>68</v>
      </c>
      <c r="C92" s="231" t="s">
        <v>67</v>
      </c>
      <c r="D92" s="830"/>
      <c r="E92" s="830"/>
      <c r="F92" s="830"/>
      <c r="H92" s="136" t="s">
        <v>59</v>
      </c>
    </row>
    <row r="93" spans="1:9" ht="13.5">
      <c r="A93" s="225"/>
      <c r="B93" s="170"/>
      <c r="C93" s="170"/>
      <c r="D93" s="171"/>
      <c r="E93" s="171"/>
      <c r="F93" s="171"/>
      <c r="H93" s="135"/>
    </row>
    <row r="94" spans="1:9" ht="22.5" customHeight="1">
      <c r="A94" s="214" t="s">
        <v>303</v>
      </c>
      <c r="B94" s="167">
        <v>2030</v>
      </c>
      <c r="C94" s="167">
        <v>602</v>
      </c>
      <c r="D94" s="167">
        <f>SUM(B94:C94)</f>
        <v>2632</v>
      </c>
      <c r="E94" s="173">
        <f>SUM(D94/H94)*100</f>
        <v>16.613015211765447</v>
      </c>
      <c r="F94" s="174">
        <f t="shared" ref="F94:F104" si="16">SUM(D94/I94)*1000</f>
        <v>6.0035811635359995</v>
      </c>
      <c r="H94" s="208">
        <f>D$105</f>
        <v>15843</v>
      </c>
      <c r="I94" s="220">
        <v>438405</v>
      </c>
    </row>
    <row r="95" spans="1:9" ht="22.5" customHeight="1">
      <c r="A95" s="226" t="s">
        <v>304</v>
      </c>
      <c r="B95" s="167">
        <v>1581</v>
      </c>
      <c r="C95" s="167">
        <v>655</v>
      </c>
      <c r="D95" s="167">
        <f t="shared" ref="D95:D104" si="17">SUM(B95:C95)</f>
        <v>2236</v>
      </c>
      <c r="E95" s="173">
        <f t="shared" ref="E95:E104" si="18">SUM(D95/H95)*100</f>
        <v>14.113488606955753</v>
      </c>
      <c r="F95" s="174">
        <f t="shared" si="16"/>
        <v>5.1003067939462365</v>
      </c>
      <c r="H95" s="208">
        <f t="shared" ref="H95:H104" si="19">D$105</f>
        <v>15843</v>
      </c>
      <c r="I95" s="220">
        <v>438405</v>
      </c>
    </row>
    <row r="96" spans="1:9" ht="22.5" customHeight="1">
      <c r="A96" s="226" t="s">
        <v>331</v>
      </c>
      <c r="B96" s="167">
        <v>1700</v>
      </c>
      <c r="C96" s="167">
        <v>194</v>
      </c>
      <c r="D96" s="167">
        <f t="shared" si="17"/>
        <v>1894</v>
      </c>
      <c r="E96" s="173">
        <f t="shared" si="18"/>
        <v>11.954806539165562</v>
      </c>
      <c r="F96" s="174">
        <f t="shared" si="16"/>
        <v>4.3202062020278049</v>
      </c>
      <c r="H96" s="208">
        <f t="shared" si="19"/>
        <v>15843</v>
      </c>
      <c r="I96" s="220">
        <v>438405</v>
      </c>
    </row>
    <row r="97" spans="1:9" ht="22.5" customHeight="1">
      <c r="A97" s="226" t="s">
        <v>324</v>
      </c>
      <c r="B97" s="167">
        <v>926</v>
      </c>
      <c r="C97" s="167">
        <v>5</v>
      </c>
      <c r="D97" s="167">
        <f t="shared" si="17"/>
        <v>931</v>
      </c>
      <c r="E97" s="173">
        <f t="shared" si="18"/>
        <v>5.8764122956510763</v>
      </c>
      <c r="F97" s="174">
        <f t="shared" si="16"/>
        <v>2.1236071668890637</v>
      </c>
      <c r="H97" s="208">
        <f t="shared" si="19"/>
        <v>15843</v>
      </c>
      <c r="I97" s="220">
        <v>438405</v>
      </c>
    </row>
    <row r="98" spans="1:9" ht="22.5" customHeight="1">
      <c r="A98" s="226" t="s">
        <v>308</v>
      </c>
      <c r="B98" s="167">
        <v>636</v>
      </c>
      <c r="C98" s="167">
        <v>226</v>
      </c>
      <c r="D98" s="167">
        <f t="shared" si="17"/>
        <v>862</v>
      </c>
      <c r="E98" s="173">
        <f t="shared" si="18"/>
        <v>5.4408887205705989</v>
      </c>
      <c r="F98" s="174">
        <f t="shared" si="16"/>
        <v>1.9662184509756961</v>
      </c>
      <c r="H98" s="208">
        <f t="shared" si="19"/>
        <v>15843</v>
      </c>
      <c r="I98" s="220">
        <v>438405</v>
      </c>
    </row>
    <row r="99" spans="1:9" ht="22.5" customHeight="1">
      <c r="A99" s="226" t="s">
        <v>310</v>
      </c>
      <c r="B99" s="167">
        <v>452</v>
      </c>
      <c r="C99" s="167">
        <v>218</v>
      </c>
      <c r="D99" s="167">
        <f t="shared" si="17"/>
        <v>670</v>
      </c>
      <c r="E99" s="173">
        <f t="shared" si="18"/>
        <v>4.228997033390141</v>
      </c>
      <c r="F99" s="174">
        <f t="shared" si="16"/>
        <v>1.5282672414776293</v>
      </c>
      <c r="H99" s="208">
        <f t="shared" si="19"/>
        <v>15843</v>
      </c>
      <c r="I99" s="220">
        <v>438405</v>
      </c>
    </row>
    <row r="100" spans="1:9" ht="22.5" customHeight="1">
      <c r="A100" s="226" t="s">
        <v>332</v>
      </c>
      <c r="B100" s="167">
        <v>514</v>
      </c>
      <c r="C100" s="167">
        <v>76</v>
      </c>
      <c r="D100" s="167">
        <f t="shared" si="17"/>
        <v>590</v>
      </c>
      <c r="E100" s="173">
        <f t="shared" si="18"/>
        <v>3.7240421637316166</v>
      </c>
      <c r="F100" s="174">
        <f t="shared" si="16"/>
        <v>1.3457875708534346</v>
      </c>
      <c r="H100" s="208">
        <f t="shared" si="19"/>
        <v>15843</v>
      </c>
      <c r="I100" s="220">
        <v>438405</v>
      </c>
    </row>
    <row r="101" spans="1:9" ht="22.5" customHeight="1">
      <c r="A101" s="226" t="s">
        <v>354</v>
      </c>
      <c r="B101" s="167">
        <v>556</v>
      </c>
      <c r="C101" s="167">
        <v>0</v>
      </c>
      <c r="D101" s="167">
        <f t="shared" si="17"/>
        <v>556</v>
      </c>
      <c r="E101" s="173">
        <f t="shared" si="18"/>
        <v>3.5094363441267435</v>
      </c>
      <c r="F101" s="174">
        <f t="shared" si="16"/>
        <v>1.2682337108381518</v>
      </c>
      <c r="H101" s="208">
        <f t="shared" si="19"/>
        <v>15843</v>
      </c>
      <c r="I101" s="220">
        <v>438405</v>
      </c>
    </row>
    <row r="102" spans="1:9" ht="22.5" customHeight="1">
      <c r="A102" s="226" t="s">
        <v>333</v>
      </c>
      <c r="B102" s="167">
        <v>301</v>
      </c>
      <c r="C102" s="167">
        <v>137</v>
      </c>
      <c r="D102" s="167">
        <f t="shared" si="17"/>
        <v>438</v>
      </c>
      <c r="E102" s="173">
        <f t="shared" si="18"/>
        <v>2.7646279113804204</v>
      </c>
      <c r="F102" s="174">
        <f t="shared" si="16"/>
        <v>0.99907619666746506</v>
      </c>
      <c r="H102" s="208">
        <f t="shared" si="19"/>
        <v>15843</v>
      </c>
      <c r="I102" s="220">
        <v>438405</v>
      </c>
    </row>
    <row r="103" spans="1:9" ht="22.5" customHeight="1">
      <c r="A103" s="226" t="s">
        <v>355</v>
      </c>
      <c r="B103" s="167">
        <v>327</v>
      </c>
      <c r="C103" s="167">
        <v>100</v>
      </c>
      <c r="D103" s="167">
        <f t="shared" si="17"/>
        <v>427</v>
      </c>
      <c r="E103" s="173">
        <f t="shared" si="18"/>
        <v>2.6951966168023733</v>
      </c>
      <c r="F103" s="174">
        <f t="shared" si="16"/>
        <v>0.97398524195663827</v>
      </c>
      <c r="H103" s="208">
        <f t="shared" si="19"/>
        <v>15843</v>
      </c>
      <c r="I103" s="220">
        <v>438405</v>
      </c>
    </row>
    <row r="104" spans="1:9" ht="22.5" customHeight="1">
      <c r="A104" s="227" t="s">
        <v>111</v>
      </c>
      <c r="B104" s="167">
        <v>3385</v>
      </c>
      <c r="C104" s="167">
        <v>1222</v>
      </c>
      <c r="D104" s="167">
        <f t="shared" si="17"/>
        <v>4607</v>
      </c>
      <c r="E104" s="173">
        <f t="shared" si="18"/>
        <v>29.079088556460263</v>
      </c>
      <c r="F104" s="174">
        <f t="shared" si="16"/>
        <v>10.508548032070802</v>
      </c>
      <c r="H104" s="208">
        <f t="shared" si="19"/>
        <v>15843</v>
      </c>
      <c r="I104" s="220">
        <v>438405</v>
      </c>
    </row>
    <row r="105" spans="1:9">
      <c r="A105" s="228" t="s">
        <v>14</v>
      </c>
      <c r="B105" s="193">
        <f>SUM(B94:B104)</f>
        <v>12408</v>
      </c>
      <c r="C105" s="193">
        <f>SUM(C94:C104)</f>
        <v>3435</v>
      </c>
      <c r="D105" s="193">
        <f>SUM(D94:D104)</f>
        <v>15843</v>
      </c>
      <c r="E105" s="179">
        <f>SUM(E94:E104)</f>
        <v>100</v>
      </c>
      <c r="F105" s="178"/>
      <c r="H105" s="208"/>
      <c r="I105" s="220"/>
    </row>
    <row r="106" spans="1:9" ht="13.5">
      <c r="A106" s="229"/>
      <c r="B106" s="232"/>
      <c r="C106" s="233"/>
      <c r="D106" s="234"/>
      <c r="E106" s="235"/>
      <c r="F106" s="233"/>
    </row>
    <row r="107" spans="1:9" ht="13.5">
      <c r="A107" s="175" t="s">
        <v>376</v>
      </c>
      <c r="B107" s="178"/>
      <c r="C107" s="178"/>
      <c r="D107" s="178"/>
      <c r="E107" s="179"/>
      <c r="F107" s="167"/>
    </row>
    <row r="108" spans="1:9">
      <c r="A108" s="168" t="s">
        <v>63</v>
      </c>
      <c r="B108" s="158"/>
      <c r="C108" s="159"/>
      <c r="D108" s="158"/>
      <c r="E108" s="158"/>
      <c r="F108" s="158"/>
    </row>
    <row r="111" spans="1:9" ht="12.75" customHeight="1">
      <c r="A111" s="765" t="s">
        <v>360</v>
      </c>
      <c r="B111" s="815"/>
      <c r="C111" s="815"/>
      <c r="D111" s="815"/>
      <c r="E111" s="815"/>
      <c r="F111" s="815"/>
    </row>
    <row r="112" spans="1:9">
      <c r="A112" s="158"/>
      <c r="B112" s="158"/>
      <c r="C112" s="158"/>
      <c r="D112" s="158"/>
      <c r="E112" s="158"/>
      <c r="F112" s="158"/>
    </row>
    <row r="113" spans="1:9" ht="13.5" customHeight="1">
      <c r="A113" s="762" t="s">
        <v>329</v>
      </c>
      <c r="B113" s="827" t="s">
        <v>301</v>
      </c>
      <c r="C113" s="828"/>
      <c r="D113" s="829" t="s">
        <v>52</v>
      </c>
      <c r="E113" s="829" t="s">
        <v>59</v>
      </c>
      <c r="F113" s="829" t="s">
        <v>302</v>
      </c>
    </row>
    <row r="114" spans="1:9" ht="13.5">
      <c r="A114" s="826"/>
      <c r="B114" s="230" t="s">
        <v>68</v>
      </c>
      <c r="C114" s="231" t="s">
        <v>67</v>
      </c>
      <c r="D114" s="830"/>
      <c r="E114" s="830"/>
      <c r="F114" s="830"/>
      <c r="H114" s="136" t="s">
        <v>59</v>
      </c>
    </row>
    <row r="115" spans="1:9" ht="13.5">
      <c r="A115" s="225"/>
      <c r="B115" s="170"/>
      <c r="C115" s="170"/>
      <c r="D115" s="171"/>
      <c r="E115" s="171"/>
      <c r="F115" s="171"/>
      <c r="H115" s="135"/>
    </row>
    <row r="116" spans="1:9" ht="24" customHeight="1">
      <c r="A116" s="214" t="s">
        <v>356</v>
      </c>
      <c r="B116" s="167">
        <v>907</v>
      </c>
      <c r="C116" s="167">
        <v>476</v>
      </c>
      <c r="D116" s="167">
        <f>SUM(B116:C116)</f>
        <v>1383</v>
      </c>
      <c r="E116" s="173">
        <f>SUM(D116/H116)*100</f>
        <v>10.585533869115958</v>
      </c>
      <c r="F116" s="174">
        <f t="shared" ref="F116:F126" si="20">SUM(D116/I116)*1000</f>
        <v>10.511994162536864</v>
      </c>
      <c r="H116" s="208">
        <f>D$127</f>
        <v>13065</v>
      </c>
      <c r="I116" s="220">
        <v>131564</v>
      </c>
    </row>
    <row r="117" spans="1:9" ht="24" customHeight="1">
      <c r="A117" s="226" t="s">
        <v>118</v>
      </c>
      <c r="B117" s="167">
        <v>672</v>
      </c>
      <c r="C117" s="167">
        <v>555</v>
      </c>
      <c r="D117" s="167">
        <f t="shared" ref="D117:D126" si="21">SUM(B117:C117)</f>
        <v>1227</v>
      </c>
      <c r="E117" s="173">
        <f t="shared" ref="E117:E126" si="22">SUM(D117/H117)*100</f>
        <v>9.3915040183696892</v>
      </c>
      <c r="F117" s="174">
        <f t="shared" si="20"/>
        <v>9.3262594630750062</v>
      </c>
      <c r="H117" s="208">
        <f t="shared" ref="H117:H126" si="23">D$127</f>
        <v>13065</v>
      </c>
      <c r="I117" s="220">
        <v>131564</v>
      </c>
    </row>
    <row r="118" spans="1:9" ht="24" customHeight="1">
      <c r="A118" s="226" t="s">
        <v>116</v>
      </c>
      <c r="B118" s="167">
        <v>776</v>
      </c>
      <c r="C118" s="167">
        <v>392</v>
      </c>
      <c r="D118" s="167">
        <f t="shared" si="21"/>
        <v>1168</v>
      </c>
      <c r="E118" s="173">
        <f t="shared" si="22"/>
        <v>8.9399158055874484</v>
      </c>
      <c r="F118" s="174">
        <f t="shared" si="20"/>
        <v>8.8778085190477647</v>
      </c>
      <c r="H118" s="208">
        <f t="shared" si="23"/>
        <v>13065</v>
      </c>
      <c r="I118" s="220">
        <v>131564</v>
      </c>
    </row>
    <row r="119" spans="1:9" ht="24" customHeight="1">
      <c r="A119" s="226" t="s">
        <v>375</v>
      </c>
      <c r="B119" s="167">
        <v>562</v>
      </c>
      <c r="C119" s="167">
        <v>419</v>
      </c>
      <c r="D119" s="167">
        <f t="shared" si="21"/>
        <v>981</v>
      </c>
      <c r="E119" s="173">
        <f t="shared" si="22"/>
        <v>7.5086107921928829</v>
      </c>
      <c r="F119" s="174">
        <f t="shared" si="20"/>
        <v>7.4564470523851503</v>
      </c>
      <c r="H119" s="208">
        <f t="shared" si="23"/>
        <v>13065</v>
      </c>
      <c r="I119" s="220">
        <v>131564</v>
      </c>
    </row>
    <row r="120" spans="1:9" ht="24" customHeight="1">
      <c r="A120" s="226" t="s">
        <v>334</v>
      </c>
      <c r="B120" s="167">
        <v>430</v>
      </c>
      <c r="C120" s="167">
        <v>303</v>
      </c>
      <c r="D120" s="167">
        <f t="shared" si="21"/>
        <v>733</v>
      </c>
      <c r="E120" s="173">
        <f t="shared" si="22"/>
        <v>5.6104094910065054</v>
      </c>
      <c r="F120" s="174">
        <f t="shared" si="20"/>
        <v>5.5714329147791188</v>
      </c>
      <c r="H120" s="208">
        <f t="shared" si="23"/>
        <v>13065</v>
      </c>
      <c r="I120" s="220">
        <v>131564</v>
      </c>
    </row>
    <row r="121" spans="1:9" ht="24" customHeight="1">
      <c r="A121" s="226" t="s">
        <v>139</v>
      </c>
      <c r="B121" s="167">
        <v>363</v>
      </c>
      <c r="C121" s="167">
        <v>320</v>
      </c>
      <c r="D121" s="167">
        <f t="shared" si="21"/>
        <v>683</v>
      </c>
      <c r="E121" s="173">
        <f t="shared" si="22"/>
        <v>5.2277076157673168</v>
      </c>
      <c r="F121" s="174">
        <f t="shared" si="20"/>
        <v>5.1913897418746773</v>
      </c>
      <c r="H121" s="208">
        <f t="shared" si="23"/>
        <v>13065</v>
      </c>
      <c r="I121" s="220">
        <v>131564</v>
      </c>
    </row>
    <row r="122" spans="1:9" ht="24" customHeight="1">
      <c r="A122" s="226" t="s">
        <v>121</v>
      </c>
      <c r="B122" s="167">
        <v>386</v>
      </c>
      <c r="C122" s="167">
        <v>272</v>
      </c>
      <c r="D122" s="167">
        <f t="shared" si="21"/>
        <v>658</v>
      </c>
      <c r="E122" s="173">
        <f t="shared" si="22"/>
        <v>5.0363566781477225</v>
      </c>
      <c r="F122" s="174">
        <f t="shared" si="20"/>
        <v>5.0013681554224565</v>
      </c>
      <c r="H122" s="208">
        <f t="shared" si="23"/>
        <v>13065</v>
      </c>
      <c r="I122" s="220">
        <v>131564</v>
      </c>
    </row>
    <row r="123" spans="1:9" ht="24" customHeight="1">
      <c r="A123" s="226" t="s">
        <v>124</v>
      </c>
      <c r="B123" s="167">
        <v>318</v>
      </c>
      <c r="C123" s="167">
        <v>194</v>
      </c>
      <c r="D123" s="167">
        <f t="shared" si="21"/>
        <v>512</v>
      </c>
      <c r="E123" s="173">
        <f t="shared" si="22"/>
        <v>3.9188672024492921</v>
      </c>
      <c r="F123" s="174">
        <f t="shared" si="20"/>
        <v>3.8916420905414855</v>
      </c>
      <c r="H123" s="208">
        <f t="shared" si="23"/>
        <v>13065</v>
      </c>
      <c r="I123" s="220">
        <v>131564</v>
      </c>
    </row>
    <row r="124" spans="1:9" ht="24" customHeight="1">
      <c r="A124" s="226" t="s">
        <v>129</v>
      </c>
      <c r="B124" s="167">
        <v>348</v>
      </c>
      <c r="C124" s="167">
        <v>163</v>
      </c>
      <c r="D124" s="167">
        <f t="shared" si="21"/>
        <v>511</v>
      </c>
      <c r="E124" s="173">
        <f t="shared" si="22"/>
        <v>3.9112131649445083</v>
      </c>
      <c r="F124" s="174">
        <f t="shared" si="20"/>
        <v>3.8840412270833968</v>
      </c>
      <c r="H124" s="208">
        <f t="shared" si="23"/>
        <v>13065</v>
      </c>
      <c r="I124" s="220">
        <v>131564</v>
      </c>
    </row>
    <row r="125" spans="1:9" ht="24" customHeight="1">
      <c r="A125" s="226" t="s">
        <v>130</v>
      </c>
      <c r="B125" s="167">
        <v>326</v>
      </c>
      <c r="C125" s="167">
        <v>176</v>
      </c>
      <c r="D125" s="167">
        <f t="shared" si="21"/>
        <v>502</v>
      </c>
      <c r="E125" s="173">
        <f t="shared" si="22"/>
        <v>3.8423268274014544</v>
      </c>
      <c r="F125" s="174">
        <f t="shared" si="20"/>
        <v>3.8156334559605969</v>
      </c>
      <c r="H125" s="208">
        <f t="shared" si="23"/>
        <v>13065</v>
      </c>
      <c r="I125" s="220">
        <v>131564</v>
      </c>
    </row>
    <row r="126" spans="1:9" ht="24" customHeight="1">
      <c r="A126" s="227" t="s">
        <v>330</v>
      </c>
      <c r="B126" s="167">
        <v>2630</v>
      </c>
      <c r="C126" s="167">
        <v>2077</v>
      </c>
      <c r="D126" s="167">
        <f t="shared" si="21"/>
        <v>4707</v>
      </c>
      <c r="E126" s="173">
        <f t="shared" si="22"/>
        <v>36.027554535017217</v>
      </c>
      <c r="F126" s="174">
        <f t="shared" si="20"/>
        <v>35.777264297224164</v>
      </c>
      <c r="H126" s="208">
        <f t="shared" si="23"/>
        <v>13065</v>
      </c>
      <c r="I126" s="220">
        <v>131564</v>
      </c>
    </row>
    <row r="127" spans="1:9">
      <c r="A127" s="228" t="s">
        <v>14</v>
      </c>
      <c r="B127" s="193">
        <f>SUM(B116:B126)</f>
        <v>7718</v>
      </c>
      <c r="C127" s="193">
        <f>SUM(C116:C126)</f>
        <v>5347</v>
      </c>
      <c r="D127" s="193">
        <f>SUM(D116:D126)</f>
        <v>13065</v>
      </c>
      <c r="E127" s="179">
        <f>SUM(E116:E126)</f>
        <v>100</v>
      </c>
      <c r="F127" s="178"/>
      <c r="H127" s="208"/>
      <c r="I127" s="220"/>
    </row>
    <row r="128" spans="1:9" ht="13.5">
      <c r="A128" s="229"/>
      <c r="B128" s="232"/>
      <c r="C128" s="233"/>
      <c r="D128" s="234"/>
      <c r="E128" s="235"/>
      <c r="F128" s="233"/>
    </row>
    <row r="129" spans="1:6" ht="13.5">
      <c r="A129" s="175" t="s">
        <v>376</v>
      </c>
      <c r="B129" s="178"/>
      <c r="C129" s="178"/>
      <c r="D129" s="178"/>
      <c r="E129" s="179"/>
      <c r="F129" s="167"/>
    </row>
    <row r="130" spans="1:6">
      <c r="A130" s="168" t="s">
        <v>63</v>
      </c>
      <c r="B130" s="158"/>
      <c r="C130" s="159"/>
      <c r="D130" s="158"/>
      <c r="E130" s="158"/>
      <c r="F130" s="158"/>
    </row>
  </sheetData>
  <mergeCells count="38">
    <mergeCell ref="A89:F89"/>
    <mergeCell ref="F91:F92"/>
    <mergeCell ref="F113:F114"/>
    <mergeCell ref="A111:F111"/>
    <mergeCell ref="A113:A114"/>
    <mergeCell ref="B113:C113"/>
    <mergeCell ref="D113:D114"/>
    <mergeCell ref="E113:E114"/>
    <mergeCell ref="A91:A92"/>
    <mergeCell ref="B91:C91"/>
    <mergeCell ref="D91:D92"/>
    <mergeCell ref="E91:E92"/>
    <mergeCell ref="A45:F45"/>
    <mergeCell ref="A47:A48"/>
    <mergeCell ref="B47:C47"/>
    <mergeCell ref="D47:D48"/>
    <mergeCell ref="E47:E48"/>
    <mergeCell ref="F47:F48"/>
    <mergeCell ref="A67:F67"/>
    <mergeCell ref="A69:A70"/>
    <mergeCell ref="B69:C69"/>
    <mergeCell ref="D69:D70"/>
    <mergeCell ref="E69:E70"/>
    <mergeCell ref="F69:F70"/>
    <mergeCell ref="H3:I3"/>
    <mergeCell ref="A22:F22"/>
    <mergeCell ref="A23:F23"/>
    <mergeCell ref="A25:A26"/>
    <mergeCell ref="B25:C25"/>
    <mergeCell ref="D25:D26"/>
    <mergeCell ref="E25:E26"/>
    <mergeCell ref="F25:F26"/>
    <mergeCell ref="A1:F1"/>
    <mergeCell ref="A3:A4"/>
    <mergeCell ref="B3:C3"/>
    <mergeCell ref="D3:D4"/>
    <mergeCell ref="E3:E4"/>
    <mergeCell ref="F3:F4"/>
  </mergeCells>
  <pageMargins left="1.1811023622047245" right="0.98425196850393704" top="0.98425196850393704" bottom="0.98425196850393704" header="0" footer="0"/>
  <pageSetup paperSize="9" orientation="portrait" verticalDpi="0" r:id="rId1"/>
  <headerFooter alignWithMargins="0"/>
  <ignoredErrors>
    <ignoredError sqref="D6:D16 B17:C17 D28:D39 B39:C39 D50:D61 B61:C61 D72:D82 B83:D83 D94:D104 B105:D105 D116:D127 B127:C127" unlockedFormula="1"/>
    <ignoredError sqref="D17" formula="1" unlocked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75"/>
  <sheetViews>
    <sheetView showGridLines="0" topLeftCell="B241" zoomScaleSheetLayoutView="115" workbookViewId="0">
      <selection activeCell="R277" sqref="R277"/>
    </sheetView>
  </sheetViews>
  <sheetFormatPr baseColWidth="10" defaultColWidth="11.42578125" defaultRowHeight="12.75"/>
  <cols>
    <col min="1" max="1" width="0" style="10" hidden="1" customWidth="1"/>
    <col min="2" max="2" width="82.7109375" style="10" customWidth="1"/>
    <col min="3" max="3" width="9.28515625" style="10" customWidth="1"/>
    <col min="4" max="4" width="7.7109375" style="10" bestFit="1" customWidth="1"/>
    <col min="5" max="5" width="9" style="10" bestFit="1" customWidth="1"/>
    <col min="6" max="6" width="7.7109375" style="10" customWidth="1"/>
    <col min="7" max="7" width="7.140625" style="10" bestFit="1" customWidth="1"/>
    <col min="8" max="8" width="7.85546875" style="10" customWidth="1"/>
    <col min="9" max="9" width="7.7109375" style="10" bestFit="1" customWidth="1"/>
    <col min="10" max="10" width="7.85546875" style="10" customWidth="1"/>
    <col min="11" max="11" width="8" style="10" customWidth="1"/>
    <col min="12" max="12" width="9.5703125" style="10" bestFit="1" customWidth="1"/>
    <col min="13" max="13" width="0" style="10" hidden="1" customWidth="1"/>
    <col min="14" max="16384" width="11.42578125" style="10"/>
  </cols>
  <sheetData>
    <row r="1" spans="1:14" s="105" customFormat="1" ht="18" customHeight="1">
      <c r="B1" s="157" t="s">
        <v>385</v>
      </c>
      <c r="C1" s="101"/>
      <c r="D1" s="102"/>
      <c r="E1" s="102"/>
      <c r="F1" s="101"/>
      <c r="G1" s="101"/>
      <c r="H1" s="103"/>
      <c r="I1" s="103"/>
      <c r="J1" s="103"/>
      <c r="K1" s="103"/>
      <c r="L1" s="104"/>
    </row>
    <row r="2" spans="1:14" s="105" customFormat="1" ht="5.0999999999999996" customHeight="1">
      <c r="B2" s="99"/>
      <c r="C2" s="101"/>
      <c r="D2" s="102"/>
      <c r="E2" s="102"/>
      <c r="F2" s="101"/>
      <c r="G2" s="101"/>
      <c r="H2" s="103"/>
      <c r="I2" s="103"/>
      <c r="J2" s="103"/>
      <c r="K2" s="103"/>
      <c r="L2" s="104"/>
    </row>
    <row r="3" spans="1:14" ht="19.5" customHeight="1">
      <c r="B3" s="832" t="s">
        <v>47</v>
      </c>
      <c r="C3" s="834" t="s">
        <v>14</v>
      </c>
      <c r="D3" s="708" t="s">
        <v>38</v>
      </c>
      <c r="E3" s="708"/>
      <c r="F3" s="708"/>
      <c r="G3" s="708"/>
      <c r="H3" s="708"/>
      <c r="I3" s="708"/>
      <c r="J3" s="708"/>
      <c r="K3" s="708"/>
      <c r="L3" s="708"/>
    </row>
    <row r="4" spans="1:14" ht="43.5" customHeight="1">
      <c r="B4" s="833"/>
      <c r="C4" s="835"/>
      <c r="D4" s="76" t="s">
        <v>12</v>
      </c>
      <c r="E4" s="76" t="s">
        <v>9</v>
      </c>
      <c r="F4" s="43" t="s">
        <v>10</v>
      </c>
      <c r="G4" s="76" t="s">
        <v>11</v>
      </c>
      <c r="H4" s="76" t="s">
        <v>7</v>
      </c>
      <c r="I4" s="43" t="s">
        <v>6</v>
      </c>
      <c r="J4" s="76" t="s">
        <v>8</v>
      </c>
      <c r="K4" s="76" t="s">
        <v>58</v>
      </c>
      <c r="L4" s="76" t="s">
        <v>57</v>
      </c>
    </row>
    <row r="5" spans="1:14" ht="5.0999999999999996" customHeight="1">
      <c r="B5" s="89"/>
      <c r="C5" s="90"/>
      <c r="D5" s="76"/>
      <c r="E5" s="76"/>
      <c r="F5" s="76"/>
      <c r="G5" s="76"/>
      <c r="H5" s="76"/>
      <c r="I5" s="76"/>
      <c r="J5" s="76"/>
      <c r="K5" s="76"/>
      <c r="L5" s="76"/>
    </row>
    <row r="6" spans="1:14" ht="12" customHeight="1">
      <c r="B6" s="89">
        <v>2012</v>
      </c>
      <c r="C6" s="106"/>
      <c r="D6" s="43"/>
      <c r="E6" s="43"/>
      <c r="F6" s="43"/>
      <c r="G6" s="43"/>
      <c r="H6" s="43"/>
      <c r="I6" s="43"/>
      <c r="J6" s="43"/>
      <c r="K6" s="43"/>
      <c r="L6" s="43"/>
    </row>
    <row r="7" spans="1:14" s="12" customFormat="1" ht="16.5" customHeight="1">
      <c r="B7" s="161" t="s">
        <v>0</v>
      </c>
      <c r="C7" s="162">
        <f>SUM(D7:L7)</f>
        <v>852974</v>
      </c>
      <c r="D7" s="163">
        <f t="shared" ref="D7:L7" si="0">SUM(D8:D74,D75:D146,D147:D213,D214:D273)</f>
        <v>3342</v>
      </c>
      <c r="E7" s="163">
        <f t="shared" si="0"/>
        <v>45999</v>
      </c>
      <c r="F7" s="163">
        <f t="shared" si="0"/>
        <v>131799</v>
      </c>
      <c r="G7" s="163">
        <f t="shared" si="0"/>
        <v>87251</v>
      </c>
      <c r="H7" s="163">
        <f t="shared" si="0"/>
        <v>28627</v>
      </c>
      <c r="I7" s="163">
        <f t="shared" si="0"/>
        <v>81806</v>
      </c>
      <c r="J7" s="163">
        <f t="shared" si="0"/>
        <v>125609</v>
      </c>
      <c r="K7" s="163">
        <f t="shared" si="0"/>
        <v>194761</v>
      </c>
      <c r="L7" s="163">
        <f t="shared" si="0"/>
        <v>153780</v>
      </c>
      <c r="M7" s="203"/>
    </row>
    <row r="8" spans="1:14" s="12" customFormat="1" ht="16.5" customHeight="1">
      <c r="A8" s="12">
        <v>1</v>
      </c>
      <c r="B8" s="6" t="s">
        <v>118</v>
      </c>
      <c r="C8" s="164">
        <v>202020</v>
      </c>
      <c r="D8" s="165">
        <v>1142</v>
      </c>
      <c r="E8" s="165">
        <v>23171</v>
      </c>
      <c r="F8" s="165">
        <v>53106</v>
      </c>
      <c r="G8" s="165">
        <v>26928</v>
      </c>
      <c r="H8" s="165">
        <v>7644</v>
      </c>
      <c r="I8" s="165">
        <v>16252</v>
      </c>
      <c r="J8" s="165">
        <v>22673</v>
      </c>
      <c r="K8" s="165">
        <v>34293</v>
      </c>
      <c r="L8" s="165">
        <v>16811</v>
      </c>
      <c r="M8" s="203"/>
      <c r="N8" s="203"/>
    </row>
    <row r="9" spans="1:14" s="12" customFormat="1" ht="16.5" customHeight="1">
      <c r="A9" s="12">
        <v>2</v>
      </c>
      <c r="B9" s="6" t="s">
        <v>119</v>
      </c>
      <c r="C9" s="164">
        <v>131058</v>
      </c>
      <c r="D9" s="165">
        <v>10</v>
      </c>
      <c r="E9" s="165">
        <v>430</v>
      </c>
      <c r="F9" s="165">
        <v>13130</v>
      </c>
      <c r="G9" s="165">
        <v>26179</v>
      </c>
      <c r="H9" s="165">
        <v>9285</v>
      </c>
      <c r="I9" s="165">
        <v>18806</v>
      </c>
      <c r="J9" s="165">
        <v>26177</v>
      </c>
      <c r="K9" s="165">
        <v>25447</v>
      </c>
      <c r="L9" s="165">
        <v>11594</v>
      </c>
      <c r="M9" s="203"/>
    </row>
    <row r="10" spans="1:14" s="12" customFormat="1" ht="16.5" customHeight="1">
      <c r="A10" s="12">
        <v>3</v>
      </c>
      <c r="B10" s="6" t="s">
        <v>120</v>
      </c>
      <c r="C10" s="164">
        <v>40513</v>
      </c>
      <c r="D10" s="165">
        <v>14</v>
      </c>
      <c r="E10" s="165">
        <v>51</v>
      </c>
      <c r="F10" s="165">
        <v>160</v>
      </c>
      <c r="G10" s="165">
        <v>319</v>
      </c>
      <c r="H10" s="165">
        <v>234</v>
      </c>
      <c r="I10" s="165">
        <v>1358</v>
      </c>
      <c r="J10" s="165">
        <v>5267</v>
      </c>
      <c r="K10" s="165">
        <v>16427</v>
      </c>
      <c r="L10" s="165">
        <v>16683</v>
      </c>
      <c r="M10" s="203"/>
    </row>
    <row r="11" spans="1:14" s="12" customFormat="1" ht="16.5" customHeight="1">
      <c r="A11" s="12">
        <v>4</v>
      </c>
      <c r="B11" s="6" t="s">
        <v>114</v>
      </c>
      <c r="C11" s="164">
        <v>30765</v>
      </c>
      <c r="D11" s="165">
        <v>54</v>
      </c>
      <c r="E11" s="165">
        <v>2830</v>
      </c>
      <c r="F11" s="165">
        <v>8191</v>
      </c>
      <c r="G11" s="165">
        <v>4649</v>
      </c>
      <c r="H11" s="165">
        <v>1853</v>
      </c>
      <c r="I11" s="165">
        <v>6923</v>
      </c>
      <c r="J11" s="165">
        <v>133</v>
      </c>
      <c r="K11" s="165">
        <v>149</v>
      </c>
      <c r="L11" s="165">
        <v>5983</v>
      </c>
      <c r="M11" s="203"/>
    </row>
    <row r="12" spans="1:14" s="12" customFormat="1" ht="16.5" customHeight="1">
      <c r="A12" s="12">
        <v>5</v>
      </c>
      <c r="B12" s="6" t="s">
        <v>121</v>
      </c>
      <c r="C12" s="164">
        <v>29728</v>
      </c>
      <c r="D12" s="165">
        <v>1</v>
      </c>
      <c r="E12" s="165">
        <v>238</v>
      </c>
      <c r="F12" s="165">
        <v>296</v>
      </c>
      <c r="G12" s="165">
        <v>114</v>
      </c>
      <c r="H12" s="165">
        <v>36</v>
      </c>
      <c r="I12" s="165">
        <v>1668</v>
      </c>
      <c r="J12" s="165">
        <v>5527</v>
      </c>
      <c r="K12" s="165">
        <v>11932</v>
      </c>
      <c r="L12" s="165">
        <v>9916</v>
      </c>
      <c r="M12" s="203"/>
    </row>
    <row r="13" spans="1:14" s="12" customFormat="1" ht="16.5" customHeight="1">
      <c r="A13" s="12">
        <v>6</v>
      </c>
      <c r="B13" s="6" t="s">
        <v>122</v>
      </c>
      <c r="C13" s="164">
        <v>29426</v>
      </c>
      <c r="D13" s="165">
        <v>112</v>
      </c>
      <c r="E13" s="165">
        <v>5132</v>
      </c>
      <c r="F13" s="165">
        <v>13656</v>
      </c>
      <c r="G13" s="165">
        <v>6325</v>
      </c>
      <c r="H13" s="165">
        <v>1748</v>
      </c>
      <c r="I13" s="165">
        <v>2192</v>
      </c>
      <c r="J13" s="165">
        <v>44</v>
      </c>
      <c r="K13" s="165">
        <v>113</v>
      </c>
      <c r="L13" s="165">
        <v>104</v>
      </c>
      <c r="M13" s="203"/>
      <c r="N13" s="203"/>
    </row>
    <row r="14" spans="1:14" s="12" customFormat="1" ht="16.5" customHeight="1">
      <c r="A14" s="12">
        <v>7</v>
      </c>
      <c r="B14" s="6" t="s">
        <v>123</v>
      </c>
      <c r="C14" s="164">
        <v>26001</v>
      </c>
      <c r="D14" s="165">
        <v>100</v>
      </c>
      <c r="E14" s="165">
        <v>3356</v>
      </c>
      <c r="F14" s="165">
        <v>10234</v>
      </c>
      <c r="G14" s="165">
        <v>2398</v>
      </c>
      <c r="H14" s="165">
        <v>677</v>
      </c>
      <c r="I14" s="165">
        <v>1054</v>
      </c>
      <c r="J14" s="165">
        <v>1563</v>
      </c>
      <c r="K14" s="165">
        <v>3547</v>
      </c>
      <c r="L14" s="165">
        <v>3072</v>
      </c>
      <c r="M14" s="203"/>
    </row>
    <row r="15" spans="1:14" s="12" customFormat="1" ht="16.5" customHeight="1">
      <c r="A15" s="12">
        <v>8</v>
      </c>
      <c r="B15" s="6" t="s">
        <v>115</v>
      </c>
      <c r="C15" s="164">
        <v>24716</v>
      </c>
      <c r="D15" s="165">
        <v>2</v>
      </c>
      <c r="E15" s="165">
        <v>15</v>
      </c>
      <c r="F15" s="165">
        <v>89</v>
      </c>
      <c r="G15" s="165">
        <v>125</v>
      </c>
      <c r="H15" s="165">
        <v>76</v>
      </c>
      <c r="I15" s="165">
        <v>635</v>
      </c>
      <c r="J15" s="165">
        <v>2190</v>
      </c>
      <c r="K15" s="165">
        <v>9781</v>
      </c>
      <c r="L15" s="165">
        <v>11803</v>
      </c>
      <c r="M15" s="203"/>
    </row>
    <row r="16" spans="1:14" s="12" customFormat="1" ht="16.5" customHeight="1">
      <c r="A16" s="12">
        <v>9</v>
      </c>
      <c r="B16" s="6" t="s">
        <v>124</v>
      </c>
      <c r="C16" s="164">
        <v>24408</v>
      </c>
      <c r="D16" s="165">
        <v>27</v>
      </c>
      <c r="E16" s="165">
        <v>269</v>
      </c>
      <c r="F16" s="165">
        <v>1206</v>
      </c>
      <c r="G16" s="165">
        <v>797</v>
      </c>
      <c r="H16" s="165">
        <v>228</v>
      </c>
      <c r="I16" s="165">
        <v>795</v>
      </c>
      <c r="J16" s="165">
        <v>5228</v>
      </c>
      <c r="K16" s="165">
        <v>9255</v>
      </c>
      <c r="L16" s="165">
        <v>6603</v>
      </c>
      <c r="M16" s="203"/>
    </row>
    <row r="17" spans="1:13" s="12" customFormat="1" ht="16.5" customHeight="1">
      <c r="A17" s="12">
        <v>10</v>
      </c>
      <c r="B17" s="6" t="s">
        <v>116</v>
      </c>
      <c r="C17" s="164">
        <v>19029</v>
      </c>
      <c r="D17" s="165">
        <v>1</v>
      </c>
      <c r="E17" s="165">
        <v>19</v>
      </c>
      <c r="F17" s="165">
        <v>84</v>
      </c>
      <c r="G17" s="165">
        <v>76</v>
      </c>
      <c r="H17" s="165">
        <v>18</v>
      </c>
      <c r="I17" s="165">
        <v>135</v>
      </c>
      <c r="J17" s="165">
        <v>337</v>
      </c>
      <c r="K17" s="165">
        <v>3985</v>
      </c>
      <c r="L17" s="165">
        <v>14374</v>
      </c>
      <c r="M17" s="203"/>
    </row>
    <row r="18" spans="1:13" s="12" customFormat="1" ht="16.5" customHeight="1">
      <c r="A18" s="12">
        <v>11</v>
      </c>
      <c r="B18" s="6" t="s">
        <v>125</v>
      </c>
      <c r="C18" s="164">
        <v>18023</v>
      </c>
      <c r="D18" s="165">
        <v>192</v>
      </c>
      <c r="E18" s="165">
        <v>1764</v>
      </c>
      <c r="F18" s="165">
        <v>4383</v>
      </c>
      <c r="G18" s="165">
        <v>2237</v>
      </c>
      <c r="H18" s="165">
        <v>666</v>
      </c>
      <c r="I18" s="165">
        <v>1594</v>
      </c>
      <c r="J18" s="165">
        <v>1922</v>
      </c>
      <c r="K18" s="165">
        <v>3176</v>
      </c>
      <c r="L18" s="165">
        <v>2089</v>
      </c>
      <c r="M18" s="203"/>
    </row>
    <row r="19" spans="1:13" s="12" customFormat="1" ht="16.5" customHeight="1">
      <c r="A19" s="12">
        <v>12</v>
      </c>
      <c r="B19" s="6" t="s">
        <v>126</v>
      </c>
      <c r="C19" s="164">
        <v>17305</v>
      </c>
      <c r="D19" s="74" t="s">
        <v>13</v>
      </c>
      <c r="E19" s="74" t="s">
        <v>13</v>
      </c>
      <c r="F19" s="74" t="s">
        <v>13</v>
      </c>
      <c r="G19" s="74" t="s">
        <v>13</v>
      </c>
      <c r="H19" s="165">
        <v>4</v>
      </c>
      <c r="I19" s="165">
        <v>1260</v>
      </c>
      <c r="J19" s="165">
        <v>11301</v>
      </c>
      <c r="K19" s="165">
        <v>4740</v>
      </c>
      <c r="L19" s="74" t="s">
        <v>13</v>
      </c>
      <c r="M19" s="203"/>
    </row>
    <row r="20" spans="1:13" s="12" customFormat="1" ht="16.5" customHeight="1">
      <c r="A20" s="12">
        <v>13</v>
      </c>
      <c r="B20" s="6" t="s">
        <v>127</v>
      </c>
      <c r="C20" s="164">
        <v>16675</v>
      </c>
      <c r="D20" s="165">
        <v>1</v>
      </c>
      <c r="E20" s="165">
        <v>2</v>
      </c>
      <c r="F20" s="165">
        <v>31</v>
      </c>
      <c r="G20" s="165">
        <v>21</v>
      </c>
      <c r="H20" s="165">
        <v>3</v>
      </c>
      <c r="I20" s="165">
        <v>394</v>
      </c>
      <c r="J20" s="165">
        <v>8259</v>
      </c>
      <c r="K20" s="165">
        <v>7772</v>
      </c>
      <c r="L20" s="165">
        <v>192</v>
      </c>
      <c r="M20" s="203"/>
    </row>
    <row r="21" spans="1:13" s="12" customFormat="1" ht="16.5" customHeight="1">
      <c r="A21" s="12">
        <v>14</v>
      </c>
      <c r="B21" s="6" t="s">
        <v>128</v>
      </c>
      <c r="C21" s="164">
        <v>15809</v>
      </c>
      <c r="D21" s="165">
        <v>43</v>
      </c>
      <c r="E21" s="165">
        <v>817</v>
      </c>
      <c r="F21" s="165">
        <v>2579</v>
      </c>
      <c r="G21" s="165">
        <v>1742</v>
      </c>
      <c r="H21" s="165">
        <v>526</v>
      </c>
      <c r="I21" s="165">
        <v>1119</v>
      </c>
      <c r="J21" s="165">
        <v>1437</v>
      </c>
      <c r="K21" s="165">
        <v>3564</v>
      </c>
      <c r="L21" s="165">
        <v>3982</v>
      </c>
      <c r="M21" s="203"/>
    </row>
    <row r="22" spans="1:13" s="12" customFormat="1" ht="16.5" customHeight="1">
      <c r="A22" s="12">
        <v>15</v>
      </c>
      <c r="B22" s="6" t="s">
        <v>129</v>
      </c>
      <c r="C22" s="164">
        <v>13875</v>
      </c>
      <c r="D22" s="165">
        <v>3</v>
      </c>
      <c r="E22" s="165">
        <v>407</v>
      </c>
      <c r="F22" s="165">
        <v>368</v>
      </c>
      <c r="G22" s="165">
        <v>1126</v>
      </c>
      <c r="H22" s="165">
        <v>344</v>
      </c>
      <c r="I22" s="165">
        <v>1317</v>
      </c>
      <c r="J22" s="165">
        <v>2374</v>
      </c>
      <c r="K22" s="165">
        <v>5124</v>
      </c>
      <c r="L22" s="165">
        <v>2812</v>
      </c>
      <c r="M22" s="203"/>
    </row>
    <row r="23" spans="1:13" s="12" customFormat="1" ht="16.5" customHeight="1">
      <c r="A23" s="12">
        <v>16</v>
      </c>
      <c r="B23" s="6" t="s">
        <v>130</v>
      </c>
      <c r="C23" s="164">
        <v>13651</v>
      </c>
      <c r="D23" s="165">
        <v>1</v>
      </c>
      <c r="E23" s="165">
        <v>13</v>
      </c>
      <c r="F23" s="165">
        <v>101</v>
      </c>
      <c r="G23" s="165">
        <v>201</v>
      </c>
      <c r="H23" s="165">
        <v>190</v>
      </c>
      <c r="I23" s="165">
        <v>971</v>
      </c>
      <c r="J23" s="165">
        <v>2564</v>
      </c>
      <c r="K23" s="165">
        <v>5626</v>
      </c>
      <c r="L23" s="165">
        <v>3984</v>
      </c>
      <c r="M23" s="203"/>
    </row>
    <row r="24" spans="1:13" s="12" customFormat="1" ht="16.5" customHeight="1">
      <c r="A24" s="12">
        <v>17</v>
      </c>
      <c r="B24" s="6" t="s">
        <v>90</v>
      </c>
      <c r="C24" s="164">
        <v>10377</v>
      </c>
      <c r="D24" s="165">
        <v>7</v>
      </c>
      <c r="E24" s="165">
        <v>150</v>
      </c>
      <c r="F24" s="165">
        <v>4002</v>
      </c>
      <c r="G24" s="165">
        <v>2474</v>
      </c>
      <c r="H24" s="165">
        <v>744</v>
      </c>
      <c r="I24" s="165">
        <v>1014</v>
      </c>
      <c r="J24" s="165">
        <v>472</v>
      </c>
      <c r="K24" s="165">
        <v>1061</v>
      </c>
      <c r="L24" s="165">
        <v>453</v>
      </c>
      <c r="M24" s="203"/>
    </row>
    <row r="25" spans="1:13" s="12" customFormat="1" ht="16.5" customHeight="1">
      <c r="A25" s="12">
        <v>18</v>
      </c>
      <c r="B25" s="6" t="s">
        <v>131</v>
      </c>
      <c r="C25" s="164">
        <v>10271</v>
      </c>
      <c r="D25" s="165">
        <v>5</v>
      </c>
      <c r="E25" s="165">
        <v>737</v>
      </c>
      <c r="F25" s="165">
        <v>2229</v>
      </c>
      <c r="G25" s="165">
        <v>748</v>
      </c>
      <c r="H25" s="165">
        <v>241</v>
      </c>
      <c r="I25" s="165">
        <v>657</v>
      </c>
      <c r="J25" s="165">
        <v>1145</v>
      </c>
      <c r="K25" s="165">
        <v>2551</v>
      </c>
      <c r="L25" s="165">
        <v>1958</v>
      </c>
      <c r="M25" s="203"/>
    </row>
    <row r="26" spans="1:13" s="12" customFormat="1" ht="5.0999999999999996" customHeight="1">
      <c r="B26" s="82"/>
      <c r="C26" s="78"/>
      <c r="D26" s="79"/>
      <c r="E26" s="79"/>
      <c r="F26" s="79"/>
      <c r="G26" s="79"/>
      <c r="H26" s="79"/>
      <c r="I26" s="79"/>
      <c r="J26" s="79"/>
      <c r="K26" s="79"/>
      <c r="L26" s="79"/>
    </row>
    <row r="27" spans="1:13" ht="12" customHeight="1">
      <c r="B27" s="14"/>
      <c r="C27" s="14"/>
      <c r="D27" s="37"/>
      <c r="E27" s="40"/>
      <c r="F27" s="14"/>
      <c r="G27" s="38"/>
      <c r="H27" s="39"/>
      <c r="I27" s="39"/>
      <c r="J27" s="38"/>
      <c r="K27" s="40"/>
      <c r="L27" s="154" t="s">
        <v>45</v>
      </c>
    </row>
    <row r="28" spans="1:13" ht="12" customHeight="1">
      <c r="B28" s="14"/>
      <c r="C28" s="14"/>
      <c r="D28" s="39"/>
      <c r="E28" s="40"/>
      <c r="F28" s="14"/>
      <c r="G28" s="38"/>
      <c r="H28" s="39"/>
      <c r="I28" s="39"/>
      <c r="J28" s="38"/>
      <c r="K28" s="40"/>
      <c r="L28" s="83"/>
    </row>
    <row r="29" spans="1:13" s="105" customFormat="1" ht="18" customHeight="1">
      <c r="B29" s="157" t="s">
        <v>385</v>
      </c>
      <c r="C29" s="101"/>
      <c r="D29" s="102"/>
      <c r="E29" s="102"/>
      <c r="F29" s="101"/>
      <c r="G29" s="101"/>
      <c r="H29" s="103"/>
      <c r="I29" s="103"/>
      <c r="J29" s="103"/>
      <c r="K29" s="103"/>
      <c r="L29" s="104"/>
    </row>
    <row r="30" spans="1:13" s="105" customFormat="1" ht="5.0999999999999996" customHeight="1">
      <c r="B30" s="99"/>
      <c r="C30" s="101"/>
      <c r="D30" s="102"/>
      <c r="E30" s="102"/>
      <c r="F30" s="101"/>
      <c r="G30" s="101"/>
      <c r="H30" s="103"/>
      <c r="I30" s="103"/>
      <c r="J30" s="103"/>
      <c r="K30" s="103"/>
      <c r="L30" s="104"/>
    </row>
    <row r="31" spans="1:13" ht="18.75" customHeight="1">
      <c r="B31" s="832" t="s">
        <v>47</v>
      </c>
      <c r="C31" s="834" t="s">
        <v>14</v>
      </c>
      <c r="D31" s="708" t="s">
        <v>38</v>
      </c>
      <c r="E31" s="708"/>
      <c r="F31" s="708"/>
      <c r="G31" s="708"/>
      <c r="H31" s="708"/>
      <c r="I31" s="708"/>
      <c r="J31" s="708"/>
      <c r="K31" s="708"/>
      <c r="L31" s="708"/>
    </row>
    <row r="32" spans="1:13" ht="50.1" customHeight="1">
      <c r="B32" s="833"/>
      <c r="C32" s="834"/>
      <c r="D32" s="45" t="s">
        <v>12</v>
      </c>
      <c r="E32" s="45" t="s">
        <v>9</v>
      </c>
      <c r="F32" s="77" t="s">
        <v>10</v>
      </c>
      <c r="G32" s="45" t="s">
        <v>11</v>
      </c>
      <c r="H32" s="45" t="s">
        <v>7</v>
      </c>
      <c r="I32" s="77" t="s">
        <v>6</v>
      </c>
      <c r="J32" s="45" t="s">
        <v>8</v>
      </c>
      <c r="K32" s="45" t="s">
        <v>58</v>
      </c>
      <c r="L32" s="45" t="s">
        <v>57</v>
      </c>
    </row>
    <row r="33" spans="1:13" ht="5.0999999999999996" customHeight="1">
      <c r="B33" s="12"/>
      <c r="C33" s="106"/>
      <c r="D33" s="43"/>
      <c r="E33" s="43"/>
      <c r="F33" s="43"/>
      <c r="G33" s="43"/>
      <c r="H33" s="43"/>
      <c r="I33" s="43"/>
      <c r="J33" s="43"/>
      <c r="K33" s="43"/>
      <c r="L33" s="43"/>
    </row>
    <row r="34" spans="1:13" ht="17.25" customHeight="1">
      <c r="B34" s="89">
        <v>2012</v>
      </c>
      <c r="C34" s="106"/>
      <c r="D34" s="43"/>
      <c r="E34" s="43"/>
      <c r="F34" s="43"/>
      <c r="G34" s="43"/>
      <c r="H34" s="43"/>
      <c r="I34" s="43"/>
      <c r="J34" s="43"/>
      <c r="K34" s="43"/>
      <c r="L34" s="43"/>
    </row>
    <row r="35" spans="1:13" s="12" customFormat="1" ht="17.25" customHeight="1">
      <c r="A35" s="12">
        <v>1</v>
      </c>
      <c r="B35" s="6" t="s">
        <v>132</v>
      </c>
      <c r="C35" s="164">
        <v>10056</v>
      </c>
      <c r="D35" s="74" t="s">
        <v>13</v>
      </c>
      <c r="E35" s="74" t="s">
        <v>13</v>
      </c>
      <c r="F35" s="74" t="s">
        <v>13</v>
      </c>
      <c r="G35" s="165">
        <v>7</v>
      </c>
      <c r="H35" s="165">
        <v>6</v>
      </c>
      <c r="I35" s="165">
        <v>9928</v>
      </c>
      <c r="J35" s="165">
        <v>53</v>
      </c>
      <c r="K35" s="165">
        <v>36</v>
      </c>
      <c r="L35" s="165">
        <v>26</v>
      </c>
      <c r="M35" s="12">
        <f>SUM(D35:L35)</f>
        <v>10056</v>
      </c>
    </row>
    <row r="36" spans="1:13" s="12" customFormat="1" ht="17.25" customHeight="1">
      <c r="A36" s="12">
        <v>2</v>
      </c>
      <c r="B36" s="6" t="s">
        <v>133</v>
      </c>
      <c r="C36" s="164">
        <v>9639</v>
      </c>
      <c r="D36" s="165">
        <v>3</v>
      </c>
      <c r="E36" s="165">
        <v>2293</v>
      </c>
      <c r="F36" s="165">
        <v>5916</v>
      </c>
      <c r="G36" s="165">
        <v>309</v>
      </c>
      <c r="H36" s="165">
        <v>94</v>
      </c>
      <c r="I36" s="165">
        <v>100</v>
      </c>
      <c r="J36" s="165">
        <v>305</v>
      </c>
      <c r="K36" s="165">
        <v>333</v>
      </c>
      <c r="L36" s="165">
        <v>286</v>
      </c>
      <c r="M36" s="12">
        <f t="shared" ref="M36:M53" si="1">SUM(D36:L36)</f>
        <v>9639</v>
      </c>
    </row>
    <row r="37" spans="1:13" s="12" customFormat="1" ht="17.25" customHeight="1">
      <c r="A37" s="12">
        <v>3</v>
      </c>
      <c r="B37" s="6" t="s">
        <v>134</v>
      </c>
      <c r="C37" s="164">
        <v>8724</v>
      </c>
      <c r="D37" s="165">
        <v>6</v>
      </c>
      <c r="E37" s="165">
        <v>130</v>
      </c>
      <c r="F37" s="165">
        <v>1321</v>
      </c>
      <c r="G37" s="165">
        <v>930</v>
      </c>
      <c r="H37" s="165">
        <v>276</v>
      </c>
      <c r="I37" s="165">
        <v>775</v>
      </c>
      <c r="J37" s="165">
        <v>1651</v>
      </c>
      <c r="K37" s="165">
        <v>2503</v>
      </c>
      <c r="L37" s="165">
        <v>1132</v>
      </c>
      <c r="M37" s="12">
        <f t="shared" si="1"/>
        <v>8724</v>
      </c>
    </row>
    <row r="38" spans="1:13" s="12" customFormat="1" ht="17.25" customHeight="1">
      <c r="A38" s="12">
        <v>4</v>
      </c>
      <c r="B38" s="6" t="s">
        <v>91</v>
      </c>
      <c r="C38" s="164">
        <v>7884</v>
      </c>
      <c r="D38" s="165">
        <v>5</v>
      </c>
      <c r="E38" s="165">
        <v>171</v>
      </c>
      <c r="F38" s="165">
        <v>911</v>
      </c>
      <c r="G38" s="165">
        <v>881</v>
      </c>
      <c r="H38" s="165">
        <v>360</v>
      </c>
      <c r="I38" s="165">
        <v>691</v>
      </c>
      <c r="J38" s="165">
        <v>2086</v>
      </c>
      <c r="K38" s="165">
        <v>2313</v>
      </c>
      <c r="L38" s="165">
        <v>466</v>
      </c>
      <c r="M38" s="12">
        <f t="shared" si="1"/>
        <v>7884</v>
      </c>
    </row>
    <row r="39" spans="1:13" s="12" customFormat="1" ht="17.25" customHeight="1">
      <c r="A39" s="12">
        <v>5</v>
      </c>
      <c r="B39" s="6" t="s">
        <v>135</v>
      </c>
      <c r="C39" s="164">
        <v>7076</v>
      </c>
      <c r="D39" s="74" t="s">
        <v>13</v>
      </c>
      <c r="E39" s="165">
        <v>2</v>
      </c>
      <c r="F39" s="165">
        <v>8</v>
      </c>
      <c r="G39" s="165">
        <v>10</v>
      </c>
      <c r="H39" s="165">
        <v>6</v>
      </c>
      <c r="I39" s="165">
        <v>35</v>
      </c>
      <c r="J39" s="165">
        <v>161</v>
      </c>
      <c r="K39" s="165">
        <v>1513</v>
      </c>
      <c r="L39" s="165">
        <v>5341</v>
      </c>
      <c r="M39" s="12">
        <f t="shared" si="1"/>
        <v>7076</v>
      </c>
    </row>
    <row r="40" spans="1:13" s="12" customFormat="1" ht="17.25" customHeight="1">
      <c r="A40" s="12">
        <v>6</v>
      </c>
      <c r="B40" s="6" t="s">
        <v>136</v>
      </c>
      <c r="C40" s="164">
        <v>6475</v>
      </c>
      <c r="D40" s="165">
        <v>4</v>
      </c>
      <c r="E40" s="165">
        <v>36</v>
      </c>
      <c r="F40" s="165">
        <v>394</v>
      </c>
      <c r="G40" s="165">
        <v>578</v>
      </c>
      <c r="H40" s="165">
        <v>247</v>
      </c>
      <c r="I40" s="165">
        <v>746</v>
      </c>
      <c r="J40" s="165">
        <v>887</v>
      </c>
      <c r="K40" s="165">
        <v>1897</v>
      </c>
      <c r="L40" s="165">
        <v>1686</v>
      </c>
      <c r="M40" s="12">
        <f t="shared" si="1"/>
        <v>6475</v>
      </c>
    </row>
    <row r="41" spans="1:13" s="12" customFormat="1" ht="17.25" customHeight="1">
      <c r="A41" s="12">
        <v>7</v>
      </c>
      <c r="B41" s="6" t="s">
        <v>137</v>
      </c>
      <c r="C41" s="164">
        <v>6296</v>
      </c>
      <c r="D41" s="165">
        <v>17</v>
      </c>
      <c r="E41" s="165">
        <v>209</v>
      </c>
      <c r="F41" s="165">
        <v>976</v>
      </c>
      <c r="G41" s="165">
        <v>729</v>
      </c>
      <c r="H41" s="165">
        <v>278</v>
      </c>
      <c r="I41" s="165">
        <v>660</v>
      </c>
      <c r="J41" s="165">
        <v>825</v>
      </c>
      <c r="K41" s="165">
        <v>1552</v>
      </c>
      <c r="L41" s="165">
        <v>1050</v>
      </c>
      <c r="M41" s="12">
        <f t="shared" si="1"/>
        <v>6296</v>
      </c>
    </row>
    <row r="42" spans="1:13" s="12" customFormat="1" ht="17.25" customHeight="1">
      <c r="A42" s="12">
        <v>8</v>
      </c>
      <c r="B42" s="6" t="s">
        <v>138</v>
      </c>
      <c r="C42" s="164">
        <v>5983</v>
      </c>
      <c r="D42" s="165">
        <v>1</v>
      </c>
      <c r="E42" s="165">
        <v>7</v>
      </c>
      <c r="F42" s="165">
        <v>91</v>
      </c>
      <c r="G42" s="165">
        <v>94</v>
      </c>
      <c r="H42" s="165">
        <v>18</v>
      </c>
      <c r="I42" s="165">
        <v>139</v>
      </c>
      <c r="J42" s="165">
        <v>2423</v>
      </c>
      <c r="K42" s="165">
        <v>3007</v>
      </c>
      <c r="L42" s="165">
        <v>203</v>
      </c>
      <c r="M42" s="12">
        <f t="shared" si="1"/>
        <v>5983</v>
      </c>
    </row>
    <row r="43" spans="1:13" s="12" customFormat="1" ht="17.25" customHeight="1">
      <c r="A43" s="12">
        <v>9</v>
      </c>
      <c r="B43" s="6" t="s">
        <v>139</v>
      </c>
      <c r="C43" s="164">
        <v>5612</v>
      </c>
      <c r="D43" s="74" t="s">
        <v>13</v>
      </c>
      <c r="E43" s="165">
        <v>3</v>
      </c>
      <c r="F43" s="165">
        <v>60</v>
      </c>
      <c r="G43" s="165">
        <v>907</v>
      </c>
      <c r="H43" s="165">
        <v>343</v>
      </c>
      <c r="I43" s="165">
        <v>251</v>
      </c>
      <c r="J43" s="165">
        <v>61</v>
      </c>
      <c r="K43" s="165">
        <v>374</v>
      </c>
      <c r="L43" s="165">
        <v>3613</v>
      </c>
      <c r="M43" s="12">
        <f t="shared" si="1"/>
        <v>5612</v>
      </c>
    </row>
    <row r="44" spans="1:13" s="12" customFormat="1" ht="17.25" customHeight="1">
      <c r="A44" s="12">
        <v>10</v>
      </c>
      <c r="B44" s="6" t="s">
        <v>140</v>
      </c>
      <c r="C44" s="164">
        <v>4517</v>
      </c>
      <c r="D44" s="165">
        <v>2</v>
      </c>
      <c r="E44" s="165">
        <v>22</v>
      </c>
      <c r="F44" s="165">
        <v>361</v>
      </c>
      <c r="G44" s="165">
        <v>367</v>
      </c>
      <c r="H44" s="165">
        <v>142</v>
      </c>
      <c r="I44" s="165">
        <v>476</v>
      </c>
      <c r="J44" s="165">
        <v>771</v>
      </c>
      <c r="K44" s="165">
        <v>1441</v>
      </c>
      <c r="L44" s="165">
        <v>935</v>
      </c>
      <c r="M44" s="12">
        <f t="shared" si="1"/>
        <v>4517</v>
      </c>
    </row>
    <row r="45" spans="1:13" s="12" customFormat="1" ht="17.25" customHeight="1">
      <c r="A45" s="12">
        <v>11</v>
      </c>
      <c r="B45" s="6" t="s">
        <v>141</v>
      </c>
      <c r="C45" s="164">
        <v>4251</v>
      </c>
      <c r="D45" s="74" t="s">
        <v>13</v>
      </c>
      <c r="E45" s="74" t="s">
        <v>13</v>
      </c>
      <c r="F45" s="74" t="s">
        <v>13</v>
      </c>
      <c r="G45" s="74" t="s">
        <v>13</v>
      </c>
      <c r="H45" s="165">
        <v>26</v>
      </c>
      <c r="I45" s="165">
        <v>568</v>
      </c>
      <c r="J45" s="165">
        <v>1096</v>
      </c>
      <c r="K45" s="165">
        <v>1530</v>
      </c>
      <c r="L45" s="165">
        <v>1031</v>
      </c>
      <c r="M45" s="12">
        <f t="shared" si="1"/>
        <v>4251</v>
      </c>
    </row>
    <row r="46" spans="1:13" s="12" customFormat="1" ht="17.25" customHeight="1">
      <c r="A46" s="12">
        <v>12</v>
      </c>
      <c r="B46" s="6" t="s">
        <v>142</v>
      </c>
      <c r="C46" s="164">
        <v>4245</v>
      </c>
      <c r="D46" s="74" t="s">
        <v>13</v>
      </c>
      <c r="E46" s="165">
        <v>2</v>
      </c>
      <c r="F46" s="165">
        <v>17</v>
      </c>
      <c r="G46" s="165">
        <v>27</v>
      </c>
      <c r="H46" s="165">
        <v>5</v>
      </c>
      <c r="I46" s="165">
        <v>1334</v>
      </c>
      <c r="J46" s="165">
        <v>59</v>
      </c>
      <c r="K46" s="165">
        <v>228</v>
      </c>
      <c r="L46" s="165">
        <v>2573</v>
      </c>
      <c r="M46" s="12">
        <f t="shared" si="1"/>
        <v>4245</v>
      </c>
    </row>
    <row r="47" spans="1:13" s="12" customFormat="1" ht="17.25" customHeight="1">
      <c r="A47" s="12">
        <v>13</v>
      </c>
      <c r="B47" s="6" t="s">
        <v>143</v>
      </c>
      <c r="C47" s="164">
        <v>4206</v>
      </c>
      <c r="D47" s="74" t="s">
        <v>13</v>
      </c>
      <c r="E47" s="74" t="s">
        <v>13</v>
      </c>
      <c r="F47" s="165">
        <v>1</v>
      </c>
      <c r="G47" s="165">
        <v>15</v>
      </c>
      <c r="H47" s="165">
        <v>18</v>
      </c>
      <c r="I47" s="165">
        <v>110</v>
      </c>
      <c r="J47" s="165">
        <v>690</v>
      </c>
      <c r="K47" s="165">
        <v>2252</v>
      </c>
      <c r="L47" s="165">
        <v>1120</v>
      </c>
      <c r="M47" s="12">
        <f t="shared" si="1"/>
        <v>4206</v>
      </c>
    </row>
    <row r="48" spans="1:13" s="12" customFormat="1" ht="17.25" customHeight="1">
      <c r="A48" s="12">
        <v>14</v>
      </c>
      <c r="B48" s="6" t="s">
        <v>144</v>
      </c>
      <c r="C48" s="164">
        <v>4060</v>
      </c>
      <c r="D48" s="74" t="s">
        <v>13</v>
      </c>
      <c r="E48" s="165">
        <v>17</v>
      </c>
      <c r="F48" s="165">
        <v>236</v>
      </c>
      <c r="G48" s="165">
        <v>345</v>
      </c>
      <c r="H48" s="165">
        <v>136</v>
      </c>
      <c r="I48" s="165">
        <v>462</v>
      </c>
      <c r="J48" s="165">
        <v>609</v>
      </c>
      <c r="K48" s="165">
        <v>1339</v>
      </c>
      <c r="L48" s="165">
        <v>916</v>
      </c>
      <c r="M48" s="12">
        <f t="shared" si="1"/>
        <v>4060</v>
      </c>
    </row>
    <row r="49" spans="1:13" s="12" customFormat="1" ht="17.25" customHeight="1">
      <c r="A49" s="12">
        <v>15</v>
      </c>
      <c r="B49" s="6" t="s">
        <v>145</v>
      </c>
      <c r="C49" s="164">
        <v>3663</v>
      </c>
      <c r="D49" s="74" t="s">
        <v>13</v>
      </c>
      <c r="E49" s="165">
        <v>4</v>
      </c>
      <c r="F49" s="165">
        <v>9</v>
      </c>
      <c r="G49" s="165">
        <v>1</v>
      </c>
      <c r="H49" s="165">
        <v>16</v>
      </c>
      <c r="I49" s="165">
        <v>504</v>
      </c>
      <c r="J49" s="165">
        <v>1221</v>
      </c>
      <c r="K49" s="165">
        <v>1766</v>
      </c>
      <c r="L49" s="165">
        <v>142</v>
      </c>
      <c r="M49" s="12">
        <f t="shared" si="1"/>
        <v>3663</v>
      </c>
    </row>
    <row r="50" spans="1:13" s="12" customFormat="1" ht="17.25" customHeight="1">
      <c r="A50" s="12">
        <v>16</v>
      </c>
      <c r="B50" s="6" t="s">
        <v>146</v>
      </c>
      <c r="C50" s="164">
        <v>3362</v>
      </c>
      <c r="D50" s="165">
        <v>5</v>
      </c>
      <c r="E50" s="165">
        <v>106</v>
      </c>
      <c r="F50" s="165">
        <v>719</v>
      </c>
      <c r="G50" s="165">
        <v>676</v>
      </c>
      <c r="H50" s="165">
        <v>204</v>
      </c>
      <c r="I50" s="165">
        <v>346</v>
      </c>
      <c r="J50" s="165">
        <v>277</v>
      </c>
      <c r="K50" s="165">
        <v>557</v>
      </c>
      <c r="L50" s="165">
        <v>472</v>
      </c>
      <c r="M50" s="12">
        <f t="shared" si="1"/>
        <v>3362</v>
      </c>
    </row>
    <row r="51" spans="1:13" s="12" customFormat="1" ht="17.25" customHeight="1">
      <c r="A51" s="12">
        <v>17</v>
      </c>
      <c r="B51" s="6" t="s">
        <v>147</v>
      </c>
      <c r="C51" s="164">
        <v>3192</v>
      </c>
      <c r="D51" s="165">
        <v>3</v>
      </c>
      <c r="E51" s="165">
        <v>151</v>
      </c>
      <c r="F51" s="165">
        <v>501</v>
      </c>
      <c r="G51" s="165">
        <v>419</v>
      </c>
      <c r="H51" s="165">
        <v>132</v>
      </c>
      <c r="I51" s="165">
        <v>316</v>
      </c>
      <c r="J51" s="165">
        <v>340</v>
      </c>
      <c r="K51" s="165">
        <v>786</v>
      </c>
      <c r="L51" s="165">
        <v>544</v>
      </c>
      <c r="M51" s="12">
        <f t="shared" si="1"/>
        <v>3192</v>
      </c>
    </row>
    <row r="52" spans="1:13" s="12" customFormat="1" ht="17.25" customHeight="1">
      <c r="A52" s="12">
        <v>18</v>
      </c>
      <c r="B52" s="6" t="s">
        <v>148</v>
      </c>
      <c r="C52" s="164">
        <v>3103</v>
      </c>
      <c r="D52" s="165">
        <v>4</v>
      </c>
      <c r="E52" s="165">
        <v>6</v>
      </c>
      <c r="F52" s="165">
        <v>39</v>
      </c>
      <c r="G52" s="165">
        <v>43</v>
      </c>
      <c r="H52" s="165">
        <v>26</v>
      </c>
      <c r="I52" s="165">
        <v>130</v>
      </c>
      <c r="J52" s="165">
        <v>348</v>
      </c>
      <c r="K52" s="165">
        <v>1378</v>
      </c>
      <c r="L52" s="165">
        <v>1129</v>
      </c>
      <c r="M52" s="12">
        <f t="shared" si="1"/>
        <v>3103</v>
      </c>
    </row>
    <row r="53" spans="1:13" s="12" customFormat="1" ht="17.25" customHeight="1">
      <c r="A53" s="12">
        <v>19</v>
      </c>
      <c r="B53" s="6" t="s">
        <v>149</v>
      </c>
      <c r="C53" s="164">
        <v>3025</v>
      </c>
      <c r="D53" s="165">
        <v>3</v>
      </c>
      <c r="E53" s="165">
        <v>70</v>
      </c>
      <c r="F53" s="165">
        <v>240</v>
      </c>
      <c r="G53" s="165">
        <v>72</v>
      </c>
      <c r="H53" s="165">
        <v>13</v>
      </c>
      <c r="I53" s="165">
        <v>20</v>
      </c>
      <c r="J53" s="165">
        <v>109</v>
      </c>
      <c r="K53" s="165">
        <v>475</v>
      </c>
      <c r="L53" s="165">
        <v>2023</v>
      </c>
      <c r="M53" s="12">
        <f t="shared" si="1"/>
        <v>3025</v>
      </c>
    </row>
    <row r="54" spans="1:13" s="12" customFormat="1" ht="5.0999999999999996" customHeight="1">
      <c r="B54" s="82"/>
      <c r="C54" s="78"/>
      <c r="D54" s="79"/>
      <c r="E54" s="79"/>
      <c r="F54" s="79"/>
      <c r="G54" s="79"/>
      <c r="H54" s="79"/>
      <c r="I54" s="79"/>
      <c r="J54" s="79"/>
      <c r="K54" s="79"/>
      <c r="L54" s="79"/>
    </row>
    <row r="55" spans="1:13" ht="12" customHeight="1">
      <c r="B55" s="14"/>
      <c r="C55" s="14"/>
      <c r="D55" s="37"/>
      <c r="E55" s="40"/>
      <c r="F55" s="14"/>
      <c r="G55" s="38"/>
      <c r="H55" s="39"/>
      <c r="I55" s="39"/>
      <c r="J55" s="38"/>
      <c r="K55" s="40"/>
      <c r="L55" s="154" t="s">
        <v>45</v>
      </c>
    </row>
    <row r="56" spans="1:13" s="105" customFormat="1" ht="18" customHeight="1">
      <c r="B56" s="157" t="s">
        <v>385</v>
      </c>
      <c r="C56" s="101"/>
      <c r="D56" s="102"/>
      <c r="E56" s="102"/>
      <c r="F56" s="101"/>
      <c r="G56" s="101"/>
      <c r="H56" s="103"/>
      <c r="I56" s="103"/>
      <c r="J56" s="103"/>
      <c r="K56" s="103"/>
      <c r="L56" s="104"/>
    </row>
    <row r="57" spans="1:13" s="105" customFormat="1" ht="5.0999999999999996" customHeight="1">
      <c r="B57" s="99"/>
      <c r="C57" s="101"/>
      <c r="D57" s="102"/>
      <c r="E57" s="102"/>
      <c r="F57" s="101"/>
      <c r="G57" s="101"/>
      <c r="H57" s="103"/>
      <c r="I57" s="103"/>
      <c r="J57" s="103"/>
      <c r="K57" s="103"/>
      <c r="L57" s="104"/>
    </row>
    <row r="58" spans="1:13" ht="19.5" customHeight="1">
      <c r="B58" s="832" t="s">
        <v>47</v>
      </c>
      <c r="C58" s="834" t="s">
        <v>14</v>
      </c>
      <c r="D58" s="708" t="s">
        <v>38</v>
      </c>
      <c r="E58" s="708"/>
      <c r="F58" s="708"/>
      <c r="G58" s="708"/>
      <c r="H58" s="708"/>
      <c r="I58" s="708"/>
      <c r="J58" s="708"/>
      <c r="K58" s="708"/>
      <c r="L58" s="708"/>
    </row>
    <row r="59" spans="1:13" ht="50.1" customHeight="1">
      <c r="B59" s="833"/>
      <c r="C59" s="834"/>
      <c r="D59" s="45" t="s">
        <v>12</v>
      </c>
      <c r="E59" s="45" t="s">
        <v>9</v>
      </c>
      <c r="F59" s="77" t="s">
        <v>10</v>
      </c>
      <c r="G59" s="45" t="s">
        <v>11</v>
      </c>
      <c r="H59" s="45" t="s">
        <v>7</v>
      </c>
      <c r="I59" s="77" t="s">
        <v>6</v>
      </c>
      <c r="J59" s="45" t="s">
        <v>8</v>
      </c>
      <c r="K59" s="45" t="s">
        <v>58</v>
      </c>
      <c r="L59" s="45" t="s">
        <v>57</v>
      </c>
    </row>
    <row r="60" spans="1:13" ht="5.0999999999999996" customHeight="1">
      <c r="B60" s="89"/>
      <c r="C60" s="106"/>
      <c r="D60" s="43"/>
      <c r="E60" s="43"/>
      <c r="F60" s="43"/>
      <c r="G60" s="43"/>
      <c r="H60" s="43"/>
      <c r="I60" s="43"/>
      <c r="J60" s="43"/>
      <c r="K60" s="43"/>
      <c r="L60" s="43"/>
    </row>
    <row r="61" spans="1:13" ht="17.25" customHeight="1">
      <c r="B61" s="89">
        <v>2012</v>
      </c>
      <c r="C61" s="106"/>
      <c r="D61" s="43"/>
      <c r="E61" s="43"/>
      <c r="F61" s="43"/>
      <c r="G61" s="43"/>
      <c r="H61" s="43"/>
      <c r="I61" s="43"/>
      <c r="J61" s="43"/>
      <c r="K61" s="43"/>
      <c r="L61" s="43"/>
    </row>
    <row r="62" spans="1:13" ht="17.100000000000001" customHeight="1">
      <c r="A62" s="12">
        <v>1</v>
      </c>
      <c r="B62" s="6" t="s">
        <v>150</v>
      </c>
      <c r="C62" s="164">
        <v>3011</v>
      </c>
      <c r="D62" s="165">
        <v>1</v>
      </c>
      <c r="E62" s="165">
        <v>26</v>
      </c>
      <c r="F62" s="165">
        <v>128</v>
      </c>
      <c r="G62" s="165">
        <v>153</v>
      </c>
      <c r="H62" s="165">
        <v>61</v>
      </c>
      <c r="I62" s="165">
        <v>167</v>
      </c>
      <c r="J62" s="165">
        <v>380</v>
      </c>
      <c r="K62" s="165">
        <v>1158</v>
      </c>
      <c r="L62" s="165">
        <v>937</v>
      </c>
    </row>
    <row r="63" spans="1:13" ht="17.100000000000001" customHeight="1">
      <c r="A63" s="12">
        <v>2</v>
      </c>
      <c r="B63" s="6" t="s">
        <v>151</v>
      </c>
      <c r="C63" s="164">
        <v>2887</v>
      </c>
      <c r="D63" s="165">
        <v>32</v>
      </c>
      <c r="E63" s="165">
        <v>237</v>
      </c>
      <c r="F63" s="165">
        <v>259</v>
      </c>
      <c r="G63" s="165">
        <v>176</v>
      </c>
      <c r="H63" s="165">
        <v>82</v>
      </c>
      <c r="I63" s="165">
        <v>205</v>
      </c>
      <c r="J63" s="165">
        <v>453</v>
      </c>
      <c r="K63" s="165">
        <v>851</v>
      </c>
      <c r="L63" s="165">
        <v>592</v>
      </c>
    </row>
    <row r="64" spans="1:13" ht="17.100000000000001" customHeight="1">
      <c r="A64" s="12">
        <v>3</v>
      </c>
      <c r="B64" s="6" t="s">
        <v>152</v>
      </c>
      <c r="C64" s="164">
        <v>2786</v>
      </c>
      <c r="D64" s="165">
        <v>1</v>
      </c>
      <c r="E64" s="165">
        <v>17</v>
      </c>
      <c r="F64" s="165">
        <v>223</v>
      </c>
      <c r="G64" s="165">
        <v>340</v>
      </c>
      <c r="H64" s="165">
        <v>154</v>
      </c>
      <c r="I64" s="165">
        <v>364</v>
      </c>
      <c r="J64" s="165">
        <v>406</v>
      </c>
      <c r="K64" s="165">
        <v>788</v>
      </c>
      <c r="L64" s="165">
        <v>493</v>
      </c>
    </row>
    <row r="65" spans="1:12" ht="17.100000000000001" customHeight="1">
      <c r="A65" s="12">
        <v>4</v>
      </c>
      <c r="B65" s="6" t="s">
        <v>153</v>
      </c>
      <c r="C65" s="164">
        <v>2682</v>
      </c>
      <c r="D65" s="165">
        <v>2</v>
      </c>
      <c r="E65" s="165">
        <v>11</v>
      </c>
      <c r="F65" s="165">
        <v>141</v>
      </c>
      <c r="G65" s="165">
        <v>197</v>
      </c>
      <c r="H65" s="165">
        <v>82</v>
      </c>
      <c r="I65" s="165">
        <v>275</v>
      </c>
      <c r="J65" s="165">
        <v>399</v>
      </c>
      <c r="K65" s="165">
        <v>837</v>
      </c>
      <c r="L65" s="165">
        <v>738</v>
      </c>
    </row>
    <row r="66" spans="1:12" ht="17.100000000000001" customHeight="1">
      <c r="A66" s="12">
        <v>5</v>
      </c>
      <c r="B66" s="6" t="s">
        <v>154</v>
      </c>
      <c r="C66" s="164">
        <v>2407</v>
      </c>
      <c r="D66" s="165">
        <v>1</v>
      </c>
      <c r="E66" s="165">
        <v>58</v>
      </c>
      <c r="F66" s="165">
        <v>264</v>
      </c>
      <c r="G66" s="165">
        <v>258</v>
      </c>
      <c r="H66" s="165">
        <v>104</v>
      </c>
      <c r="I66" s="165">
        <v>413</v>
      </c>
      <c r="J66" s="165">
        <v>477</v>
      </c>
      <c r="K66" s="165">
        <v>612</v>
      </c>
      <c r="L66" s="165">
        <v>220</v>
      </c>
    </row>
    <row r="67" spans="1:12" ht="17.100000000000001" customHeight="1">
      <c r="A67" s="12">
        <v>6</v>
      </c>
      <c r="B67" s="6" t="s">
        <v>155</v>
      </c>
      <c r="C67" s="164">
        <v>2369</v>
      </c>
      <c r="D67" s="165">
        <v>6</v>
      </c>
      <c r="E67" s="165">
        <v>107</v>
      </c>
      <c r="F67" s="165">
        <v>374</v>
      </c>
      <c r="G67" s="165">
        <v>302</v>
      </c>
      <c r="H67" s="165">
        <v>117</v>
      </c>
      <c r="I67" s="165">
        <v>331</v>
      </c>
      <c r="J67" s="165">
        <v>379</v>
      </c>
      <c r="K67" s="165">
        <v>404</v>
      </c>
      <c r="L67" s="165">
        <v>348</v>
      </c>
    </row>
    <row r="68" spans="1:12" ht="17.100000000000001" customHeight="1">
      <c r="A68" s="12">
        <v>7</v>
      </c>
      <c r="B68" s="6" t="s">
        <v>156</v>
      </c>
      <c r="C68" s="164">
        <v>2354</v>
      </c>
      <c r="D68" s="165">
        <v>1</v>
      </c>
      <c r="E68" s="165">
        <v>21</v>
      </c>
      <c r="F68" s="165">
        <v>175</v>
      </c>
      <c r="G68" s="165">
        <v>150</v>
      </c>
      <c r="H68" s="165">
        <v>65</v>
      </c>
      <c r="I68" s="165">
        <v>177</v>
      </c>
      <c r="J68" s="165">
        <v>328</v>
      </c>
      <c r="K68" s="165">
        <v>763</v>
      </c>
      <c r="L68" s="165">
        <v>674</v>
      </c>
    </row>
    <row r="69" spans="1:12" ht="17.100000000000001" customHeight="1">
      <c r="A69" s="12">
        <v>8</v>
      </c>
      <c r="B69" s="6" t="s">
        <v>157</v>
      </c>
      <c r="C69" s="164">
        <v>2247</v>
      </c>
      <c r="D69" s="165">
        <v>1</v>
      </c>
      <c r="E69" s="165">
        <v>9</v>
      </c>
      <c r="F69" s="165">
        <v>195</v>
      </c>
      <c r="G69" s="165">
        <v>198</v>
      </c>
      <c r="H69" s="165">
        <v>86</v>
      </c>
      <c r="I69" s="165">
        <v>477</v>
      </c>
      <c r="J69" s="165">
        <v>464</v>
      </c>
      <c r="K69" s="165">
        <v>617</v>
      </c>
      <c r="L69" s="165">
        <v>200</v>
      </c>
    </row>
    <row r="70" spans="1:12" ht="17.100000000000001" customHeight="1">
      <c r="A70" s="12">
        <v>9</v>
      </c>
      <c r="B70" s="6" t="s">
        <v>158</v>
      </c>
      <c r="C70" s="164">
        <v>2136</v>
      </c>
      <c r="D70" s="165">
        <v>83</v>
      </c>
      <c r="E70" s="165">
        <v>515</v>
      </c>
      <c r="F70" s="165">
        <v>292</v>
      </c>
      <c r="G70" s="165">
        <v>100</v>
      </c>
      <c r="H70" s="165">
        <v>15</v>
      </c>
      <c r="I70" s="165">
        <v>68</v>
      </c>
      <c r="J70" s="165">
        <v>206</v>
      </c>
      <c r="K70" s="165">
        <v>380</v>
      </c>
      <c r="L70" s="165">
        <v>476</v>
      </c>
    </row>
    <row r="71" spans="1:12" ht="17.100000000000001" customHeight="1">
      <c r="A71" s="12">
        <v>10</v>
      </c>
      <c r="B71" s="6" t="s">
        <v>92</v>
      </c>
      <c r="C71" s="164">
        <v>1982</v>
      </c>
      <c r="D71" s="74" t="s">
        <v>13</v>
      </c>
      <c r="E71" s="165">
        <v>39</v>
      </c>
      <c r="F71" s="165">
        <v>180</v>
      </c>
      <c r="G71" s="165">
        <v>39</v>
      </c>
      <c r="H71" s="165">
        <v>83</v>
      </c>
      <c r="I71" s="165">
        <v>147</v>
      </c>
      <c r="J71" s="165">
        <v>599</v>
      </c>
      <c r="K71" s="165">
        <v>579</v>
      </c>
      <c r="L71" s="165">
        <v>316</v>
      </c>
    </row>
    <row r="72" spans="1:12" ht="17.100000000000001" customHeight="1">
      <c r="A72" s="12">
        <v>11</v>
      </c>
      <c r="B72" s="6" t="s">
        <v>159</v>
      </c>
      <c r="C72" s="164">
        <v>1834</v>
      </c>
      <c r="D72" s="74" t="s">
        <v>13</v>
      </c>
      <c r="E72" s="74" t="s">
        <v>13</v>
      </c>
      <c r="F72" s="74" t="s">
        <v>13</v>
      </c>
      <c r="G72" s="165">
        <v>1</v>
      </c>
      <c r="H72" s="165">
        <v>22</v>
      </c>
      <c r="I72" s="165">
        <v>192</v>
      </c>
      <c r="J72" s="165">
        <v>514</v>
      </c>
      <c r="K72" s="165">
        <v>779</v>
      </c>
      <c r="L72" s="165">
        <v>326</v>
      </c>
    </row>
    <row r="73" spans="1:12" ht="17.100000000000001" customHeight="1">
      <c r="A73" s="12">
        <v>12</v>
      </c>
      <c r="B73" s="6" t="s">
        <v>160</v>
      </c>
      <c r="C73" s="164">
        <v>1792</v>
      </c>
      <c r="D73" s="165">
        <v>2</v>
      </c>
      <c r="E73" s="165">
        <v>65</v>
      </c>
      <c r="F73" s="165">
        <v>285</v>
      </c>
      <c r="G73" s="165">
        <v>132</v>
      </c>
      <c r="H73" s="165">
        <v>63</v>
      </c>
      <c r="I73" s="165">
        <v>135</v>
      </c>
      <c r="J73" s="165">
        <v>252</v>
      </c>
      <c r="K73" s="165">
        <v>520</v>
      </c>
      <c r="L73" s="165">
        <v>338</v>
      </c>
    </row>
    <row r="74" spans="1:12" ht="17.100000000000001" customHeight="1">
      <c r="A74" s="12">
        <v>13</v>
      </c>
      <c r="B74" s="6" t="s">
        <v>161</v>
      </c>
      <c r="C74" s="164">
        <v>1726</v>
      </c>
      <c r="D74" s="165">
        <v>5</v>
      </c>
      <c r="E74" s="165">
        <v>20</v>
      </c>
      <c r="F74" s="165">
        <v>103</v>
      </c>
      <c r="G74" s="165">
        <v>100</v>
      </c>
      <c r="H74" s="165">
        <v>38</v>
      </c>
      <c r="I74" s="165">
        <v>137</v>
      </c>
      <c r="J74" s="165">
        <v>326</v>
      </c>
      <c r="K74" s="165">
        <v>640</v>
      </c>
      <c r="L74" s="165">
        <v>357</v>
      </c>
    </row>
    <row r="75" spans="1:12" ht="17.100000000000001" customHeight="1">
      <c r="A75" s="12">
        <v>14</v>
      </c>
      <c r="B75" s="6" t="s">
        <v>162</v>
      </c>
      <c r="C75" s="164">
        <v>1695</v>
      </c>
      <c r="D75" s="165">
        <v>7</v>
      </c>
      <c r="E75" s="165">
        <v>228</v>
      </c>
      <c r="F75" s="165">
        <v>324</v>
      </c>
      <c r="G75" s="165">
        <v>80</v>
      </c>
      <c r="H75" s="165">
        <v>18</v>
      </c>
      <c r="I75" s="165">
        <v>43</v>
      </c>
      <c r="J75" s="165">
        <v>108</v>
      </c>
      <c r="K75" s="165">
        <v>314</v>
      </c>
      <c r="L75" s="165">
        <v>573</v>
      </c>
    </row>
    <row r="76" spans="1:12" ht="17.100000000000001" customHeight="1">
      <c r="A76" s="12">
        <v>15</v>
      </c>
      <c r="B76" s="6" t="s">
        <v>163</v>
      </c>
      <c r="C76" s="164">
        <v>1564</v>
      </c>
      <c r="D76" s="74" t="s">
        <v>13</v>
      </c>
      <c r="E76" s="165">
        <v>1</v>
      </c>
      <c r="F76" s="165">
        <v>129</v>
      </c>
      <c r="G76" s="165">
        <v>240</v>
      </c>
      <c r="H76" s="165">
        <v>86</v>
      </c>
      <c r="I76" s="165">
        <v>168</v>
      </c>
      <c r="J76" s="165">
        <v>257</v>
      </c>
      <c r="K76" s="165">
        <v>430</v>
      </c>
      <c r="L76" s="165">
        <v>253</v>
      </c>
    </row>
    <row r="77" spans="1:12" ht="17.100000000000001" customHeight="1">
      <c r="A77" s="12">
        <v>16</v>
      </c>
      <c r="B77" s="6" t="s">
        <v>164</v>
      </c>
      <c r="C77" s="164">
        <v>1548</v>
      </c>
      <c r="D77" s="165">
        <v>1</v>
      </c>
      <c r="E77" s="165">
        <v>6</v>
      </c>
      <c r="F77" s="165">
        <v>68</v>
      </c>
      <c r="G77" s="165">
        <v>48</v>
      </c>
      <c r="H77" s="165">
        <v>21</v>
      </c>
      <c r="I77" s="165">
        <v>95</v>
      </c>
      <c r="J77" s="165">
        <v>350</v>
      </c>
      <c r="K77" s="165">
        <v>670</v>
      </c>
      <c r="L77" s="165">
        <v>289</v>
      </c>
    </row>
    <row r="78" spans="1:12" ht="17.100000000000001" customHeight="1">
      <c r="A78" s="12">
        <v>17</v>
      </c>
      <c r="B78" s="6" t="s">
        <v>165</v>
      </c>
      <c r="C78" s="164">
        <v>1501</v>
      </c>
      <c r="D78" s="165">
        <v>13</v>
      </c>
      <c r="E78" s="165">
        <v>79</v>
      </c>
      <c r="F78" s="165">
        <v>127</v>
      </c>
      <c r="G78" s="165">
        <v>140</v>
      </c>
      <c r="H78" s="165">
        <v>33</v>
      </c>
      <c r="I78" s="165">
        <v>126</v>
      </c>
      <c r="J78" s="165">
        <v>322</v>
      </c>
      <c r="K78" s="165">
        <v>484</v>
      </c>
      <c r="L78" s="165">
        <v>177</v>
      </c>
    </row>
    <row r="79" spans="1:12" ht="17.100000000000001" customHeight="1">
      <c r="A79" s="12">
        <v>18</v>
      </c>
      <c r="B79" s="6" t="s">
        <v>166</v>
      </c>
      <c r="C79" s="164">
        <v>1493</v>
      </c>
      <c r="D79" s="165">
        <v>1</v>
      </c>
      <c r="E79" s="165">
        <v>2</v>
      </c>
      <c r="F79" s="165">
        <v>4</v>
      </c>
      <c r="G79" s="165">
        <v>6</v>
      </c>
      <c r="H79" s="165">
        <v>2</v>
      </c>
      <c r="I79" s="165">
        <v>10</v>
      </c>
      <c r="J79" s="165">
        <v>4</v>
      </c>
      <c r="K79" s="165">
        <v>73</v>
      </c>
      <c r="L79" s="165">
        <v>1391</v>
      </c>
    </row>
    <row r="80" spans="1:12" ht="17.100000000000001" customHeight="1">
      <c r="A80" s="10">
        <v>19</v>
      </c>
      <c r="B80" s="6" t="s">
        <v>167</v>
      </c>
      <c r="C80" s="164">
        <v>1406</v>
      </c>
      <c r="D80" s="165">
        <v>29</v>
      </c>
      <c r="E80" s="165">
        <v>912</v>
      </c>
      <c r="F80" s="165">
        <v>292</v>
      </c>
      <c r="G80" s="165">
        <v>53</v>
      </c>
      <c r="H80" s="165">
        <v>24</v>
      </c>
      <c r="I80" s="165">
        <v>20</v>
      </c>
      <c r="J80" s="165">
        <v>22</v>
      </c>
      <c r="K80" s="165">
        <v>40</v>
      </c>
      <c r="L80" s="165">
        <v>14</v>
      </c>
    </row>
    <row r="81" spans="1:12" ht="5.0999999999999996" customHeight="1">
      <c r="B81" s="82"/>
      <c r="C81" s="78"/>
      <c r="D81" s="79"/>
      <c r="E81" s="79"/>
      <c r="F81" s="79"/>
      <c r="G81" s="79"/>
      <c r="H81" s="79"/>
      <c r="I81" s="79"/>
      <c r="J81" s="79"/>
      <c r="K81" s="79"/>
      <c r="L81" s="79"/>
    </row>
    <row r="82" spans="1:12" ht="12" customHeight="1">
      <c r="B82" s="14"/>
      <c r="C82" s="14"/>
      <c r="D82" s="37"/>
      <c r="E82" s="40"/>
      <c r="F82" s="14"/>
      <c r="G82" s="38"/>
      <c r="H82" s="39"/>
      <c r="I82" s="39"/>
      <c r="J82" s="38"/>
      <c r="L82" s="155" t="s">
        <v>53</v>
      </c>
    </row>
    <row r="83" spans="1:12" s="105" customFormat="1" ht="18" customHeight="1">
      <c r="B83" s="157" t="s">
        <v>385</v>
      </c>
      <c r="C83" s="101"/>
      <c r="D83" s="102"/>
      <c r="E83" s="102"/>
      <c r="F83" s="101"/>
      <c r="G83" s="101"/>
      <c r="H83" s="103"/>
      <c r="I83" s="103"/>
      <c r="J83" s="103"/>
      <c r="K83" s="103"/>
      <c r="L83" s="104"/>
    </row>
    <row r="84" spans="1:12" s="105" customFormat="1" ht="5.0999999999999996" customHeight="1">
      <c r="B84" s="99"/>
      <c r="C84" s="101"/>
      <c r="D84" s="102"/>
      <c r="E84" s="102"/>
      <c r="F84" s="101"/>
      <c r="G84" s="101"/>
      <c r="H84" s="103"/>
      <c r="I84" s="103"/>
      <c r="J84" s="103"/>
      <c r="K84" s="103"/>
      <c r="L84" s="104"/>
    </row>
    <row r="85" spans="1:12" ht="18" customHeight="1">
      <c r="B85" s="832" t="s">
        <v>47</v>
      </c>
      <c r="C85" s="834" t="s">
        <v>14</v>
      </c>
      <c r="D85" s="708" t="s">
        <v>38</v>
      </c>
      <c r="E85" s="708"/>
      <c r="F85" s="708"/>
      <c r="G85" s="708"/>
      <c r="H85" s="708"/>
      <c r="I85" s="708"/>
      <c r="J85" s="708"/>
      <c r="K85" s="708"/>
      <c r="L85" s="708"/>
    </row>
    <row r="86" spans="1:12" ht="50.1" customHeight="1">
      <c r="B86" s="833"/>
      <c r="C86" s="834"/>
      <c r="D86" s="45" t="s">
        <v>12</v>
      </c>
      <c r="E86" s="45" t="s">
        <v>9</v>
      </c>
      <c r="F86" s="77" t="s">
        <v>10</v>
      </c>
      <c r="G86" s="45" t="s">
        <v>11</v>
      </c>
      <c r="H86" s="45" t="s">
        <v>7</v>
      </c>
      <c r="I86" s="77" t="s">
        <v>6</v>
      </c>
      <c r="J86" s="45" t="s">
        <v>8</v>
      </c>
      <c r="K86" s="45" t="s">
        <v>58</v>
      </c>
      <c r="L86" s="45" t="s">
        <v>57</v>
      </c>
    </row>
    <row r="87" spans="1:12" ht="5.0999999999999996" customHeight="1">
      <c r="B87" s="89"/>
      <c r="C87" s="106"/>
      <c r="D87" s="43"/>
      <c r="E87" s="43"/>
      <c r="F87" s="43"/>
      <c r="G87" s="43"/>
      <c r="H87" s="43"/>
      <c r="I87" s="43"/>
      <c r="J87" s="43"/>
      <c r="K87" s="43"/>
      <c r="L87" s="43"/>
    </row>
    <row r="88" spans="1:12" ht="17.25" customHeight="1">
      <c r="B88" s="89">
        <v>2012</v>
      </c>
      <c r="C88" s="106"/>
      <c r="D88" s="43"/>
      <c r="E88" s="43"/>
      <c r="F88" s="43"/>
      <c r="G88" s="43"/>
      <c r="H88" s="43"/>
      <c r="I88" s="43"/>
      <c r="J88" s="43"/>
      <c r="K88" s="43"/>
      <c r="L88" s="43"/>
    </row>
    <row r="89" spans="1:12" ht="17.25" customHeight="1">
      <c r="A89" s="12">
        <v>1</v>
      </c>
      <c r="B89" s="6" t="s">
        <v>168</v>
      </c>
      <c r="C89" s="164">
        <v>1271</v>
      </c>
      <c r="D89" s="165">
        <v>1</v>
      </c>
      <c r="E89" s="165">
        <v>11</v>
      </c>
      <c r="F89" s="165">
        <v>57</v>
      </c>
      <c r="G89" s="165">
        <v>83</v>
      </c>
      <c r="H89" s="165">
        <v>44</v>
      </c>
      <c r="I89" s="165">
        <v>120</v>
      </c>
      <c r="J89" s="165">
        <v>202</v>
      </c>
      <c r="K89" s="165">
        <v>360</v>
      </c>
      <c r="L89" s="165">
        <v>393</v>
      </c>
    </row>
    <row r="90" spans="1:12" ht="17.25" customHeight="1">
      <c r="A90" s="12">
        <v>2</v>
      </c>
      <c r="B90" s="6" t="s">
        <v>169</v>
      </c>
      <c r="C90" s="164">
        <v>1200</v>
      </c>
      <c r="D90" s="165">
        <v>4</v>
      </c>
      <c r="E90" s="165">
        <v>7</v>
      </c>
      <c r="F90" s="165">
        <v>64</v>
      </c>
      <c r="G90" s="165">
        <v>84</v>
      </c>
      <c r="H90" s="165">
        <v>25</v>
      </c>
      <c r="I90" s="165">
        <v>92</v>
      </c>
      <c r="J90" s="165">
        <v>209</v>
      </c>
      <c r="K90" s="165">
        <v>408</v>
      </c>
      <c r="L90" s="165">
        <v>307</v>
      </c>
    </row>
    <row r="91" spans="1:12" ht="17.25" customHeight="1">
      <c r="A91" s="12">
        <v>3</v>
      </c>
      <c r="B91" s="6" t="s">
        <v>170</v>
      </c>
      <c r="C91" s="164">
        <v>1170</v>
      </c>
      <c r="D91" s="74" t="s">
        <v>13</v>
      </c>
      <c r="E91" s="74" t="s">
        <v>13</v>
      </c>
      <c r="F91" s="74" t="s">
        <v>13</v>
      </c>
      <c r="G91" s="74" t="s">
        <v>13</v>
      </c>
      <c r="H91" s="74" t="s">
        <v>13</v>
      </c>
      <c r="I91" s="165">
        <v>69</v>
      </c>
      <c r="J91" s="165">
        <v>750</v>
      </c>
      <c r="K91" s="165">
        <v>351</v>
      </c>
      <c r="L91" s="74" t="s">
        <v>13</v>
      </c>
    </row>
    <row r="92" spans="1:12" ht="17.25" customHeight="1">
      <c r="A92" s="12">
        <v>4</v>
      </c>
      <c r="B92" s="6" t="s">
        <v>171</v>
      </c>
      <c r="C92" s="164">
        <v>1130</v>
      </c>
      <c r="D92" s="74" t="s">
        <v>13</v>
      </c>
      <c r="E92" s="74" t="s">
        <v>13</v>
      </c>
      <c r="F92" s="165">
        <v>3</v>
      </c>
      <c r="G92" s="165">
        <v>1</v>
      </c>
      <c r="H92" s="165">
        <v>1</v>
      </c>
      <c r="I92" s="165">
        <v>8</v>
      </c>
      <c r="J92" s="165">
        <v>29</v>
      </c>
      <c r="K92" s="165">
        <v>557</v>
      </c>
      <c r="L92" s="165">
        <v>531</v>
      </c>
    </row>
    <row r="93" spans="1:12" ht="17.25" customHeight="1">
      <c r="A93" s="12">
        <v>5</v>
      </c>
      <c r="B93" s="6" t="s">
        <v>172</v>
      </c>
      <c r="C93" s="164">
        <v>1113</v>
      </c>
      <c r="D93" s="165">
        <v>3</v>
      </c>
      <c r="E93" s="165">
        <v>11</v>
      </c>
      <c r="F93" s="165">
        <v>21</v>
      </c>
      <c r="G93" s="165">
        <v>11</v>
      </c>
      <c r="H93" s="165">
        <v>6</v>
      </c>
      <c r="I93" s="165">
        <v>281</v>
      </c>
      <c r="J93" s="165">
        <v>445</v>
      </c>
      <c r="K93" s="165">
        <v>277</v>
      </c>
      <c r="L93" s="165">
        <v>58</v>
      </c>
    </row>
    <row r="94" spans="1:12" ht="17.25" customHeight="1">
      <c r="A94" s="12">
        <v>6</v>
      </c>
      <c r="B94" s="6" t="s">
        <v>173</v>
      </c>
      <c r="C94" s="164">
        <v>1065</v>
      </c>
      <c r="D94" s="165">
        <v>2</v>
      </c>
      <c r="E94" s="165">
        <v>187</v>
      </c>
      <c r="F94" s="165">
        <v>380</v>
      </c>
      <c r="G94" s="165">
        <v>63</v>
      </c>
      <c r="H94" s="165">
        <v>8</v>
      </c>
      <c r="I94" s="165">
        <v>23</v>
      </c>
      <c r="J94" s="165">
        <v>45</v>
      </c>
      <c r="K94" s="165">
        <v>178</v>
      </c>
      <c r="L94" s="165">
        <v>179</v>
      </c>
    </row>
    <row r="95" spans="1:12" ht="17.25" customHeight="1">
      <c r="A95" s="12">
        <v>7</v>
      </c>
      <c r="B95" s="6" t="s">
        <v>174</v>
      </c>
      <c r="C95" s="164">
        <v>976</v>
      </c>
      <c r="D95" s="74" t="s">
        <v>13</v>
      </c>
      <c r="E95" s="165">
        <v>5</v>
      </c>
      <c r="F95" s="165">
        <v>9</v>
      </c>
      <c r="G95" s="165">
        <v>11</v>
      </c>
      <c r="H95" s="165">
        <v>9</v>
      </c>
      <c r="I95" s="165">
        <v>22</v>
      </c>
      <c r="J95" s="165">
        <v>43</v>
      </c>
      <c r="K95" s="165">
        <v>229</v>
      </c>
      <c r="L95" s="165">
        <v>648</v>
      </c>
    </row>
    <row r="96" spans="1:12" ht="17.25" customHeight="1">
      <c r="A96" s="12">
        <v>8</v>
      </c>
      <c r="B96" s="6" t="s">
        <v>175</v>
      </c>
      <c r="C96" s="164">
        <v>964</v>
      </c>
      <c r="D96" s="165">
        <v>2</v>
      </c>
      <c r="E96" s="165">
        <v>18</v>
      </c>
      <c r="F96" s="165">
        <v>43</v>
      </c>
      <c r="G96" s="165">
        <v>58</v>
      </c>
      <c r="H96" s="165">
        <v>22</v>
      </c>
      <c r="I96" s="165">
        <v>131</v>
      </c>
      <c r="J96" s="165">
        <v>123</v>
      </c>
      <c r="K96" s="165">
        <v>253</v>
      </c>
      <c r="L96" s="165">
        <v>314</v>
      </c>
    </row>
    <row r="97" spans="1:12" ht="17.25" customHeight="1">
      <c r="A97" s="12">
        <v>9</v>
      </c>
      <c r="B97" s="6" t="s">
        <v>176</v>
      </c>
      <c r="C97" s="164">
        <v>949</v>
      </c>
      <c r="D97" s="74" t="s">
        <v>13</v>
      </c>
      <c r="E97" s="74" t="s">
        <v>13</v>
      </c>
      <c r="F97" s="74" t="s">
        <v>13</v>
      </c>
      <c r="G97" s="74" t="s">
        <v>13</v>
      </c>
      <c r="H97" s="74" t="s">
        <v>13</v>
      </c>
      <c r="I97" s="165">
        <v>49</v>
      </c>
      <c r="J97" s="165">
        <v>550</v>
      </c>
      <c r="K97" s="165">
        <v>350</v>
      </c>
      <c r="L97" s="74" t="s">
        <v>13</v>
      </c>
    </row>
    <row r="98" spans="1:12" ht="17.25" customHeight="1">
      <c r="A98" s="12">
        <v>10</v>
      </c>
      <c r="B98" s="6" t="s">
        <v>177</v>
      </c>
      <c r="C98" s="164">
        <v>854</v>
      </c>
      <c r="D98" s="165">
        <v>5</v>
      </c>
      <c r="E98" s="165">
        <v>22</v>
      </c>
      <c r="F98" s="165">
        <v>94</v>
      </c>
      <c r="G98" s="165">
        <v>84</v>
      </c>
      <c r="H98" s="165">
        <v>25</v>
      </c>
      <c r="I98" s="165">
        <v>113</v>
      </c>
      <c r="J98" s="165">
        <v>131</v>
      </c>
      <c r="K98" s="165">
        <v>209</v>
      </c>
      <c r="L98" s="165">
        <v>171</v>
      </c>
    </row>
    <row r="99" spans="1:12" ht="17.25" customHeight="1">
      <c r="A99" s="12">
        <v>11</v>
      </c>
      <c r="B99" s="6" t="s">
        <v>178</v>
      </c>
      <c r="C99" s="164">
        <v>831</v>
      </c>
      <c r="D99" s="165">
        <v>1</v>
      </c>
      <c r="E99" s="165">
        <v>7</v>
      </c>
      <c r="F99" s="165">
        <v>22</v>
      </c>
      <c r="G99" s="165">
        <v>14</v>
      </c>
      <c r="H99" s="165">
        <v>4</v>
      </c>
      <c r="I99" s="165">
        <v>27</v>
      </c>
      <c r="J99" s="165">
        <v>98</v>
      </c>
      <c r="K99" s="165">
        <v>340</v>
      </c>
      <c r="L99" s="165">
        <v>318</v>
      </c>
    </row>
    <row r="100" spans="1:12" ht="17.25" customHeight="1">
      <c r="A100" s="12">
        <v>12</v>
      </c>
      <c r="B100" s="6" t="s">
        <v>179</v>
      </c>
      <c r="C100" s="164">
        <v>743</v>
      </c>
      <c r="D100" s="165">
        <v>1</v>
      </c>
      <c r="E100" s="165">
        <v>21</v>
      </c>
      <c r="F100" s="165">
        <v>208</v>
      </c>
      <c r="G100" s="165">
        <v>87</v>
      </c>
      <c r="H100" s="165">
        <v>26</v>
      </c>
      <c r="I100" s="165">
        <v>73</v>
      </c>
      <c r="J100" s="165">
        <v>92</v>
      </c>
      <c r="K100" s="165">
        <v>136</v>
      </c>
      <c r="L100" s="165">
        <v>99</v>
      </c>
    </row>
    <row r="101" spans="1:12" ht="17.25" customHeight="1">
      <c r="A101" s="12">
        <v>13</v>
      </c>
      <c r="B101" s="6" t="s">
        <v>180</v>
      </c>
      <c r="C101" s="164">
        <v>733</v>
      </c>
      <c r="D101" s="165">
        <v>17</v>
      </c>
      <c r="E101" s="165">
        <v>48</v>
      </c>
      <c r="F101" s="165">
        <v>152</v>
      </c>
      <c r="G101" s="165">
        <v>35</v>
      </c>
      <c r="H101" s="165">
        <v>17</v>
      </c>
      <c r="I101" s="165">
        <v>43</v>
      </c>
      <c r="J101" s="165">
        <v>58</v>
      </c>
      <c r="K101" s="165">
        <v>199</v>
      </c>
      <c r="L101" s="165">
        <v>164</v>
      </c>
    </row>
    <row r="102" spans="1:12" ht="17.25" customHeight="1">
      <c r="A102" s="12">
        <v>14</v>
      </c>
      <c r="B102" s="6" t="s">
        <v>181</v>
      </c>
      <c r="C102" s="164">
        <v>671</v>
      </c>
      <c r="D102" s="74" t="s">
        <v>13</v>
      </c>
      <c r="E102" s="165">
        <v>2</v>
      </c>
      <c r="F102" s="165">
        <v>41</v>
      </c>
      <c r="G102" s="165">
        <v>32</v>
      </c>
      <c r="H102" s="165">
        <v>15</v>
      </c>
      <c r="I102" s="165">
        <v>53</v>
      </c>
      <c r="J102" s="165">
        <v>193</v>
      </c>
      <c r="K102" s="165">
        <v>292</v>
      </c>
      <c r="L102" s="165">
        <v>43</v>
      </c>
    </row>
    <row r="103" spans="1:12" ht="17.25" customHeight="1">
      <c r="A103" s="12">
        <v>15</v>
      </c>
      <c r="B103" s="6" t="s">
        <v>93</v>
      </c>
      <c r="C103" s="164">
        <v>666</v>
      </c>
      <c r="D103" s="165">
        <v>18</v>
      </c>
      <c r="E103" s="165">
        <v>93</v>
      </c>
      <c r="F103" s="165">
        <v>32</v>
      </c>
      <c r="G103" s="165">
        <v>15</v>
      </c>
      <c r="H103" s="165">
        <v>15</v>
      </c>
      <c r="I103" s="165">
        <v>10</v>
      </c>
      <c r="J103" s="165">
        <v>32</v>
      </c>
      <c r="K103" s="165">
        <v>186</v>
      </c>
      <c r="L103" s="165">
        <v>265</v>
      </c>
    </row>
    <row r="104" spans="1:12" ht="17.25" customHeight="1">
      <c r="A104" s="12">
        <v>16</v>
      </c>
      <c r="B104" s="6" t="s">
        <v>182</v>
      </c>
      <c r="C104" s="164">
        <v>658</v>
      </c>
      <c r="D104" s="74" t="s">
        <v>13</v>
      </c>
      <c r="E104" s="165">
        <v>2</v>
      </c>
      <c r="F104" s="165">
        <v>7</v>
      </c>
      <c r="G104" s="165">
        <v>13</v>
      </c>
      <c r="H104" s="165">
        <v>5</v>
      </c>
      <c r="I104" s="165">
        <v>32</v>
      </c>
      <c r="J104" s="165">
        <v>90</v>
      </c>
      <c r="K104" s="165">
        <v>252</v>
      </c>
      <c r="L104" s="165">
        <v>257</v>
      </c>
    </row>
    <row r="105" spans="1:12" ht="17.25" customHeight="1">
      <c r="A105" s="12">
        <v>17</v>
      </c>
      <c r="B105" s="6" t="s">
        <v>183</v>
      </c>
      <c r="C105" s="164">
        <v>597</v>
      </c>
      <c r="D105" s="165">
        <v>6</v>
      </c>
      <c r="E105" s="165">
        <v>24</v>
      </c>
      <c r="F105" s="165">
        <v>68</v>
      </c>
      <c r="G105" s="165">
        <v>98</v>
      </c>
      <c r="H105" s="165">
        <v>43</v>
      </c>
      <c r="I105" s="165">
        <v>80</v>
      </c>
      <c r="J105" s="165">
        <v>88</v>
      </c>
      <c r="K105" s="165">
        <v>96</v>
      </c>
      <c r="L105" s="165">
        <v>94</v>
      </c>
    </row>
    <row r="106" spans="1:12" ht="17.25" customHeight="1">
      <c r="A106" s="12">
        <v>18</v>
      </c>
      <c r="B106" s="6" t="s">
        <v>184</v>
      </c>
      <c r="C106" s="164">
        <v>597</v>
      </c>
      <c r="D106" s="165">
        <v>491</v>
      </c>
      <c r="E106" s="165">
        <v>25</v>
      </c>
      <c r="F106" s="165">
        <v>11</v>
      </c>
      <c r="G106" s="165">
        <v>5</v>
      </c>
      <c r="H106" s="74" t="s">
        <v>13</v>
      </c>
      <c r="I106" s="165">
        <v>8</v>
      </c>
      <c r="J106" s="165">
        <v>47</v>
      </c>
      <c r="K106" s="165">
        <v>10</v>
      </c>
      <c r="L106" s="74" t="s">
        <v>13</v>
      </c>
    </row>
    <row r="107" spans="1:12" ht="17.25" customHeight="1">
      <c r="A107" s="10">
        <v>19</v>
      </c>
      <c r="B107" s="6" t="s">
        <v>185</v>
      </c>
      <c r="C107" s="164">
        <v>580</v>
      </c>
      <c r="D107" s="165">
        <v>3</v>
      </c>
      <c r="E107" s="165">
        <v>80</v>
      </c>
      <c r="F107" s="165">
        <v>129</v>
      </c>
      <c r="G107" s="165">
        <v>38</v>
      </c>
      <c r="H107" s="165">
        <v>6</v>
      </c>
      <c r="I107" s="165">
        <v>17</v>
      </c>
      <c r="J107" s="165">
        <v>85</v>
      </c>
      <c r="K107" s="165">
        <v>136</v>
      </c>
      <c r="L107" s="165">
        <v>86</v>
      </c>
    </row>
    <row r="108" spans="1:12" ht="5.0999999999999996" customHeight="1">
      <c r="B108" s="82"/>
      <c r="C108" s="78"/>
      <c r="D108" s="79"/>
      <c r="E108" s="79"/>
      <c r="F108" s="79"/>
      <c r="G108" s="79"/>
      <c r="H108" s="79"/>
      <c r="I108" s="79"/>
      <c r="J108" s="79"/>
      <c r="K108" s="79"/>
      <c r="L108" s="79"/>
    </row>
    <row r="109" spans="1:12" ht="12" customHeight="1">
      <c r="B109" s="14"/>
      <c r="C109" s="14"/>
      <c r="D109" s="37"/>
      <c r="E109" s="40"/>
      <c r="F109" s="14"/>
      <c r="G109" s="38"/>
      <c r="H109" s="39"/>
      <c r="I109" s="39"/>
      <c r="J109" s="38"/>
      <c r="K109" s="40"/>
      <c r="L109" s="154" t="s">
        <v>53</v>
      </c>
    </row>
    <row r="110" spans="1:12" s="105" customFormat="1" ht="18" customHeight="1">
      <c r="B110" s="157" t="s">
        <v>385</v>
      </c>
      <c r="C110" s="101"/>
      <c r="D110" s="102"/>
      <c r="E110" s="102"/>
      <c r="F110" s="101"/>
      <c r="G110" s="101"/>
      <c r="H110" s="103"/>
      <c r="I110" s="103"/>
      <c r="J110" s="103"/>
      <c r="K110" s="103"/>
      <c r="L110" s="104"/>
    </row>
    <row r="111" spans="1:12" s="105" customFormat="1" ht="5.0999999999999996" customHeight="1">
      <c r="B111" s="99"/>
      <c r="C111" s="101"/>
      <c r="D111" s="102"/>
      <c r="E111" s="102"/>
      <c r="F111" s="101"/>
      <c r="G111" s="101"/>
      <c r="H111" s="103"/>
      <c r="I111" s="103"/>
      <c r="J111" s="103"/>
      <c r="K111" s="103"/>
      <c r="L111" s="104"/>
    </row>
    <row r="112" spans="1:12" ht="18" customHeight="1">
      <c r="B112" s="832" t="s">
        <v>47</v>
      </c>
      <c r="C112" s="834" t="s">
        <v>14</v>
      </c>
      <c r="D112" s="708" t="s">
        <v>38</v>
      </c>
      <c r="E112" s="708"/>
      <c r="F112" s="708"/>
      <c r="G112" s="708"/>
      <c r="H112" s="708"/>
      <c r="I112" s="708"/>
      <c r="J112" s="708"/>
      <c r="K112" s="708"/>
      <c r="L112" s="708"/>
    </row>
    <row r="113" spans="1:12" ht="50.1" customHeight="1">
      <c r="B113" s="833"/>
      <c r="C113" s="834"/>
      <c r="D113" s="45" t="s">
        <v>12</v>
      </c>
      <c r="E113" s="45" t="s">
        <v>9</v>
      </c>
      <c r="F113" s="77" t="s">
        <v>10</v>
      </c>
      <c r="G113" s="45" t="s">
        <v>11</v>
      </c>
      <c r="H113" s="45" t="s">
        <v>7</v>
      </c>
      <c r="I113" s="77" t="s">
        <v>6</v>
      </c>
      <c r="J113" s="45" t="s">
        <v>8</v>
      </c>
      <c r="K113" s="45" t="s">
        <v>58</v>
      </c>
      <c r="L113" s="45" t="s">
        <v>57</v>
      </c>
    </row>
    <row r="114" spans="1:12" ht="5.0999999999999996" customHeight="1">
      <c r="B114" s="89"/>
      <c r="C114" s="81"/>
      <c r="D114" s="43"/>
      <c r="E114" s="43"/>
      <c r="F114" s="43"/>
      <c r="G114" s="43"/>
      <c r="H114" s="43"/>
      <c r="I114" s="43"/>
      <c r="J114" s="43"/>
      <c r="K114" s="43"/>
      <c r="L114" s="43"/>
    </row>
    <row r="115" spans="1:12" ht="17.25" customHeight="1">
      <c r="B115" s="89">
        <v>2012</v>
      </c>
      <c r="C115" s="164"/>
      <c r="D115" s="43"/>
      <c r="E115" s="43"/>
      <c r="F115" s="43"/>
      <c r="G115" s="43"/>
      <c r="H115" s="43"/>
      <c r="I115" s="43"/>
      <c r="J115" s="43"/>
      <c r="K115" s="43"/>
      <c r="L115" s="43"/>
    </row>
    <row r="116" spans="1:12" ht="17.25" customHeight="1">
      <c r="A116" s="12">
        <v>1</v>
      </c>
      <c r="B116" s="6" t="s">
        <v>186</v>
      </c>
      <c r="C116" s="164">
        <v>580</v>
      </c>
      <c r="D116" s="74" t="s">
        <v>13</v>
      </c>
      <c r="E116" s="165">
        <v>7</v>
      </c>
      <c r="F116" s="165">
        <v>30</v>
      </c>
      <c r="G116" s="165">
        <v>37</v>
      </c>
      <c r="H116" s="165">
        <v>14</v>
      </c>
      <c r="I116" s="165">
        <v>53</v>
      </c>
      <c r="J116" s="165">
        <v>81</v>
      </c>
      <c r="K116" s="165">
        <v>181</v>
      </c>
      <c r="L116" s="165">
        <v>177</v>
      </c>
    </row>
    <row r="117" spans="1:12" ht="17.25" customHeight="1">
      <c r="A117" s="12">
        <v>2</v>
      </c>
      <c r="B117" s="6" t="s">
        <v>187</v>
      </c>
      <c r="C117" s="164">
        <v>567</v>
      </c>
      <c r="D117" s="74" t="s">
        <v>13</v>
      </c>
      <c r="E117" s="165">
        <v>2</v>
      </c>
      <c r="F117" s="165">
        <v>16</v>
      </c>
      <c r="G117" s="165">
        <v>25</v>
      </c>
      <c r="H117" s="165">
        <v>6</v>
      </c>
      <c r="I117" s="165">
        <v>35</v>
      </c>
      <c r="J117" s="165">
        <v>73</v>
      </c>
      <c r="K117" s="165">
        <v>201</v>
      </c>
      <c r="L117" s="165">
        <v>209</v>
      </c>
    </row>
    <row r="118" spans="1:12" ht="17.25" customHeight="1">
      <c r="A118" s="12">
        <v>3</v>
      </c>
      <c r="B118" s="6" t="s">
        <v>188</v>
      </c>
      <c r="C118" s="164">
        <v>539</v>
      </c>
      <c r="D118" s="165">
        <v>1</v>
      </c>
      <c r="E118" s="165">
        <v>5</v>
      </c>
      <c r="F118" s="165">
        <v>4</v>
      </c>
      <c r="G118" s="165">
        <v>4</v>
      </c>
      <c r="H118" s="165">
        <v>5</v>
      </c>
      <c r="I118" s="165">
        <v>17</v>
      </c>
      <c r="J118" s="165">
        <v>70</v>
      </c>
      <c r="K118" s="165">
        <v>190</v>
      </c>
      <c r="L118" s="165">
        <v>243</v>
      </c>
    </row>
    <row r="119" spans="1:12" ht="17.25" customHeight="1">
      <c r="A119" s="12">
        <v>4</v>
      </c>
      <c r="B119" s="6" t="s">
        <v>189</v>
      </c>
      <c r="C119" s="164">
        <v>532</v>
      </c>
      <c r="D119" s="165">
        <v>4</v>
      </c>
      <c r="E119" s="165">
        <v>14</v>
      </c>
      <c r="F119" s="165">
        <v>30</v>
      </c>
      <c r="G119" s="165">
        <v>28</v>
      </c>
      <c r="H119" s="165">
        <v>12</v>
      </c>
      <c r="I119" s="165">
        <v>42</v>
      </c>
      <c r="J119" s="165">
        <v>145</v>
      </c>
      <c r="K119" s="165">
        <v>165</v>
      </c>
      <c r="L119" s="165">
        <v>92</v>
      </c>
    </row>
    <row r="120" spans="1:12" ht="17.25" customHeight="1">
      <c r="A120" s="12">
        <v>5</v>
      </c>
      <c r="B120" s="6" t="s">
        <v>190</v>
      </c>
      <c r="C120" s="164">
        <v>528</v>
      </c>
      <c r="D120" s="74" t="s">
        <v>13</v>
      </c>
      <c r="E120" s="165">
        <v>33</v>
      </c>
      <c r="F120" s="165">
        <v>120</v>
      </c>
      <c r="G120" s="165">
        <v>52</v>
      </c>
      <c r="H120" s="165">
        <v>12</v>
      </c>
      <c r="I120" s="165">
        <v>28</v>
      </c>
      <c r="J120" s="165">
        <v>56</v>
      </c>
      <c r="K120" s="165">
        <v>140</v>
      </c>
      <c r="L120" s="165">
        <v>87</v>
      </c>
    </row>
    <row r="121" spans="1:12" ht="17.25" customHeight="1">
      <c r="A121" s="12">
        <v>6</v>
      </c>
      <c r="B121" s="6" t="s">
        <v>191</v>
      </c>
      <c r="C121" s="164">
        <v>521</v>
      </c>
      <c r="D121" s="74" t="s">
        <v>13</v>
      </c>
      <c r="E121" s="165">
        <v>1</v>
      </c>
      <c r="F121" s="165">
        <v>10</v>
      </c>
      <c r="G121" s="165">
        <v>10</v>
      </c>
      <c r="H121" s="165">
        <v>1</v>
      </c>
      <c r="I121" s="165">
        <v>36</v>
      </c>
      <c r="J121" s="165">
        <v>105</v>
      </c>
      <c r="K121" s="165">
        <v>194</v>
      </c>
      <c r="L121" s="165">
        <v>164</v>
      </c>
    </row>
    <row r="122" spans="1:12" ht="17.25" customHeight="1">
      <c r="A122" s="12">
        <v>7</v>
      </c>
      <c r="B122" s="6" t="s">
        <v>192</v>
      </c>
      <c r="C122" s="164">
        <v>502</v>
      </c>
      <c r="D122" s="74" t="s">
        <v>13</v>
      </c>
      <c r="E122" s="74" t="s">
        <v>13</v>
      </c>
      <c r="F122" s="74" t="s">
        <v>13</v>
      </c>
      <c r="G122" s="74" t="s">
        <v>13</v>
      </c>
      <c r="H122" s="74" t="s">
        <v>13</v>
      </c>
      <c r="I122" s="165">
        <v>21</v>
      </c>
      <c r="J122" s="165">
        <v>343</v>
      </c>
      <c r="K122" s="165">
        <v>138</v>
      </c>
      <c r="L122" s="74" t="s">
        <v>13</v>
      </c>
    </row>
    <row r="123" spans="1:12" ht="17.25" customHeight="1">
      <c r="A123" s="12">
        <v>8</v>
      </c>
      <c r="B123" s="6" t="s">
        <v>193</v>
      </c>
      <c r="C123" s="164">
        <v>474</v>
      </c>
      <c r="D123" s="74" t="s">
        <v>13</v>
      </c>
      <c r="E123" s="165">
        <v>1</v>
      </c>
      <c r="F123" s="165">
        <v>20</v>
      </c>
      <c r="G123" s="165">
        <v>18</v>
      </c>
      <c r="H123" s="165">
        <v>5</v>
      </c>
      <c r="I123" s="165">
        <v>34</v>
      </c>
      <c r="J123" s="165">
        <v>69</v>
      </c>
      <c r="K123" s="165">
        <v>191</v>
      </c>
      <c r="L123" s="165">
        <v>136</v>
      </c>
    </row>
    <row r="124" spans="1:12" ht="17.25" customHeight="1">
      <c r="A124" s="12">
        <v>9</v>
      </c>
      <c r="B124" s="6" t="s">
        <v>194</v>
      </c>
      <c r="C124" s="164">
        <v>469</v>
      </c>
      <c r="D124" s="165">
        <v>1</v>
      </c>
      <c r="E124" s="165">
        <v>6</v>
      </c>
      <c r="F124" s="165">
        <v>12</v>
      </c>
      <c r="G124" s="165">
        <v>7</v>
      </c>
      <c r="H124" s="165">
        <v>2</v>
      </c>
      <c r="I124" s="165">
        <v>18</v>
      </c>
      <c r="J124" s="165">
        <v>55</v>
      </c>
      <c r="K124" s="165">
        <v>196</v>
      </c>
      <c r="L124" s="165">
        <v>172</v>
      </c>
    </row>
    <row r="125" spans="1:12" ht="17.25" customHeight="1">
      <c r="A125" s="12">
        <v>10</v>
      </c>
      <c r="B125" s="6" t="s">
        <v>195</v>
      </c>
      <c r="C125" s="164">
        <v>460</v>
      </c>
      <c r="D125" s="74" t="s">
        <v>13</v>
      </c>
      <c r="E125" s="74" t="s">
        <v>13</v>
      </c>
      <c r="F125" s="74" t="s">
        <v>13</v>
      </c>
      <c r="G125" s="74" t="s">
        <v>13</v>
      </c>
      <c r="H125" s="165">
        <v>1</v>
      </c>
      <c r="I125" s="165">
        <v>20</v>
      </c>
      <c r="J125" s="165">
        <v>246</v>
      </c>
      <c r="K125" s="165">
        <v>193</v>
      </c>
      <c r="L125" s="74" t="s">
        <v>13</v>
      </c>
    </row>
    <row r="126" spans="1:12" ht="17.25" customHeight="1">
      <c r="A126" s="12">
        <v>11</v>
      </c>
      <c r="B126" s="6" t="s">
        <v>196</v>
      </c>
      <c r="C126" s="164">
        <v>451</v>
      </c>
      <c r="D126" s="74" t="s">
        <v>13</v>
      </c>
      <c r="E126" s="74" t="s">
        <v>13</v>
      </c>
      <c r="F126" s="74" t="s">
        <v>13</v>
      </c>
      <c r="G126" s="74" t="s">
        <v>13</v>
      </c>
      <c r="H126" s="74" t="s">
        <v>13</v>
      </c>
      <c r="I126" s="165">
        <v>25</v>
      </c>
      <c r="J126" s="165">
        <v>260</v>
      </c>
      <c r="K126" s="165">
        <v>166</v>
      </c>
      <c r="L126" s="74" t="s">
        <v>13</v>
      </c>
    </row>
    <row r="127" spans="1:12" ht="17.25" customHeight="1">
      <c r="A127" s="12">
        <v>12</v>
      </c>
      <c r="B127" s="6" t="s">
        <v>197</v>
      </c>
      <c r="C127" s="164">
        <v>435</v>
      </c>
      <c r="D127" s="165">
        <v>358</v>
      </c>
      <c r="E127" s="165">
        <v>42</v>
      </c>
      <c r="F127" s="165">
        <v>7</v>
      </c>
      <c r="G127" s="165">
        <v>4</v>
      </c>
      <c r="H127" s="165">
        <v>1</v>
      </c>
      <c r="I127" s="165">
        <v>6</v>
      </c>
      <c r="J127" s="165">
        <v>11</v>
      </c>
      <c r="K127" s="165">
        <v>3</v>
      </c>
      <c r="L127" s="165">
        <v>3</v>
      </c>
    </row>
    <row r="128" spans="1:12" ht="17.25" customHeight="1">
      <c r="A128" s="12">
        <v>13</v>
      </c>
      <c r="B128" s="6" t="s">
        <v>198</v>
      </c>
      <c r="C128" s="164">
        <v>429</v>
      </c>
      <c r="D128" s="165">
        <v>287</v>
      </c>
      <c r="E128" s="165">
        <v>30</v>
      </c>
      <c r="F128" s="165">
        <v>12</v>
      </c>
      <c r="G128" s="165">
        <v>12</v>
      </c>
      <c r="H128" s="165">
        <v>3</v>
      </c>
      <c r="I128" s="165">
        <v>11</v>
      </c>
      <c r="J128" s="165">
        <v>33</v>
      </c>
      <c r="K128" s="165">
        <v>19</v>
      </c>
      <c r="L128" s="165">
        <v>22</v>
      </c>
    </row>
    <row r="129" spans="1:12" ht="17.25" customHeight="1">
      <c r="A129" s="12">
        <v>14</v>
      </c>
      <c r="B129" s="6" t="s">
        <v>199</v>
      </c>
      <c r="C129" s="164">
        <v>425</v>
      </c>
      <c r="D129" s="74" t="s">
        <v>13</v>
      </c>
      <c r="E129" s="165">
        <v>1</v>
      </c>
      <c r="F129" s="165">
        <v>19</v>
      </c>
      <c r="G129" s="165">
        <v>103</v>
      </c>
      <c r="H129" s="165">
        <v>60</v>
      </c>
      <c r="I129" s="165">
        <v>37</v>
      </c>
      <c r="J129" s="165">
        <v>45</v>
      </c>
      <c r="K129" s="165">
        <v>100</v>
      </c>
      <c r="L129" s="165">
        <v>60</v>
      </c>
    </row>
    <row r="130" spans="1:12" ht="17.25" customHeight="1">
      <c r="A130" s="12">
        <v>15</v>
      </c>
      <c r="B130" s="6" t="s">
        <v>200</v>
      </c>
      <c r="C130" s="164">
        <v>419</v>
      </c>
      <c r="D130" s="74" t="s">
        <v>13</v>
      </c>
      <c r="E130" s="165">
        <v>26</v>
      </c>
      <c r="F130" s="165">
        <v>58</v>
      </c>
      <c r="G130" s="165">
        <v>36</v>
      </c>
      <c r="H130" s="165">
        <v>14</v>
      </c>
      <c r="I130" s="165">
        <v>96</v>
      </c>
      <c r="J130" s="165">
        <v>73</v>
      </c>
      <c r="K130" s="165">
        <v>78</v>
      </c>
      <c r="L130" s="165">
        <v>38</v>
      </c>
    </row>
    <row r="131" spans="1:12" ht="17.25" customHeight="1">
      <c r="A131" s="12">
        <v>16</v>
      </c>
      <c r="B131" s="6" t="s">
        <v>201</v>
      </c>
      <c r="C131" s="164">
        <v>417</v>
      </c>
      <c r="D131" s="74" t="s">
        <v>13</v>
      </c>
      <c r="E131" s="74" t="s">
        <v>13</v>
      </c>
      <c r="F131" s="165">
        <v>7</v>
      </c>
      <c r="G131" s="74" t="s">
        <v>13</v>
      </c>
      <c r="H131" s="74" t="s">
        <v>13</v>
      </c>
      <c r="I131" s="165">
        <v>3</v>
      </c>
      <c r="J131" s="165">
        <v>30</v>
      </c>
      <c r="K131" s="165">
        <v>96</v>
      </c>
      <c r="L131" s="165">
        <v>281</v>
      </c>
    </row>
    <row r="132" spans="1:12" ht="17.25" customHeight="1">
      <c r="A132" s="12">
        <v>17</v>
      </c>
      <c r="B132" s="6" t="s">
        <v>202</v>
      </c>
      <c r="C132" s="164">
        <v>405</v>
      </c>
      <c r="D132" s="74" t="s">
        <v>13</v>
      </c>
      <c r="E132" s="165">
        <v>4</v>
      </c>
      <c r="F132" s="165">
        <v>58</v>
      </c>
      <c r="G132" s="165">
        <v>28</v>
      </c>
      <c r="H132" s="165">
        <v>5</v>
      </c>
      <c r="I132" s="165">
        <v>21</v>
      </c>
      <c r="J132" s="165">
        <v>69</v>
      </c>
      <c r="K132" s="165">
        <v>142</v>
      </c>
      <c r="L132" s="165">
        <v>78</v>
      </c>
    </row>
    <row r="133" spans="1:12" ht="17.25" customHeight="1">
      <c r="A133" s="12">
        <v>18</v>
      </c>
      <c r="B133" s="6" t="s">
        <v>203</v>
      </c>
      <c r="C133" s="164">
        <v>351</v>
      </c>
      <c r="D133" s="74" t="s">
        <v>13</v>
      </c>
      <c r="E133" s="74" t="s">
        <v>13</v>
      </c>
      <c r="F133" s="74" t="s">
        <v>13</v>
      </c>
      <c r="G133" s="74" t="s">
        <v>13</v>
      </c>
      <c r="H133" s="74" t="s">
        <v>13</v>
      </c>
      <c r="I133" s="74" t="s">
        <v>13</v>
      </c>
      <c r="J133" s="165">
        <v>131</v>
      </c>
      <c r="K133" s="165">
        <v>132</v>
      </c>
      <c r="L133" s="165">
        <v>88</v>
      </c>
    </row>
    <row r="134" spans="1:12" ht="17.25" customHeight="1">
      <c r="A134" s="10">
        <v>19</v>
      </c>
      <c r="B134" s="6" t="s">
        <v>204</v>
      </c>
      <c r="C134" s="164">
        <v>330</v>
      </c>
      <c r="D134" s="165" t="s">
        <v>13</v>
      </c>
      <c r="E134" s="165" t="s">
        <v>13</v>
      </c>
      <c r="F134" s="165" t="s">
        <v>13</v>
      </c>
      <c r="G134" s="165" t="s">
        <v>13</v>
      </c>
      <c r="H134" s="165" t="s">
        <v>13</v>
      </c>
      <c r="I134" s="165">
        <v>94</v>
      </c>
      <c r="J134" s="165">
        <v>82</v>
      </c>
      <c r="K134" s="165">
        <v>117</v>
      </c>
      <c r="L134" s="165">
        <v>37</v>
      </c>
    </row>
    <row r="135" spans="1:12" ht="5.0999999999999996" customHeight="1">
      <c r="B135" s="82"/>
      <c r="C135" s="78"/>
      <c r="D135" s="79"/>
      <c r="E135" s="79"/>
      <c r="F135" s="79"/>
      <c r="G135" s="79"/>
      <c r="H135" s="79"/>
      <c r="I135" s="79"/>
      <c r="J135" s="79"/>
      <c r="K135" s="79"/>
      <c r="L135" s="79"/>
    </row>
    <row r="136" spans="1:12" ht="12" customHeight="1">
      <c r="B136" s="14"/>
      <c r="C136" s="14"/>
      <c r="D136" s="37"/>
      <c r="E136" s="40"/>
      <c r="F136" s="14"/>
      <c r="G136" s="38"/>
      <c r="H136" s="39"/>
      <c r="I136" s="39"/>
      <c r="J136" s="38"/>
      <c r="K136" s="40"/>
      <c r="L136" s="154" t="s">
        <v>53</v>
      </c>
    </row>
    <row r="137" spans="1:12" s="105" customFormat="1" ht="18" customHeight="1">
      <c r="B137" s="157" t="s">
        <v>385</v>
      </c>
      <c r="C137" s="101"/>
      <c r="D137" s="102"/>
      <c r="E137" s="102"/>
      <c r="F137" s="101"/>
      <c r="G137" s="101"/>
      <c r="H137" s="103"/>
      <c r="I137" s="103"/>
      <c r="J137" s="103"/>
      <c r="K137" s="103"/>
      <c r="L137" s="104"/>
    </row>
    <row r="138" spans="1:12" s="105" customFormat="1" ht="5.0999999999999996" customHeight="1">
      <c r="B138" s="99"/>
      <c r="C138" s="101"/>
      <c r="D138" s="102"/>
      <c r="E138" s="102"/>
      <c r="F138" s="101"/>
      <c r="G138" s="101"/>
      <c r="H138" s="103"/>
      <c r="I138" s="103"/>
      <c r="J138" s="103"/>
      <c r="K138" s="103"/>
      <c r="L138" s="104"/>
    </row>
    <row r="139" spans="1:12" ht="18" customHeight="1">
      <c r="B139" s="832" t="s">
        <v>47</v>
      </c>
      <c r="C139" s="834" t="s">
        <v>14</v>
      </c>
      <c r="D139" s="708" t="s">
        <v>38</v>
      </c>
      <c r="E139" s="708"/>
      <c r="F139" s="708"/>
      <c r="G139" s="708"/>
      <c r="H139" s="708"/>
      <c r="I139" s="708"/>
      <c r="J139" s="708"/>
      <c r="K139" s="708"/>
      <c r="L139" s="708"/>
    </row>
    <row r="140" spans="1:12" ht="50.1" customHeight="1">
      <c r="B140" s="833"/>
      <c r="C140" s="834"/>
      <c r="D140" s="45" t="s">
        <v>12</v>
      </c>
      <c r="E140" s="45" t="s">
        <v>9</v>
      </c>
      <c r="F140" s="77" t="s">
        <v>10</v>
      </c>
      <c r="G140" s="45" t="s">
        <v>11</v>
      </c>
      <c r="H140" s="45" t="s">
        <v>7</v>
      </c>
      <c r="I140" s="77" t="s">
        <v>6</v>
      </c>
      <c r="J140" s="45" t="s">
        <v>8</v>
      </c>
      <c r="K140" s="45" t="s">
        <v>58</v>
      </c>
      <c r="L140" s="45" t="s">
        <v>57</v>
      </c>
    </row>
    <row r="141" spans="1:12" ht="5.0999999999999996" customHeight="1">
      <c r="B141" s="89"/>
      <c r="C141" s="106"/>
      <c r="D141" s="43"/>
      <c r="E141" s="43"/>
      <c r="F141" s="43"/>
      <c r="G141" s="43"/>
      <c r="H141" s="43"/>
      <c r="I141" s="43"/>
      <c r="J141" s="43"/>
      <c r="K141" s="43"/>
      <c r="L141" s="43"/>
    </row>
    <row r="142" spans="1:12" ht="17.25" customHeight="1">
      <c r="B142" s="89">
        <v>2012</v>
      </c>
      <c r="C142" s="106"/>
      <c r="D142" s="43"/>
      <c r="E142" s="43"/>
      <c r="F142" s="43"/>
      <c r="G142" s="43"/>
      <c r="H142" s="43"/>
      <c r="I142" s="43"/>
      <c r="J142" s="43"/>
      <c r="K142" s="43"/>
      <c r="L142" s="43"/>
    </row>
    <row r="143" spans="1:12" ht="17.25" customHeight="1">
      <c r="A143" s="12">
        <v>1</v>
      </c>
      <c r="B143" s="6" t="s">
        <v>205</v>
      </c>
      <c r="C143" s="164">
        <v>327</v>
      </c>
      <c r="D143" s="74" t="s">
        <v>13</v>
      </c>
      <c r="E143" s="74" t="s">
        <v>13</v>
      </c>
      <c r="F143" s="74" t="s">
        <v>13</v>
      </c>
      <c r="G143" s="74" t="s">
        <v>13</v>
      </c>
      <c r="H143" s="165">
        <v>1</v>
      </c>
      <c r="I143" s="165">
        <v>20</v>
      </c>
      <c r="J143" s="165">
        <v>225</v>
      </c>
      <c r="K143" s="165">
        <v>81</v>
      </c>
      <c r="L143" s="74" t="s">
        <v>13</v>
      </c>
    </row>
    <row r="144" spans="1:12" ht="17.25" customHeight="1">
      <c r="A144" s="12">
        <v>2</v>
      </c>
      <c r="B144" s="6" t="s">
        <v>206</v>
      </c>
      <c r="C144" s="164">
        <v>319</v>
      </c>
      <c r="D144" s="74" t="s">
        <v>13</v>
      </c>
      <c r="E144" s="165">
        <v>1</v>
      </c>
      <c r="F144" s="165">
        <v>42</v>
      </c>
      <c r="G144" s="165">
        <v>20</v>
      </c>
      <c r="H144" s="165">
        <v>7</v>
      </c>
      <c r="I144" s="165">
        <v>14</v>
      </c>
      <c r="J144" s="165">
        <v>44</v>
      </c>
      <c r="K144" s="165">
        <v>114</v>
      </c>
      <c r="L144" s="165">
        <v>77</v>
      </c>
    </row>
    <row r="145" spans="1:12" ht="17.25" customHeight="1">
      <c r="A145" s="12">
        <v>3</v>
      </c>
      <c r="B145" s="6" t="s">
        <v>207</v>
      </c>
      <c r="C145" s="164">
        <v>318</v>
      </c>
      <c r="D145" s="165">
        <v>2</v>
      </c>
      <c r="E145" s="165">
        <v>1</v>
      </c>
      <c r="F145" s="165">
        <v>1</v>
      </c>
      <c r="G145" s="165">
        <v>4</v>
      </c>
      <c r="H145" s="165">
        <v>5</v>
      </c>
      <c r="I145" s="165">
        <v>18</v>
      </c>
      <c r="J145" s="165">
        <v>169</v>
      </c>
      <c r="K145" s="165">
        <v>113</v>
      </c>
      <c r="L145" s="165">
        <v>5</v>
      </c>
    </row>
    <row r="146" spans="1:12" ht="17.25" customHeight="1">
      <c r="A146" s="12">
        <v>4</v>
      </c>
      <c r="B146" s="6" t="s">
        <v>208</v>
      </c>
      <c r="C146" s="164">
        <v>318</v>
      </c>
      <c r="D146" s="165">
        <v>4</v>
      </c>
      <c r="E146" s="165">
        <v>1</v>
      </c>
      <c r="F146" s="165">
        <v>6</v>
      </c>
      <c r="G146" s="165">
        <v>4</v>
      </c>
      <c r="H146" s="165">
        <v>1</v>
      </c>
      <c r="I146" s="165">
        <v>2</v>
      </c>
      <c r="J146" s="165">
        <v>19</v>
      </c>
      <c r="K146" s="165">
        <v>52</v>
      </c>
      <c r="L146" s="165">
        <v>229</v>
      </c>
    </row>
    <row r="147" spans="1:12" ht="17.25" customHeight="1">
      <c r="A147" s="12">
        <v>5</v>
      </c>
      <c r="B147" s="6" t="s">
        <v>209</v>
      </c>
      <c r="C147" s="164">
        <v>317</v>
      </c>
      <c r="D147" s="74" t="s">
        <v>13</v>
      </c>
      <c r="E147" s="74" t="s">
        <v>13</v>
      </c>
      <c r="F147" s="74" t="s">
        <v>13</v>
      </c>
      <c r="G147" s="74" t="s">
        <v>13</v>
      </c>
      <c r="H147" s="165">
        <v>2</v>
      </c>
      <c r="I147" s="165">
        <v>25</v>
      </c>
      <c r="J147" s="165">
        <v>110</v>
      </c>
      <c r="K147" s="165">
        <v>148</v>
      </c>
      <c r="L147" s="165">
        <v>32</v>
      </c>
    </row>
    <row r="148" spans="1:12" ht="17.25" customHeight="1">
      <c r="A148" s="12">
        <v>6</v>
      </c>
      <c r="B148" s="6" t="s">
        <v>210</v>
      </c>
      <c r="C148" s="164">
        <v>285</v>
      </c>
      <c r="D148" s="165">
        <v>5</v>
      </c>
      <c r="E148" s="165">
        <v>12</v>
      </c>
      <c r="F148" s="165">
        <v>8</v>
      </c>
      <c r="G148" s="165">
        <v>5</v>
      </c>
      <c r="H148" s="165">
        <v>4</v>
      </c>
      <c r="I148" s="165">
        <v>11</v>
      </c>
      <c r="J148" s="165">
        <v>54</v>
      </c>
      <c r="K148" s="165">
        <v>140</v>
      </c>
      <c r="L148" s="165">
        <v>46</v>
      </c>
    </row>
    <row r="149" spans="1:12" ht="17.25" customHeight="1">
      <c r="A149" s="12">
        <v>7</v>
      </c>
      <c r="B149" s="6" t="s">
        <v>211</v>
      </c>
      <c r="C149" s="164">
        <v>261</v>
      </c>
      <c r="D149" s="165">
        <v>3</v>
      </c>
      <c r="E149" s="165">
        <v>20</v>
      </c>
      <c r="F149" s="165">
        <v>42</v>
      </c>
      <c r="G149" s="165">
        <v>19</v>
      </c>
      <c r="H149" s="165">
        <v>5</v>
      </c>
      <c r="I149" s="165">
        <v>17</v>
      </c>
      <c r="J149" s="165">
        <v>19</v>
      </c>
      <c r="K149" s="165">
        <v>70</v>
      </c>
      <c r="L149" s="165">
        <v>66</v>
      </c>
    </row>
    <row r="150" spans="1:12" ht="17.25" customHeight="1">
      <c r="A150" s="12">
        <v>8</v>
      </c>
      <c r="B150" s="6" t="s">
        <v>212</v>
      </c>
      <c r="C150" s="164">
        <v>250</v>
      </c>
      <c r="D150" s="165">
        <v>1</v>
      </c>
      <c r="E150" s="165">
        <v>7</v>
      </c>
      <c r="F150" s="165">
        <v>73</v>
      </c>
      <c r="G150" s="165">
        <v>30</v>
      </c>
      <c r="H150" s="165">
        <v>15</v>
      </c>
      <c r="I150" s="165">
        <v>7</v>
      </c>
      <c r="J150" s="165">
        <v>12</v>
      </c>
      <c r="K150" s="165">
        <v>24</v>
      </c>
      <c r="L150" s="165">
        <v>81</v>
      </c>
    </row>
    <row r="151" spans="1:12" ht="17.25" customHeight="1">
      <c r="A151" s="12">
        <v>9</v>
      </c>
      <c r="B151" s="6" t="s">
        <v>213</v>
      </c>
      <c r="C151" s="164">
        <v>250</v>
      </c>
      <c r="D151" s="74" t="s">
        <v>13</v>
      </c>
      <c r="E151" s="74" t="s">
        <v>13</v>
      </c>
      <c r="F151" s="165">
        <v>80</v>
      </c>
      <c r="G151" s="165">
        <v>89</v>
      </c>
      <c r="H151" s="165">
        <v>17</v>
      </c>
      <c r="I151" s="165">
        <v>57</v>
      </c>
      <c r="J151" s="165">
        <v>5</v>
      </c>
      <c r="K151" s="165">
        <v>1</v>
      </c>
      <c r="L151" s="165">
        <v>1</v>
      </c>
    </row>
    <row r="152" spans="1:12" ht="17.25" customHeight="1">
      <c r="A152" s="12">
        <v>10</v>
      </c>
      <c r="B152" s="6" t="s">
        <v>214</v>
      </c>
      <c r="C152" s="164">
        <v>243</v>
      </c>
      <c r="D152" s="74" t="s">
        <v>13</v>
      </c>
      <c r="E152" s="165">
        <v>9</v>
      </c>
      <c r="F152" s="165">
        <v>9</v>
      </c>
      <c r="G152" s="165">
        <v>8</v>
      </c>
      <c r="H152" s="165">
        <v>1</v>
      </c>
      <c r="I152" s="165">
        <v>4</v>
      </c>
      <c r="J152" s="165">
        <v>20</v>
      </c>
      <c r="K152" s="165">
        <v>101</v>
      </c>
      <c r="L152" s="165">
        <v>91</v>
      </c>
    </row>
    <row r="153" spans="1:12" ht="17.25" customHeight="1">
      <c r="A153" s="12">
        <v>11</v>
      </c>
      <c r="B153" s="6" t="s">
        <v>215</v>
      </c>
      <c r="C153" s="164">
        <v>233</v>
      </c>
      <c r="D153" s="74" t="s">
        <v>13</v>
      </c>
      <c r="E153" s="165">
        <v>21</v>
      </c>
      <c r="F153" s="165">
        <v>47</v>
      </c>
      <c r="G153" s="165">
        <v>9</v>
      </c>
      <c r="H153" s="165">
        <v>6</v>
      </c>
      <c r="I153" s="165">
        <v>10</v>
      </c>
      <c r="J153" s="165">
        <v>22</v>
      </c>
      <c r="K153" s="165">
        <v>42</v>
      </c>
      <c r="L153" s="165">
        <v>76</v>
      </c>
    </row>
    <row r="154" spans="1:12" ht="17.25" customHeight="1">
      <c r="A154" s="12">
        <v>12</v>
      </c>
      <c r="B154" s="6" t="s">
        <v>216</v>
      </c>
      <c r="C154" s="164">
        <v>216</v>
      </c>
      <c r="D154" s="74" t="s">
        <v>13</v>
      </c>
      <c r="E154" s="165">
        <v>4</v>
      </c>
      <c r="F154" s="165">
        <v>43</v>
      </c>
      <c r="G154" s="165">
        <v>17</v>
      </c>
      <c r="H154" s="165">
        <v>3</v>
      </c>
      <c r="I154" s="165">
        <v>18</v>
      </c>
      <c r="J154" s="165">
        <v>41</v>
      </c>
      <c r="K154" s="165">
        <v>54</v>
      </c>
      <c r="L154" s="165">
        <v>35</v>
      </c>
    </row>
    <row r="155" spans="1:12" ht="17.25" customHeight="1">
      <c r="A155" s="12">
        <v>13</v>
      </c>
      <c r="B155" s="6" t="s">
        <v>217</v>
      </c>
      <c r="C155" s="164">
        <v>214</v>
      </c>
      <c r="D155" s="74" t="s">
        <v>13</v>
      </c>
      <c r="E155" s="165">
        <v>2</v>
      </c>
      <c r="F155" s="165">
        <v>11</v>
      </c>
      <c r="G155" s="165">
        <v>15</v>
      </c>
      <c r="H155" s="165">
        <v>7</v>
      </c>
      <c r="I155" s="165">
        <v>9</v>
      </c>
      <c r="J155" s="165">
        <v>28</v>
      </c>
      <c r="K155" s="165">
        <v>74</v>
      </c>
      <c r="L155" s="165">
        <v>68</v>
      </c>
    </row>
    <row r="156" spans="1:12" ht="17.25" customHeight="1">
      <c r="A156" s="12">
        <v>14</v>
      </c>
      <c r="B156" s="6" t="s">
        <v>218</v>
      </c>
      <c r="C156" s="164">
        <v>213</v>
      </c>
      <c r="D156" s="74" t="s">
        <v>13</v>
      </c>
      <c r="E156" s="165">
        <v>1</v>
      </c>
      <c r="F156" s="165">
        <v>4</v>
      </c>
      <c r="G156" s="165">
        <v>5</v>
      </c>
      <c r="H156" s="165">
        <v>5</v>
      </c>
      <c r="I156" s="165">
        <v>15</v>
      </c>
      <c r="J156" s="165">
        <v>45</v>
      </c>
      <c r="K156" s="165">
        <v>104</v>
      </c>
      <c r="L156" s="165">
        <v>34</v>
      </c>
    </row>
    <row r="157" spans="1:12" ht="17.25" customHeight="1">
      <c r="A157" s="12">
        <v>15</v>
      </c>
      <c r="B157" s="6" t="s">
        <v>219</v>
      </c>
      <c r="C157" s="164">
        <v>210</v>
      </c>
      <c r="D157" s="74" t="s">
        <v>13</v>
      </c>
      <c r="E157" s="165">
        <v>2</v>
      </c>
      <c r="F157" s="165">
        <v>12</v>
      </c>
      <c r="G157" s="165">
        <v>6</v>
      </c>
      <c r="H157" s="165">
        <v>4</v>
      </c>
      <c r="I157" s="165">
        <v>16</v>
      </c>
      <c r="J157" s="165">
        <v>46</v>
      </c>
      <c r="K157" s="165">
        <v>85</v>
      </c>
      <c r="L157" s="165">
        <v>39</v>
      </c>
    </row>
    <row r="158" spans="1:12" ht="17.25" customHeight="1">
      <c r="A158" s="12">
        <v>16</v>
      </c>
      <c r="B158" s="6" t="s">
        <v>220</v>
      </c>
      <c r="C158" s="164">
        <v>195</v>
      </c>
      <c r="D158" s="74" t="s">
        <v>13</v>
      </c>
      <c r="E158" s="74" t="s">
        <v>13</v>
      </c>
      <c r="F158" s="165">
        <v>4</v>
      </c>
      <c r="G158" s="165">
        <v>4</v>
      </c>
      <c r="H158" s="165">
        <v>1</v>
      </c>
      <c r="I158" s="165">
        <v>7</v>
      </c>
      <c r="J158" s="165">
        <v>14</v>
      </c>
      <c r="K158" s="165">
        <v>33</v>
      </c>
      <c r="L158" s="165">
        <v>132</v>
      </c>
    </row>
    <row r="159" spans="1:12" ht="17.25" customHeight="1">
      <c r="A159" s="12">
        <v>17</v>
      </c>
      <c r="B159" s="6" t="s">
        <v>221</v>
      </c>
      <c r="C159" s="164">
        <v>189</v>
      </c>
      <c r="D159" s="74" t="s">
        <v>13</v>
      </c>
      <c r="E159" s="165">
        <v>1</v>
      </c>
      <c r="F159" s="165">
        <v>55</v>
      </c>
      <c r="G159" s="165">
        <v>75</v>
      </c>
      <c r="H159" s="165">
        <v>16</v>
      </c>
      <c r="I159" s="165">
        <v>27</v>
      </c>
      <c r="J159" s="165">
        <v>5</v>
      </c>
      <c r="K159" s="165">
        <v>8</v>
      </c>
      <c r="L159" s="165">
        <v>2</v>
      </c>
    </row>
    <row r="160" spans="1:12" ht="17.25" customHeight="1">
      <c r="A160" s="12">
        <v>18</v>
      </c>
      <c r="B160" s="6" t="s">
        <v>222</v>
      </c>
      <c r="C160" s="164">
        <v>167</v>
      </c>
      <c r="D160" s="74" t="s">
        <v>13</v>
      </c>
      <c r="E160" s="165">
        <v>1</v>
      </c>
      <c r="F160" s="165">
        <v>1</v>
      </c>
      <c r="G160" s="165">
        <v>2</v>
      </c>
      <c r="H160" s="165">
        <v>1</v>
      </c>
      <c r="I160" s="165">
        <v>2</v>
      </c>
      <c r="J160" s="165">
        <v>5</v>
      </c>
      <c r="K160" s="165">
        <v>89</v>
      </c>
      <c r="L160" s="165">
        <v>66</v>
      </c>
    </row>
    <row r="161" spans="1:12" ht="17.25" customHeight="1">
      <c r="A161" s="10">
        <v>20</v>
      </c>
      <c r="B161" s="6" t="s">
        <v>223</v>
      </c>
      <c r="C161" s="164">
        <v>166</v>
      </c>
      <c r="D161" s="165" t="s">
        <v>13</v>
      </c>
      <c r="E161" s="165">
        <v>1</v>
      </c>
      <c r="F161" s="165">
        <v>8</v>
      </c>
      <c r="G161" s="165">
        <v>4</v>
      </c>
      <c r="H161" s="165">
        <v>2</v>
      </c>
      <c r="I161" s="165">
        <v>13</v>
      </c>
      <c r="J161" s="165">
        <v>26</v>
      </c>
      <c r="K161" s="165">
        <v>58</v>
      </c>
      <c r="L161" s="165">
        <v>54</v>
      </c>
    </row>
    <row r="162" spans="1:12" ht="5.0999999999999996" customHeight="1">
      <c r="B162" s="82"/>
      <c r="C162" s="78"/>
      <c r="D162" s="79"/>
      <c r="E162" s="79"/>
      <c r="F162" s="79"/>
      <c r="G162" s="79"/>
      <c r="H162" s="79"/>
      <c r="I162" s="79"/>
      <c r="J162" s="79"/>
      <c r="K162" s="79"/>
      <c r="L162" s="79"/>
    </row>
    <row r="163" spans="1:12" ht="12" customHeight="1">
      <c r="B163" s="14"/>
      <c r="C163" s="14"/>
      <c r="D163" s="37"/>
      <c r="E163" s="40"/>
      <c r="F163" s="14"/>
      <c r="G163" s="38"/>
      <c r="H163" s="39"/>
      <c r="I163" s="39"/>
      <c r="J163" s="38"/>
      <c r="L163" s="155" t="s">
        <v>53</v>
      </c>
    </row>
    <row r="164" spans="1:12" s="105" customFormat="1" ht="18" customHeight="1">
      <c r="B164" s="157" t="s">
        <v>385</v>
      </c>
      <c r="C164" s="101"/>
      <c r="D164" s="102"/>
      <c r="E164" s="102"/>
      <c r="F164" s="101"/>
      <c r="G164" s="101"/>
      <c r="H164" s="103"/>
      <c r="I164" s="103"/>
      <c r="J164" s="103"/>
      <c r="K164" s="103"/>
      <c r="L164" s="104"/>
    </row>
    <row r="165" spans="1:12" s="105" customFormat="1" ht="5.0999999999999996" customHeight="1">
      <c r="B165" s="99"/>
      <c r="C165" s="101"/>
      <c r="D165" s="102"/>
      <c r="E165" s="102"/>
      <c r="F165" s="101"/>
      <c r="G165" s="101"/>
      <c r="H165" s="103"/>
      <c r="I165" s="103"/>
      <c r="J165" s="103"/>
      <c r="K165" s="103"/>
      <c r="L165" s="104"/>
    </row>
    <row r="166" spans="1:12" ht="19.5" customHeight="1">
      <c r="B166" s="832" t="s">
        <v>47</v>
      </c>
      <c r="C166" s="834" t="s">
        <v>14</v>
      </c>
      <c r="D166" s="708" t="s">
        <v>38</v>
      </c>
      <c r="E166" s="708"/>
      <c r="F166" s="708"/>
      <c r="G166" s="708"/>
      <c r="H166" s="708"/>
      <c r="I166" s="708"/>
      <c r="J166" s="708"/>
      <c r="K166" s="708"/>
      <c r="L166" s="708"/>
    </row>
    <row r="167" spans="1:12" ht="50.1" customHeight="1">
      <c r="B167" s="833"/>
      <c r="C167" s="834"/>
      <c r="D167" s="45" t="s">
        <v>12</v>
      </c>
      <c r="E167" s="45" t="s">
        <v>9</v>
      </c>
      <c r="F167" s="77" t="s">
        <v>10</v>
      </c>
      <c r="G167" s="45" t="s">
        <v>11</v>
      </c>
      <c r="H167" s="45" t="s">
        <v>7</v>
      </c>
      <c r="I167" s="77" t="s">
        <v>6</v>
      </c>
      <c r="J167" s="45" t="s">
        <v>8</v>
      </c>
      <c r="K167" s="45" t="s">
        <v>58</v>
      </c>
      <c r="L167" s="45" t="s">
        <v>57</v>
      </c>
    </row>
    <row r="168" spans="1:12" ht="5.0999999999999996" customHeight="1">
      <c r="B168" s="89"/>
      <c r="C168" s="106"/>
      <c r="D168" s="43"/>
      <c r="E168" s="43"/>
      <c r="F168" s="43"/>
      <c r="G168" s="43"/>
      <c r="H168" s="43"/>
      <c r="I168" s="43"/>
      <c r="J168" s="43"/>
      <c r="K168" s="43"/>
      <c r="L168" s="43"/>
    </row>
    <row r="169" spans="1:12" ht="16.5" customHeight="1">
      <c r="B169" s="89">
        <v>2012</v>
      </c>
      <c r="C169" s="106"/>
      <c r="D169" s="43"/>
      <c r="E169" s="43"/>
      <c r="F169" s="43"/>
      <c r="G169" s="43"/>
      <c r="H169" s="43"/>
      <c r="I169" s="43"/>
      <c r="J169" s="43"/>
      <c r="K169" s="43"/>
      <c r="L169" s="43"/>
    </row>
    <row r="170" spans="1:12" ht="16.5" customHeight="1">
      <c r="A170" s="12">
        <v>1</v>
      </c>
      <c r="B170" s="6" t="s">
        <v>224</v>
      </c>
      <c r="C170" s="164">
        <v>164</v>
      </c>
      <c r="D170" s="74" t="s">
        <v>13</v>
      </c>
      <c r="E170" s="165">
        <v>4</v>
      </c>
      <c r="F170" s="165">
        <v>4</v>
      </c>
      <c r="G170" s="165">
        <v>1</v>
      </c>
      <c r="H170" s="74" t="s">
        <v>13</v>
      </c>
      <c r="I170" s="165">
        <v>9</v>
      </c>
      <c r="J170" s="165">
        <v>23</v>
      </c>
      <c r="K170" s="165">
        <v>83</v>
      </c>
      <c r="L170" s="165">
        <v>40</v>
      </c>
    </row>
    <row r="171" spans="1:12" ht="16.5" customHeight="1">
      <c r="A171" s="12">
        <v>2</v>
      </c>
      <c r="B171" s="6" t="s">
        <v>225</v>
      </c>
      <c r="C171" s="164">
        <v>159</v>
      </c>
      <c r="D171" s="74" t="s">
        <v>13</v>
      </c>
      <c r="E171" s="165">
        <v>2</v>
      </c>
      <c r="F171" s="165">
        <v>7</v>
      </c>
      <c r="G171" s="165">
        <v>12</v>
      </c>
      <c r="H171" s="165">
        <v>7</v>
      </c>
      <c r="I171" s="165">
        <v>24</v>
      </c>
      <c r="J171" s="165">
        <v>40</v>
      </c>
      <c r="K171" s="165">
        <v>56</v>
      </c>
      <c r="L171" s="165">
        <v>11</v>
      </c>
    </row>
    <row r="172" spans="1:12" ht="16.5" customHeight="1">
      <c r="A172" s="12">
        <v>3</v>
      </c>
      <c r="B172" s="6" t="s">
        <v>226</v>
      </c>
      <c r="C172" s="164">
        <v>157</v>
      </c>
      <c r="D172" s="74" t="s">
        <v>13</v>
      </c>
      <c r="E172" s="165">
        <v>1</v>
      </c>
      <c r="F172" s="165">
        <v>7</v>
      </c>
      <c r="G172" s="165">
        <v>29</v>
      </c>
      <c r="H172" s="165">
        <v>9</v>
      </c>
      <c r="I172" s="165">
        <v>42</v>
      </c>
      <c r="J172" s="165">
        <v>23</v>
      </c>
      <c r="K172" s="165">
        <v>46</v>
      </c>
      <c r="L172" s="74" t="s">
        <v>13</v>
      </c>
    </row>
    <row r="173" spans="1:12" ht="16.5" customHeight="1">
      <c r="A173" s="12">
        <v>4</v>
      </c>
      <c r="B173" s="6" t="s">
        <v>227</v>
      </c>
      <c r="C173" s="164">
        <v>154</v>
      </c>
      <c r="D173" s="165">
        <v>1</v>
      </c>
      <c r="E173" s="165">
        <v>5</v>
      </c>
      <c r="F173" s="165">
        <v>27</v>
      </c>
      <c r="G173" s="165">
        <v>16</v>
      </c>
      <c r="H173" s="165">
        <v>3</v>
      </c>
      <c r="I173" s="165">
        <v>19</v>
      </c>
      <c r="J173" s="165">
        <v>22</v>
      </c>
      <c r="K173" s="165">
        <v>40</v>
      </c>
      <c r="L173" s="165">
        <v>21</v>
      </c>
    </row>
    <row r="174" spans="1:12" ht="16.5" customHeight="1">
      <c r="A174" s="12">
        <v>5</v>
      </c>
      <c r="B174" s="6" t="s">
        <v>94</v>
      </c>
      <c r="C174" s="164">
        <v>133</v>
      </c>
      <c r="D174" s="74" t="s">
        <v>13</v>
      </c>
      <c r="E174" s="74" t="s">
        <v>13</v>
      </c>
      <c r="F174" s="74" t="s">
        <v>13</v>
      </c>
      <c r="G174" s="165">
        <v>4</v>
      </c>
      <c r="H174" s="74" t="s">
        <v>13</v>
      </c>
      <c r="I174" s="165">
        <v>3</v>
      </c>
      <c r="J174" s="165">
        <v>11</v>
      </c>
      <c r="K174" s="165">
        <v>34</v>
      </c>
      <c r="L174" s="165">
        <v>81</v>
      </c>
    </row>
    <row r="175" spans="1:12" ht="16.5" customHeight="1">
      <c r="A175" s="12">
        <v>6</v>
      </c>
      <c r="B175" s="6" t="s">
        <v>228</v>
      </c>
      <c r="C175" s="164">
        <v>118</v>
      </c>
      <c r="D175" s="165">
        <v>6</v>
      </c>
      <c r="E175" s="165">
        <v>13</v>
      </c>
      <c r="F175" s="165">
        <v>43</v>
      </c>
      <c r="G175" s="165">
        <v>19</v>
      </c>
      <c r="H175" s="165">
        <v>12</v>
      </c>
      <c r="I175" s="165">
        <v>6</v>
      </c>
      <c r="J175" s="165">
        <v>7</v>
      </c>
      <c r="K175" s="165">
        <v>12</v>
      </c>
      <c r="L175" s="74" t="s">
        <v>13</v>
      </c>
    </row>
    <row r="176" spans="1:12" ht="16.5" customHeight="1">
      <c r="A176" s="12">
        <v>7</v>
      </c>
      <c r="B176" s="6" t="s">
        <v>229</v>
      </c>
      <c r="C176" s="164">
        <v>111</v>
      </c>
      <c r="D176" s="74" t="s">
        <v>13</v>
      </c>
      <c r="E176" s="74" t="s">
        <v>13</v>
      </c>
      <c r="F176" s="165">
        <v>2</v>
      </c>
      <c r="G176" s="165">
        <v>1</v>
      </c>
      <c r="H176" s="74" t="s">
        <v>13</v>
      </c>
      <c r="I176" s="165">
        <v>2</v>
      </c>
      <c r="J176" s="165">
        <v>4</v>
      </c>
      <c r="K176" s="165">
        <v>35</v>
      </c>
      <c r="L176" s="165">
        <v>67</v>
      </c>
    </row>
    <row r="177" spans="1:12" ht="16.5" customHeight="1">
      <c r="A177" s="12">
        <v>8</v>
      </c>
      <c r="B177" s="6" t="s">
        <v>230</v>
      </c>
      <c r="C177" s="164">
        <v>99</v>
      </c>
      <c r="D177" s="165">
        <v>1</v>
      </c>
      <c r="E177" s="165">
        <v>6</v>
      </c>
      <c r="F177" s="165">
        <v>12</v>
      </c>
      <c r="G177" s="165">
        <v>6</v>
      </c>
      <c r="H177" s="74" t="s">
        <v>13</v>
      </c>
      <c r="I177" s="165">
        <v>1</v>
      </c>
      <c r="J177" s="165">
        <v>12</v>
      </c>
      <c r="K177" s="165">
        <v>33</v>
      </c>
      <c r="L177" s="165">
        <v>28</v>
      </c>
    </row>
    <row r="178" spans="1:12" ht="16.5" customHeight="1">
      <c r="A178" s="12">
        <v>9</v>
      </c>
      <c r="B178" s="6" t="s">
        <v>231</v>
      </c>
      <c r="C178" s="164">
        <v>99</v>
      </c>
      <c r="D178" s="165">
        <v>1</v>
      </c>
      <c r="E178" s="74" t="s">
        <v>13</v>
      </c>
      <c r="F178" s="165">
        <v>11</v>
      </c>
      <c r="G178" s="165">
        <v>8</v>
      </c>
      <c r="H178" s="165">
        <v>2</v>
      </c>
      <c r="I178" s="165">
        <v>13</v>
      </c>
      <c r="J178" s="165">
        <v>20</v>
      </c>
      <c r="K178" s="165">
        <v>36</v>
      </c>
      <c r="L178" s="165">
        <v>8</v>
      </c>
    </row>
    <row r="179" spans="1:12" ht="16.5" customHeight="1">
      <c r="A179" s="12">
        <v>10</v>
      </c>
      <c r="B179" s="6" t="s">
        <v>232</v>
      </c>
      <c r="C179" s="164">
        <v>95</v>
      </c>
      <c r="D179" s="74" t="s">
        <v>13</v>
      </c>
      <c r="E179" s="74" t="s">
        <v>13</v>
      </c>
      <c r="F179" s="165">
        <v>1</v>
      </c>
      <c r="G179" s="74" t="s">
        <v>13</v>
      </c>
      <c r="H179" s="74" t="s">
        <v>13</v>
      </c>
      <c r="I179" s="165">
        <v>3</v>
      </c>
      <c r="J179" s="165">
        <v>11</v>
      </c>
      <c r="K179" s="165">
        <v>25</v>
      </c>
      <c r="L179" s="165">
        <v>55</v>
      </c>
    </row>
    <row r="180" spans="1:12" ht="16.5" customHeight="1">
      <c r="A180" s="12">
        <v>11</v>
      </c>
      <c r="B180" s="6" t="s">
        <v>233</v>
      </c>
      <c r="C180" s="164">
        <v>95</v>
      </c>
      <c r="D180" s="74" t="s">
        <v>13</v>
      </c>
      <c r="E180" s="165">
        <v>1</v>
      </c>
      <c r="F180" s="165">
        <v>2</v>
      </c>
      <c r="G180" s="165">
        <v>2</v>
      </c>
      <c r="H180" s="165">
        <v>4</v>
      </c>
      <c r="I180" s="165">
        <v>3</v>
      </c>
      <c r="J180" s="165">
        <v>14</v>
      </c>
      <c r="K180" s="165">
        <v>38</v>
      </c>
      <c r="L180" s="165">
        <v>31</v>
      </c>
    </row>
    <row r="181" spans="1:12" ht="16.5" customHeight="1">
      <c r="A181" s="12">
        <v>12</v>
      </c>
      <c r="B181" s="6" t="s">
        <v>234</v>
      </c>
      <c r="C181" s="164">
        <v>93</v>
      </c>
      <c r="D181" s="74" t="s">
        <v>13</v>
      </c>
      <c r="E181" s="74" t="s">
        <v>13</v>
      </c>
      <c r="F181" s="165">
        <v>1</v>
      </c>
      <c r="G181" s="74" t="s">
        <v>13</v>
      </c>
      <c r="H181" s="74" t="s">
        <v>13</v>
      </c>
      <c r="I181" s="74" t="s">
        <v>13</v>
      </c>
      <c r="J181" s="165">
        <v>5</v>
      </c>
      <c r="K181" s="165">
        <v>28</v>
      </c>
      <c r="L181" s="165">
        <v>59</v>
      </c>
    </row>
    <row r="182" spans="1:12" ht="16.5" customHeight="1">
      <c r="A182" s="12">
        <v>13</v>
      </c>
      <c r="B182" s="6" t="s">
        <v>235</v>
      </c>
      <c r="C182" s="164">
        <v>92</v>
      </c>
      <c r="D182" s="74" t="s">
        <v>13</v>
      </c>
      <c r="E182" s="74" t="s">
        <v>13</v>
      </c>
      <c r="F182" s="165">
        <v>2</v>
      </c>
      <c r="G182" s="165">
        <v>1</v>
      </c>
      <c r="H182" s="165">
        <v>2</v>
      </c>
      <c r="I182" s="165">
        <v>9</v>
      </c>
      <c r="J182" s="165">
        <v>14</v>
      </c>
      <c r="K182" s="165">
        <v>43</v>
      </c>
      <c r="L182" s="165">
        <v>21</v>
      </c>
    </row>
    <row r="183" spans="1:12" ht="16.5" customHeight="1">
      <c r="A183" s="12">
        <v>14</v>
      </c>
      <c r="B183" s="6" t="s">
        <v>236</v>
      </c>
      <c r="C183" s="164">
        <v>91</v>
      </c>
      <c r="D183" s="165">
        <v>1</v>
      </c>
      <c r="E183" s="165">
        <v>1</v>
      </c>
      <c r="F183" s="165">
        <v>23</v>
      </c>
      <c r="G183" s="165">
        <v>10</v>
      </c>
      <c r="H183" s="165">
        <v>5</v>
      </c>
      <c r="I183" s="165">
        <v>15</v>
      </c>
      <c r="J183" s="165">
        <v>15</v>
      </c>
      <c r="K183" s="165">
        <v>14</v>
      </c>
      <c r="L183" s="165">
        <v>7</v>
      </c>
    </row>
    <row r="184" spans="1:12" ht="16.5" customHeight="1">
      <c r="A184" s="12">
        <v>15</v>
      </c>
      <c r="B184" s="6" t="s">
        <v>237</v>
      </c>
      <c r="C184" s="164">
        <v>88</v>
      </c>
      <c r="D184" s="74" t="s">
        <v>13</v>
      </c>
      <c r="E184" s="74" t="s">
        <v>13</v>
      </c>
      <c r="F184" s="74" t="s">
        <v>13</v>
      </c>
      <c r="G184" s="165">
        <v>4</v>
      </c>
      <c r="H184" s="165">
        <v>3</v>
      </c>
      <c r="I184" s="165">
        <v>11</v>
      </c>
      <c r="J184" s="165">
        <v>28</v>
      </c>
      <c r="K184" s="165">
        <v>26</v>
      </c>
      <c r="L184" s="165">
        <v>16</v>
      </c>
    </row>
    <row r="185" spans="1:12" ht="16.5" customHeight="1">
      <c r="A185" s="12">
        <v>16</v>
      </c>
      <c r="B185" s="6" t="s">
        <v>238</v>
      </c>
      <c r="C185" s="164">
        <v>87</v>
      </c>
      <c r="D185" s="74" t="s">
        <v>13</v>
      </c>
      <c r="E185" s="165">
        <v>2</v>
      </c>
      <c r="F185" s="165">
        <v>6</v>
      </c>
      <c r="G185" s="165">
        <v>5</v>
      </c>
      <c r="H185" s="165">
        <v>3</v>
      </c>
      <c r="I185" s="165">
        <v>2</v>
      </c>
      <c r="J185" s="165">
        <v>9</v>
      </c>
      <c r="K185" s="165">
        <v>27</v>
      </c>
      <c r="L185" s="165">
        <v>33</v>
      </c>
    </row>
    <row r="186" spans="1:12" ht="16.5" customHeight="1">
      <c r="A186" s="12">
        <v>17</v>
      </c>
      <c r="B186" s="6" t="s">
        <v>239</v>
      </c>
      <c r="C186" s="164">
        <v>86</v>
      </c>
      <c r="D186" s="74" t="s">
        <v>13</v>
      </c>
      <c r="E186" s="165">
        <v>4</v>
      </c>
      <c r="F186" s="165">
        <v>7</v>
      </c>
      <c r="G186" s="165">
        <v>1</v>
      </c>
      <c r="H186" s="74" t="s">
        <v>13</v>
      </c>
      <c r="I186" s="165">
        <v>5</v>
      </c>
      <c r="J186" s="165">
        <v>26</v>
      </c>
      <c r="K186" s="165">
        <v>29</v>
      </c>
      <c r="L186" s="165">
        <v>14</v>
      </c>
    </row>
    <row r="187" spans="1:12" ht="16.5" customHeight="1">
      <c r="A187" s="12">
        <v>18</v>
      </c>
      <c r="B187" s="6" t="s">
        <v>240</v>
      </c>
      <c r="C187" s="164">
        <v>83</v>
      </c>
      <c r="D187" s="74" t="s">
        <v>13</v>
      </c>
      <c r="E187" s="74" t="s">
        <v>13</v>
      </c>
      <c r="F187" s="74" t="s">
        <v>13</v>
      </c>
      <c r="G187" s="74" t="s">
        <v>13</v>
      </c>
      <c r="H187" s="74" t="s">
        <v>13</v>
      </c>
      <c r="I187" s="74" t="s">
        <v>13</v>
      </c>
      <c r="J187" s="165">
        <v>14</v>
      </c>
      <c r="K187" s="165">
        <v>41</v>
      </c>
      <c r="L187" s="165">
        <v>28</v>
      </c>
    </row>
    <row r="188" spans="1:12" ht="16.5" customHeight="1">
      <c r="A188" s="10">
        <v>132</v>
      </c>
      <c r="B188" s="6" t="s">
        <v>241</v>
      </c>
      <c r="C188" s="164">
        <v>80</v>
      </c>
      <c r="D188" s="165">
        <v>30</v>
      </c>
      <c r="E188" s="165">
        <v>10</v>
      </c>
      <c r="F188" s="165">
        <v>18</v>
      </c>
      <c r="G188" s="165">
        <v>7</v>
      </c>
      <c r="H188" s="165">
        <v>3</v>
      </c>
      <c r="I188" s="165">
        <v>1</v>
      </c>
      <c r="J188" s="165">
        <v>2</v>
      </c>
      <c r="K188" s="165">
        <v>3</v>
      </c>
      <c r="L188" s="165">
        <v>6</v>
      </c>
    </row>
    <row r="189" spans="1:12" ht="16.5" customHeight="1">
      <c r="A189" s="10">
        <v>133</v>
      </c>
      <c r="B189" s="6" t="s">
        <v>242</v>
      </c>
      <c r="C189" s="164">
        <v>78</v>
      </c>
      <c r="D189" s="165" t="s">
        <v>13</v>
      </c>
      <c r="E189" s="165">
        <v>6</v>
      </c>
      <c r="F189" s="165">
        <v>6</v>
      </c>
      <c r="G189" s="165">
        <v>4</v>
      </c>
      <c r="H189" s="165">
        <v>2</v>
      </c>
      <c r="I189" s="165">
        <v>6</v>
      </c>
      <c r="J189" s="165">
        <v>17</v>
      </c>
      <c r="K189" s="165">
        <v>21</v>
      </c>
      <c r="L189" s="165">
        <v>16</v>
      </c>
    </row>
    <row r="190" spans="1:12" ht="5.0999999999999996" customHeight="1">
      <c r="B190" s="82"/>
      <c r="C190" s="78"/>
      <c r="D190" s="79"/>
      <c r="E190" s="79"/>
      <c r="F190" s="79"/>
      <c r="G190" s="79"/>
      <c r="H190" s="79"/>
      <c r="I190" s="79"/>
      <c r="J190" s="79"/>
      <c r="K190" s="79"/>
      <c r="L190" s="79"/>
    </row>
    <row r="191" spans="1:12" ht="12" customHeight="1">
      <c r="B191" s="14"/>
      <c r="C191" s="14"/>
      <c r="D191" s="37"/>
      <c r="E191" s="40"/>
      <c r="F191" s="14"/>
      <c r="G191" s="38"/>
      <c r="H191" s="39"/>
      <c r="I191" s="39"/>
      <c r="J191" s="38"/>
      <c r="L191" s="155" t="s">
        <v>53</v>
      </c>
    </row>
    <row r="192" spans="1:12" s="105" customFormat="1" ht="18" customHeight="1">
      <c r="B192" s="157" t="s">
        <v>385</v>
      </c>
      <c r="C192" s="101"/>
      <c r="D192" s="102"/>
      <c r="E192" s="102"/>
      <c r="F192" s="101"/>
      <c r="G192" s="101"/>
      <c r="H192" s="103"/>
      <c r="I192" s="103"/>
      <c r="J192" s="103"/>
      <c r="K192" s="103"/>
      <c r="L192" s="104"/>
    </row>
    <row r="193" spans="1:12" s="105" customFormat="1" ht="5.0999999999999996" customHeight="1">
      <c r="B193" s="99"/>
      <c r="C193" s="101"/>
      <c r="D193" s="102"/>
      <c r="E193" s="102"/>
      <c r="F193" s="101"/>
      <c r="G193" s="101"/>
      <c r="H193" s="103"/>
      <c r="I193" s="103"/>
      <c r="J193" s="103"/>
      <c r="K193" s="103"/>
      <c r="L193" s="104"/>
    </row>
    <row r="194" spans="1:12" ht="18.75" customHeight="1">
      <c r="B194" s="832" t="s">
        <v>47</v>
      </c>
      <c r="C194" s="834" t="s">
        <v>14</v>
      </c>
      <c r="D194" s="708" t="s">
        <v>38</v>
      </c>
      <c r="E194" s="708"/>
      <c r="F194" s="708"/>
      <c r="G194" s="708"/>
      <c r="H194" s="708"/>
      <c r="I194" s="708"/>
      <c r="J194" s="708"/>
      <c r="K194" s="708"/>
      <c r="L194" s="708"/>
    </row>
    <row r="195" spans="1:12" ht="50.1" customHeight="1">
      <c r="B195" s="833"/>
      <c r="C195" s="834"/>
      <c r="D195" s="45" t="s">
        <v>12</v>
      </c>
      <c r="E195" s="45" t="s">
        <v>9</v>
      </c>
      <c r="F195" s="77" t="s">
        <v>10</v>
      </c>
      <c r="G195" s="45" t="s">
        <v>11</v>
      </c>
      <c r="H195" s="45" t="s">
        <v>7</v>
      </c>
      <c r="I195" s="77" t="s">
        <v>6</v>
      </c>
      <c r="J195" s="45" t="s">
        <v>8</v>
      </c>
      <c r="K195" s="45" t="s">
        <v>58</v>
      </c>
      <c r="L195" s="45" t="s">
        <v>57</v>
      </c>
    </row>
    <row r="196" spans="1:12" ht="5.0999999999999996" customHeight="1">
      <c r="B196" s="89"/>
      <c r="C196" s="106"/>
      <c r="D196" s="43"/>
      <c r="E196" s="43"/>
      <c r="F196" s="43"/>
      <c r="G196" s="43"/>
      <c r="H196" s="43"/>
      <c r="I196" s="43"/>
      <c r="J196" s="43"/>
      <c r="K196" s="43"/>
      <c r="L196" s="43"/>
    </row>
    <row r="197" spans="1:12" ht="16.5" customHeight="1">
      <c r="B197" s="89">
        <v>2012</v>
      </c>
      <c r="C197" s="106"/>
      <c r="D197" s="43"/>
      <c r="E197" s="43"/>
      <c r="F197" s="43"/>
      <c r="G197" s="43"/>
      <c r="H197" s="43"/>
      <c r="I197" s="43"/>
      <c r="J197" s="43"/>
      <c r="K197" s="43"/>
      <c r="L197" s="43"/>
    </row>
    <row r="198" spans="1:12" ht="16.5" customHeight="1">
      <c r="A198" s="12">
        <v>1</v>
      </c>
      <c r="B198" s="6" t="s">
        <v>243</v>
      </c>
      <c r="C198" s="164">
        <v>75</v>
      </c>
      <c r="D198" s="74" t="s">
        <v>13</v>
      </c>
      <c r="E198" s="165">
        <v>2</v>
      </c>
      <c r="F198" s="165">
        <v>15</v>
      </c>
      <c r="G198" s="165">
        <v>6</v>
      </c>
      <c r="H198" s="165">
        <v>1</v>
      </c>
      <c r="I198" s="165">
        <v>37</v>
      </c>
      <c r="J198" s="165">
        <v>2</v>
      </c>
      <c r="K198" s="165">
        <v>6</v>
      </c>
      <c r="L198" s="165">
        <v>6</v>
      </c>
    </row>
    <row r="199" spans="1:12" ht="16.5" customHeight="1">
      <c r="A199" s="12">
        <v>2</v>
      </c>
      <c r="B199" s="6" t="s">
        <v>244</v>
      </c>
      <c r="C199" s="164">
        <v>71</v>
      </c>
      <c r="D199" s="74" t="s">
        <v>13</v>
      </c>
      <c r="E199" s="165">
        <v>3</v>
      </c>
      <c r="F199" s="165">
        <v>18</v>
      </c>
      <c r="G199" s="165">
        <v>26</v>
      </c>
      <c r="H199" s="165">
        <v>4</v>
      </c>
      <c r="I199" s="165">
        <v>10</v>
      </c>
      <c r="J199" s="165">
        <v>2</v>
      </c>
      <c r="K199" s="165">
        <v>2</v>
      </c>
      <c r="L199" s="165">
        <v>6</v>
      </c>
    </row>
    <row r="200" spans="1:12" ht="16.5" customHeight="1">
      <c r="A200" s="12">
        <v>3</v>
      </c>
      <c r="B200" s="6" t="s">
        <v>245</v>
      </c>
      <c r="C200" s="164">
        <v>69</v>
      </c>
      <c r="D200" s="74" t="s">
        <v>13</v>
      </c>
      <c r="E200" s="165">
        <v>1</v>
      </c>
      <c r="F200" s="165">
        <v>1</v>
      </c>
      <c r="G200" s="165">
        <v>2</v>
      </c>
      <c r="H200" s="165">
        <v>1</v>
      </c>
      <c r="I200" s="165">
        <v>34</v>
      </c>
      <c r="J200" s="165">
        <v>7</v>
      </c>
      <c r="K200" s="165">
        <v>15</v>
      </c>
      <c r="L200" s="165">
        <v>8</v>
      </c>
    </row>
    <row r="201" spans="1:12" ht="16.5" customHeight="1">
      <c r="A201" s="12">
        <v>4</v>
      </c>
      <c r="B201" s="6" t="s">
        <v>246</v>
      </c>
      <c r="C201" s="164">
        <v>68</v>
      </c>
      <c r="D201" s="74" t="s">
        <v>13</v>
      </c>
      <c r="E201" s="165">
        <v>2</v>
      </c>
      <c r="F201" s="165">
        <v>3</v>
      </c>
      <c r="G201" s="165">
        <v>3</v>
      </c>
      <c r="H201" s="74" t="s">
        <v>13</v>
      </c>
      <c r="I201" s="165">
        <v>5</v>
      </c>
      <c r="J201" s="165">
        <v>5</v>
      </c>
      <c r="K201" s="165">
        <v>17</v>
      </c>
      <c r="L201" s="165">
        <v>33</v>
      </c>
    </row>
    <row r="202" spans="1:12" ht="16.5" customHeight="1">
      <c r="A202" s="12">
        <v>5</v>
      </c>
      <c r="B202" s="6" t="s">
        <v>247</v>
      </c>
      <c r="C202" s="164">
        <v>68</v>
      </c>
      <c r="D202" s="165">
        <v>1</v>
      </c>
      <c r="E202" s="74" t="s">
        <v>13</v>
      </c>
      <c r="F202" s="74" t="s">
        <v>13</v>
      </c>
      <c r="G202" s="74" t="s">
        <v>13</v>
      </c>
      <c r="H202" s="165">
        <v>1</v>
      </c>
      <c r="I202" s="165">
        <v>1</v>
      </c>
      <c r="J202" s="165">
        <v>6</v>
      </c>
      <c r="K202" s="165">
        <v>20</v>
      </c>
      <c r="L202" s="165">
        <v>39</v>
      </c>
    </row>
    <row r="203" spans="1:12" ht="16.5" customHeight="1">
      <c r="A203" s="12">
        <v>6</v>
      </c>
      <c r="B203" s="6" t="s">
        <v>248</v>
      </c>
      <c r="C203" s="164">
        <v>67</v>
      </c>
      <c r="D203" s="74" t="s">
        <v>13</v>
      </c>
      <c r="E203" s="74" t="s">
        <v>13</v>
      </c>
      <c r="F203" s="74" t="s">
        <v>13</v>
      </c>
      <c r="G203" s="165">
        <v>3</v>
      </c>
      <c r="H203" s="74" t="s">
        <v>13</v>
      </c>
      <c r="I203" s="165">
        <v>3</v>
      </c>
      <c r="J203" s="165">
        <v>4</v>
      </c>
      <c r="K203" s="165">
        <v>24</v>
      </c>
      <c r="L203" s="165">
        <v>33</v>
      </c>
    </row>
    <row r="204" spans="1:12" ht="16.5" customHeight="1">
      <c r="A204" s="12">
        <v>7</v>
      </c>
      <c r="B204" s="6" t="s">
        <v>249</v>
      </c>
      <c r="C204" s="164">
        <v>65</v>
      </c>
      <c r="D204" s="165">
        <v>34</v>
      </c>
      <c r="E204" s="165">
        <v>3</v>
      </c>
      <c r="F204" s="165">
        <v>4</v>
      </c>
      <c r="G204" s="165">
        <v>4</v>
      </c>
      <c r="H204" s="165">
        <v>3</v>
      </c>
      <c r="I204" s="165">
        <v>6</v>
      </c>
      <c r="J204" s="74" t="s">
        <v>13</v>
      </c>
      <c r="K204" s="165">
        <v>5</v>
      </c>
      <c r="L204" s="165">
        <v>6</v>
      </c>
    </row>
    <row r="205" spans="1:12" ht="16.5" customHeight="1">
      <c r="A205" s="12">
        <v>8</v>
      </c>
      <c r="B205" s="6" t="s">
        <v>250</v>
      </c>
      <c r="C205" s="164">
        <v>63</v>
      </c>
      <c r="D205" s="165">
        <v>1</v>
      </c>
      <c r="E205" s="165">
        <v>4</v>
      </c>
      <c r="F205" s="165">
        <v>5</v>
      </c>
      <c r="G205" s="165">
        <v>3</v>
      </c>
      <c r="H205" s="165">
        <v>2</v>
      </c>
      <c r="I205" s="165">
        <v>3</v>
      </c>
      <c r="J205" s="165">
        <v>5</v>
      </c>
      <c r="K205" s="165">
        <v>13</v>
      </c>
      <c r="L205" s="165">
        <v>27</v>
      </c>
    </row>
    <row r="206" spans="1:12" ht="16.5" customHeight="1">
      <c r="A206" s="12">
        <v>9</v>
      </c>
      <c r="B206" s="6" t="s">
        <v>251</v>
      </c>
      <c r="C206" s="164">
        <v>63</v>
      </c>
      <c r="D206" s="74" t="s">
        <v>13</v>
      </c>
      <c r="E206" s="165">
        <v>1</v>
      </c>
      <c r="F206" s="165">
        <v>1</v>
      </c>
      <c r="G206" s="74" t="s">
        <v>13</v>
      </c>
      <c r="H206" s="165">
        <v>1</v>
      </c>
      <c r="I206" s="74" t="s">
        <v>13</v>
      </c>
      <c r="J206" s="165">
        <v>3</v>
      </c>
      <c r="K206" s="165">
        <v>24</v>
      </c>
      <c r="L206" s="165">
        <v>33</v>
      </c>
    </row>
    <row r="207" spans="1:12" ht="16.5" customHeight="1">
      <c r="A207" s="12">
        <v>10</v>
      </c>
      <c r="B207" s="6" t="s">
        <v>252</v>
      </c>
      <c r="C207" s="164">
        <v>62</v>
      </c>
      <c r="D207" s="74" t="s">
        <v>13</v>
      </c>
      <c r="E207" s="74" t="s">
        <v>13</v>
      </c>
      <c r="F207" s="165">
        <v>3</v>
      </c>
      <c r="G207" s="165">
        <v>5</v>
      </c>
      <c r="H207" s="165">
        <v>1</v>
      </c>
      <c r="I207" s="165">
        <v>8</v>
      </c>
      <c r="J207" s="165">
        <v>15</v>
      </c>
      <c r="K207" s="165">
        <v>20</v>
      </c>
      <c r="L207" s="165">
        <v>10</v>
      </c>
    </row>
    <row r="208" spans="1:12" ht="16.5" customHeight="1">
      <c r="A208" s="12">
        <v>11</v>
      </c>
      <c r="B208" s="6" t="s">
        <v>253</v>
      </c>
      <c r="C208" s="164">
        <v>62</v>
      </c>
      <c r="D208" s="165">
        <v>10</v>
      </c>
      <c r="E208" s="165">
        <v>16</v>
      </c>
      <c r="F208" s="165">
        <v>8</v>
      </c>
      <c r="G208" s="165">
        <v>4</v>
      </c>
      <c r="H208" s="165">
        <v>2</v>
      </c>
      <c r="I208" s="165">
        <v>4</v>
      </c>
      <c r="J208" s="165">
        <v>12</v>
      </c>
      <c r="K208" s="165">
        <v>3</v>
      </c>
      <c r="L208" s="165">
        <v>3</v>
      </c>
    </row>
    <row r="209" spans="1:12" ht="16.5" customHeight="1">
      <c r="A209" s="12">
        <v>12</v>
      </c>
      <c r="B209" s="6" t="s">
        <v>254</v>
      </c>
      <c r="C209" s="164">
        <v>61</v>
      </c>
      <c r="D209" s="74" t="s">
        <v>13</v>
      </c>
      <c r="E209" s="74" t="s">
        <v>13</v>
      </c>
      <c r="F209" s="165">
        <v>2</v>
      </c>
      <c r="G209" s="74" t="s">
        <v>13</v>
      </c>
      <c r="H209" s="74" t="s">
        <v>13</v>
      </c>
      <c r="I209" s="165">
        <v>2</v>
      </c>
      <c r="J209" s="165">
        <v>21</v>
      </c>
      <c r="K209" s="165">
        <v>18</v>
      </c>
      <c r="L209" s="165">
        <v>18</v>
      </c>
    </row>
    <row r="210" spans="1:12" ht="16.5" customHeight="1">
      <c r="A210" s="12">
        <v>13</v>
      </c>
      <c r="B210" s="6" t="s">
        <v>255</v>
      </c>
      <c r="C210" s="164">
        <v>60</v>
      </c>
      <c r="D210" s="74" t="s">
        <v>13</v>
      </c>
      <c r="E210" s="165">
        <v>2</v>
      </c>
      <c r="F210" s="165">
        <v>9</v>
      </c>
      <c r="G210" s="165">
        <v>5</v>
      </c>
      <c r="H210" s="165">
        <v>1</v>
      </c>
      <c r="I210" s="165">
        <v>4</v>
      </c>
      <c r="J210" s="165">
        <v>8</v>
      </c>
      <c r="K210" s="165">
        <v>15</v>
      </c>
      <c r="L210" s="165">
        <v>16</v>
      </c>
    </row>
    <row r="211" spans="1:12" ht="16.5" customHeight="1">
      <c r="A211" s="12">
        <v>14</v>
      </c>
      <c r="B211" s="6" t="s">
        <v>256</v>
      </c>
      <c r="C211" s="164">
        <v>59</v>
      </c>
      <c r="D211" s="74" t="s">
        <v>13</v>
      </c>
      <c r="E211" s="165">
        <v>2</v>
      </c>
      <c r="F211" s="165">
        <v>2</v>
      </c>
      <c r="G211" s="165">
        <v>2</v>
      </c>
      <c r="H211" s="74" t="s">
        <v>13</v>
      </c>
      <c r="I211" s="165">
        <v>2</v>
      </c>
      <c r="J211" s="165">
        <v>8</v>
      </c>
      <c r="K211" s="165">
        <v>23</v>
      </c>
      <c r="L211" s="165">
        <v>20</v>
      </c>
    </row>
    <row r="212" spans="1:12" ht="16.5" customHeight="1">
      <c r="A212" s="12">
        <v>15</v>
      </c>
      <c r="B212" s="6" t="s">
        <v>257</v>
      </c>
      <c r="C212" s="164">
        <v>59</v>
      </c>
      <c r="D212" s="74" t="s">
        <v>13</v>
      </c>
      <c r="E212" s="74" t="s">
        <v>13</v>
      </c>
      <c r="F212" s="165">
        <v>1</v>
      </c>
      <c r="G212" s="165">
        <v>3</v>
      </c>
      <c r="H212" s="165">
        <v>1</v>
      </c>
      <c r="I212" s="165">
        <v>7</v>
      </c>
      <c r="J212" s="165">
        <v>3</v>
      </c>
      <c r="K212" s="165">
        <v>20</v>
      </c>
      <c r="L212" s="165">
        <v>24</v>
      </c>
    </row>
    <row r="213" spans="1:12" ht="16.5" customHeight="1">
      <c r="A213" s="12">
        <v>16</v>
      </c>
      <c r="B213" s="6" t="s">
        <v>258</v>
      </c>
      <c r="C213" s="164">
        <v>59</v>
      </c>
      <c r="D213" s="165">
        <v>4</v>
      </c>
      <c r="E213" s="165">
        <v>17</v>
      </c>
      <c r="F213" s="165">
        <v>23</v>
      </c>
      <c r="G213" s="165">
        <v>5</v>
      </c>
      <c r="H213" s="165">
        <v>3</v>
      </c>
      <c r="I213" s="165">
        <v>1</v>
      </c>
      <c r="J213" s="165">
        <v>1</v>
      </c>
      <c r="K213" s="165">
        <v>4</v>
      </c>
      <c r="L213" s="165">
        <v>1</v>
      </c>
    </row>
    <row r="214" spans="1:12" ht="16.5" customHeight="1">
      <c r="A214" s="12">
        <v>17</v>
      </c>
      <c r="B214" s="6" t="s">
        <v>259</v>
      </c>
      <c r="C214" s="164">
        <v>57</v>
      </c>
      <c r="D214" s="74" t="s">
        <v>13</v>
      </c>
      <c r="E214" s="165">
        <v>7</v>
      </c>
      <c r="F214" s="165">
        <v>11</v>
      </c>
      <c r="G214" s="74" t="s">
        <v>13</v>
      </c>
      <c r="H214" s="165">
        <v>3</v>
      </c>
      <c r="I214" s="165">
        <v>8</v>
      </c>
      <c r="J214" s="165">
        <v>6</v>
      </c>
      <c r="K214" s="165">
        <v>10</v>
      </c>
      <c r="L214" s="165">
        <v>12</v>
      </c>
    </row>
    <row r="215" spans="1:12" ht="16.5" customHeight="1">
      <c r="A215" s="12">
        <v>18</v>
      </c>
      <c r="B215" s="6" t="s">
        <v>260</v>
      </c>
      <c r="C215" s="164">
        <v>56</v>
      </c>
      <c r="D215" s="74" t="s">
        <v>13</v>
      </c>
      <c r="E215" s="74" t="s">
        <v>13</v>
      </c>
      <c r="F215" s="165">
        <v>3</v>
      </c>
      <c r="G215" s="74" t="s">
        <v>13</v>
      </c>
      <c r="H215" s="74" t="s">
        <v>13</v>
      </c>
      <c r="I215" s="74" t="s">
        <v>13</v>
      </c>
      <c r="J215" s="165">
        <v>7</v>
      </c>
      <c r="K215" s="165">
        <v>23</v>
      </c>
      <c r="L215" s="165">
        <v>23</v>
      </c>
    </row>
    <row r="216" spans="1:12" ht="16.5" customHeight="1">
      <c r="B216" s="6"/>
      <c r="C216" s="164">
        <v>55</v>
      </c>
      <c r="D216" s="165">
        <v>1</v>
      </c>
      <c r="E216" s="165">
        <v>6</v>
      </c>
      <c r="F216" s="165">
        <v>3</v>
      </c>
      <c r="G216" s="165">
        <v>3</v>
      </c>
      <c r="H216" s="165">
        <v>1</v>
      </c>
      <c r="I216" s="165">
        <v>4</v>
      </c>
      <c r="J216" s="165">
        <v>13</v>
      </c>
      <c r="K216" s="165">
        <v>15</v>
      </c>
      <c r="L216" s="165">
        <v>9</v>
      </c>
    </row>
    <row r="217" spans="1:12" ht="5.0999999999999996" customHeight="1">
      <c r="B217" s="82"/>
      <c r="C217" s="78"/>
      <c r="D217" s="79"/>
      <c r="E217" s="79"/>
      <c r="F217" s="79"/>
      <c r="G217" s="79"/>
      <c r="H217" s="79"/>
      <c r="I217" s="79"/>
      <c r="J217" s="79"/>
      <c r="K217" s="79"/>
      <c r="L217" s="79"/>
    </row>
    <row r="218" spans="1:12" ht="12" customHeight="1">
      <c r="B218" s="14"/>
      <c r="C218" s="14"/>
      <c r="D218" s="37"/>
      <c r="E218" s="40"/>
      <c r="F218" s="14"/>
      <c r="G218" s="38"/>
      <c r="H218" s="39"/>
      <c r="I218" s="39"/>
      <c r="J218" s="38"/>
      <c r="L218" s="155" t="s">
        <v>53</v>
      </c>
    </row>
    <row r="219" spans="1:12" s="105" customFormat="1" ht="18" customHeight="1">
      <c r="B219" s="157" t="s">
        <v>385</v>
      </c>
      <c r="C219" s="101"/>
      <c r="D219" s="102"/>
      <c r="E219" s="102"/>
      <c r="F219" s="101"/>
      <c r="G219" s="101"/>
      <c r="H219" s="103"/>
      <c r="I219" s="103"/>
      <c r="J219" s="103"/>
      <c r="K219" s="103"/>
      <c r="L219" s="104"/>
    </row>
    <row r="220" spans="1:12" s="105" customFormat="1" ht="5.0999999999999996" customHeight="1">
      <c r="B220" s="99"/>
      <c r="C220" s="101"/>
      <c r="D220" s="102"/>
      <c r="E220" s="102"/>
      <c r="F220" s="101"/>
      <c r="G220" s="101"/>
      <c r="H220" s="103"/>
      <c r="I220" s="103"/>
      <c r="J220" s="103"/>
      <c r="K220" s="103"/>
      <c r="L220" s="104"/>
    </row>
    <row r="221" spans="1:12" ht="18" customHeight="1">
      <c r="B221" s="832" t="s">
        <v>47</v>
      </c>
      <c r="C221" s="835" t="s">
        <v>14</v>
      </c>
      <c r="D221" s="708" t="s">
        <v>38</v>
      </c>
      <c r="E221" s="708"/>
      <c r="F221" s="708"/>
      <c r="G221" s="708"/>
      <c r="H221" s="708"/>
      <c r="I221" s="708"/>
      <c r="J221" s="708"/>
      <c r="K221" s="708"/>
      <c r="L221" s="708"/>
    </row>
    <row r="222" spans="1:12" ht="50.1" customHeight="1">
      <c r="B222" s="833"/>
      <c r="C222" s="836"/>
      <c r="D222" s="45" t="s">
        <v>12</v>
      </c>
      <c r="E222" s="45" t="s">
        <v>9</v>
      </c>
      <c r="F222" s="77" t="s">
        <v>10</v>
      </c>
      <c r="G222" s="45" t="s">
        <v>11</v>
      </c>
      <c r="H222" s="45" t="s">
        <v>7</v>
      </c>
      <c r="I222" s="77" t="s">
        <v>6</v>
      </c>
      <c r="J222" s="45" t="s">
        <v>8</v>
      </c>
      <c r="K222" s="45" t="s">
        <v>58</v>
      </c>
      <c r="L222" s="45" t="s">
        <v>57</v>
      </c>
    </row>
    <row r="223" spans="1:12" ht="5.0999999999999996" customHeight="1">
      <c r="B223" s="89"/>
      <c r="C223" s="106"/>
      <c r="D223" s="43"/>
      <c r="E223" s="43"/>
      <c r="F223" s="43"/>
      <c r="G223" s="43"/>
      <c r="H223" s="43"/>
      <c r="I223" s="43"/>
      <c r="J223" s="43"/>
      <c r="K223" s="43"/>
      <c r="L223" s="43"/>
    </row>
    <row r="224" spans="1:12" ht="16.5" customHeight="1">
      <c r="B224" s="89">
        <v>2012</v>
      </c>
      <c r="C224" s="106"/>
      <c r="D224" s="43"/>
      <c r="E224" s="43"/>
      <c r="F224" s="43"/>
      <c r="G224" s="43"/>
      <c r="H224" s="43"/>
      <c r="I224" s="43"/>
      <c r="J224" s="43"/>
      <c r="K224" s="43"/>
      <c r="L224" s="43"/>
    </row>
    <row r="225" spans="1:12" ht="16.5" customHeight="1">
      <c r="A225" s="12">
        <v>1</v>
      </c>
      <c r="B225" s="6" t="s">
        <v>261</v>
      </c>
      <c r="C225" s="164">
        <v>52</v>
      </c>
      <c r="D225" s="74" t="s">
        <v>13</v>
      </c>
      <c r="E225" s="165">
        <v>5</v>
      </c>
      <c r="F225" s="165">
        <v>7</v>
      </c>
      <c r="G225" s="165">
        <v>3</v>
      </c>
      <c r="H225" s="165">
        <v>2</v>
      </c>
      <c r="I225" s="165">
        <v>6</v>
      </c>
      <c r="J225" s="165">
        <v>8</v>
      </c>
      <c r="K225" s="165">
        <v>14</v>
      </c>
      <c r="L225" s="165">
        <v>7</v>
      </c>
    </row>
    <row r="226" spans="1:12" ht="16.5" customHeight="1">
      <c r="A226" s="12">
        <v>2</v>
      </c>
      <c r="B226" s="6" t="s">
        <v>262</v>
      </c>
      <c r="C226" s="164">
        <v>50</v>
      </c>
      <c r="D226" s="165">
        <v>3</v>
      </c>
      <c r="E226" s="165">
        <v>8</v>
      </c>
      <c r="F226" s="165">
        <v>9</v>
      </c>
      <c r="G226" s="165">
        <v>4</v>
      </c>
      <c r="H226" s="74" t="s">
        <v>13</v>
      </c>
      <c r="I226" s="165">
        <v>10</v>
      </c>
      <c r="J226" s="165">
        <v>7</v>
      </c>
      <c r="K226" s="165">
        <v>5</v>
      </c>
      <c r="L226" s="165">
        <v>4</v>
      </c>
    </row>
    <row r="227" spans="1:12" ht="16.5" customHeight="1">
      <c r="A227" s="12">
        <v>3</v>
      </c>
      <c r="B227" s="6" t="s">
        <v>263</v>
      </c>
      <c r="C227" s="164">
        <v>44</v>
      </c>
      <c r="D227" s="165">
        <v>6</v>
      </c>
      <c r="E227" s="165">
        <v>1</v>
      </c>
      <c r="F227" s="165">
        <v>7</v>
      </c>
      <c r="G227" s="165">
        <v>1</v>
      </c>
      <c r="H227" s="74" t="s">
        <v>13</v>
      </c>
      <c r="I227" s="165">
        <v>1</v>
      </c>
      <c r="J227" s="165">
        <v>17</v>
      </c>
      <c r="K227" s="165">
        <v>7</v>
      </c>
      <c r="L227" s="165">
        <v>4</v>
      </c>
    </row>
    <row r="228" spans="1:12" ht="16.5" customHeight="1">
      <c r="A228" s="12">
        <v>4</v>
      </c>
      <c r="B228" s="6" t="s">
        <v>264</v>
      </c>
      <c r="C228" s="164">
        <v>42</v>
      </c>
      <c r="D228" s="74" t="s">
        <v>13</v>
      </c>
      <c r="E228" s="165">
        <v>2</v>
      </c>
      <c r="F228" s="165">
        <v>10</v>
      </c>
      <c r="G228" s="74" t="s">
        <v>13</v>
      </c>
      <c r="H228" s="165">
        <v>1</v>
      </c>
      <c r="I228" s="165">
        <v>4</v>
      </c>
      <c r="J228" s="165">
        <v>4</v>
      </c>
      <c r="K228" s="165">
        <v>7</v>
      </c>
      <c r="L228" s="165">
        <v>14</v>
      </c>
    </row>
    <row r="229" spans="1:12" ht="16.5" customHeight="1">
      <c r="A229" s="12">
        <v>5</v>
      </c>
      <c r="B229" s="6" t="s">
        <v>265</v>
      </c>
      <c r="C229" s="164">
        <v>41</v>
      </c>
      <c r="D229" s="74" t="s">
        <v>13</v>
      </c>
      <c r="E229" s="74" t="s">
        <v>13</v>
      </c>
      <c r="F229" s="74" t="s">
        <v>13</v>
      </c>
      <c r="G229" s="165">
        <v>3</v>
      </c>
      <c r="H229" s="165">
        <v>1</v>
      </c>
      <c r="I229" s="165">
        <v>2</v>
      </c>
      <c r="J229" s="165">
        <v>4</v>
      </c>
      <c r="K229" s="165">
        <v>19</v>
      </c>
      <c r="L229" s="165">
        <v>12</v>
      </c>
    </row>
    <row r="230" spans="1:12" ht="16.5" customHeight="1">
      <c r="A230" s="12">
        <v>6</v>
      </c>
      <c r="B230" s="6" t="s">
        <v>266</v>
      </c>
      <c r="C230" s="164">
        <v>40</v>
      </c>
      <c r="D230" s="74" t="s">
        <v>13</v>
      </c>
      <c r="E230" s="74" t="s">
        <v>13</v>
      </c>
      <c r="F230" s="74" t="s">
        <v>13</v>
      </c>
      <c r="G230" s="165">
        <v>2</v>
      </c>
      <c r="H230" s="74" t="s">
        <v>13</v>
      </c>
      <c r="I230" s="165">
        <v>2</v>
      </c>
      <c r="J230" s="74" t="s">
        <v>13</v>
      </c>
      <c r="K230" s="165">
        <v>10</v>
      </c>
      <c r="L230" s="165">
        <v>26</v>
      </c>
    </row>
    <row r="231" spans="1:12" ht="16.5" customHeight="1">
      <c r="A231" s="12">
        <v>7</v>
      </c>
      <c r="B231" s="6" t="s">
        <v>267</v>
      </c>
      <c r="C231" s="164">
        <v>38</v>
      </c>
      <c r="D231" s="74" t="s">
        <v>13</v>
      </c>
      <c r="E231" s="165">
        <v>1</v>
      </c>
      <c r="F231" s="165">
        <v>3</v>
      </c>
      <c r="G231" s="165">
        <v>2</v>
      </c>
      <c r="H231" s="74" t="s">
        <v>13</v>
      </c>
      <c r="I231" s="165">
        <v>5</v>
      </c>
      <c r="J231" s="165">
        <v>11</v>
      </c>
      <c r="K231" s="165">
        <v>13</v>
      </c>
      <c r="L231" s="165">
        <v>3</v>
      </c>
    </row>
    <row r="232" spans="1:12" ht="16.5" customHeight="1">
      <c r="A232" s="12">
        <v>8</v>
      </c>
      <c r="B232" s="6" t="s">
        <v>268</v>
      </c>
      <c r="C232" s="164">
        <v>35</v>
      </c>
      <c r="D232" s="165">
        <v>2</v>
      </c>
      <c r="E232" s="165">
        <v>5</v>
      </c>
      <c r="F232" s="165">
        <v>6</v>
      </c>
      <c r="G232" s="165">
        <v>9</v>
      </c>
      <c r="H232" s="74" t="s">
        <v>13</v>
      </c>
      <c r="I232" s="165">
        <v>4</v>
      </c>
      <c r="J232" s="165">
        <v>2</v>
      </c>
      <c r="K232" s="165">
        <v>4</v>
      </c>
      <c r="L232" s="165">
        <v>3</v>
      </c>
    </row>
    <row r="233" spans="1:12" ht="16.5" customHeight="1">
      <c r="A233" s="12">
        <v>9</v>
      </c>
      <c r="B233" s="6" t="s">
        <v>269</v>
      </c>
      <c r="C233" s="164">
        <v>33</v>
      </c>
      <c r="D233" s="165">
        <v>17</v>
      </c>
      <c r="E233" s="165">
        <v>3</v>
      </c>
      <c r="F233" s="74" t="s">
        <v>13</v>
      </c>
      <c r="G233" s="74" t="s">
        <v>13</v>
      </c>
      <c r="H233" s="74" t="s">
        <v>13</v>
      </c>
      <c r="I233" s="74" t="s">
        <v>13</v>
      </c>
      <c r="J233" s="165">
        <v>8</v>
      </c>
      <c r="K233" s="165">
        <v>4</v>
      </c>
      <c r="L233" s="165">
        <v>1</v>
      </c>
    </row>
    <row r="234" spans="1:12" ht="16.5" customHeight="1">
      <c r="A234" s="12">
        <v>10</v>
      </c>
      <c r="B234" s="6" t="s">
        <v>270</v>
      </c>
      <c r="C234" s="164">
        <v>32</v>
      </c>
      <c r="D234" s="74" t="s">
        <v>13</v>
      </c>
      <c r="E234" s="165">
        <v>3</v>
      </c>
      <c r="F234" s="165">
        <v>2</v>
      </c>
      <c r="G234" s="165">
        <v>1</v>
      </c>
      <c r="H234" s="74" t="s">
        <v>13</v>
      </c>
      <c r="I234" s="165">
        <v>4</v>
      </c>
      <c r="J234" s="165">
        <v>7</v>
      </c>
      <c r="K234" s="165">
        <v>7</v>
      </c>
      <c r="L234" s="165">
        <v>8</v>
      </c>
    </row>
    <row r="235" spans="1:12" ht="16.5" customHeight="1">
      <c r="A235" s="12">
        <v>11</v>
      </c>
      <c r="B235" s="6" t="s">
        <v>271</v>
      </c>
      <c r="C235" s="164">
        <v>29</v>
      </c>
      <c r="D235" s="74" t="s">
        <v>13</v>
      </c>
      <c r="E235" s="165">
        <v>10</v>
      </c>
      <c r="F235" s="165">
        <v>4</v>
      </c>
      <c r="G235" s="165">
        <v>2</v>
      </c>
      <c r="H235" s="74" t="s">
        <v>13</v>
      </c>
      <c r="I235" s="165">
        <v>1</v>
      </c>
      <c r="J235" s="165">
        <v>2</v>
      </c>
      <c r="K235" s="165">
        <v>8</v>
      </c>
      <c r="L235" s="165">
        <v>2</v>
      </c>
    </row>
    <row r="236" spans="1:12" ht="16.5" customHeight="1">
      <c r="A236" s="12">
        <v>12</v>
      </c>
      <c r="B236" s="6" t="s">
        <v>272</v>
      </c>
      <c r="C236" s="164">
        <v>29</v>
      </c>
      <c r="D236" s="165">
        <v>1</v>
      </c>
      <c r="E236" s="165">
        <v>9</v>
      </c>
      <c r="F236" s="165">
        <v>7</v>
      </c>
      <c r="G236" s="165">
        <v>3</v>
      </c>
      <c r="H236" s="165">
        <v>1</v>
      </c>
      <c r="I236" s="74" t="s">
        <v>13</v>
      </c>
      <c r="J236" s="165">
        <v>4</v>
      </c>
      <c r="K236" s="165">
        <v>4</v>
      </c>
      <c r="L236" s="74" t="s">
        <v>13</v>
      </c>
    </row>
    <row r="237" spans="1:12" ht="16.5" customHeight="1">
      <c r="A237" s="12">
        <v>13</v>
      </c>
      <c r="B237" s="6" t="s">
        <v>273</v>
      </c>
      <c r="C237" s="164">
        <v>29</v>
      </c>
      <c r="D237" s="165">
        <v>9</v>
      </c>
      <c r="E237" s="165">
        <v>5</v>
      </c>
      <c r="F237" s="165">
        <v>8</v>
      </c>
      <c r="G237" s="165">
        <v>1</v>
      </c>
      <c r="H237" s="74" t="s">
        <v>13</v>
      </c>
      <c r="I237" s="165">
        <v>1</v>
      </c>
      <c r="J237" s="74" t="s">
        <v>13</v>
      </c>
      <c r="K237" s="165">
        <v>3</v>
      </c>
      <c r="L237" s="165">
        <v>2</v>
      </c>
    </row>
    <row r="238" spans="1:12" ht="16.5" customHeight="1">
      <c r="A238" s="12">
        <v>14</v>
      </c>
      <c r="B238" s="6" t="s">
        <v>274</v>
      </c>
      <c r="C238" s="164">
        <v>25</v>
      </c>
      <c r="D238" s="165">
        <v>2</v>
      </c>
      <c r="E238" s="165">
        <v>4</v>
      </c>
      <c r="F238" s="165">
        <v>9</v>
      </c>
      <c r="G238" s="74" t="s">
        <v>13</v>
      </c>
      <c r="H238" s="165">
        <v>1</v>
      </c>
      <c r="I238" s="165">
        <v>1</v>
      </c>
      <c r="J238" s="74" t="s">
        <v>13</v>
      </c>
      <c r="K238" s="165">
        <v>3</v>
      </c>
      <c r="L238" s="165">
        <v>5</v>
      </c>
    </row>
    <row r="239" spans="1:12" ht="16.5" customHeight="1">
      <c r="A239" s="12">
        <v>15</v>
      </c>
      <c r="B239" s="6" t="s">
        <v>275</v>
      </c>
      <c r="C239" s="164">
        <v>25</v>
      </c>
      <c r="D239" s="74" t="s">
        <v>13</v>
      </c>
      <c r="E239" s="165">
        <v>1</v>
      </c>
      <c r="F239" s="165">
        <v>4</v>
      </c>
      <c r="G239" s="165">
        <v>2</v>
      </c>
      <c r="H239" s="165">
        <v>1</v>
      </c>
      <c r="I239" s="165">
        <v>4</v>
      </c>
      <c r="J239" s="165">
        <v>1</v>
      </c>
      <c r="K239" s="165">
        <v>5</v>
      </c>
      <c r="L239" s="165">
        <v>7</v>
      </c>
    </row>
    <row r="240" spans="1:12" ht="16.5" customHeight="1">
      <c r="A240" s="12">
        <v>16</v>
      </c>
      <c r="B240" s="6" t="s">
        <v>276</v>
      </c>
      <c r="C240" s="164">
        <v>25</v>
      </c>
      <c r="D240" s="74" t="s">
        <v>13</v>
      </c>
      <c r="E240" s="165">
        <v>2</v>
      </c>
      <c r="F240" s="165">
        <v>3</v>
      </c>
      <c r="G240" s="165">
        <v>3</v>
      </c>
      <c r="H240" s="74" t="s">
        <v>13</v>
      </c>
      <c r="I240" s="165">
        <v>2</v>
      </c>
      <c r="J240" s="165">
        <v>8</v>
      </c>
      <c r="K240" s="165">
        <v>6</v>
      </c>
      <c r="L240" s="165">
        <v>1</v>
      </c>
    </row>
    <row r="241" spans="1:12" ht="16.5" customHeight="1">
      <c r="A241" s="12">
        <v>17</v>
      </c>
      <c r="B241" s="6" t="s">
        <v>277</v>
      </c>
      <c r="C241" s="164">
        <v>24</v>
      </c>
      <c r="D241" s="74" t="s">
        <v>13</v>
      </c>
      <c r="E241" s="74" t="s">
        <v>13</v>
      </c>
      <c r="F241" s="165">
        <v>6</v>
      </c>
      <c r="G241" s="165">
        <v>4</v>
      </c>
      <c r="H241" s="74" t="s">
        <v>13</v>
      </c>
      <c r="I241" s="165">
        <v>1</v>
      </c>
      <c r="J241" s="165">
        <v>7</v>
      </c>
      <c r="K241" s="165">
        <v>3</v>
      </c>
      <c r="L241" s="165">
        <v>3</v>
      </c>
    </row>
    <row r="242" spans="1:12" ht="16.5" customHeight="1">
      <c r="A242" s="12">
        <v>18</v>
      </c>
      <c r="B242" s="6" t="s">
        <v>278</v>
      </c>
      <c r="C242" s="164">
        <v>23</v>
      </c>
      <c r="D242" s="165" t="s">
        <v>13</v>
      </c>
      <c r="E242" s="165" t="s">
        <v>13</v>
      </c>
      <c r="F242" s="165">
        <v>2</v>
      </c>
      <c r="G242" s="165">
        <v>3</v>
      </c>
      <c r="H242" s="165" t="s">
        <v>13</v>
      </c>
      <c r="I242" s="165">
        <v>1</v>
      </c>
      <c r="J242" s="165">
        <v>3</v>
      </c>
      <c r="K242" s="165">
        <v>9</v>
      </c>
      <c r="L242" s="165">
        <v>5</v>
      </c>
    </row>
    <row r="243" spans="1:12" ht="5.0999999999999996" customHeight="1">
      <c r="B243" s="82" t="s">
        <v>117</v>
      </c>
      <c r="C243" s="78"/>
      <c r="D243" s="79"/>
      <c r="E243" s="79"/>
      <c r="F243" s="79"/>
      <c r="G243" s="79"/>
      <c r="H243" s="79"/>
      <c r="I243" s="79"/>
      <c r="J243" s="79"/>
      <c r="K243" s="79"/>
      <c r="L243" s="79"/>
    </row>
    <row r="244" spans="1:12" ht="12" customHeight="1">
      <c r="B244" s="14"/>
      <c r="C244" s="14"/>
      <c r="D244" s="37"/>
      <c r="E244" s="40"/>
      <c r="F244" s="14"/>
      <c r="G244" s="38"/>
      <c r="H244" s="39"/>
      <c r="I244" s="39"/>
      <c r="J244" s="38"/>
      <c r="K244" s="40"/>
      <c r="L244" s="154" t="s">
        <v>45</v>
      </c>
    </row>
    <row r="245" spans="1:12" s="105" customFormat="1" ht="15" customHeight="1">
      <c r="B245" s="157" t="s">
        <v>385</v>
      </c>
      <c r="C245" s="101"/>
      <c r="D245" s="102"/>
      <c r="E245" s="102"/>
      <c r="F245" s="101"/>
      <c r="G245" s="101"/>
      <c r="H245" s="103"/>
      <c r="I245" s="103"/>
      <c r="J245" s="103"/>
    </row>
    <row r="246" spans="1:12" s="105" customFormat="1" ht="9.9499999999999993" customHeight="1">
      <c r="B246" s="99"/>
      <c r="C246" s="101"/>
      <c r="D246" s="102"/>
      <c r="E246" s="102"/>
      <c r="F246" s="101"/>
      <c r="G246" s="101"/>
      <c r="H246" s="103"/>
      <c r="I246" s="103"/>
      <c r="J246" s="103"/>
      <c r="K246" s="837"/>
      <c r="L246" s="837"/>
    </row>
    <row r="247" spans="1:12" ht="18" customHeight="1">
      <c r="B247" s="832" t="s">
        <v>47</v>
      </c>
      <c r="C247" s="834" t="s">
        <v>14</v>
      </c>
      <c r="D247" s="708" t="s">
        <v>38</v>
      </c>
      <c r="E247" s="708"/>
      <c r="F247" s="708"/>
      <c r="G247" s="708"/>
      <c r="H247" s="708"/>
      <c r="I247" s="708"/>
      <c r="J247" s="708"/>
      <c r="K247" s="708"/>
      <c r="L247" s="708"/>
    </row>
    <row r="248" spans="1:12" ht="45" customHeight="1">
      <c r="B248" s="833"/>
      <c r="C248" s="834"/>
      <c r="D248" s="45" t="s">
        <v>12</v>
      </c>
      <c r="E248" s="45" t="s">
        <v>9</v>
      </c>
      <c r="F248" s="45" t="s">
        <v>10</v>
      </c>
      <c r="G248" s="45" t="s">
        <v>11</v>
      </c>
      <c r="H248" s="45" t="s">
        <v>7</v>
      </c>
      <c r="I248" s="45" t="s">
        <v>6</v>
      </c>
      <c r="J248" s="45" t="s">
        <v>8</v>
      </c>
      <c r="K248" s="45" t="s">
        <v>58</v>
      </c>
      <c r="L248" s="45" t="s">
        <v>57</v>
      </c>
    </row>
    <row r="249" spans="1:12" ht="5.0999999999999996" customHeight="1">
      <c r="B249" s="89"/>
      <c r="C249" s="106"/>
      <c r="D249" s="43"/>
      <c r="E249" s="43"/>
      <c r="F249" s="43"/>
      <c r="G249" s="43"/>
      <c r="H249" s="43"/>
      <c r="I249" s="43"/>
      <c r="J249" s="43"/>
      <c r="K249" s="43"/>
      <c r="L249" s="43"/>
    </row>
    <row r="250" spans="1:12" ht="15" customHeight="1">
      <c r="B250" s="89">
        <v>2012</v>
      </c>
      <c r="C250" s="106"/>
      <c r="D250" s="43"/>
      <c r="E250" s="43"/>
      <c r="F250" s="43"/>
      <c r="G250" s="43"/>
      <c r="H250" s="43"/>
      <c r="I250" s="43"/>
      <c r="J250" s="43"/>
      <c r="K250" s="43"/>
      <c r="L250" s="43"/>
    </row>
    <row r="251" spans="1:12" ht="15" customHeight="1">
      <c r="A251" s="12">
        <v>1</v>
      </c>
      <c r="B251" s="6" t="s">
        <v>279</v>
      </c>
      <c r="C251" s="164">
        <v>21</v>
      </c>
      <c r="D251" s="165">
        <v>11</v>
      </c>
      <c r="E251" s="165">
        <v>2</v>
      </c>
      <c r="F251" s="165">
        <v>1</v>
      </c>
      <c r="G251" s="74" t="s">
        <v>13</v>
      </c>
      <c r="H251" s="74" t="s">
        <v>13</v>
      </c>
      <c r="I251" s="165">
        <v>1</v>
      </c>
      <c r="J251" s="165">
        <v>2</v>
      </c>
      <c r="K251" s="165">
        <v>3</v>
      </c>
      <c r="L251" s="165">
        <v>1</v>
      </c>
    </row>
    <row r="252" spans="1:12" ht="15" customHeight="1">
      <c r="A252" s="12">
        <v>2</v>
      </c>
      <c r="B252" s="6" t="s">
        <v>280</v>
      </c>
      <c r="C252" s="164">
        <v>18</v>
      </c>
      <c r="D252" s="74" t="s">
        <v>13</v>
      </c>
      <c r="E252" s="74" t="s">
        <v>13</v>
      </c>
      <c r="F252" s="74" t="s">
        <v>13</v>
      </c>
      <c r="G252" s="74" t="s">
        <v>13</v>
      </c>
      <c r="H252" s="165">
        <v>1</v>
      </c>
      <c r="I252" s="74" t="s">
        <v>13</v>
      </c>
      <c r="J252" s="165">
        <v>3</v>
      </c>
      <c r="K252" s="165">
        <v>11</v>
      </c>
      <c r="L252" s="165">
        <v>3</v>
      </c>
    </row>
    <row r="253" spans="1:12" ht="15" customHeight="1">
      <c r="A253" s="12">
        <v>3</v>
      </c>
      <c r="B253" s="6" t="s">
        <v>281</v>
      </c>
      <c r="C253" s="164">
        <v>18</v>
      </c>
      <c r="D253" s="74" t="s">
        <v>13</v>
      </c>
      <c r="E253" s="74" t="s">
        <v>13</v>
      </c>
      <c r="F253" s="165">
        <v>2</v>
      </c>
      <c r="G253" s="165">
        <v>1</v>
      </c>
      <c r="H253" s="74" t="s">
        <v>13</v>
      </c>
      <c r="I253" s="165">
        <v>1</v>
      </c>
      <c r="J253" s="165">
        <v>5</v>
      </c>
      <c r="K253" s="165">
        <v>3</v>
      </c>
      <c r="L253" s="165">
        <v>6</v>
      </c>
    </row>
    <row r="254" spans="1:12" ht="15" customHeight="1">
      <c r="A254" s="12">
        <v>4</v>
      </c>
      <c r="B254" s="6" t="s">
        <v>282</v>
      </c>
      <c r="C254" s="164">
        <v>17</v>
      </c>
      <c r="D254" s="74" t="s">
        <v>13</v>
      </c>
      <c r="E254" s="74" t="s">
        <v>13</v>
      </c>
      <c r="F254" s="165">
        <v>1</v>
      </c>
      <c r="G254" s="165">
        <v>1</v>
      </c>
      <c r="H254" s="74" t="s">
        <v>13</v>
      </c>
      <c r="I254" s="165">
        <v>1</v>
      </c>
      <c r="J254" s="165">
        <v>2</v>
      </c>
      <c r="K254" s="165">
        <v>5</v>
      </c>
      <c r="L254" s="165">
        <v>7</v>
      </c>
    </row>
    <row r="255" spans="1:12" ht="15" customHeight="1">
      <c r="A255" s="12">
        <v>5</v>
      </c>
      <c r="B255" s="6" t="s">
        <v>283</v>
      </c>
      <c r="C255" s="164">
        <v>16</v>
      </c>
      <c r="D255" s="74" t="s">
        <v>13</v>
      </c>
      <c r="E255" s="165">
        <v>2</v>
      </c>
      <c r="F255" s="165">
        <v>4</v>
      </c>
      <c r="G255" s="165">
        <v>2</v>
      </c>
      <c r="H255" s="74" t="s">
        <v>13</v>
      </c>
      <c r="I255" s="165">
        <v>3</v>
      </c>
      <c r="J255" s="165">
        <v>1</v>
      </c>
      <c r="K255" s="165">
        <v>4</v>
      </c>
      <c r="L255" s="74" t="s">
        <v>13</v>
      </c>
    </row>
    <row r="256" spans="1:12" ht="15" customHeight="1">
      <c r="A256" s="12">
        <v>6</v>
      </c>
      <c r="B256" s="6" t="s">
        <v>284</v>
      </c>
      <c r="C256" s="164">
        <v>16</v>
      </c>
      <c r="D256" s="74" t="s">
        <v>13</v>
      </c>
      <c r="E256" s="74" t="s">
        <v>13</v>
      </c>
      <c r="F256" s="74" t="s">
        <v>13</v>
      </c>
      <c r="G256" s="165">
        <v>1</v>
      </c>
      <c r="H256" s="74" t="s">
        <v>13</v>
      </c>
      <c r="I256" s="165">
        <v>2</v>
      </c>
      <c r="J256" s="165">
        <v>5</v>
      </c>
      <c r="K256" s="165">
        <v>6</v>
      </c>
      <c r="L256" s="165">
        <v>2</v>
      </c>
    </row>
    <row r="257" spans="1:12" ht="15" customHeight="1">
      <c r="A257" s="12">
        <v>7</v>
      </c>
      <c r="B257" s="6" t="s">
        <v>328</v>
      </c>
      <c r="C257" s="164">
        <v>16</v>
      </c>
      <c r="D257" s="165">
        <v>5</v>
      </c>
      <c r="E257" s="74" t="s">
        <v>13</v>
      </c>
      <c r="F257" s="74" t="s">
        <v>13</v>
      </c>
      <c r="G257" s="74" t="s">
        <v>13</v>
      </c>
      <c r="H257" s="74" t="s">
        <v>13</v>
      </c>
      <c r="I257" s="74" t="s">
        <v>13</v>
      </c>
      <c r="J257" s="165">
        <v>7</v>
      </c>
      <c r="K257" s="165">
        <v>3</v>
      </c>
      <c r="L257" s="165">
        <v>1</v>
      </c>
    </row>
    <row r="258" spans="1:12" ht="15" customHeight="1">
      <c r="A258" s="12">
        <v>8</v>
      </c>
      <c r="B258" s="6" t="s">
        <v>285</v>
      </c>
      <c r="C258" s="164">
        <v>15</v>
      </c>
      <c r="D258" s="165">
        <v>10</v>
      </c>
      <c r="E258" s="165">
        <v>1</v>
      </c>
      <c r="F258" s="165">
        <v>1</v>
      </c>
      <c r="G258" s="74" t="s">
        <v>13</v>
      </c>
      <c r="H258" s="74" t="s">
        <v>13</v>
      </c>
      <c r="I258" s="165">
        <v>1</v>
      </c>
      <c r="J258" s="165">
        <v>1</v>
      </c>
      <c r="K258" s="165">
        <v>1</v>
      </c>
      <c r="L258" s="74" t="s">
        <v>13</v>
      </c>
    </row>
    <row r="259" spans="1:12" ht="15" customHeight="1">
      <c r="A259" s="12">
        <v>9</v>
      </c>
      <c r="B259" s="6" t="s">
        <v>286</v>
      </c>
      <c r="C259" s="164">
        <v>15</v>
      </c>
      <c r="D259" s="165">
        <v>2</v>
      </c>
      <c r="E259" s="165">
        <v>6</v>
      </c>
      <c r="F259" s="165">
        <v>1</v>
      </c>
      <c r="G259" s="74" t="s">
        <v>13</v>
      </c>
      <c r="H259" s="74" t="s">
        <v>13</v>
      </c>
      <c r="I259" s="165">
        <v>1</v>
      </c>
      <c r="J259" s="165">
        <v>2</v>
      </c>
      <c r="K259" s="165">
        <v>3</v>
      </c>
      <c r="L259" s="74" t="s">
        <v>13</v>
      </c>
    </row>
    <row r="260" spans="1:12" ht="15" customHeight="1">
      <c r="A260" s="12">
        <v>10</v>
      </c>
      <c r="B260" s="6" t="s">
        <v>287</v>
      </c>
      <c r="C260" s="164">
        <v>13</v>
      </c>
      <c r="D260" s="74" t="s">
        <v>13</v>
      </c>
      <c r="E260" s="74" t="s">
        <v>13</v>
      </c>
      <c r="F260" s="74" t="s">
        <v>13</v>
      </c>
      <c r="G260" s="165">
        <v>1</v>
      </c>
      <c r="H260" s="74" t="s">
        <v>13</v>
      </c>
      <c r="I260" s="165">
        <v>1</v>
      </c>
      <c r="J260" s="165">
        <v>2</v>
      </c>
      <c r="K260" s="165">
        <v>6</v>
      </c>
      <c r="L260" s="165">
        <v>3</v>
      </c>
    </row>
    <row r="261" spans="1:12" ht="15" customHeight="1">
      <c r="A261" s="12">
        <v>11</v>
      </c>
      <c r="B261" s="6" t="s">
        <v>288</v>
      </c>
      <c r="C261" s="164">
        <v>13</v>
      </c>
      <c r="D261" s="165">
        <v>7</v>
      </c>
      <c r="E261" s="165">
        <v>2</v>
      </c>
      <c r="F261" s="74" t="s">
        <v>13</v>
      </c>
      <c r="G261" s="74" t="s">
        <v>13</v>
      </c>
      <c r="H261" s="74" t="s">
        <v>13</v>
      </c>
      <c r="I261" s="74" t="s">
        <v>13</v>
      </c>
      <c r="J261" s="74" t="s">
        <v>13</v>
      </c>
      <c r="K261" s="165">
        <v>1</v>
      </c>
      <c r="L261" s="165">
        <v>3</v>
      </c>
    </row>
    <row r="262" spans="1:12" ht="15" customHeight="1">
      <c r="A262" s="12">
        <v>12</v>
      </c>
      <c r="B262" s="6" t="s">
        <v>289</v>
      </c>
      <c r="C262" s="164">
        <v>11</v>
      </c>
      <c r="D262" s="74" t="s">
        <v>13</v>
      </c>
      <c r="E262" s="165">
        <v>3</v>
      </c>
      <c r="F262" s="165">
        <v>4</v>
      </c>
      <c r="G262" s="165">
        <v>1</v>
      </c>
      <c r="H262" s="74" t="s">
        <v>13</v>
      </c>
      <c r="I262" s="165">
        <v>1</v>
      </c>
      <c r="J262" s="74" t="s">
        <v>13</v>
      </c>
      <c r="K262" s="165">
        <v>2</v>
      </c>
      <c r="L262" s="74" t="s">
        <v>13</v>
      </c>
    </row>
    <row r="263" spans="1:12" ht="15" customHeight="1">
      <c r="A263" s="12">
        <v>13</v>
      </c>
      <c r="B263" s="6" t="s">
        <v>290</v>
      </c>
      <c r="C263" s="164">
        <v>11</v>
      </c>
      <c r="D263" s="74" t="s">
        <v>13</v>
      </c>
      <c r="E263" s="74" t="s">
        <v>13</v>
      </c>
      <c r="F263" s="165">
        <v>2</v>
      </c>
      <c r="G263" s="74" t="s">
        <v>13</v>
      </c>
      <c r="H263" s="74" t="s">
        <v>13</v>
      </c>
      <c r="I263" s="74" t="s">
        <v>13</v>
      </c>
      <c r="J263" s="165">
        <v>2</v>
      </c>
      <c r="K263" s="165">
        <v>7</v>
      </c>
      <c r="L263" s="74" t="s">
        <v>13</v>
      </c>
    </row>
    <row r="264" spans="1:12" ht="15" customHeight="1">
      <c r="A264" s="12">
        <v>14</v>
      </c>
      <c r="B264" s="6" t="s">
        <v>291</v>
      </c>
      <c r="C264" s="164">
        <v>10</v>
      </c>
      <c r="D264" s="74" t="s">
        <v>13</v>
      </c>
      <c r="E264" s="74" t="s">
        <v>13</v>
      </c>
      <c r="F264" s="74" t="s">
        <v>13</v>
      </c>
      <c r="G264" s="74" t="s">
        <v>13</v>
      </c>
      <c r="H264" s="74" t="s">
        <v>13</v>
      </c>
      <c r="I264" s="74" t="s">
        <v>13</v>
      </c>
      <c r="J264" s="74" t="s">
        <v>13</v>
      </c>
      <c r="K264" s="165">
        <v>1</v>
      </c>
      <c r="L264" s="165">
        <v>9</v>
      </c>
    </row>
    <row r="265" spans="1:12" ht="14.25" customHeight="1">
      <c r="A265" s="12">
        <v>15</v>
      </c>
      <c r="B265" s="6" t="s">
        <v>95</v>
      </c>
      <c r="C265" s="164">
        <v>9</v>
      </c>
      <c r="D265" s="74" t="s">
        <v>13</v>
      </c>
      <c r="E265" s="74" t="s">
        <v>13</v>
      </c>
      <c r="F265" s="165">
        <v>5</v>
      </c>
      <c r="G265" s="165">
        <v>2</v>
      </c>
      <c r="H265" s="74" t="s">
        <v>13</v>
      </c>
      <c r="I265" s="74" t="s">
        <v>13</v>
      </c>
      <c r="J265" s="165">
        <v>1</v>
      </c>
      <c r="K265" s="74" t="s">
        <v>13</v>
      </c>
      <c r="L265" s="165">
        <v>1</v>
      </c>
    </row>
    <row r="266" spans="1:12" ht="15" customHeight="1">
      <c r="A266" s="12">
        <v>16</v>
      </c>
      <c r="B266" s="6" t="s">
        <v>292</v>
      </c>
      <c r="C266" s="164">
        <v>9</v>
      </c>
      <c r="D266" s="165">
        <v>1</v>
      </c>
      <c r="E266" s="74" t="s">
        <v>13</v>
      </c>
      <c r="F266" s="74" t="s">
        <v>13</v>
      </c>
      <c r="G266" s="165">
        <v>1</v>
      </c>
      <c r="H266" s="165">
        <v>4</v>
      </c>
      <c r="I266" s="165">
        <v>1</v>
      </c>
      <c r="J266" s="165">
        <v>2</v>
      </c>
      <c r="K266" s="74" t="s">
        <v>13</v>
      </c>
      <c r="L266" s="74" t="s">
        <v>13</v>
      </c>
    </row>
    <row r="267" spans="1:12" ht="12.75" customHeight="1">
      <c r="A267" s="12">
        <v>17</v>
      </c>
      <c r="B267" s="6" t="s">
        <v>293</v>
      </c>
      <c r="C267" s="164">
        <v>9</v>
      </c>
      <c r="D267" s="74" t="s">
        <v>13</v>
      </c>
      <c r="E267" s="74" t="s">
        <v>13</v>
      </c>
      <c r="F267" s="165">
        <v>1</v>
      </c>
      <c r="G267" s="74" t="s">
        <v>13</v>
      </c>
      <c r="H267" s="165"/>
      <c r="I267" s="165">
        <v>2</v>
      </c>
      <c r="J267" s="165">
        <v>1</v>
      </c>
      <c r="K267" s="165">
        <v>4</v>
      </c>
      <c r="L267" s="165">
        <v>1</v>
      </c>
    </row>
    <row r="268" spans="1:12" ht="15" customHeight="1">
      <c r="A268" s="12">
        <v>18</v>
      </c>
      <c r="B268" s="6" t="s">
        <v>294</v>
      </c>
      <c r="C268" s="164">
        <v>9</v>
      </c>
      <c r="D268" s="74" t="s">
        <v>13</v>
      </c>
      <c r="E268" s="74" t="s">
        <v>13</v>
      </c>
      <c r="F268" s="74" t="s">
        <v>13</v>
      </c>
      <c r="G268" s="74" t="s">
        <v>13</v>
      </c>
      <c r="H268" s="165">
        <v>1</v>
      </c>
      <c r="I268" s="165">
        <v>2</v>
      </c>
      <c r="J268" s="165">
        <v>2</v>
      </c>
      <c r="K268" s="165">
        <v>2</v>
      </c>
      <c r="L268" s="165">
        <v>2</v>
      </c>
    </row>
    <row r="269" spans="1:12" ht="15" customHeight="1">
      <c r="A269" s="10">
        <v>19</v>
      </c>
      <c r="B269" s="6" t="s">
        <v>96</v>
      </c>
      <c r="C269" s="164">
        <v>6</v>
      </c>
      <c r="D269" s="74" t="s">
        <v>13</v>
      </c>
      <c r="E269" s="74" t="s">
        <v>13</v>
      </c>
      <c r="F269" s="74" t="s">
        <v>13</v>
      </c>
      <c r="G269" s="74" t="s">
        <v>13</v>
      </c>
      <c r="H269" s="74" t="s">
        <v>13</v>
      </c>
      <c r="I269" s="74" t="s">
        <v>13</v>
      </c>
      <c r="J269" s="74" t="s">
        <v>13</v>
      </c>
      <c r="K269" s="165">
        <v>5</v>
      </c>
      <c r="L269" s="165">
        <v>1</v>
      </c>
    </row>
    <row r="270" spans="1:12" ht="15" customHeight="1">
      <c r="A270" s="10">
        <v>20</v>
      </c>
      <c r="B270" s="6" t="s">
        <v>295</v>
      </c>
      <c r="C270" s="164">
        <v>5</v>
      </c>
      <c r="D270" s="165">
        <v>1</v>
      </c>
      <c r="E270" s="74" t="s">
        <v>13</v>
      </c>
      <c r="F270" s="74" t="s">
        <v>13</v>
      </c>
      <c r="G270" s="74" t="s">
        <v>13</v>
      </c>
      <c r="H270" s="74" t="s">
        <v>13</v>
      </c>
      <c r="I270" s="165">
        <v>1</v>
      </c>
      <c r="J270" s="165">
        <v>2</v>
      </c>
      <c r="K270" s="74" t="s">
        <v>13</v>
      </c>
      <c r="L270" s="165">
        <v>1</v>
      </c>
    </row>
    <row r="271" spans="1:12" ht="15" customHeight="1">
      <c r="A271" s="10">
        <v>21</v>
      </c>
      <c r="B271" s="6" t="s">
        <v>296</v>
      </c>
      <c r="C271" s="164">
        <v>5</v>
      </c>
      <c r="D271" s="74" t="s">
        <v>13</v>
      </c>
      <c r="E271" s="165">
        <v>1</v>
      </c>
      <c r="F271" s="74" t="s">
        <v>13</v>
      </c>
      <c r="G271" s="74" t="s">
        <v>13</v>
      </c>
      <c r="H271" s="74" t="s">
        <v>13</v>
      </c>
      <c r="I271" s="74" t="s">
        <v>13</v>
      </c>
      <c r="J271" s="165">
        <v>2</v>
      </c>
      <c r="K271" s="74" t="s">
        <v>13</v>
      </c>
      <c r="L271" s="165">
        <v>2</v>
      </c>
    </row>
    <row r="272" spans="1:12" ht="15" customHeight="1">
      <c r="A272" s="10">
        <v>22</v>
      </c>
      <c r="B272" s="6" t="s">
        <v>297</v>
      </c>
      <c r="C272" s="164">
        <v>5</v>
      </c>
      <c r="D272" s="74" t="s">
        <v>13</v>
      </c>
      <c r="E272" s="74" t="s">
        <v>13</v>
      </c>
      <c r="F272" s="165">
        <v>1</v>
      </c>
      <c r="G272" s="74" t="s">
        <v>13</v>
      </c>
      <c r="H272" s="74" t="s">
        <v>13</v>
      </c>
      <c r="I272" s="165">
        <v>1</v>
      </c>
      <c r="J272" s="165">
        <v>1</v>
      </c>
      <c r="K272" s="165">
        <v>2</v>
      </c>
      <c r="L272" s="74" t="s">
        <v>13</v>
      </c>
    </row>
    <row r="273" spans="1:12" ht="15" customHeight="1">
      <c r="A273" s="10">
        <v>23</v>
      </c>
      <c r="B273" s="6" t="s">
        <v>298</v>
      </c>
      <c r="C273" s="164">
        <v>1</v>
      </c>
      <c r="D273" s="165" t="s">
        <v>13</v>
      </c>
      <c r="E273" s="165" t="s">
        <v>13</v>
      </c>
      <c r="F273" s="165" t="s">
        <v>13</v>
      </c>
      <c r="G273" s="165" t="s">
        <v>13</v>
      </c>
      <c r="H273" s="165" t="s">
        <v>13</v>
      </c>
      <c r="I273" s="165" t="s">
        <v>13</v>
      </c>
      <c r="J273" s="165">
        <v>1</v>
      </c>
      <c r="K273" s="165" t="s">
        <v>13</v>
      </c>
      <c r="L273" s="165" t="s">
        <v>13</v>
      </c>
    </row>
    <row r="274" spans="1:12" ht="5.0999999999999996" customHeight="1">
      <c r="B274" s="82"/>
      <c r="C274" s="78"/>
      <c r="D274" s="79"/>
      <c r="E274" s="79"/>
      <c r="F274" s="79"/>
      <c r="G274" s="79"/>
      <c r="H274" s="79"/>
      <c r="I274" s="79"/>
      <c r="J274" s="79"/>
      <c r="K274" s="79"/>
      <c r="L274" s="79"/>
    </row>
    <row r="275" spans="1:12" ht="9.9499999999999993" customHeight="1">
      <c r="B275" s="7"/>
      <c r="C275" s="12"/>
      <c r="D275" s="26"/>
      <c r="E275" s="26"/>
      <c r="F275" s="12"/>
      <c r="G275" s="12"/>
      <c r="H275" s="12"/>
      <c r="I275" s="12"/>
      <c r="J275" s="12"/>
      <c r="K275" s="20"/>
      <c r="L275" s="154" t="s">
        <v>45</v>
      </c>
    </row>
  </sheetData>
  <mergeCells count="31">
    <mergeCell ref="B3:B4"/>
    <mergeCell ref="C3:C4"/>
    <mergeCell ref="D3:L3"/>
    <mergeCell ref="B31:B32"/>
    <mergeCell ref="C31:C32"/>
    <mergeCell ref="D31:L31"/>
    <mergeCell ref="B58:B59"/>
    <mergeCell ref="C58:C59"/>
    <mergeCell ref="D58:L58"/>
    <mergeCell ref="B85:B86"/>
    <mergeCell ref="C85:C86"/>
    <mergeCell ref="D85:L85"/>
    <mergeCell ref="B112:B113"/>
    <mergeCell ref="C112:C113"/>
    <mergeCell ref="D112:L112"/>
    <mergeCell ref="B139:B140"/>
    <mergeCell ref="C139:C140"/>
    <mergeCell ref="D139:L139"/>
    <mergeCell ref="B166:B167"/>
    <mergeCell ref="C166:C167"/>
    <mergeCell ref="D166:L166"/>
    <mergeCell ref="B194:B195"/>
    <mergeCell ref="C194:C195"/>
    <mergeCell ref="D194:L194"/>
    <mergeCell ref="B247:B248"/>
    <mergeCell ref="C247:C248"/>
    <mergeCell ref="D247:L247"/>
    <mergeCell ref="B221:B222"/>
    <mergeCell ref="C221:C222"/>
    <mergeCell ref="D221:L221"/>
    <mergeCell ref="K246:L246"/>
  </mergeCells>
  <pageMargins left="1.1811023622047245" right="0.98425196850393704" top="0.98425196850393704" bottom="0.98425196850393704" header="0" footer="0"/>
  <pageSetup paperSize="9" orientation="portrait" r:id="rId1"/>
  <headerFooter alignWithMargins="0"/>
  <rowBreaks count="9" manualBreakCount="9">
    <brk id="28" max="16383" man="1"/>
    <brk id="55" max="16383" man="1"/>
    <brk id="82" max="16383" man="1"/>
    <brk id="109" max="16383" man="1"/>
    <brk id="136" max="16383" man="1"/>
    <brk id="163" max="16383" man="1"/>
    <brk id="191" max="16383" man="1"/>
    <brk id="218" max="16383" man="1"/>
    <brk id="2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92"/>
  <sheetViews>
    <sheetView showGridLines="0" showOutlineSymbols="0" topLeftCell="A117" zoomScaleNormal="100" zoomScaleSheetLayoutView="110" workbookViewId="0">
      <selection activeCell="A117" sqref="A117:H117"/>
    </sheetView>
  </sheetViews>
  <sheetFormatPr baseColWidth="10" defaultColWidth="11.42578125" defaultRowHeight="12.75"/>
  <cols>
    <col min="1" max="1" width="18.42578125" style="246" customWidth="1"/>
    <col min="2" max="8" width="9.28515625" style="10" customWidth="1"/>
    <col min="9" max="9" width="8" style="10" customWidth="1"/>
    <col min="10" max="10" width="5.42578125" style="10" customWidth="1"/>
    <col min="11" max="11" width="1.5703125" style="10" customWidth="1"/>
    <col min="12" max="12" width="2.85546875" style="10" customWidth="1"/>
    <col min="13" max="13" width="16.140625" style="10" hidden="1" customWidth="1"/>
    <col min="14" max="18" width="8.7109375" style="10" hidden="1" customWidth="1"/>
    <col min="19" max="19" width="5.42578125" style="10" hidden="1" customWidth="1"/>
    <col min="20" max="20" width="6.7109375" style="10" hidden="1" customWidth="1"/>
    <col min="21" max="21" width="5.42578125" style="10" hidden="1" customWidth="1"/>
    <col min="22" max="22" width="0" style="10" hidden="1" customWidth="1"/>
    <col min="23" max="23" width="2.28515625" style="10" hidden="1" customWidth="1"/>
    <col min="24" max="24" width="0.28515625" style="10" hidden="1" customWidth="1"/>
    <col min="25" max="32" width="0" style="10" hidden="1" customWidth="1"/>
    <col min="33" max="16384" width="11.42578125" style="10"/>
  </cols>
  <sheetData>
    <row r="1" spans="1:12" ht="14.1" hidden="1" customHeight="1">
      <c r="A1" s="240" t="s">
        <v>98</v>
      </c>
      <c r="B1" s="192"/>
      <c r="C1" s="192"/>
      <c r="D1" s="192"/>
      <c r="E1" s="192"/>
      <c r="F1" s="192"/>
      <c r="G1" s="192"/>
      <c r="H1" s="192"/>
    </row>
    <row r="2" spans="1:12" ht="12.75" hidden="1" customHeight="1">
      <c r="A2" s="191" t="s">
        <v>352</v>
      </c>
      <c r="B2" s="146"/>
      <c r="C2" s="146"/>
      <c r="D2" s="146"/>
      <c r="E2" s="146"/>
      <c r="F2" s="146"/>
      <c r="G2" s="146"/>
      <c r="H2" s="147"/>
      <c r="I2" s="31"/>
    </row>
    <row r="3" spans="1:12" ht="5.0999999999999996" hidden="1" customHeight="1">
      <c r="A3" s="99"/>
      <c r="B3" s="146"/>
      <c r="C3" s="146"/>
      <c r="D3" s="146"/>
      <c r="E3" s="146"/>
      <c r="F3" s="146"/>
      <c r="G3" s="146"/>
      <c r="H3" s="147"/>
      <c r="I3" s="31"/>
    </row>
    <row r="4" spans="1:12" ht="17.25" hidden="1" customHeight="1">
      <c r="A4" s="705" t="s">
        <v>327</v>
      </c>
      <c r="B4" s="707" t="s">
        <v>337</v>
      </c>
      <c r="C4" s="708"/>
      <c r="D4" s="708"/>
      <c r="E4" s="708"/>
      <c r="F4" s="708"/>
      <c r="G4" s="708"/>
      <c r="H4" s="708"/>
    </row>
    <row r="5" spans="1:12" ht="13.5" hidden="1" customHeight="1">
      <c r="A5" s="706"/>
      <c r="B5" s="709" t="s">
        <v>55</v>
      </c>
      <c r="C5" s="711" t="s">
        <v>61</v>
      </c>
      <c r="D5" s="711" t="s">
        <v>25</v>
      </c>
      <c r="E5" s="711" t="s">
        <v>54</v>
      </c>
      <c r="F5" s="711" t="s">
        <v>26</v>
      </c>
      <c r="G5" s="148" t="s">
        <v>50</v>
      </c>
      <c r="H5" s="148" t="s">
        <v>27</v>
      </c>
    </row>
    <row r="6" spans="1:12" ht="16.5" hidden="1" customHeight="1">
      <c r="A6" s="706"/>
      <c r="B6" s="710"/>
      <c r="C6" s="712"/>
      <c r="D6" s="712"/>
      <c r="E6" s="712"/>
      <c r="F6" s="712"/>
      <c r="G6" s="149" t="s">
        <v>49</v>
      </c>
      <c r="H6" s="149" t="s">
        <v>49</v>
      </c>
    </row>
    <row r="7" spans="1:12" ht="5.0999999999999996" hidden="1" customHeight="1">
      <c r="A7" s="241"/>
      <c r="B7" s="150"/>
      <c r="C7" s="43"/>
      <c r="D7" s="43"/>
      <c r="E7" s="43"/>
      <c r="F7" s="43"/>
      <c r="G7" s="151"/>
      <c r="H7" s="151"/>
    </row>
    <row r="8" spans="1:12" s="14" customFormat="1" ht="9.75" hidden="1" customHeight="1">
      <c r="A8" s="239">
        <v>2009</v>
      </c>
      <c r="B8" s="53"/>
      <c r="C8" s="54"/>
      <c r="D8" s="55"/>
      <c r="E8" s="55"/>
      <c r="F8" s="56"/>
      <c r="G8" s="62"/>
      <c r="H8" s="62"/>
      <c r="I8" s="30"/>
      <c r="J8" s="30"/>
      <c r="K8" s="30"/>
      <c r="L8" s="32"/>
    </row>
    <row r="9" spans="1:12" s="14" customFormat="1" ht="12.95" hidden="1" customHeight="1">
      <c r="A9" s="242" t="s">
        <v>14</v>
      </c>
      <c r="B9" s="54">
        <f t="shared" ref="B9:H9" si="0">SUM(B10:B20)</f>
        <v>362</v>
      </c>
      <c r="C9" s="54">
        <f t="shared" si="0"/>
        <v>44</v>
      </c>
      <c r="D9" s="55">
        <f t="shared" si="0"/>
        <v>188</v>
      </c>
      <c r="E9" s="55">
        <f t="shared" si="0"/>
        <v>488</v>
      </c>
      <c r="F9" s="56">
        <f t="shared" si="0"/>
        <v>139</v>
      </c>
      <c r="G9" s="62">
        <f t="shared" si="0"/>
        <v>1405</v>
      </c>
      <c r="H9" s="62">
        <f t="shared" si="0"/>
        <v>199</v>
      </c>
      <c r="I9" s="86"/>
      <c r="J9" s="30"/>
      <c r="K9" s="30"/>
      <c r="L9" s="32"/>
    </row>
    <row r="10" spans="1:12" s="14" customFormat="1" ht="12.95" hidden="1" customHeight="1">
      <c r="A10" s="243" t="s">
        <v>15</v>
      </c>
      <c r="B10" s="57">
        <v>90</v>
      </c>
      <c r="C10" s="58">
        <v>11</v>
      </c>
      <c r="D10" s="59">
        <v>25</v>
      </c>
      <c r="E10" s="59">
        <v>137</v>
      </c>
      <c r="F10" s="60">
        <v>41</v>
      </c>
      <c r="G10" s="63">
        <v>330</v>
      </c>
      <c r="H10" s="64">
        <v>32</v>
      </c>
      <c r="I10" s="30"/>
      <c r="J10" s="30"/>
      <c r="K10" s="30"/>
      <c r="L10" s="32"/>
    </row>
    <row r="11" spans="1:12" s="14" customFormat="1" ht="12.95" hidden="1" customHeight="1">
      <c r="A11" s="243" t="s">
        <v>40</v>
      </c>
      <c r="B11" s="57">
        <v>26</v>
      </c>
      <c r="C11" s="58">
        <v>2</v>
      </c>
      <c r="D11" s="59">
        <v>18</v>
      </c>
      <c r="E11" s="59">
        <v>29</v>
      </c>
      <c r="F11" s="60">
        <v>13</v>
      </c>
      <c r="G11" s="63">
        <v>170</v>
      </c>
      <c r="H11" s="64">
        <v>29</v>
      </c>
      <c r="I11" s="30"/>
      <c r="J11" s="30"/>
      <c r="K11" s="30"/>
      <c r="L11" s="32"/>
    </row>
    <row r="12" spans="1:12" s="14" customFormat="1" ht="12.95" hidden="1" customHeight="1">
      <c r="A12" s="243" t="s">
        <v>16</v>
      </c>
      <c r="B12" s="57">
        <v>19</v>
      </c>
      <c r="C12" s="58">
        <v>7</v>
      </c>
      <c r="D12" s="58">
        <v>18</v>
      </c>
      <c r="E12" s="58">
        <v>37</v>
      </c>
      <c r="F12" s="58">
        <v>8</v>
      </c>
      <c r="G12" s="64">
        <v>105</v>
      </c>
      <c r="H12" s="64">
        <v>50</v>
      </c>
      <c r="I12" s="30"/>
      <c r="J12" s="30"/>
      <c r="K12" s="30"/>
      <c r="L12" s="32"/>
    </row>
    <row r="13" spans="1:12" s="14" customFormat="1" ht="12.95" hidden="1" customHeight="1">
      <c r="A13" s="243" t="s">
        <v>37</v>
      </c>
      <c r="B13" s="57">
        <v>22</v>
      </c>
      <c r="C13" s="58">
        <v>2</v>
      </c>
      <c r="D13" s="59">
        <v>13</v>
      </c>
      <c r="E13" s="59">
        <v>33</v>
      </c>
      <c r="F13" s="60">
        <v>8</v>
      </c>
      <c r="G13" s="63">
        <v>79</v>
      </c>
      <c r="H13" s="64">
        <v>14</v>
      </c>
      <c r="I13" s="30"/>
      <c r="J13" s="30"/>
      <c r="K13" s="30"/>
      <c r="L13" s="32"/>
    </row>
    <row r="14" spans="1:12" s="14" customFormat="1" ht="12.95" hidden="1" customHeight="1">
      <c r="A14" s="243" t="s">
        <v>41</v>
      </c>
      <c r="B14" s="57">
        <v>28</v>
      </c>
      <c r="C14" s="58">
        <v>5</v>
      </c>
      <c r="D14" s="59">
        <v>18</v>
      </c>
      <c r="E14" s="59">
        <v>31</v>
      </c>
      <c r="F14" s="60">
        <v>10</v>
      </c>
      <c r="G14" s="63">
        <v>133</v>
      </c>
      <c r="H14" s="64">
        <v>29</v>
      </c>
      <c r="I14" s="30"/>
      <c r="J14" s="30"/>
      <c r="K14" s="30"/>
      <c r="L14" s="32"/>
    </row>
    <row r="15" spans="1:12" s="14" customFormat="1" ht="12.95" hidden="1" customHeight="1">
      <c r="A15" s="243" t="s">
        <v>17</v>
      </c>
      <c r="B15" s="57">
        <v>15</v>
      </c>
      <c r="C15" s="58">
        <v>2</v>
      </c>
      <c r="D15" s="59">
        <v>8</v>
      </c>
      <c r="E15" s="59">
        <v>19</v>
      </c>
      <c r="F15" s="60">
        <v>6</v>
      </c>
      <c r="G15" s="63">
        <v>43</v>
      </c>
      <c r="H15" s="64">
        <v>1</v>
      </c>
      <c r="I15" s="30"/>
      <c r="J15" s="30"/>
      <c r="K15" s="30"/>
      <c r="L15" s="32"/>
    </row>
    <row r="16" spans="1:12" s="14" customFormat="1" ht="12.95" hidden="1" customHeight="1">
      <c r="A16" s="243" t="s">
        <v>18</v>
      </c>
      <c r="B16" s="57">
        <v>9</v>
      </c>
      <c r="C16" s="58">
        <v>2</v>
      </c>
      <c r="D16" s="59">
        <v>8</v>
      </c>
      <c r="E16" s="59">
        <v>15</v>
      </c>
      <c r="F16" s="60">
        <v>5</v>
      </c>
      <c r="G16" s="63">
        <v>48</v>
      </c>
      <c r="H16" s="64">
        <v>5</v>
      </c>
      <c r="I16" s="30"/>
      <c r="J16" s="30"/>
      <c r="K16" s="30"/>
      <c r="L16" s="32"/>
    </row>
    <row r="17" spans="1:12" s="14" customFormat="1" ht="12.95" hidden="1" customHeight="1">
      <c r="A17" s="243" t="s">
        <v>19</v>
      </c>
      <c r="B17" s="57">
        <v>32</v>
      </c>
      <c r="C17" s="58">
        <v>3</v>
      </c>
      <c r="D17" s="59">
        <v>21</v>
      </c>
      <c r="E17" s="59">
        <v>37</v>
      </c>
      <c r="F17" s="60">
        <v>15</v>
      </c>
      <c r="G17" s="63">
        <v>194</v>
      </c>
      <c r="H17" s="64">
        <v>26</v>
      </c>
      <c r="I17" s="30"/>
      <c r="J17" s="30"/>
      <c r="K17" s="30"/>
      <c r="L17" s="32"/>
    </row>
    <row r="18" spans="1:12" s="14" customFormat="1" ht="12.95" hidden="1" customHeight="1">
      <c r="A18" s="243" t="s">
        <v>48</v>
      </c>
      <c r="B18" s="57">
        <v>89</v>
      </c>
      <c r="C18" s="58">
        <v>6</v>
      </c>
      <c r="D18" s="59">
        <v>45</v>
      </c>
      <c r="E18" s="59">
        <v>115</v>
      </c>
      <c r="F18" s="60">
        <v>25</v>
      </c>
      <c r="G18" s="63">
        <v>207</v>
      </c>
      <c r="H18" s="64">
        <v>4</v>
      </c>
      <c r="I18" s="30"/>
      <c r="J18" s="30"/>
      <c r="K18" s="30"/>
      <c r="L18" s="32"/>
    </row>
    <row r="19" spans="1:12" s="14" customFormat="1" ht="12.95" hidden="1" customHeight="1">
      <c r="A19" s="243" t="s">
        <v>20</v>
      </c>
      <c r="B19" s="57">
        <v>15</v>
      </c>
      <c r="C19" s="58">
        <v>1</v>
      </c>
      <c r="D19" s="59">
        <v>9</v>
      </c>
      <c r="E19" s="59">
        <v>14</v>
      </c>
      <c r="F19" s="60">
        <v>3</v>
      </c>
      <c r="G19" s="63">
        <v>53</v>
      </c>
      <c r="H19" s="64">
        <v>4</v>
      </c>
      <c r="I19" s="30"/>
      <c r="J19" s="30"/>
      <c r="K19" s="30"/>
      <c r="L19" s="32"/>
    </row>
    <row r="20" spans="1:12" s="14" customFormat="1" ht="12.95" hidden="1" customHeight="1">
      <c r="A20" s="243" t="s">
        <v>21</v>
      </c>
      <c r="B20" s="61">
        <v>17</v>
      </c>
      <c r="C20" s="58">
        <v>3</v>
      </c>
      <c r="D20" s="59">
        <v>5</v>
      </c>
      <c r="E20" s="59">
        <v>21</v>
      </c>
      <c r="F20" s="60">
        <v>5</v>
      </c>
      <c r="G20" s="63">
        <v>43</v>
      </c>
      <c r="H20" s="64">
        <v>5</v>
      </c>
      <c r="I20" s="30"/>
      <c r="J20" s="30"/>
      <c r="K20" s="30"/>
      <c r="L20" s="32"/>
    </row>
    <row r="21" spans="1:12" s="14" customFormat="1" ht="12.95" hidden="1" customHeight="1">
      <c r="A21" s="239">
        <v>2010</v>
      </c>
      <c r="B21" s="53"/>
      <c r="C21" s="54"/>
      <c r="D21" s="55"/>
      <c r="E21" s="55"/>
      <c r="F21" s="56"/>
      <c r="G21" s="62"/>
      <c r="H21" s="62"/>
      <c r="I21" s="30"/>
      <c r="J21" s="30"/>
      <c r="K21" s="30"/>
      <c r="L21" s="32"/>
    </row>
    <row r="22" spans="1:12" s="14" customFormat="1" ht="12.95" hidden="1" customHeight="1">
      <c r="A22" s="242" t="s">
        <v>14</v>
      </c>
      <c r="B22" s="54">
        <f>SUM(B23:B33)</f>
        <v>362</v>
      </c>
      <c r="C22" s="54">
        <f t="shared" ref="C22:H22" si="1">SUM(C23:C33)</f>
        <v>48</v>
      </c>
      <c r="D22" s="54">
        <f t="shared" si="1"/>
        <v>225</v>
      </c>
      <c r="E22" s="54">
        <f t="shared" si="1"/>
        <v>531</v>
      </c>
      <c r="F22" s="54">
        <f t="shared" si="1"/>
        <v>137</v>
      </c>
      <c r="G22" s="54">
        <f t="shared" si="1"/>
        <v>1470</v>
      </c>
      <c r="H22" s="54">
        <f t="shared" si="1"/>
        <v>200</v>
      </c>
      <c r="I22" s="30"/>
      <c r="J22" s="30"/>
      <c r="K22" s="30"/>
      <c r="L22" s="32"/>
    </row>
    <row r="23" spans="1:12" s="14" customFormat="1" ht="12.95" hidden="1" customHeight="1">
      <c r="A23" s="243" t="s">
        <v>15</v>
      </c>
      <c r="B23" s="57">
        <v>90</v>
      </c>
      <c r="C23" s="58">
        <v>11</v>
      </c>
      <c r="D23" s="59">
        <v>28</v>
      </c>
      <c r="E23" s="59">
        <v>146</v>
      </c>
      <c r="F23" s="60">
        <v>41</v>
      </c>
      <c r="G23" s="63">
        <v>336</v>
      </c>
      <c r="H23" s="64">
        <v>32</v>
      </c>
      <c r="I23" s="30"/>
      <c r="J23" s="30"/>
      <c r="K23" s="30"/>
      <c r="L23" s="32"/>
    </row>
    <row r="24" spans="1:12" s="14" customFormat="1" ht="12.95" hidden="1" customHeight="1">
      <c r="A24" s="243" t="s">
        <v>40</v>
      </c>
      <c r="B24" s="57">
        <v>26</v>
      </c>
      <c r="C24" s="58">
        <v>2</v>
      </c>
      <c r="D24" s="59">
        <v>22</v>
      </c>
      <c r="E24" s="59">
        <v>32</v>
      </c>
      <c r="F24" s="60">
        <v>13</v>
      </c>
      <c r="G24" s="63">
        <v>175</v>
      </c>
      <c r="H24" s="64">
        <v>29</v>
      </c>
      <c r="I24" s="30"/>
      <c r="J24" s="30"/>
      <c r="K24" s="30"/>
      <c r="L24" s="32"/>
    </row>
    <row r="25" spans="1:12" s="14" customFormat="1" ht="12.95" hidden="1" customHeight="1">
      <c r="A25" s="243" t="s">
        <v>16</v>
      </c>
      <c r="B25" s="57">
        <v>19</v>
      </c>
      <c r="C25" s="58">
        <v>7</v>
      </c>
      <c r="D25" s="59">
        <v>21</v>
      </c>
      <c r="E25" s="59">
        <v>44</v>
      </c>
      <c r="F25" s="60">
        <v>8</v>
      </c>
      <c r="G25" s="63">
        <v>110</v>
      </c>
      <c r="H25" s="64">
        <v>50</v>
      </c>
      <c r="I25" s="30"/>
      <c r="J25" s="30"/>
      <c r="K25" s="30"/>
      <c r="L25" s="32"/>
    </row>
    <row r="26" spans="1:12" s="14" customFormat="1" ht="12.95" hidden="1" customHeight="1">
      <c r="A26" s="243" t="s">
        <v>37</v>
      </c>
      <c r="B26" s="57">
        <v>22</v>
      </c>
      <c r="C26" s="58">
        <v>2</v>
      </c>
      <c r="D26" s="59">
        <v>18</v>
      </c>
      <c r="E26" s="59">
        <v>38</v>
      </c>
      <c r="F26" s="60">
        <v>7</v>
      </c>
      <c r="G26" s="63">
        <v>87</v>
      </c>
      <c r="H26" s="64">
        <v>14</v>
      </c>
      <c r="I26" s="30"/>
      <c r="J26" s="30"/>
      <c r="K26" s="30"/>
      <c r="L26" s="32"/>
    </row>
    <row r="27" spans="1:12" s="14" customFormat="1" ht="12.95" hidden="1" customHeight="1">
      <c r="A27" s="243" t="s">
        <v>41</v>
      </c>
      <c r="B27" s="57">
        <v>28</v>
      </c>
      <c r="C27" s="58">
        <v>5</v>
      </c>
      <c r="D27" s="59">
        <v>21</v>
      </c>
      <c r="E27" s="59">
        <v>33</v>
      </c>
      <c r="F27" s="60">
        <v>10</v>
      </c>
      <c r="G27" s="63">
        <v>142</v>
      </c>
      <c r="H27" s="64">
        <v>29</v>
      </c>
      <c r="I27" s="30"/>
      <c r="J27" s="30"/>
      <c r="K27" s="30"/>
      <c r="L27" s="32"/>
    </row>
    <row r="28" spans="1:12" s="14" customFormat="1" ht="12.95" hidden="1" customHeight="1">
      <c r="A28" s="243" t="s">
        <v>17</v>
      </c>
      <c r="B28" s="57">
        <v>15</v>
      </c>
      <c r="C28" s="58">
        <v>2</v>
      </c>
      <c r="D28" s="59">
        <v>10</v>
      </c>
      <c r="E28" s="59">
        <v>19</v>
      </c>
      <c r="F28" s="60">
        <v>6</v>
      </c>
      <c r="G28" s="63">
        <v>46</v>
      </c>
      <c r="H28" s="64">
        <v>1</v>
      </c>
      <c r="I28" s="30"/>
      <c r="J28" s="30"/>
      <c r="K28" s="30"/>
      <c r="L28" s="32"/>
    </row>
    <row r="29" spans="1:12" s="14" customFormat="1" ht="12.95" hidden="1" customHeight="1">
      <c r="A29" s="243" t="s">
        <v>18</v>
      </c>
      <c r="B29" s="57">
        <v>9</v>
      </c>
      <c r="C29" s="58">
        <v>2</v>
      </c>
      <c r="D29" s="59">
        <v>10</v>
      </c>
      <c r="E29" s="59">
        <v>16</v>
      </c>
      <c r="F29" s="60">
        <v>4</v>
      </c>
      <c r="G29" s="63">
        <v>54</v>
      </c>
      <c r="H29" s="64">
        <v>5</v>
      </c>
      <c r="I29" s="30"/>
      <c r="J29" s="30"/>
      <c r="K29" s="30"/>
      <c r="L29" s="32"/>
    </row>
    <row r="30" spans="1:12" s="14" customFormat="1" ht="12.95" hidden="1" customHeight="1">
      <c r="A30" s="243" t="s">
        <v>19</v>
      </c>
      <c r="B30" s="57">
        <v>32</v>
      </c>
      <c r="C30" s="58">
        <v>3</v>
      </c>
      <c r="D30" s="59">
        <v>25</v>
      </c>
      <c r="E30" s="59">
        <v>39</v>
      </c>
      <c r="F30" s="60">
        <v>15</v>
      </c>
      <c r="G30" s="63">
        <v>201</v>
      </c>
      <c r="H30" s="64">
        <v>26</v>
      </c>
      <c r="I30" s="30"/>
      <c r="J30" s="30"/>
      <c r="K30" s="30"/>
      <c r="L30" s="32"/>
    </row>
    <row r="31" spans="1:12" s="14" customFormat="1" ht="12.95" hidden="1" customHeight="1">
      <c r="A31" s="243" t="s">
        <v>48</v>
      </c>
      <c r="B31" s="57">
        <v>89</v>
      </c>
      <c r="C31" s="58">
        <v>8</v>
      </c>
      <c r="D31" s="59">
        <v>52</v>
      </c>
      <c r="E31" s="59">
        <v>125</v>
      </c>
      <c r="F31" s="60">
        <v>25</v>
      </c>
      <c r="G31" s="63">
        <v>217</v>
      </c>
      <c r="H31" s="64">
        <v>5</v>
      </c>
      <c r="I31" s="30"/>
      <c r="J31" s="30"/>
      <c r="K31" s="30"/>
      <c r="L31" s="32"/>
    </row>
    <row r="32" spans="1:12" s="14" customFormat="1" ht="12.95" hidden="1" customHeight="1">
      <c r="A32" s="243" t="s">
        <v>20</v>
      </c>
      <c r="B32" s="57">
        <v>15</v>
      </c>
      <c r="C32" s="58">
        <v>2</v>
      </c>
      <c r="D32" s="59">
        <v>13</v>
      </c>
      <c r="E32" s="59">
        <v>15</v>
      </c>
      <c r="F32" s="60">
        <v>3</v>
      </c>
      <c r="G32" s="63">
        <v>57</v>
      </c>
      <c r="H32" s="64">
        <v>4</v>
      </c>
      <c r="I32" s="30"/>
      <c r="J32" s="30"/>
      <c r="K32" s="30"/>
      <c r="L32" s="32"/>
    </row>
    <row r="33" spans="1:12" s="14" customFormat="1" ht="12.95" hidden="1" customHeight="1">
      <c r="A33" s="243" t="s">
        <v>21</v>
      </c>
      <c r="B33" s="12">
        <v>17</v>
      </c>
      <c r="C33" s="12">
        <v>4</v>
      </c>
      <c r="D33" s="12">
        <v>5</v>
      </c>
      <c r="E33" s="12">
        <v>24</v>
      </c>
      <c r="F33" s="12">
        <v>5</v>
      </c>
      <c r="G33" s="12">
        <v>45</v>
      </c>
      <c r="H33" s="12">
        <v>5</v>
      </c>
      <c r="I33" s="30"/>
      <c r="J33" s="30"/>
      <c r="K33" s="30"/>
      <c r="L33" s="32"/>
    </row>
    <row r="34" spans="1:12" ht="10.5" hidden="1" customHeight="1">
      <c r="A34" s="239">
        <v>2011</v>
      </c>
      <c r="B34" s="53"/>
      <c r="C34" s="54"/>
      <c r="D34" s="55"/>
      <c r="E34" s="55"/>
      <c r="F34" s="56"/>
      <c r="G34" s="62"/>
      <c r="H34" s="62"/>
      <c r="I34" s="30"/>
      <c r="J34" s="30"/>
      <c r="K34" s="30"/>
      <c r="L34" s="32"/>
    </row>
    <row r="35" spans="1:12" ht="12.95" hidden="1" customHeight="1">
      <c r="A35" s="242" t="s">
        <v>14</v>
      </c>
      <c r="B35" s="111">
        <f>SUM(B36:B46)</f>
        <v>362</v>
      </c>
      <c r="C35" s="111">
        <f t="shared" ref="C35:H35" si="2">SUM(C36:C46)</f>
        <v>52</v>
      </c>
      <c r="D35" s="111">
        <f t="shared" si="2"/>
        <v>253</v>
      </c>
      <c r="E35" s="111">
        <f t="shared" si="2"/>
        <v>560</v>
      </c>
      <c r="F35" s="111">
        <f t="shared" si="2"/>
        <v>139</v>
      </c>
      <c r="G35" s="111">
        <f t="shared" si="2"/>
        <v>1531</v>
      </c>
      <c r="H35" s="111">
        <f t="shared" si="2"/>
        <v>207</v>
      </c>
      <c r="I35" s="86"/>
      <c r="J35" s="30"/>
      <c r="K35" s="30"/>
      <c r="L35" s="32"/>
    </row>
    <row r="36" spans="1:12" ht="12.95" hidden="1" customHeight="1">
      <c r="A36" s="243" t="s">
        <v>15</v>
      </c>
      <c r="B36" s="12">
        <v>90</v>
      </c>
      <c r="C36" s="12">
        <v>11</v>
      </c>
      <c r="D36" s="12">
        <v>32</v>
      </c>
      <c r="E36" s="12">
        <v>150</v>
      </c>
      <c r="F36" s="12">
        <v>41</v>
      </c>
      <c r="G36" s="12">
        <v>341</v>
      </c>
      <c r="H36" s="12">
        <v>34</v>
      </c>
    </row>
    <row r="37" spans="1:12" ht="12.95" hidden="1" customHeight="1">
      <c r="A37" s="243" t="s">
        <v>40</v>
      </c>
      <c r="B37" s="12">
        <v>26</v>
      </c>
      <c r="C37" s="12">
        <v>3</v>
      </c>
      <c r="D37" s="12">
        <v>25</v>
      </c>
      <c r="E37" s="12">
        <v>34</v>
      </c>
      <c r="F37" s="12">
        <v>13</v>
      </c>
      <c r="G37" s="12">
        <v>180</v>
      </c>
      <c r="H37" s="12">
        <v>29</v>
      </c>
      <c r="I37" s="93"/>
      <c r="J37" s="94"/>
      <c r="K37" s="94"/>
      <c r="L37" s="94"/>
    </row>
    <row r="38" spans="1:12" ht="12.95" hidden="1" customHeight="1">
      <c r="A38" s="243" t="s">
        <v>16</v>
      </c>
      <c r="B38" s="12">
        <v>19</v>
      </c>
      <c r="C38" s="12">
        <v>7</v>
      </c>
      <c r="D38" s="12">
        <v>25</v>
      </c>
      <c r="E38" s="12">
        <v>47</v>
      </c>
      <c r="F38" s="12">
        <v>8</v>
      </c>
      <c r="G38" s="12">
        <v>115</v>
      </c>
      <c r="H38" s="12">
        <v>50</v>
      </c>
      <c r="I38" s="93"/>
      <c r="J38" s="94"/>
      <c r="K38" s="94"/>
      <c r="L38" s="94"/>
    </row>
    <row r="39" spans="1:12" ht="12.95" hidden="1" customHeight="1">
      <c r="A39" s="243" t="s">
        <v>37</v>
      </c>
      <c r="B39" s="12">
        <v>22</v>
      </c>
      <c r="C39" s="12">
        <v>2</v>
      </c>
      <c r="D39" s="12">
        <v>22</v>
      </c>
      <c r="E39" s="12">
        <v>41</v>
      </c>
      <c r="F39" s="12">
        <v>8</v>
      </c>
      <c r="G39" s="12">
        <v>95</v>
      </c>
      <c r="H39" s="12">
        <v>14</v>
      </c>
    </row>
    <row r="40" spans="1:12" ht="12.95" hidden="1" customHeight="1">
      <c r="A40" s="243" t="s">
        <v>41</v>
      </c>
      <c r="B40" s="12">
        <v>28</v>
      </c>
      <c r="C40" s="12">
        <v>6</v>
      </c>
      <c r="D40" s="12">
        <v>23</v>
      </c>
      <c r="E40" s="12">
        <v>34</v>
      </c>
      <c r="F40" s="12">
        <v>10</v>
      </c>
      <c r="G40" s="12">
        <v>151</v>
      </c>
      <c r="H40" s="12">
        <v>29</v>
      </c>
    </row>
    <row r="41" spans="1:12" ht="12.95" hidden="1" customHeight="1">
      <c r="A41" s="243" t="s">
        <v>17</v>
      </c>
      <c r="B41" s="12">
        <v>15</v>
      </c>
      <c r="C41" s="12">
        <v>3</v>
      </c>
      <c r="D41" s="12">
        <v>10</v>
      </c>
      <c r="E41" s="12">
        <v>21</v>
      </c>
      <c r="F41" s="12">
        <v>6</v>
      </c>
      <c r="G41" s="12">
        <v>49</v>
      </c>
      <c r="H41" s="12">
        <v>1</v>
      </c>
    </row>
    <row r="42" spans="1:12" ht="12.95" hidden="1" customHeight="1">
      <c r="A42" s="243" t="s">
        <v>18</v>
      </c>
      <c r="B42" s="12">
        <v>9</v>
      </c>
      <c r="C42" s="12">
        <v>2</v>
      </c>
      <c r="D42" s="12">
        <v>12</v>
      </c>
      <c r="E42" s="12">
        <v>17</v>
      </c>
      <c r="F42" s="12">
        <v>4</v>
      </c>
      <c r="G42" s="12">
        <v>60</v>
      </c>
      <c r="H42" s="12">
        <v>5</v>
      </c>
    </row>
    <row r="43" spans="1:12" ht="12.95" hidden="1" customHeight="1">
      <c r="A43" s="243" t="s">
        <v>19</v>
      </c>
      <c r="B43" s="12">
        <v>32</v>
      </c>
      <c r="C43" s="12">
        <v>3</v>
      </c>
      <c r="D43" s="12">
        <v>26</v>
      </c>
      <c r="E43" s="12">
        <v>42</v>
      </c>
      <c r="F43" s="12">
        <v>15</v>
      </c>
      <c r="G43" s="12">
        <v>208</v>
      </c>
      <c r="H43" s="12">
        <v>26</v>
      </c>
    </row>
    <row r="44" spans="1:12" ht="12.95" hidden="1" customHeight="1">
      <c r="A44" s="243" t="s">
        <v>48</v>
      </c>
      <c r="B44" s="12">
        <v>89</v>
      </c>
      <c r="C44" s="12">
        <v>9</v>
      </c>
      <c r="D44" s="12">
        <v>57</v>
      </c>
      <c r="E44" s="12">
        <v>131</v>
      </c>
      <c r="F44" s="12">
        <v>26</v>
      </c>
      <c r="G44" s="12">
        <v>224</v>
      </c>
      <c r="H44" s="12">
        <v>9</v>
      </c>
    </row>
    <row r="45" spans="1:12" ht="12.95" hidden="1" customHeight="1">
      <c r="A45" s="243" t="s">
        <v>20</v>
      </c>
      <c r="B45" s="12">
        <v>15</v>
      </c>
      <c r="C45" s="12">
        <v>2</v>
      </c>
      <c r="D45" s="12">
        <v>15</v>
      </c>
      <c r="E45" s="12">
        <v>17</v>
      </c>
      <c r="F45" s="12">
        <v>3</v>
      </c>
      <c r="G45" s="12">
        <v>62</v>
      </c>
      <c r="H45" s="12">
        <v>4</v>
      </c>
    </row>
    <row r="46" spans="1:12" ht="12.95" hidden="1" customHeight="1">
      <c r="A46" s="243" t="s">
        <v>21</v>
      </c>
      <c r="B46" s="12">
        <v>17</v>
      </c>
      <c r="C46" s="12">
        <v>4</v>
      </c>
      <c r="D46" s="12">
        <v>6</v>
      </c>
      <c r="E46" s="12">
        <v>26</v>
      </c>
      <c r="F46" s="12">
        <v>5</v>
      </c>
      <c r="G46" s="12">
        <v>46</v>
      </c>
      <c r="H46" s="12">
        <v>6</v>
      </c>
    </row>
    <row r="47" spans="1:12" s="14" customFormat="1" ht="4.5" hidden="1" customHeight="1">
      <c r="A47" s="129"/>
      <c r="B47" s="130"/>
      <c r="C47" s="130"/>
      <c r="D47" s="130"/>
      <c r="E47" s="130"/>
      <c r="F47" s="130"/>
      <c r="G47" s="130"/>
      <c r="H47" s="130"/>
      <c r="I47" s="30"/>
      <c r="J47" s="30"/>
      <c r="K47" s="30"/>
      <c r="L47" s="32"/>
    </row>
    <row r="48" spans="1:12" s="14" customFormat="1" ht="11.25" hidden="1" customHeight="1">
      <c r="A48" s="236"/>
      <c r="B48" s="51"/>
      <c r="C48" s="51"/>
      <c r="D48" s="52"/>
      <c r="F48" s="12"/>
      <c r="G48" s="12"/>
      <c r="H48" s="166" t="s">
        <v>45</v>
      </c>
      <c r="I48" s="30"/>
      <c r="J48" s="30"/>
      <c r="K48" s="30"/>
      <c r="L48" s="32"/>
    </row>
    <row r="49" spans="1:20" s="14" customFormat="1" ht="11.25" hidden="1" customHeight="1">
      <c r="A49" s="236"/>
      <c r="B49" s="51"/>
      <c r="C49" s="51"/>
      <c r="D49" s="52"/>
      <c r="F49" s="12"/>
      <c r="G49" s="12"/>
      <c r="H49" s="166"/>
      <c r="I49" s="30"/>
      <c r="J49" s="30"/>
      <c r="K49" s="30"/>
      <c r="L49" s="32"/>
      <c r="M49" s="32"/>
      <c r="N49" s="32"/>
      <c r="O49" s="32"/>
      <c r="P49" s="32"/>
      <c r="Q49" s="32"/>
      <c r="R49" s="32"/>
      <c r="S49" s="32"/>
      <c r="T49" s="32"/>
    </row>
    <row r="50" spans="1:20" ht="12.75" hidden="1" customHeight="1">
      <c r="A50" s="240" t="s">
        <v>599</v>
      </c>
      <c r="B50" s="192"/>
      <c r="C50" s="192"/>
      <c r="D50" s="192"/>
      <c r="E50" s="192"/>
      <c r="F50" s="192"/>
      <c r="G50" s="192"/>
      <c r="H50" s="192"/>
    </row>
    <row r="51" spans="1:20" ht="11.25" hidden="1" customHeight="1">
      <c r="A51" s="191" t="s">
        <v>396</v>
      </c>
      <c r="B51" s="146"/>
      <c r="C51" s="146"/>
      <c r="D51" s="146"/>
      <c r="E51" s="146"/>
      <c r="F51" s="146"/>
      <c r="G51" s="146"/>
      <c r="H51" s="147"/>
      <c r="I51" s="31"/>
    </row>
    <row r="52" spans="1:20" ht="9.9499999999999993" hidden="1" customHeight="1">
      <c r="A52" s="99"/>
      <c r="B52" s="216"/>
      <c r="C52" s="216"/>
      <c r="D52" s="216"/>
      <c r="E52" s="216"/>
      <c r="F52" s="216"/>
      <c r="G52" s="216"/>
      <c r="H52" s="216"/>
      <c r="I52" s="31"/>
    </row>
    <row r="53" spans="1:20" hidden="1">
      <c r="A53" s="713" t="s">
        <v>327</v>
      </c>
      <c r="B53" s="715" t="s">
        <v>337</v>
      </c>
      <c r="C53" s="716"/>
      <c r="D53" s="716"/>
      <c r="E53" s="716"/>
      <c r="F53" s="716"/>
      <c r="G53" s="716"/>
      <c r="H53" s="716"/>
    </row>
    <row r="54" spans="1:20" ht="12.75" hidden="1" customHeight="1">
      <c r="A54" s="714"/>
      <c r="B54" s="709" t="s">
        <v>55</v>
      </c>
      <c r="C54" s="711" t="s">
        <v>61</v>
      </c>
      <c r="D54" s="711" t="s">
        <v>25</v>
      </c>
      <c r="E54" s="711" t="s">
        <v>54</v>
      </c>
      <c r="F54" s="711" t="s">
        <v>26</v>
      </c>
      <c r="G54" s="711" t="s">
        <v>50</v>
      </c>
      <c r="H54" s="711" t="s">
        <v>27</v>
      </c>
    </row>
    <row r="55" spans="1:20" ht="6.75" hidden="1" customHeight="1">
      <c r="A55" s="714"/>
      <c r="B55" s="710"/>
      <c r="C55" s="712"/>
      <c r="D55" s="712"/>
      <c r="E55" s="712"/>
      <c r="F55" s="712"/>
      <c r="G55" s="712"/>
      <c r="H55" s="712"/>
    </row>
    <row r="56" spans="1:20" s="14" customFormat="1" ht="6.75" hidden="1" customHeight="1">
      <c r="A56" s="244"/>
      <c r="B56" s="215"/>
      <c r="I56" s="30"/>
      <c r="J56" s="30"/>
      <c r="K56" s="30"/>
      <c r="L56" s="32"/>
      <c r="M56" s="32"/>
      <c r="N56" s="32"/>
      <c r="O56" s="32"/>
      <c r="P56" s="32"/>
      <c r="Q56" s="32"/>
      <c r="R56" s="32"/>
      <c r="S56" s="32"/>
      <c r="T56" s="32"/>
    </row>
    <row r="57" spans="1:20" s="14" customFormat="1" ht="20.25" hidden="1" customHeight="1">
      <c r="A57" s="239">
        <v>2012</v>
      </c>
      <c r="B57" s="53"/>
      <c r="C57" s="54"/>
      <c r="D57" s="55"/>
      <c r="E57" s="55"/>
      <c r="F57" s="56"/>
      <c r="G57" s="62"/>
      <c r="H57" s="62"/>
      <c r="I57" s="86"/>
      <c r="J57" s="30"/>
      <c r="K57" s="30"/>
      <c r="L57" s="32"/>
      <c r="M57" s="32"/>
      <c r="N57" s="32"/>
      <c r="O57" s="32"/>
      <c r="P57" s="32"/>
      <c r="Q57" s="32"/>
      <c r="R57" s="32"/>
      <c r="S57" s="32"/>
      <c r="T57" s="32"/>
    </row>
    <row r="58" spans="1:20" s="14" customFormat="1" ht="20.25" hidden="1" customHeight="1">
      <c r="A58" s="242" t="s">
        <v>14</v>
      </c>
      <c r="B58" s="111">
        <f>SUM(B59:B69)</f>
        <v>362</v>
      </c>
      <c r="C58" s="111">
        <f t="shared" ref="C58:H58" si="3">SUM(C59:C69)</f>
        <v>52</v>
      </c>
      <c r="D58" s="111">
        <f t="shared" si="3"/>
        <v>253</v>
      </c>
      <c r="E58" s="111">
        <f t="shared" si="3"/>
        <v>560</v>
      </c>
      <c r="F58" s="111">
        <f t="shared" si="3"/>
        <v>139</v>
      </c>
      <c r="G58" s="111">
        <f t="shared" si="3"/>
        <v>1531</v>
      </c>
      <c r="H58" s="111">
        <f t="shared" si="3"/>
        <v>207</v>
      </c>
      <c r="I58" s="30"/>
      <c r="J58" s="30"/>
      <c r="K58" s="30"/>
      <c r="L58" s="32"/>
      <c r="M58" s="32"/>
      <c r="N58" s="32"/>
      <c r="O58" s="32"/>
      <c r="P58" s="32"/>
      <c r="Q58" s="32"/>
      <c r="R58" s="32"/>
      <c r="S58" s="32"/>
      <c r="T58" s="32"/>
    </row>
    <row r="59" spans="1:20" s="14" customFormat="1" ht="20.25" hidden="1" customHeight="1">
      <c r="A59" s="243" t="s">
        <v>15</v>
      </c>
      <c r="B59" s="12">
        <v>90</v>
      </c>
      <c r="C59" s="12">
        <v>11</v>
      </c>
      <c r="D59" s="12">
        <v>32</v>
      </c>
      <c r="E59" s="12">
        <v>150</v>
      </c>
      <c r="F59" s="12">
        <v>41</v>
      </c>
      <c r="G59" s="12">
        <v>341</v>
      </c>
      <c r="H59" s="12">
        <v>34</v>
      </c>
      <c r="I59" s="30"/>
      <c r="J59" s="30"/>
      <c r="K59" s="30"/>
      <c r="L59" s="32"/>
      <c r="M59" s="32"/>
      <c r="N59" s="32"/>
      <c r="O59" s="32"/>
      <c r="P59" s="32"/>
      <c r="Q59" s="32"/>
      <c r="R59" s="32"/>
      <c r="S59" s="32"/>
      <c r="T59" s="32"/>
    </row>
    <row r="60" spans="1:20" s="14" customFormat="1" ht="20.25" hidden="1" customHeight="1">
      <c r="A60" s="243" t="s">
        <v>40</v>
      </c>
      <c r="B60" s="12">
        <v>26</v>
      </c>
      <c r="C60" s="12">
        <v>3</v>
      </c>
      <c r="D60" s="12">
        <v>25</v>
      </c>
      <c r="E60" s="12">
        <v>34</v>
      </c>
      <c r="F60" s="12">
        <v>13</v>
      </c>
      <c r="G60" s="12">
        <v>180</v>
      </c>
      <c r="H60" s="12">
        <v>29</v>
      </c>
      <c r="I60" s="30"/>
      <c r="J60" s="30"/>
      <c r="K60" s="30"/>
      <c r="L60" s="32"/>
      <c r="M60" s="32"/>
      <c r="N60" s="32"/>
      <c r="O60" s="32"/>
      <c r="P60" s="32"/>
      <c r="Q60" s="32"/>
      <c r="R60" s="32"/>
      <c r="S60" s="32"/>
      <c r="T60" s="32"/>
    </row>
    <row r="61" spans="1:20" s="14" customFormat="1" ht="20.25" hidden="1" customHeight="1">
      <c r="A61" s="243" t="s">
        <v>16</v>
      </c>
      <c r="B61" s="12">
        <v>19</v>
      </c>
      <c r="C61" s="12">
        <v>7</v>
      </c>
      <c r="D61" s="12">
        <v>25</v>
      </c>
      <c r="E61" s="12">
        <v>47</v>
      </c>
      <c r="F61" s="12">
        <v>8</v>
      </c>
      <c r="G61" s="12">
        <v>115</v>
      </c>
      <c r="H61" s="12">
        <v>50</v>
      </c>
      <c r="I61" s="30"/>
      <c r="J61" s="30"/>
      <c r="K61" s="30"/>
      <c r="L61" s="32"/>
      <c r="M61" s="32"/>
      <c r="N61" s="32"/>
      <c r="O61" s="32"/>
      <c r="P61" s="32"/>
      <c r="Q61" s="32"/>
      <c r="R61" s="32"/>
      <c r="S61" s="32"/>
      <c r="T61" s="32"/>
    </row>
    <row r="62" spans="1:20" s="14" customFormat="1" ht="20.25" hidden="1" customHeight="1">
      <c r="A62" s="243" t="s">
        <v>37</v>
      </c>
      <c r="B62" s="12">
        <v>22</v>
      </c>
      <c r="C62" s="12">
        <v>2</v>
      </c>
      <c r="D62" s="12">
        <v>22</v>
      </c>
      <c r="E62" s="12">
        <v>41</v>
      </c>
      <c r="F62" s="12">
        <v>8</v>
      </c>
      <c r="G62" s="12">
        <v>95</v>
      </c>
      <c r="H62" s="12">
        <v>14</v>
      </c>
      <c r="I62" s="30"/>
      <c r="J62" s="30"/>
      <c r="K62" s="30"/>
      <c r="L62" s="32"/>
      <c r="M62" s="32"/>
      <c r="N62" s="32"/>
      <c r="O62" s="32"/>
      <c r="P62" s="32"/>
      <c r="Q62" s="32"/>
      <c r="R62" s="32"/>
      <c r="S62" s="32"/>
      <c r="T62" s="32"/>
    </row>
    <row r="63" spans="1:20" s="14" customFormat="1" ht="20.25" hidden="1" customHeight="1">
      <c r="A63" s="243" t="s">
        <v>41</v>
      </c>
      <c r="B63" s="12">
        <v>28</v>
      </c>
      <c r="C63" s="12">
        <v>6</v>
      </c>
      <c r="D63" s="12">
        <v>23</v>
      </c>
      <c r="E63" s="12">
        <v>34</v>
      </c>
      <c r="F63" s="12">
        <v>10</v>
      </c>
      <c r="G63" s="12">
        <v>151</v>
      </c>
      <c r="H63" s="12">
        <v>29</v>
      </c>
      <c r="I63" s="30"/>
      <c r="J63" s="30"/>
      <c r="K63" s="30"/>
      <c r="L63" s="32"/>
      <c r="M63" s="32"/>
      <c r="N63" s="32"/>
      <c r="O63" s="32"/>
      <c r="P63" s="32"/>
      <c r="Q63" s="32"/>
      <c r="R63" s="32"/>
      <c r="S63" s="32"/>
      <c r="T63" s="32"/>
    </row>
    <row r="64" spans="1:20" s="14" customFormat="1" ht="20.25" hidden="1" customHeight="1">
      <c r="A64" s="243" t="s">
        <v>17</v>
      </c>
      <c r="B64" s="12">
        <v>15</v>
      </c>
      <c r="C64" s="12">
        <v>3</v>
      </c>
      <c r="D64" s="12">
        <v>10</v>
      </c>
      <c r="E64" s="12">
        <v>21</v>
      </c>
      <c r="F64" s="12">
        <v>6</v>
      </c>
      <c r="G64" s="12">
        <v>49</v>
      </c>
      <c r="H64" s="12">
        <v>1</v>
      </c>
      <c r="I64" s="30"/>
      <c r="J64" s="30"/>
      <c r="K64" s="30"/>
      <c r="L64" s="32"/>
      <c r="M64" s="192" t="s">
        <v>98</v>
      </c>
      <c r="N64" s="192"/>
      <c r="O64" s="192"/>
      <c r="P64" s="192"/>
      <c r="Q64" s="192"/>
      <c r="R64" s="192"/>
      <c r="S64" s="192"/>
      <c r="T64" s="192"/>
    </row>
    <row r="65" spans="1:20" s="14" customFormat="1" ht="20.25" hidden="1" customHeight="1">
      <c r="A65" s="243" t="s">
        <v>18</v>
      </c>
      <c r="B65" s="12">
        <v>9</v>
      </c>
      <c r="C65" s="12">
        <v>2</v>
      </c>
      <c r="D65" s="12">
        <v>12</v>
      </c>
      <c r="E65" s="12">
        <v>17</v>
      </c>
      <c r="F65" s="12">
        <v>4</v>
      </c>
      <c r="G65" s="12">
        <v>60</v>
      </c>
      <c r="H65" s="12">
        <v>5</v>
      </c>
      <c r="I65" s="30"/>
      <c r="J65" s="30"/>
      <c r="K65" s="30"/>
      <c r="L65" s="32"/>
      <c r="M65" s="191" t="s">
        <v>97</v>
      </c>
      <c r="N65" s="146"/>
      <c r="O65" s="146"/>
      <c r="P65" s="146"/>
      <c r="Q65" s="146"/>
      <c r="R65" s="146"/>
      <c r="S65" s="146"/>
      <c r="T65" s="147"/>
    </row>
    <row r="66" spans="1:20" s="14" customFormat="1" ht="20.25" hidden="1" customHeight="1">
      <c r="A66" s="243" t="s">
        <v>19</v>
      </c>
      <c r="B66" s="12">
        <v>32</v>
      </c>
      <c r="C66" s="12">
        <v>3</v>
      </c>
      <c r="D66" s="12">
        <v>26</v>
      </c>
      <c r="E66" s="12">
        <v>42</v>
      </c>
      <c r="F66" s="12">
        <v>15</v>
      </c>
      <c r="G66" s="12">
        <v>208</v>
      </c>
      <c r="H66" s="12">
        <v>26</v>
      </c>
      <c r="I66" s="30"/>
      <c r="J66" s="30"/>
      <c r="K66" s="30"/>
      <c r="L66" s="32"/>
      <c r="M66" s="99"/>
      <c r="N66" s="146"/>
      <c r="O66" s="146"/>
      <c r="P66" s="146"/>
      <c r="Q66" s="146"/>
      <c r="R66" s="146"/>
      <c r="S66" s="146"/>
      <c r="T66" s="153" t="s">
        <v>46</v>
      </c>
    </row>
    <row r="67" spans="1:20" s="14" customFormat="1" ht="20.25" hidden="1" customHeight="1">
      <c r="A67" s="243" t="s">
        <v>48</v>
      </c>
      <c r="B67" s="12">
        <v>89</v>
      </c>
      <c r="C67" s="12">
        <v>9</v>
      </c>
      <c r="D67" s="12">
        <v>57</v>
      </c>
      <c r="E67" s="12">
        <v>131</v>
      </c>
      <c r="F67" s="12">
        <v>26</v>
      </c>
      <c r="G67" s="12">
        <v>224</v>
      </c>
      <c r="H67" s="12">
        <v>9</v>
      </c>
      <c r="I67" s="30"/>
      <c r="J67" s="30"/>
      <c r="K67" s="30"/>
      <c r="L67" s="32"/>
      <c r="M67" s="713" t="s">
        <v>327</v>
      </c>
      <c r="N67" s="707" t="s">
        <v>337</v>
      </c>
      <c r="O67" s="708"/>
      <c r="P67" s="708"/>
      <c r="Q67" s="708"/>
      <c r="R67" s="708"/>
      <c r="S67" s="708"/>
      <c r="T67" s="708"/>
    </row>
    <row r="68" spans="1:20" s="14" customFormat="1" ht="20.25" hidden="1" customHeight="1">
      <c r="A68" s="243" t="s">
        <v>20</v>
      </c>
      <c r="B68" s="12">
        <v>15</v>
      </c>
      <c r="C68" s="12">
        <v>2</v>
      </c>
      <c r="D68" s="12">
        <v>15</v>
      </c>
      <c r="E68" s="12">
        <v>17</v>
      </c>
      <c r="F68" s="12">
        <v>3</v>
      </c>
      <c r="G68" s="12">
        <v>62</v>
      </c>
      <c r="H68" s="12">
        <v>4</v>
      </c>
      <c r="I68" s="30"/>
      <c r="J68" s="30"/>
      <c r="K68" s="30"/>
      <c r="L68" s="32"/>
      <c r="M68" s="714"/>
      <c r="N68" s="709" t="s">
        <v>55</v>
      </c>
      <c r="O68" s="711" t="s">
        <v>61</v>
      </c>
      <c r="P68" s="711" t="s">
        <v>25</v>
      </c>
      <c r="Q68" s="711" t="s">
        <v>54</v>
      </c>
      <c r="R68" s="711" t="s">
        <v>26</v>
      </c>
      <c r="S68" s="148" t="s">
        <v>50</v>
      </c>
      <c r="T68" s="148" t="s">
        <v>27</v>
      </c>
    </row>
    <row r="69" spans="1:20" ht="20.25" hidden="1" customHeight="1">
      <c r="A69" s="243" t="s">
        <v>21</v>
      </c>
      <c r="B69" s="12">
        <v>17</v>
      </c>
      <c r="C69" s="12">
        <v>4</v>
      </c>
      <c r="D69" s="12">
        <v>6</v>
      </c>
      <c r="E69" s="12">
        <v>26</v>
      </c>
      <c r="F69" s="12">
        <v>5</v>
      </c>
      <c r="G69" s="12">
        <v>46</v>
      </c>
      <c r="H69" s="12">
        <v>6</v>
      </c>
      <c r="M69" s="714"/>
      <c r="N69" s="710"/>
      <c r="O69" s="712"/>
      <c r="P69" s="712"/>
      <c r="Q69" s="712"/>
      <c r="R69" s="712"/>
      <c r="S69" s="149" t="s">
        <v>49</v>
      </c>
      <c r="T69" s="149" t="s">
        <v>49</v>
      </c>
    </row>
    <row r="70" spans="1:20" s="14" customFormat="1" ht="20.25" hidden="1" customHeight="1">
      <c r="A70" s="239">
        <v>2013</v>
      </c>
      <c r="B70" s="53"/>
      <c r="C70" s="54"/>
      <c r="D70" s="55"/>
      <c r="E70" s="55"/>
      <c r="F70" s="56"/>
      <c r="G70" s="62"/>
      <c r="H70" s="62"/>
      <c r="I70" s="30"/>
      <c r="J70" s="30"/>
      <c r="K70" s="30"/>
      <c r="L70" s="32"/>
      <c r="M70" s="212">
        <v>2012</v>
      </c>
      <c r="N70" s="53"/>
      <c r="O70" s="54"/>
      <c r="P70" s="55"/>
      <c r="Q70" s="55"/>
      <c r="R70" s="56"/>
      <c r="S70" s="62"/>
      <c r="T70" s="62"/>
    </row>
    <row r="71" spans="1:20" s="14" customFormat="1" ht="20.25" hidden="1" customHeight="1">
      <c r="A71" s="242" t="s">
        <v>14</v>
      </c>
      <c r="B71" s="251">
        <f>SUM(B72:B83)</f>
        <v>450</v>
      </c>
      <c r="C71" s="251">
        <f t="shared" ref="C71:H71" si="4">SUM(C72:C83)</f>
        <v>67</v>
      </c>
      <c r="D71" s="251">
        <f t="shared" si="4"/>
        <v>327</v>
      </c>
      <c r="E71" s="251">
        <f t="shared" si="4"/>
        <v>657</v>
      </c>
      <c r="F71" s="251">
        <f t="shared" si="4"/>
        <v>1643</v>
      </c>
      <c r="G71" s="251">
        <f t="shared" si="4"/>
        <v>917</v>
      </c>
      <c r="H71" s="251">
        <f t="shared" si="4"/>
        <v>100</v>
      </c>
      <c r="I71" s="30"/>
      <c r="J71" s="30"/>
      <c r="K71" s="30"/>
      <c r="L71" s="32"/>
      <c r="M71" s="27" t="s">
        <v>14</v>
      </c>
      <c r="N71" s="111">
        <f t="shared" ref="N71:T71" si="5">SUM(N72:N82)</f>
        <v>362</v>
      </c>
      <c r="O71" s="111">
        <f t="shared" si="5"/>
        <v>52</v>
      </c>
      <c r="P71" s="111">
        <f t="shared" si="5"/>
        <v>253</v>
      </c>
      <c r="Q71" s="111">
        <f t="shared" si="5"/>
        <v>560</v>
      </c>
      <c r="R71" s="111">
        <f t="shared" si="5"/>
        <v>139</v>
      </c>
      <c r="S71" s="111">
        <f t="shared" si="5"/>
        <v>1531</v>
      </c>
      <c r="T71" s="111">
        <f t="shared" si="5"/>
        <v>207</v>
      </c>
    </row>
    <row r="72" spans="1:20" s="14" customFormat="1" ht="20.25" hidden="1" customHeight="1">
      <c r="A72" s="197" t="s">
        <v>99</v>
      </c>
      <c r="B72" s="6">
        <v>75</v>
      </c>
      <c r="C72" s="6">
        <v>4</v>
      </c>
      <c r="D72" s="6">
        <v>23</v>
      </c>
      <c r="E72" s="6">
        <v>99</v>
      </c>
      <c r="F72" s="6">
        <v>234</v>
      </c>
      <c r="G72" s="6">
        <v>81</v>
      </c>
      <c r="H72" s="6">
        <v>1</v>
      </c>
      <c r="I72" s="30"/>
      <c r="J72" s="30"/>
      <c r="K72" s="30"/>
      <c r="L72" s="32"/>
      <c r="M72" s="25" t="s">
        <v>15</v>
      </c>
      <c r="N72" s="12">
        <v>90</v>
      </c>
      <c r="O72" s="12">
        <v>11</v>
      </c>
      <c r="P72" s="12">
        <v>32</v>
      </c>
      <c r="Q72" s="12">
        <v>150</v>
      </c>
      <c r="R72" s="12">
        <v>41</v>
      </c>
      <c r="S72" s="12">
        <v>341</v>
      </c>
      <c r="T72" s="12">
        <v>34</v>
      </c>
    </row>
    <row r="73" spans="1:20" s="14" customFormat="1" ht="20.25" hidden="1" customHeight="1">
      <c r="A73" s="245" t="s">
        <v>100</v>
      </c>
      <c r="B73" s="12">
        <v>37</v>
      </c>
      <c r="C73" s="12">
        <v>11</v>
      </c>
      <c r="D73" s="12">
        <v>21</v>
      </c>
      <c r="E73" s="12">
        <v>65</v>
      </c>
      <c r="F73" s="12">
        <v>95</v>
      </c>
      <c r="G73" s="12">
        <v>85</v>
      </c>
      <c r="H73" s="12">
        <v>14</v>
      </c>
      <c r="I73" s="30"/>
      <c r="J73" s="30"/>
      <c r="K73" s="30"/>
      <c r="L73" s="32"/>
      <c r="M73" s="25" t="s">
        <v>40</v>
      </c>
      <c r="N73" s="12">
        <v>26</v>
      </c>
      <c r="O73" s="12">
        <v>3</v>
      </c>
      <c r="P73" s="12">
        <v>25</v>
      </c>
      <c r="Q73" s="12">
        <v>34</v>
      </c>
      <c r="R73" s="12">
        <v>13</v>
      </c>
      <c r="S73" s="12">
        <v>180</v>
      </c>
      <c r="T73" s="12">
        <v>29</v>
      </c>
    </row>
    <row r="74" spans="1:20" s="14" customFormat="1" ht="20.25" hidden="1" customHeight="1">
      <c r="A74" s="245" t="s">
        <v>101</v>
      </c>
      <c r="B74" s="12">
        <v>26</v>
      </c>
      <c r="C74" s="12">
        <v>5</v>
      </c>
      <c r="D74" s="12">
        <v>28</v>
      </c>
      <c r="E74" s="12">
        <v>39</v>
      </c>
      <c r="F74" s="12">
        <v>155</v>
      </c>
      <c r="G74" s="12">
        <v>100</v>
      </c>
      <c r="H74" s="12">
        <v>9</v>
      </c>
      <c r="I74" s="30"/>
      <c r="J74" s="30"/>
      <c r="K74" s="30"/>
      <c r="L74" s="32"/>
      <c r="M74" s="25" t="s">
        <v>16</v>
      </c>
      <c r="N74" s="12">
        <v>19</v>
      </c>
      <c r="O74" s="12">
        <v>7</v>
      </c>
      <c r="P74" s="12">
        <v>25</v>
      </c>
      <c r="Q74" s="12">
        <v>47</v>
      </c>
      <c r="R74" s="12">
        <v>8</v>
      </c>
      <c r="S74" s="12">
        <v>115</v>
      </c>
      <c r="T74" s="12">
        <v>50</v>
      </c>
    </row>
    <row r="75" spans="1:20" s="14" customFormat="1" ht="20.25" hidden="1" customHeight="1">
      <c r="A75" s="245" t="s">
        <v>102</v>
      </c>
      <c r="B75" s="12">
        <v>24</v>
      </c>
      <c r="C75" s="12">
        <v>8</v>
      </c>
      <c r="D75" s="12">
        <v>37</v>
      </c>
      <c r="E75" s="12">
        <v>53</v>
      </c>
      <c r="F75" s="12">
        <v>125</v>
      </c>
      <c r="G75" s="12">
        <v>75</v>
      </c>
      <c r="H75" s="12">
        <v>15</v>
      </c>
      <c r="I75" s="30"/>
      <c r="J75" s="30"/>
      <c r="K75" s="30"/>
      <c r="L75" s="32"/>
      <c r="M75" s="25" t="s">
        <v>37</v>
      </c>
      <c r="N75" s="12">
        <v>22</v>
      </c>
      <c r="O75" s="12">
        <v>2</v>
      </c>
      <c r="P75" s="12">
        <v>22</v>
      </c>
      <c r="Q75" s="12">
        <v>41</v>
      </c>
      <c r="R75" s="12">
        <v>8</v>
      </c>
      <c r="S75" s="12">
        <v>95</v>
      </c>
      <c r="T75" s="12">
        <v>14</v>
      </c>
    </row>
    <row r="76" spans="1:20" s="14" customFormat="1" ht="20.25" hidden="1" customHeight="1">
      <c r="A76" s="245" t="s">
        <v>103</v>
      </c>
      <c r="B76" s="12">
        <v>29</v>
      </c>
      <c r="C76" s="12">
        <v>4</v>
      </c>
      <c r="D76" s="12">
        <v>30</v>
      </c>
      <c r="E76" s="12">
        <v>48</v>
      </c>
      <c r="F76" s="12">
        <v>110</v>
      </c>
      <c r="G76" s="12">
        <v>54</v>
      </c>
      <c r="H76" s="12">
        <v>8</v>
      </c>
      <c r="I76" s="30"/>
      <c r="J76" s="30"/>
      <c r="K76" s="30"/>
      <c r="L76" s="32"/>
      <c r="M76" s="25" t="s">
        <v>41</v>
      </c>
      <c r="N76" s="12">
        <v>28</v>
      </c>
      <c r="O76" s="12">
        <v>6</v>
      </c>
      <c r="P76" s="12">
        <v>23</v>
      </c>
      <c r="Q76" s="12">
        <v>34</v>
      </c>
      <c r="R76" s="12">
        <v>10</v>
      </c>
      <c r="S76" s="12">
        <v>151</v>
      </c>
      <c r="T76" s="12">
        <v>29</v>
      </c>
    </row>
    <row r="77" spans="1:20" s="14" customFormat="1" ht="20.25" hidden="1" customHeight="1">
      <c r="A77" s="245" t="s">
        <v>104</v>
      </c>
      <c r="B77" s="12">
        <v>34</v>
      </c>
      <c r="C77" s="12">
        <v>6</v>
      </c>
      <c r="D77" s="12">
        <v>28</v>
      </c>
      <c r="E77" s="12">
        <v>42</v>
      </c>
      <c r="F77" s="12">
        <v>135</v>
      </c>
      <c r="G77" s="12">
        <v>112</v>
      </c>
      <c r="H77" s="12">
        <v>18</v>
      </c>
      <c r="I77" s="30"/>
      <c r="J77" s="30"/>
      <c r="K77" s="30"/>
      <c r="L77" s="32"/>
      <c r="M77" s="25" t="s">
        <v>17</v>
      </c>
      <c r="N77" s="12">
        <v>15</v>
      </c>
      <c r="O77" s="12">
        <v>3</v>
      </c>
      <c r="P77" s="12">
        <v>10</v>
      </c>
      <c r="Q77" s="12">
        <v>21</v>
      </c>
      <c r="R77" s="12">
        <v>6</v>
      </c>
      <c r="S77" s="12">
        <v>49</v>
      </c>
      <c r="T77" s="12">
        <v>1</v>
      </c>
    </row>
    <row r="78" spans="1:20" s="14" customFormat="1" ht="20.25" hidden="1" customHeight="1">
      <c r="A78" s="245" t="s">
        <v>105</v>
      </c>
      <c r="B78" s="12">
        <v>32</v>
      </c>
      <c r="C78" s="12">
        <v>4</v>
      </c>
      <c r="D78" s="12">
        <v>15</v>
      </c>
      <c r="E78" s="12">
        <v>34</v>
      </c>
      <c r="F78" s="12">
        <v>216</v>
      </c>
      <c r="G78" s="12">
        <v>33</v>
      </c>
      <c r="H78" s="12">
        <v>1</v>
      </c>
      <c r="I78" s="30"/>
      <c r="J78" s="30"/>
      <c r="K78" s="30"/>
      <c r="L78" s="32"/>
      <c r="M78" s="25" t="s">
        <v>18</v>
      </c>
      <c r="N78" s="12">
        <v>9</v>
      </c>
      <c r="O78" s="12">
        <v>2</v>
      </c>
      <c r="P78" s="12">
        <v>12</v>
      </c>
      <c r="Q78" s="12">
        <v>17</v>
      </c>
      <c r="R78" s="12">
        <v>4</v>
      </c>
      <c r="S78" s="12">
        <v>60</v>
      </c>
      <c r="T78" s="12">
        <v>5</v>
      </c>
    </row>
    <row r="79" spans="1:20" s="14" customFormat="1" ht="20.25" hidden="1" customHeight="1">
      <c r="A79" s="245" t="s">
        <v>106</v>
      </c>
      <c r="B79" s="12">
        <v>15</v>
      </c>
      <c r="C79" s="12">
        <v>2</v>
      </c>
      <c r="D79" s="12">
        <v>13</v>
      </c>
      <c r="E79" s="12">
        <v>19</v>
      </c>
      <c r="F79" s="12">
        <v>47</v>
      </c>
      <c r="G79" s="12">
        <v>45</v>
      </c>
      <c r="H79" s="12">
        <v>2</v>
      </c>
      <c r="I79" s="30"/>
      <c r="J79" s="30"/>
      <c r="K79" s="30"/>
      <c r="L79" s="32"/>
      <c r="M79" s="25" t="s">
        <v>19</v>
      </c>
      <c r="N79" s="12">
        <v>32</v>
      </c>
      <c r="O79" s="12">
        <v>3</v>
      </c>
      <c r="P79" s="12">
        <v>26</v>
      </c>
      <c r="Q79" s="12">
        <v>42</v>
      </c>
      <c r="R79" s="12">
        <v>15</v>
      </c>
      <c r="S79" s="12">
        <v>208</v>
      </c>
      <c r="T79" s="12">
        <v>26</v>
      </c>
    </row>
    <row r="80" spans="1:20" s="14" customFormat="1" ht="20.25" hidden="1" customHeight="1">
      <c r="A80" s="245" t="s">
        <v>107</v>
      </c>
      <c r="B80" s="12">
        <v>39</v>
      </c>
      <c r="C80" s="12">
        <v>4</v>
      </c>
      <c r="D80" s="12">
        <v>29</v>
      </c>
      <c r="E80" s="12">
        <v>48</v>
      </c>
      <c r="F80" s="12">
        <v>149</v>
      </c>
      <c r="G80" s="12">
        <v>135</v>
      </c>
      <c r="H80" s="12">
        <v>21</v>
      </c>
      <c r="I80" s="30"/>
      <c r="J80" s="30"/>
      <c r="K80" s="30"/>
      <c r="L80" s="32"/>
      <c r="M80" s="25" t="s">
        <v>48</v>
      </c>
      <c r="N80" s="12">
        <v>89</v>
      </c>
      <c r="O80" s="12">
        <v>9</v>
      </c>
      <c r="P80" s="12">
        <v>57</v>
      </c>
      <c r="Q80" s="12">
        <v>131</v>
      </c>
      <c r="R80" s="12">
        <v>26</v>
      </c>
      <c r="S80" s="12">
        <v>224</v>
      </c>
      <c r="T80" s="12">
        <v>9</v>
      </c>
    </row>
    <row r="81" spans="1:41" s="14" customFormat="1" ht="20.25" hidden="1" customHeight="1">
      <c r="A81" s="245" t="s">
        <v>108</v>
      </c>
      <c r="B81" s="12">
        <v>103</v>
      </c>
      <c r="C81" s="12">
        <v>13</v>
      </c>
      <c r="D81" s="12">
        <v>75</v>
      </c>
      <c r="E81" s="12">
        <v>156</v>
      </c>
      <c r="F81" s="12">
        <v>277</v>
      </c>
      <c r="G81" s="12">
        <v>122</v>
      </c>
      <c r="H81" s="12">
        <v>3</v>
      </c>
      <c r="I81" s="30"/>
      <c r="J81" s="30"/>
      <c r="K81" s="30"/>
      <c r="L81" s="32"/>
      <c r="M81" s="25" t="s">
        <v>20</v>
      </c>
      <c r="N81" s="12">
        <v>15</v>
      </c>
      <c r="O81" s="12">
        <v>2</v>
      </c>
      <c r="P81" s="12">
        <v>15</v>
      </c>
      <c r="Q81" s="12">
        <v>17</v>
      </c>
      <c r="R81" s="12">
        <v>3</v>
      </c>
      <c r="S81" s="12">
        <v>62</v>
      </c>
      <c r="T81" s="12">
        <v>4</v>
      </c>
    </row>
    <row r="82" spans="1:41" s="14" customFormat="1" ht="20.25" hidden="1" customHeight="1">
      <c r="A82" s="245" t="s">
        <v>109</v>
      </c>
      <c r="B82" s="12">
        <v>15</v>
      </c>
      <c r="C82" s="12">
        <v>2</v>
      </c>
      <c r="D82" s="12">
        <v>17</v>
      </c>
      <c r="E82" s="12">
        <v>22</v>
      </c>
      <c r="F82" s="12">
        <v>52</v>
      </c>
      <c r="G82" s="12">
        <v>47</v>
      </c>
      <c r="H82" s="12">
        <v>5</v>
      </c>
      <c r="I82" s="30"/>
      <c r="J82" s="30"/>
      <c r="K82" s="30"/>
      <c r="L82" s="32"/>
      <c r="M82" s="25" t="s">
        <v>21</v>
      </c>
      <c r="N82" s="12">
        <v>17</v>
      </c>
      <c r="O82" s="12">
        <v>4</v>
      </c>
      <c r="P82" s="12">
        <v>6</v>
      </c>
      <c r="Q82" s="12">
        <v>26</v>
      </c>
      <c r="R82" s="12">
        <v>5</v>
      </c>
      <c r="S82" s="12">
        <v>46</v>
      </c>
      <c r="T82" s="12">
        <v>6</v>
      </c>
    </row>
    <row r="83" spans="1:41" s="14" customFormat="1" ht="20.25" hidden="1" customHeight="1">
      <c r="A83" s="245" t="s">
        <v>110</v>
      </c>
      <c r="B83" s="12">
        <v>21</v>
      </c>
      <c r="C83" s="12">
        <v>4</v>
      </c>
      <c r="D83" s="12">
        <v>11</v>
      </c>
      <c r="E83" s="12">
        <v>32</v>
      </c>
      <c r="F83" s="12">
        <v>48</v>
      </c>
      <c r="G83" s="12">
        <v>28</v>
      </c>
      <c r="H83" s="12">
        <v>3</v>
      </c>
      <c r="I83" s="30"/>
      <c r="J83" s="30"/>
      <c r="K83" s="30"/>
      <c r="L83" s="32"/>
      <c r="M83" s="25"/>
      <c r="N83" s="12"/>
      <c r="O83" s="12"/>
      <c r="P83" s="12"/>
      <c r="Q83" s="12"/>
      <c r="R83" s="12"/>
      <c r="S83" s="12"/>
      <c r="T83" s="12"/>
    </row>
    <row r="84" spans="1:41" s="14" customFormat="1" ht="20.25" hidden="1" customHeight="1">
      <c r="A84" s="245"/>
      <c r="B84" s="12"/>
      <c r="C84" s="12"/>
      <c r="D84" s="12"/>
      <c r="E84" s="12"/>
      <c r="F84" s="12"/>
      <c r="G84" s="12"/>
      <c r="H84" s="12"/>
      <c r="I84" s="30"/>
      <c r="J84" s="30"/>
      <c r="K84" s="30"/>
      <c r="L84" s="32"/>
      <c r="M84" s="25"/>
      <c r="N84" s="12"/>
      <c r="O84" s="12"/>
      <c r="P84" s="12"/>
      <c r="Q84" s="12"/>
      <c r="R84" s="12"/>
      <c r="S84" s="12"/>
      <c r="T84" s="12"/>
    </row>
    <row r="85" spans="1:41" s="14" customFormat="1" ht="20.25" hidden="1" customHeight="1">
      <c r="A85" s="239">
        <v>2014</v>
      </c>
      <c r="B85" s="292"/>
      <c r="C85" s="291"/>
      <c r="D85" s="47"/>
      <c r="E85" s="47"/>
      <c r="F85" s="290"/>
      <c r="G85" s="75"/>
      <c r="H85" s="75"/>
      <c r="J85" s="30"/>
      <c r="K85" s="30"/>
      <c r="L85" s="32"/>
      <c r="M85" s="25"/>
      <c r="N85" s="12"/>
      <c r="O85" s="12"/>
      <c r="P85" s="12"/>
      <c r="Q85" s="12"/>
      <c r="R85" s="12"/>
      <c r="S85" s="12"/>
      <c r="T85" s="12"/>
    </row>
    <row r="86" spans="1:41" s="14" customFormat="1" ht="11.25" hidden="1" customHeight="1">
      <c r="A86" s="242" t="s">
        <v>14</v>
      </c>
      <c r="B86" s="85">
        <f>SUM(B87:B98)</f>
        <v>466</v>
      </c>
      <c r="C86" s="85">
        <f t="shared" ref="C86:H86" si="6">SUM(C87:C98)</f>
        <v>109</v>
      </c>
      <c r="D86" s="85">
        <f t="shared" si="6"/>
        <v>326</v>
      </c>
      <c r="E86" s="85">
        <f t="shared" si="6"/>
        <v>661</v>
      </c>
      <c r="F86" s="85">
        <f t="shared" si="6"/>
        <v>889</v>
      </c>
      <c r="G86" s="85">
        <f t="shared" si="6"/>
        <v>1830</v>
      </c>
      <c r="H86" s="85">
        <f t="shared" si="6"/>
        <v>283</v>
      </c>
      <c r="J86" s="30"/>
      <c r="K86" s="30"/>
      <c r="L86" s="32"/>
      <c r="M86" s="25"/>
      <c r="N86" t="s">
        <v>338</v>
      </c>
      <c r="O86"/>
      <c r="P86"/>
      <c r="Q86"/>
      <c r="R86" t="s">
        <v>339</v>
      </c>
      <c r="S86"/>
      <c r="T86"/>
      <c r="U86"/>
      <c r="V86" t="s">
        <v>340</v>
      </c>
      <c r="W86"/>
      <c r="X86"/>
      <c r="Y86" t="s">
        <v>341</v>
      </c>
      <c r="Z86" t="s">
        <v>342</v>
      </c>
      <c r="AA86" t="s">
        <v>17</v>
      </c>
      <c r="AB86" t="s">
        <v>19</v>
      </c>
      <c r="AC86" t="s">
        <v>343</v>
      </c>
      <c r="AD86" t="s">
        <v>20</v>
      </c>
      <c r="AE86" t="s">
        <v>21</v>
      </c>
      <c r="AF86" t="s">
        <v>344</v>
      </c>
    </row>
    <row r="87" spans="1:41" s="14" customFormat="1" ht="36" hidden="1" customHeight="1">
      <c r="A87" s="197" t="s">
        <v>99</v>
      </c>
      <c r="B87" s="6">
        <v>65</v>
      </c>
      <c r="C87" s="6">
        <v>4</v>
      </c>
      <c r="D87" s="6">
        <v>22</v>
      </c>
      <c r="E87" s="6">
        <v>98</v>
      </c>
      <c r="F87" s="6">
        <v>155</v>
      </c>
      <c r="G87" s="6">
        <v>208</v>
      </c>
      <c r="H87" s="6">
        <v>20</v>
      </c>
      <c r="J87" s="30"/>
      <c r="K87" s="30"/>
      <c r="L87" s="32"/>
      <c r="M87" t="s">
        <v>345</v>
      </c>
      <c r="N87">
        <v>27</v>
      </c>
      <c r="O87"/>
      <c r="P87"/>
      <c r="Q87"/>
      <c r="R87">
        <v>22</v>
      </c>
      <c r="S87"/>
      <c r="T87"/>
      <c r="U87"/>
      <c r="V87">
        <v>28</v>
      </c>
      <c r="W87"/>
      <c r="X87"/>
      <c r="Y87">
        <v>30</v>
      </c>
      <c r="Z87">
        <v>35</v>
      </c>
      <c r="AA87">
        <v>38</v>
      </c>
      <c r="AB87">
        <v>38</v>
      </c>
      <c r="AC87">
        <v>108</v>
      </c>
      <c r="AD87">
        <v>17</v>
      </c>
      <c r="AE87">
        <v>19</v>
      </c>
      <c r="AF87">
        <v>65</v>
      </c>
      <c r="AG87" s="6"/>
      <c r="AH87" s="6"/>
      <c r="AI87" s="6"/>
      <c r="AJ87" s="6"/>
      <c r="AK87" s="6"/>
      <c r="AL87" s="6"/>
      <c r="AM87" s="6"/>
      <c r="AN87" s="6"/>
      <c r="AO87" s="30"/>
    </row>
    <row r="88" spans="1:41" s="14" customFormat="1" ht="39" hidden="1" customHeight="1">
      <c r="A88" s="245" t="s">
        <v>100</v>
      </c>
      <c r="B88" s="6">
        <v>39</v>
      </c>
      <c r="C88" s="6">
        <v>11</v>
      </c>
      <c r="D88" s="6">
        <v>21</v>
      </c>
      <c r="E88" s="6">
        <v>67</v>
      </c>
      <c r="F88" s="6">
        <v>33</v>
      </c>
      <c r="G88" s="24">
        <v>144</v>
      </c>
      <c r="H88" s="24">
        <v>18</v>
      </c>
      <c r="J88" s="30"/>
      <c r="K88" s="30"/>
      <c r="L88" s="32"/>
      <c r="M88" t="s">
        <v>346</v>
      </c>
      <c r="N88">
        <v>5</v>
      </c>
      <c r="O88"/>
      <c r="P88"/>
      <c r="Q88"/>
      <c r="R88">
        <v>2</v>
      </c>
      <c r="S88"/>
      <c r="T88"/>
      <c r="U88"/>
      <c r="V88">
        <v>8</v>
      </c>
      <c r="W88"/>
      <c r="X88"/>
      <c r="Y88">
        <v>4</v>
      </c>
      <c r="Z88">
        <v>6</v>
      </c>
      <c r="AA88">
        <v>4</v>
      </c>
      <c r="AB88">
        <v>47</v>
      </c>
      <c r="AC88">
        <v>13</v>
      </c>
      <c r="AD88">
        <v>2</v>
      </c>
      <c r="AE88">
        <v>3</v>
      </c>
      <c r="AF88">
        <v>4</v>
      </c>
    </row>
    <row r="89" spans="1:41" s="14" customFormat="1" ht="39" hidden="1" customHeight="1">
      <c r="A89" s="245" t="s">
        <v>101</v>
      </c>
      <c r="B89" s="6">
        <v>27</v>
      </c>
      <c r="C89" s="6">
        <v>5</v>
      </c>
      <c r="D89" s="6">
        <v>28</v>
      </c>
      <c r="E89" s="6">
        <v>39</v>
      </c>
      <c r="F89" s="6">
        <v>40</v>
      </c>
      <c r="G89" s="6">
        <v>192</v>
      </c>
      <c r="H89" s="6">
        <v>31</v>
      </c>
      <c r="J89" s="30"/>
      <c r="K89" s="30"/>
      <c r="L89" s="32"/>
      <c r="M89" t="s">
        <v>347</v>
      </c>
      <c r="N89">
        <v>28</v>
      </c>
      <c r="O89"/>
      <c r="P89"/>
      <c r="Q89"/>
      <c r="R89">
        <v>14</v>
      </c>
      <c r="S89"/>
      <c r="T89"/>
      <c r="U89"/>
      <c r="V89">
        <v>37</v>
      </c>
      <c r="W89"/>
      <c r="X89"/>
      <c r="Y89">
        <v>30</v>
      </c>
      <c r="Z89">
        <v>28</v>
      </c>
      <c r="AA89">
        <v>15</v>
      </c>
      <c r="AB89">
        <v>30</v>
      </c>
      <c r="AC89">
        <v>74</v>
      </c>
      <c r="AD89">
        <v>16</v>
      </c>
      <c r="AE89">
        <v>11</v>
      </c>
      <c r="AF89">
        <v>22</v>
      </c>
    </row>
    <row r="90" spans="1:41" s="14" customFormat="1" ht="39" hidden="1" customHeight="1">
      <c r="A90" s="245" t="s">
        <v>102</v>
      </c>
      <c r="B90" s="6">
        <v>22</v>
      </c>
      <c r="C90" s="6">
        <v>2</v>
      </c>
      <c r="D90" s="6">
        <v>14</v>
      </c>
      <c r="E90" s="6">
        <v>22</v>
      </c>
      <c r="F90" s="6">
        <v>18</v>
      </c>
      <c r="G90" s="6">
        <v>79</v>
      </c>
      <c r="H90" s="6">
        <v>7</v>
      </c>
      <c r="J90" s="30"/>
      <c r="K90" s="30"/>
      <c r="L90" s="32"/>
      <c r="M90" t="s">
        <v>348</v>
      </c>
      <c r="N90">
        <v>39</v>
      </c>
      <c r="O90"/>
      <c r="P90"/>
      <c r="Q90"/>
      <c r="R90">
        <v>22</v>
      </c>
      <c r="S90"/>
      <c r="T90"/>
      <c r="U90"/>
      <c r="V90">
        <v>53</v>
      </c>
      <c r="W90"/>
      <c r="X90"/>
      <c r="Y90">
        <v>48</v>
      </c>
      <c r="Z90">
        <v>42</v>
      </c>
      <c r="AA90">
        <v>34</v>
      </c>
      <c r="AB90">
        <v>47</v>
      </c>
      <c r="AC90">
        <v>156</v>
      </c>
      <c r="AD90">
        <v>23</v>
      </c>
      <c r="AE90">
        <v>32</v>
      </c>
      <c r="AF90">
        <v>98</v>
      </c>
    </row>
    <row r="91" spans="1:41" s="14" customFormat="1" ht="39" hidden="1" customHeight="1">
      <c r="A91" s="245" t="s">
        <v>103</v>
      </c>
      <c r="B91" s="6">
        <v>28</v>
      </c>
      <c r="C91" s="6">
        <v>8</v>
      </c>
      <c r="D91" s="6">
        <v>37</v>
      </c>
      <c r="E91" s="6">
        <v>53</v>
      </c>
      <c r="F91" s="6">
        <v>37</v>
      </c>
      <c r="G91" s="6">
        <v>144</v>
      </c>
      <c r="H91" s="6">
        <v>31</v>
      </c>
      <c r="J91" s="30"/>
      <c r="K91" s="30"/>
      <c r="L91" s="32"/>
      <c r="M91" t="s">
        <v>349</v>
      </c>
      <c r="N91">
        <v>40</v>
      </c>
      <c r="O91"/>
      <c r="P91"/>
      <c r="Q91"/>
      <c r="R91">
        <v>18</v>
      </c>
      <c r="S91"/>
      <c r="T91"/>
      <c r="U91"/>
      <c r="V91">
        <v>37</v>
      </c>
      <c r="W91"/>
      <c r="X91"/>
      <c r="Y91">
        <v>28</v>
      </c>
      <c r="Z91">
        <v>42</v>
      </c>
      <c r="AA91">
        <v>121</v>
      </c>
      <c r="AB91">
        <v>36</v>
      </c>
      <c r="AC91">
        <v>132</v>
      </c>
      <c r="AD91">
        <v>19</v>
      </c>
      <c r="AE91">
        <v>21</v>
      </c>
      <c r="AF91">
        <v>155</v>
      </c>
    </row>
    <row r="92" spans="1:41" s="14" customFormat="1" ht="39" hidden="1" customHeight="1">
      <c r="A92" s="245" t="s">
        <v>104</v>
      </c>
      <c r="B92" s="6">
        <v>30</v>
      </c>
      <c r="C92" s="6">
        <v>4</v>
      </c>
      <c r="D92" s="6">
        <v>30</v>
      </c>
      <c r="E92" s="6">
        <v>48</v>
      </c>
      <c r="F92" s="6">
        <v>28</v>
      </c>
      <c r="G92" s="6">
        <v>124</v>
      </c>
      <c r="H92" s="6">
        <v>17</v>
      </c>
      <c r="J92" s="30"/>
      <c r="K92" s="30"/>
      <c r="L92" s="32"/>
      <c r="M92" t="s">
        <v>350</v>
      </c>
      <c r="N92">
        <v>192</v>
      </c>
      <c r="O92"/>
      <c r="P92"/>
      <c r="Q92"/>
      <c r="R92">
        <v>79</v>
      </c>
      <c r="S92"/>
      <c r="T92"/>
      <c r="U92"/>
      <c r="V92">
        <v>144</v>
      </c>
      <c r="W92"/>
      <c r="X92"/>
      <c r="Y92">
        <v>124</v>
      </c>
      <c r="Z92">
        <v>192</v>
      </c>
      <c r="AA92">
        <v>116</v>
      </c>
      <c r="AB92">
        <v>243</v>
      </c>
      <c r="AC92">
        <v>257</v>
      </c>
      <c r="AD92">
        <v>79</v>
      </c>
      <c r="AE92">
        <v>52</v>
      </c>
      <c r="AF92">
        <v>208</v>
      </c>
    </row>
    <row r="93" spans="1:41" s="14" customFormat="1" ht="39" hidden="1" customHeight="1">
      <c r="A93" s="245" t="s">
        <v>105</v>
      </c>
      <c r="B93" s="6">
        <v>35</v>
      </c>
      <c r="C93" s="6">
        <v>6</v>
      </c>
      <c r="D93" s="6">
        <v>28</v>
      </c>
      <c r="E93" s="6">
        <v>42</v>
      </c>
      <c r="F93" s="6">
        <v>42</v>
      </c>
      <c r="G93" s="6">
        <v>192</v>
      </c>
      <c r="H93" s="6">
        <v>30</v>
      </c>
      <c r="J93" s="30"/>
      <c r="K93" s="30"/>
      <c r="L93" s="32"/>
      <c r="M93" t="s">
        <v>351</v>
      </c>
      <c r="N93">
        <v>31</v>
      </c>
      <c r="O93"/>
      <c r="P93"/>
      <c r="Q93"/>
      <c r="R93">
        <v>7</v>
      </c>
      <c r="S93"/>
      <c r="T93"/>
      <c r="U93"/>
      <c r="V93">
        <v>31</v>
      </c>
      <c r="W93"/>
      <c r="X93"/>
      <c r="Y93">
        <v>17</v>
      </c>
      <c r="Z93">
        <v>30</v>
      </c>
      <c r="AA93">
        <v>10</v>
      </c>
      <c r="AB93">
        <v>29</v>
      </c>
      <c r="AC93">
        <v>23</v>
      </c>
      <c r="AD93">
        <v>4</v>
      </c>
      <c r="AE93">
        <v>7</v>
      </c>
      <c r="AF93">
        <v>20</v>
      </c>
    </row>
    <row r="94" spans="1:41" s="14" customFormat="1" ht="39" hidden="1" customHeight="1">
      <c r="A94" s="245" t="s">
        <v>106</v>
      </c>
      <c r="B94" s="6">
        <v>38</v>
      </c>
      <c r="C94" s="6">
        <v>4</v>
      </c>
      <c r="D94" s="6">
        <v>15</v>
      </c>
      <c r="E94" s="6">
        <v>34</v>
      </c>
      <c r="F94" s="6">
        <v>121</v>
      </c>
      <c r="G94" s="6">
        <v>116</v>
      </c>
      <c r="H94" s="6">
        <v>10</v>
      </c>
      <c r="J94" s="30"/>
      <c r="K94" s="30"/>
      <c r="L94" s="32"/>
      <c r="M94" s="25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</row>
    <row r="95" spans="1:41" s="14" customFormat="1" ht="39" hidden="1" customHeight="1">
      <c r="A95" s="245" t="s">
        <v>107</v>
      </c>
      <c r="B95" s="6">
        <v>38</v>
      </c>
      <c r="C95" s="6">
        <v>47</v>
      </c>
      <c r="D95" s="6">
        <v>30</v>
      </c>
      <c r="E95" s="6">
        <v>47</v>
      </c>
      <c r="F95" s="6">
        <v>243</v>
      </c>
      <c r="G95" s="6">
        <v>243</v>
      </c>
      <c r="H95" s="6">
        <v>29</v>
      </c>
      <c r="J95" s="30"/>
      <c r="K95" s="30"/>
      <c r="L95" s="32"/>
      <c r="M95" s="25"/>
      <c r="N95" s="12"/>
      <c r="O95" s="12"/>
      <c r="P95" s="12"/>
      <c r="Q95" s="12"/>
      <c r="R95" s="12"/>
      <c r="S95" s="12"/>
      <c r="T95" s="12"/>
    </row>
    <row r="96" spans="1:41" s="14" customFormat="1" ht="39" hidden="1" customHeight="1">
      <c r="A96" s="245" t="s">
        <v>108</v>
      </c>
      <c r="B96" s="6">
        <v>108</v>
      </c>
      <c r="C96" s="6">
        <v>13</v>
      </c>
      <c r="D96" s="6">
        <v>74</v>
      </c>
      <c r="E96" s="6">
        <v>156</v>
      </c>
      <c r="F96" s="6">
        <v>132</v>
      </c>
      <c r="G96" s="6">
        <v>257</v>
      </c>
      <c r="H96" s="6">
        <v>79</v>
      </c>
      <c r="J96" s="30"/>
      <c r="K96" s="30"/>
      <c r="L96" s="32"/>
      <c r="M96" s="25"/>
      <c r="N96" s="12"/>
      <c r="O96" s="12"/>
      <c r="P96" s="12"/>
      <c r="Q96" s="12"/>
      <c r="R96" s="12"/>
      <c r="S96" s="12"/>
      <c r="T96" s="12"/>
    </row>
    <row r="97" spans="1:20" s="14" customFormat="1" ht="39" hidden="1" customHeight="1">
      <c r="A97" s="245" t="s">
        <v>109</v>
      </c>
      <c r="B97" s="6">
        <v>17</v>
      </c>
      <c r="C97" s="6">
        <v>2</v>
      </c>
      <c r="D97" s="6">
        <v>16</v>
      </c>
      <c r="E97" s="6">
        <v>23</v>
      </c>
      <c r="F97" s="6">
        <v>19</v>
      </c>
      <c r="G97" s="6">
        <v>79</v>
      </c>
      <c r="H97" s="6">
        <v>4</v>
      </c>
      <c r="J97" s="30"/>
      <c r="K97" s="30"/>
      <c r="L97" s="32"/>
      <c r="M97" s="25"/>
      <c r="N97" s="12"/>
      <c r="O97" s="12"/>
      <c r="P97" s="12"/>
      <c r="Q97" s="12"/>
      <c r="R97" s="12"/>
      <c r="S97" s="12"/>
      <c r="T97" s="12"/>
    </row>
    <row r="98" spans="1:20" s="14" customFormat="1" ht="17.25" hidden="1" customHeight="1">
      <c r="A98" s="245" t="s">
        <v>110</v>
      </c>
      <c r="B98" s="6">
        <v>19</v>
      </c>
      <c r="C98" s="6">
        <v>3</v>
      </c>
      <c r="D98" s="6">
        <v>11</v>
      </c>
      <c r="E98" s="6">
        <v>32</v>
      </c>
      <c r="F98" s="6">
        <v>21</v>
      </c>
      <c r="G98" s="6">
        <v>52</v>
      </c>
      <c r="H98" s="6">
        <v>7</v>
      </c>
      <c r="J98" s="30"/>
      <c r="K98" s="30"/>
      <c r="L98" s="32"/>
      <c r="M98" s="212">
        <v>2013</v>
      </c>
      <c r="N98" s="53"/>
      <c r="O98" s="54"/>
      <c r="P98" s="55"/>
      <c r="Q98" s="55"/>
      <c r="R98" s="56"/>
      <c r="S98" s="62"/>
      <c r="T98" s="62"/>
    </row>
    <row r="99" spans="1:20" s="14" customFormat="1" ht="17.25" hidden="1" customHeight="1">
      <c r="J99" s="30"/>
      <c r="K99" s="30"/>
      <c r="L99" s="32"/>
      <c r="M99" s="27" t="s">
        <v>14</v>
      </c>
      <c r="N99" s="111">
        <f t="shared" ref="N99:T99" si="7">SUM(N100:N114)</f>
        <v>450</v>
      </c>
      <c r="O99" s="111">
        <f t="shared" si="7"/>
        <v>67</v>
      </c>
      <c r="P99" s="111">
        <f t="shared" si="7"/>
        <v>327</v>
      </c>
      <c r="Q99" s="111">
        <f t="shared" si="7"/>
        <v>657</v>
      </c>
      <c r="R99" s="111">
        <f t="shared" si="7"/>
        <v>1643</v>
      </c>
      <c r="S99" s="111">
        <f t="shared" si="7"/>
        <v>917</v>
      </c>
      <c r="T99" s="111">
        <f t="shared" si="7"/>
        <v>100</v>
      </c>
    </row>
    <row r="100" spans="1:20" s="14" customFormat="1" ht="25.5" hidden="1" customHeight="1">
      <c r="J100" s="30"/>
      <c r="K100" s="30"/>
      <c r="L100" s="32"/>
      <c r="M100" s="195" t="s">
        <v>99</v>
      </c>
      <c r="N100" s="6">
        <v>75</v>
      </c>
      <c r="O100" s="6">
        <v>4</v>
      </c>
      <c r="P100" s="6">
        <v>23</v>
      </c>
      <c r="Q100" s="6">
        <v>99</v>
      </c>
      <c r="R100" s="6">
        <v>234</v>
      </c>
      <c r="S100" s="6">
        <v>81</v>
      </c>
      <c r="T100" s="6">
        <v>1</v>
      </c>
    </row>
    <row r="101" spans="1:20" s="14" customFormat="1" hidden="1">
      <c r="A101" s="212" t="s">
        <v>390</v>
      </c>
      <c r="I101" s="30"/>
      <c r="J101" s="30"/>
      <c r="K101" s="30"/>
      <c r="L101" s="32"/>
      <c r="M101" s="84" t="s">
        <v>100</v>
      </c>
      <c r="N101" s="12">
        <v>37</v>
      </c>
      <c r="O101" s="12">
        <v>11</v>
      </c>
      <c r="P101" s="12">
        <v>21</v>
      </c>
      <c r="Q101" s="12">
        <v>65</v>
      </c>
      <c r="R101" s="12">
        <v>95</v>
      </c>
      <c r="S101" s="12">
        <v>85</v>
      </c>
      <c r="T101" s="12">
        <v>14</v>
      </c>
    </row>
    <row r="102" spans="1:20" s="14" customFormat="1" ht="20.100000000000001" hidden="1" customHeight="1">
      <c r="A102" s="239" t="s">
        <v>14</v>
      </c>
      <c r="B102" s="295">
        <f t="shared" ref="B102:H102" si="8">SUM(B103:B114)</f>
        <v>571</v>
      </c>
      <c r="C102" s="295">
        <f t="shared" si="8"/>
        <v>166</v>
      </c>
      <c r="D102" s="295">
        <f t="shared" si="8"/>
        <v>643</v>
      </c>
      <c r="E102" s="295">
        <f t="shared" si="8"/>
        <v>1307</v>
      </c>
      <c r="F102" s="295">
        <f t="shared" si="8"/>
        <v>503</v>
      </c>
      <c r="G102" s="295">
        <f t="shared" si="8"/>
        <v>1649</v>
      </c>
      <c r="H102" s="295">
        <f t="shared" si="8"/>
        <v>136</v>
      </c>
      <c r="I102" s="30"/>
      <c r="J102" s="30"/>
      <c r="K102" s="30"/>
      <c r="L102" s="32"/>
      <c r="M102" s="84" t="s">
        <v>101</v>
      </c>
      <c r="N102" s="12">
        <v>26</v>
      </c>
      <c r="O102" s="12">
        <v>5</v>
      </c>
      <c r="P102" s="12">
        <v>28</v>
      </c>
      <c r="Q102" s="12">
        <v>39</v>
      </c>
      <c r="R102" s="12">
        <v>155</v>
      </c>
      <c r="S102" s="12">
        <v>100</v>
      </c>
      <c r="T102" s="12">
        <v>9</v>
      </c>
    </row>
    <row r="103" spans="1:20" s="14" customFormat="1" ht="20.100000000000001" hidden="1" customHeight="1">
      <c r="A103" s="197" t="s">
        <v>99</v>
      </c>
      <c r="B103" s="296">
        <f>62+2+1</f>
        <v>65</v>
      </c>
      <c r="C103" s="296">
        <f>4</f>
        <v>4</v>
      </c>
      <c r="D103" s="296">
        <f>23</f>
        <v>23</v>
      </c>
      <c r="E103" s="296">
        <f>108+13</f>
        <v>121</v>
      </c>
      <c r="F103" s="296">
        <f>16+12+1+6+3+2+17+7+1+1+3+2</f>
        <v>71</v>
      </c>
      <c r="G103" s="296">
        <f>2+117+10</f>
        <v>129</v>
      </c>
      <c r="H103" s="296">
        <f>6</f>
        <v>6</v>
      </c>
      <c r="I103" s="6"/>
      <c r="J103" s="30"/>
      <c r="K103" s="30"/>
      <c r="L103" s="32"/>
      <c r="M103" s="84" t="s">
        <v>102</v>
      </c>
      <c r="N103" s="12">
        <v>24</v>
      </c>
      <c r="O103" s="12">
        <v>8</v>
      </c>
      <c r="P103" s="12">
        <v>37</v>
      </c>
      <c r="Q103" s="12">
        <v>53</v>
      </c>
      <c r="R103" s="12">
        <v>125</v>
      </c>
      <c r="S103" s="12">
        <v>75</v>
      </c>
      <c r="T103" s="12">
        <v>15</v>
      </c>
    </row>
    <row r="104" spans="1:20" s="14" customFormat="1" ht="20.100000000000001" hidden="1" customHeight="1">
      <c r="A104" s="245" t="s">
        <v>394</v>
      </c>
      <c r="B104" s="296">
        <f>12+17+7+18+13</f>
        <v>67</v>
      </c>
      <c r="C104" s="296">
        <f>18+6+4</f>
        <v>28</v>
      </c>
      <c r="D104" s="296">
        <f>36+31+4</f>
        <v>71</v>
      </c>
      <c r="E104" s="296">
        <f>103+55+11</f>
        <v>169</v>
      </c>
      <c r="F104" s="296">
        <f>14+1+3+7+1+8+6+3+27</f>
        <v>70</v>
      </c>
      <c r="G104" s="296">
        <f>25+74+17+8+48+17</f>
        <v>189</v>
      </c>
      <c r="H104" s="296">
        <f>13+2+4</f>
        <v>19</v>
      </c>
      <c r="I104" s="6"/>
      <c r="J104" s="30"/>
      <c r="K104" s="30"/>
      <c r="L104" s="32"/>
      <c r="M104" s="84" t="s">
        <v>103</v>
      </c>
      <c r="N104" s="12">
        <v>29</v>
      </c>
      <c r="O104" s="12">
        <v>4</v>
      </c>
      <c r="P104" s="12">
        <v>30</v>
      </c>
      <c r="Q104" s="12">
        <v>48</v>
      </c>
      <c r="R104" s="12">
        <v>110</v>
      </c>
      <c r="S104" s="12">
        <v>54</v>
      </c>
      <c r="T104" s="12">
        <v>8</v>
      </c>
    </row>
    <row r="105" spans="1:20" s="14" customFormat="1" ht="20.100000000000001" hidden="1" customHeight="1">
      <c r="A105" s="245" t="s">
        <v>101</v>
      </c>
      <c r="B105" s="296">
        <f>14+10+4+21</f>
        <v>49</v>
      </c>
      <c r="C105" s="296">
        <f>11+2</f>
        <v>13</v>
      </c>
      <c r="D105" s="296">
        <f>45+18</f>
        <v>63</v>
      </c>
      <c r="E105" s="296">
        <f>59+37</f>
        <v>96</v>
      </c>
      <c r="F105" s="296">
        <f>8+1+4+2+14+2+4+6+4</f>
        <v>45</v>
      </c>
      <c r="G105" s="296">
        <f>2+106+14+22+5</f>
        <v>149</v>
      </c>
      <c r="H105" s="296">
        <f>17+1</f>
        <v>18</v>
      </c>
      <c r="I105" s="6"/>
      <c r="J105" s="30"/>
      <c r="K105" s="30"/>
      <c r="L105" s="32"/>
      <c r="M105" s="84" t="s">
        <v>104</v>
      </c>
      <c r="N105" s="12">
        <v>34</v>
      </c>
      <c r="O105" s="12">
        <v>6</v>
      </c>
      <c r="P105" s="12">
        <v>28</v>
      </c>
      <c r="Q105" s="12">
        <v>42</v>
      </c>
      <c r="R105" s="12">
        <v>135</v>
      </c>
      <c r="S105" s="12">
        <v>112</v>
      </c>
      <c r="T105" s="12">
        <v>18</v>
      </c>
    </row>
    <row r="106" spans="1:20" s="14" customFormat="1" ht="20.100000000000001" hidden="1" customHeight="1">
      <c r="A106" s="245" t="s">
        <v>102</v>
      </c>
      <c r="B106" s="296">
        <f>19+13</f>
        <v>32</v>
      </c>
      <c r="C106" s="296">
        <f>4+3</f>
        <v>7</v>
      </c>
      <c r="D106" s="296">
        <f>28+9</f>
        <v>37</v>
      </c>
      <c r="E106" s="296">
        <f>33+20</f>
        <v>53</v>
      </c>
      <c r="F106" s="296">
        <f>3+8+2+1+2</f>
        <v>16</v>
      </c>
      <c r="G106" s="296">
        <f>72+15+17</f>
        <v>104</v>
      </c>
      <c r="H106" s="296">
        <f>6+1</f>
        <v>7</v>
      </c>
      <c r="I106" s="6"/>
      <c r="J106" s="30"/>
      <c r="K106" s="30"/>
      <c r="L106" s="32"/>
      <c r="M106" s="84" t="s">
        <v>105</v>
      </c>
      <c r="N106" s="12">
        <v>32</v>
      </c>
      <c r="O106" s="12">
        <v>4</v>
      </c>
      <c r="P106" s="12">
        <v>15</v>
      </c>
      <c r="Q106" s="12">
        <v>34</v>
      </c>
      <c r="R106" s="12">
        <v>216</v>
      </c>
      <c r="S106" s="12">
        <v>33</v>
      </c>
      <c r="T106" s="12">
        <v>1</v>
      </c>
    </row>
    <row r="107" spans="1:20" s="14" customFormat="1" ht="20.100000000000001" hidden="1" customHeight="1">
      <c r="A107" s="245" t="s">
        <v>103</v>
      </c>
      <c r="B107" s="296">
        <f>28+12</f>
        <v>40</v>
      </c>
      <c r="C107" s="296">
        <f>12+7</f>
        <v>19</v>
      </c>
      <c r="D107" s="296">
        <f>51+13</f>
        <v>64</v>
      </c>
      <c r="E107" s="296">
        <f>71+19</f>
        <v>90</v>
      </c>
      <c r="F107" s="296">
        <f>8+1+11+2+1+3</f>
        <v>26</v>
      </c>
      <c r="G107" s="296">
        <f>97+22+20</f>
        <v>139</v>
      </c>
      <c r="H107" s="296">
        <f>15+1</f>
        <v>16</v>
      </c>
      <c r="I107" s="6"/>
      <c r="J107" s="30"/>
      <c r="K107" s="30"/>
      <c r="L107" s="32"/>
      <c r="M107" s="84" t="s">
        <v>106</v>
      </c>
      <c r="N107" s="12">
        <v>15</v>
      </c>
      <c r="O107" s="12">
        <v>2</v>
      </c>
      <c r="P107" s="12">
        <v>13</v>
      </c>
      <c r="Q107" s="12">
        <v>19</v>
      </c>
      <c r="R107" s="12">
        <v>47</v>
      </c>
      <c r="S107" s="12">
        <v>45</v>
      </c>
      <c r="T107" s="12">
        <v>2</v>
      </c>
    </row>
    <row r="108" spans="1:20" s="14" customFormat="1" ht="20.100000000000001" hidden="1" customHeight="1">
      <c r="A108" s="245" t="s">
        <v>104</v>
      </c>
      <c r="B108" s="296">
        <f>30+3</f>
        <v>33</v>
      </c>
      <c r="C108" s="296">
        <f>7+7</f>
        <v>14</v>
      </c>
      <c r="D108" s="296">
        <f>40+11</f>
        <v>51</v>
      </c>
      <c r="E108" s="296">
        <f>76+25</f>
        <v>101</v>
      </c>
      <c r="F108" s="296">
        <f>3+7+3+16+6+4+4</f>
        <v>43</v>
      </c>
      <c r="G108" s="296">
        <f>72+19+5+7</f>
        <v>103</v>
      </c>
      <c r="H108" s="296">
        <f>11</f>
        <v>11</v>
      </c>
      <c r="I108" s="6"/>
      <c r="J108" s="30"/>
      <c r="K108" s="30"/>
      <c r="L108" s="32"/>
      <c r="M108" s="84" t="s">
        <v>107</v>
      </c>
      <c r="N108" s="12">
        <v>39</v>
      </c>
      <c r="O108" s="12">
        <v>4</v>
      </c>
      <c r="P108" s="12">
        <v>29</v>
      </c>
      <c r="Q108" s="12">
        <v>48</v>
      </c>
      <c r="R108" s="12">
        <v>149</v>
      </c>
      <c r="S108" s="12">
        <v>135</v>
      </c>
      <c r="T108" s="12">
        <v>21</v>
      </c>
    </row>
    <row r="109" spans="1:20" s="14" customFormat="1" ht="20.100000000000001" hidden="1" customHeight="1">
      <c r="A109" s="245" t="s">
        <v>105</v>
      </c>
      <c r="B109" s="296">
        <f>24+11+4</f>
        <v>39</v>
      </c>
      <c r="C109" s="296">
        <f>10+3</f>
        <v>13</v>
      </c>
      <c r="D109" s="296">
        <f>36+6+23</f>
        <v>65</v>
      </c>
      <c r="E109" s="296">
        <f>54+10+41</f>
        <v>105</v>
      </c>
      <c r="F109" s="296">
        <f>1+9+4+18+3</f>
        <v>35</v>
      </c>
      <c r="G109" s="296">
        <f>8+132+15+22+1+1+20</f>
        <v>199</v>
      </c>
      <c r="H109" s="296">
        <f>18+1+2</f>
        <v>21</v>
      </c>
      <c r="I109" s="6"/>
      <c r="J109" s="30"/>
      <c r="K109" s="30"/>
      <c r="L109" s="32"/>
      <c r="M109" s="84" t="s">
        <v>108</v>
      </c>
      <c r="N109" s="12">
        <v>103</v>
      </c>
      <c r="O109" s="12">
        <v>13</v>
      </c>
      <c r="P109" s="12">
        <v>75</v>
      </c>
      <c r="Q109" s="12">
        <v>156</v>
      </c>
      <c r="R109" s="12">
        <v>277</v>
      </c>
      <c r="S109" s="12">
        <v>122</v>
      </c>
      <c r="T109" s="12">
        <v>3</v>
      </c>
    </row>
    <row r="110" spans="1:20" s="14" customFormat="1" ht="20.100000000000001" hidden="1" customHeight="1">
      <c r="A110" s="245" t="s">
        <v>106</v>
      </c>
      <c r="B110" s="296">
        <f>4+9+6+4</f>
        <v>23</v>
      </c>
      <c r="C110" s="296">
        <f>5+1</f>
        <v>6</v>
      </c>
      <c r="D110" s="296">
        <f>20+3+5</f>
        <v>28</v>
      </c>
      <c r="E110" s="296">
        <f>37+4+10</f>
        <v>51</v>
      </c>
      <c r="F110" s="296">
        <f>6+3+8+2+3</f>
        <v>22</v>
      </c>
      <c r="G110" s="296">
        <f>58</f>
        <v>58</v>
      </c>
      <c r="H110" s="296">
        <f>2</f>
        <v>2</v>
      </c>
      <c r="I110" s="6"/>
      <c r="J110" s="30"/>
      <c r="K110" s="30"/>
      <c r="L110" s="32"/>
      <c r="M110" s="84" t="s">
        <v>109</v>
      </c>
      <c r="N110" s="12">
        <v>15</v>
      </c>
      <c r="O110" s="12">
        <v>2</v>
      </c>
      <c r="P110" s="12">
        <v>17</v>
      </c>
      <c r="Q110" s="12">
        <v>22</v>
      </c>
      <c r="R110" s="12">
        <v>52</v>
      </c>
      <c r="S110" s="12">
        <v>47</v>
      </c>
      <c r="T110" s="12">
        <v>5</v>
      </c>
    </row>
    <row r="111" spans="1:20" s="14" customFormat="1" ht="20.100000000000001" hidden="1" customHeight="1">
      <c r="A111" s="245" t="s">
        <v>107</v>
      </c>
      <c r="B111" s="296">
        <f>38+7</f>
        <v>45</v>
      </c>
      <c r="C111" s="296">
        <v>18</v>
      </c>
      <c r="D111" s="296">
        <f>52+9</f>
        <v>61</v>
      </c>
      <c r="E111" s="296">
        <f>67+28</f>
        <v>95</v>
      </c>
      <c r="F111" s="296">
        <f>15+9+7</f>
        <v>31</v>
      </c>
      <c r="G111" s="296">
        <f>167+27+15</f>
        <v>209</v>
      </c>
      <c r="H111" s="296">
        <v>21</v>
      </c>
      <c r="I111" s="6"/>
      <c r="J111" s="30"/>
      <c r="K111" s="30"/>
      <c r="L111" s="32"/>
      <c r="M111" s="84" t="s">
        <v>110</v>
      </c>
      <c r="N111" s="12">
        <v>21</v>
      </c>
      <c r="O111" s="12">
        <v>4</v>
      </c>
      <c r="P111" s="12">
        <v>11</v>
      </c>
      <c r="Q111" s="12">
        <v>32</v>
      </c>
      <c r="R111" s="12">
        <v>48</v>
      </c>
      <c r="S111" s="12">
        <v>28</v>
      </c>
      <c r="T111" s="12">
        <v>3</v>
      </c>
    </row>
    <row r="112" spans="1:20" s="14" customFormat="1" ht="20.100000000000001" hidden="1" customHeight="1">
      <c r="A112" s="245" t="s">
        <v>108</v>
      </c>
      <c r="B112" s="296">
        <f>72+5+19+24+13</f>
        <v>133</v>
      </c>
      <c r="C112" s="296">
        <f>22+3</f>
        <v>25</v>
      </c>
      <c r="D112" s="296">
        <f>96+29</f>
        <v>125</v>
      </c>
      <c r="E112" s="296">
        <f>236+90</f>
        <v>326</v>
      </c>
      <c r="F112" s="296">
        <f>19+16+2+5+3+1+1+21+10+3+9+3+7+5</f>
        <v>105</v>
      </c>
      <c r="G112" s="296">
        <f>2+41+86+22+10+1+10+9+37</f>
        <v>218</v>
      </c>
      <c r="H112" s="296">
        <f>3+1+1</f>
        <v>5</v>
      </c>
      <c r="I112" s="6"/>
      <c r="J112" s="30"/>
      <c r="K112" s="30"/>
      <c r="L112" s="32"/>
      <c r="M112" s="17"/>
      <c r="N112" s="72"/>
      <c r="O112" s="73"/>
      <c r="P112" s="73"/>
      <c r="Q112" s="73"/>
      <c r="R112" s="73"/>
      <c r="S112" s="73"/>
      <c r="T112" s="73"/>
    </row>
    <row r="113" spans="1:36" ht="20.100000000000001" hidden="1" customHeight="1">
      <c r="A113" s="245" t="s">
        <v>109</v>
      </c>
      <c r="B113" s="296">
        <f>16+4</f>
        <v>20</v>
      </c>
      <c r="C113" s="296">
        <f>4+3+2</f>
        <v>9</v>
      </c>
      <c r="D113" s="296">
        <f>24+11</f>
        <v>35</v>
      </c>
      <c r="E113" s="296">
        <f>34+12</f>
        <v>46</v>
      </c>
      <c r="F113" s="296">
        <f>1+3+4+4+2+1</f>
        <v>15</v>
      </c>
      <c r="G113" s="296">
        <f>79+8+1+8</f>
        <v>96</v>
      </c>
      <c r="H113" s="296">
        <f>4+3</f>
        <v>7</v>
      </c>
      <c r="I113" s="6"/>
      <c r="M113" s="7" t="s">
        <v>76</v>
      </c>
      <c r="T113" s="95"/>
    </row>
    <row r="114" spans="1:36" ht="20.100000000000001" hidden="1" customHeight="1">
      <c r="A114" s="245" t="s">
        <v>110</v>
      </c>
      <c r="B114" s="296">
        <f>7+14+4</f>
        <v>25</v>
      </c>
      <c r="C114" s="296">
        <f>6+2+1+1</f>
        <v>10</v>
      </c>
      <c r="D114" s="296">
        <f>5+7+4+4</f>
        <v>20</v>
      </c>
      <c r="E114" s="296">
        <f>31+2+8+2+11</f>
        <v>54</v>
      </c>
      <c r="F114" s="296">
        <f>1+5+4+7+3+1+1+1+1</f>
        <v>24</v>
      </c>
      <c r="G114" s="296">
        <f>7+36+9+4</f>
        <v>56</v>
      </c>
      <c r="H114" s="296">
        <v>3</v>
      </c>
      <c r="I114" s="6"/>
    </row>
    <row r="115" spans="1:36" ht="6.75" hidden="1" customHeight="1">
      <c r="A115" s="17"/>
      <c r="B115" s="72"/>
      <c r="C115" s="73"/>
      <c r="D115" s="73"/>
      <c r="E115" s="73"/>
      <c r="F115" s="73"/>
      <c r="G115" s="73"/>
      <c r="H115" s="73"/>
      <c r="I115" s="30"/>
    </row>
    <row r="116" spans="1:36" ht="6.75" hidden="1" customHeight="1">
      <c r="A116" s="29"/>
      <c r="B116" s="70"/>
      <c r="C116" s="70"/>
      <c r="D116" s="70"/>
      <c r="E116" s="70"/>
      <c r="F116" s="70"/>
      <c r="G116" s="70"/>
      <c r="H116" s="70"/>
      <c r="I116" s="30"/>
    </row>
    <row r="117" spans="1:36" ht="12.75" customHeight="1">
      <c r="A117" s="722" t="s">
        <v>804</v>
      </c>
      <c r="B117" s="722"/>
      <c r="C117" s="722"/>
      <c r="D117" s="722"/>
      <c r="E117" s="722"/>
      <c r="F117" s="722"/>
      <c r="G117" s="722"/>
      <c r="H117" s="722"/>
    </row>
    <row r="118" spans="1:36" ht="5.0999999999999996" customHeight="1">
      <c r="A118" s="66"/>
      <c r="B118" s="216"/>
      <c r="C118" s="216"/>
      <c r="D118" s="216"/>
      <c r="E118" s="216"/>
      <c r="F118" s="216"/>
      <c r="G118" s="216"/>
      <c r="H118" s="216"/>
      <c r="I118" s="31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</row>
    <row r="119" spans="1:36">
      <c r="A119" s="714" t="s">
        <v>797</v>
      </c>
      <c r="B119" s="709">
        <v>2017</v>
      </c>
      <c r="C119" s="711">
        <v>2018</v>
      </c>
      <c r="D119" s="711">
        <v>2019</v>
      </c>
      <c r="E119" s="711">
        <v>2020</v>
      </c>
      <c r="F119" s="711">
        <v>2021</v>
      </c>
      <c r="G119" s="711">
        <v>2022</v>
      </c>
      <c r="H119" s="711">
        <v>2023</v>
      </c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</row>
    <row r="120" spans="1:36" ht="6.75" customHeight="1">
      <c r="A120" s="714"/>
      <c r="B120" s="710"/>
      <c r="C120" s="712"/>
      <c r="D120" s="712"/>
      <c r="E120" s="712"/>
      <c r="F120" s="712"/>
      <c r="G120" s="712"/>
      <c r="H120" s="712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</row>
    <row r="121" spans="1:36" s="14" customFormat="1" ht="5.0999999999999996" customHeight="1">
      <c r="A121" s="244"/>
      <c r="B121" s="215"/>
      <c r="I121" s="30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</row>
    <row r="122" spans="1:36" s="14" customFormat="1" ht="20.25" hidden="1" customHeight="1">
      <c r="A122" s="239">
        <v>2012</v>
      </c>
      <c r="B122" s="53"/>
      <c r="C122" s="54"/>
      <c r="D122" s="55"/>
      <c r="E122" s="55"/>
      <c r="F122" s="56"/>
      <c r="G122" s="62"/>
      <c r="H122" s="62"/>
      <c r="I122" s="86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</row>
    <row r="123" spans="1:36" s="14" customFormat="1" ht="20.25" hidden="1" customHeight="1">
      <c r="A123" s="242" t="s">
        <v>14</v>
      </c>
      <c r="B123" s="111">
        <f>SUM(B124:B134)</f>
        <v>362</v>
      </c>
      <c r="C123" s="111">
        <f t="shared" ref="C123:H123" si="9">SUM(C124:C134)</f>
        <v>52</v>
      </c>
      <c r="D123" s="111">
        <f t="shared" si="9"/>
        <v>253</v>
      </c>
      <c r="E123" s="111">
        <f t="shared" si="9"/>
        <v>560</v>
      </c>
      <c r="F123" s="111">
        <f t="shared" si="9"/>
        <v>139</v>
      </c>
      <c r="G123" s="111">
        <f t="shared" si="9"/>
        <v>1531</v>
      </c>
      <c r="H123" s="111">
        <f t="shared" si="9"/>
        <v>207</v>
      </c>
      <c r="I123" s="30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</row>
    <row r="124" spans="1:36" s="14" customFormat="1" ht="20.25" hidden="1" customHeight="1">
      <c r="A124" s="243" t="s">
        <v>15</v>
      </c>
      <c r="B124" s="12">
        <v>90</v>
      </c>
      <c r="C124" s="12">
        <v>11</v>
      </c>
      <c r="D124" s="12">
        <v>32</v>
      </c>
      <c r="E124" s="12">
        <v>150</v>
      </c>
      <c r="F124" s="12">
        <v>41</v>
      </c>
      <c r="G124" s="12">
        <v>341</v>
      </c>
      <c r="H124" s="12">
        <v>34</v>
      </c>
      <c r="I124" s="30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</row>
    <row r="125" spans="1:36" s="14" customFormat="1" ht="20.25" hidden="1" customHeight="1">
      <c r="A125" s="243" t="s">
        <v>40</v>
      </c>
      <c r="B125" s="12">
        <v>26</v>
      </c>
      <c r="C125" s="12">
        <v>3</v>
      </c>
      <c r="D125" s="12">
        <v>25</v>
      </c>
      <c r="E125" s="12">
        <v>34</v>
      </c>
      <c r="F125" s="12">
        <v>13</v>
      </c>
      <c r="G125" s="12">
        <v>180</v>
      </c>
      <c r="H125" s="12">
        <v>29</v>
      </c>
      <c r="I125" s="30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</row>
    <row r="126" spans="1:36" s="14" customFormat="1" ht="20.25" hidden="1" customHeight="1">
      <c r="A126" s="243" t="s">
        <v>16</v>
      </c>
      <c r="B126" s="12">
        <v>19</v>
      </c>
      <c r="C126" s="12">
        <v>7</v>
      </c>
      <c r="D126" s="12">
        <v>25</v>
      </c>
      <c r="E126" s="12">
        <v>47</v>
      </c>
      <c r="F126" s="12">
        <v>8</v>
      </c>
      <c r="G126" s="12">
        <v>115</v>
      </c>
      <c r="H126" s="12">
        <v>50</v>
      </c>
      <c r="I126" s="30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</row>
    <row r="127" spans="1:36" s="14" customFormat="1" ht="20.25" hidden="1" customHeight="1">
      <c r="A127" s="243" t="s">
        <v>37</v>
      </c>
      <c r="B127" s="12">
        <v>22</v>
      </c>
      <c r="C127" s="12">
        <v>2</v>
      </c>
      <c r="D127" s="12">
        <v>22</v>
      </c>
      <c r="E127" s="12">
        <v>41</v>
      </c>
      <c r="F127" s="12">
        <v>8</v>
      </c>
      <c r="G127" s="12">
        <v>95</v>
      </c>
      <c r="H127" s="12">
        <v>14</v>
      </c>
      <c r="I127" s="30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</row>
    <row r="128" spans="1:36" s="14" customFormat="1" ht="20.25" hidden="1" customHeight="1">
      <c r="A128" s="243" t="s">
        <v>41</v>
      </c>
      <c r="B128" s="12">
        <v>28</v>
      </c>
      <c r="C128" s="12">
        <v>6</v>
      </c>
      <c r="D128" s="12">
        <v>23</v>
      </c>
      <c r="E128" s="12">
        <v>34</v>
      </c>
      <c r="F128" s="12">
        <v>10</v>
      </c>
      <c r="G128" s="12">
        <v>151</v>
      </c>
      <c r="H128" s="12">
        <v>29</v>
      </c>
      <c r="I128" s="30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</row>
    <row r="129" spans="1:36" s="14" customFormat="1" ht="20.25" hidden="1" customHeight="1">
      <c r="A129" s="243" t="s">
        <v>17</v>
      </c>
      <c r="B129" s="12">
        <v>15</v>
      </c>
      <c r="C129" s="12">
        <v>3</v>
      </c>
      <c r="D129" s="12">
        <v>10</v>
      </c>
      <c r="E129" s="12">
        <v>21</v>
      </c>
      <c r="F129" s="12">
        <v>6</v>
      </c>
      <c r="G129" s="12">
        <v>49</v>
      </c>
      <c r="H129" s="12">
        <v>1</v>
      </c>
      <c r="I129" s="30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</row>
    <row r="130" spans="1:36" s="14" customFormat="1" ht="20.25" hidden="1" customHeight="1">
      <c r="A130" s="243" t="s">
        <v>18</v>
      </c>
      <c r="B130" s="12">
        <v>9</v>
      </c>
      <c r="C130" s="12">
        <v>2</v>
      </c>
      <c r="D130" s="12">
        <v>12</v>
      </c>
      <c r="E130" s="12">
        <v>17</v>
      </c>
      <c r="F130" s="12">
        <v>4</v>
      </c>
      <c r="G130" s="12">
        <v>60</v>
      </c>
      <c r="H130" s="12">
        <v>5</v>
      </c>
      <c r="I130" s="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</row>
    <row r="131" spans="1:36" s="14" customFormat="1" ht="20.25" hidden="1" customHeight="1">
      <c r="A131" s="243" t="s">
        <v>19</v>
      </c>
      <c r="B131" s="12">
        <v>32</v>
      </c>
      <c r="C131" s="12">
        <v>3</v>
      </c>
      <c r="D131" s="12">
        <v>26</v>
      </c>
      <c r="E131" s="12">
        <v>42</v>
      </c>
      <c r="F131" s="12">
        <v>15</v>
      </c>
      <c r="G131" s="12">
        <v>208</v>
      </c>
      <c r="H131" s="12">
        <v>26</v>
      </c>
      <c r="I131" s="30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</row>
    <row r="132" spans="1:36" s="14" customFormat="1" ht="20.25" hidden="1" customHeight="1">
      <c r="A132" s="243" t="s">
        <v>48</v>
      </c>
      <c r="B132" s="12">
        <v>89</v>
      </c>
      <c r="C132" s="12">
        <v>9</v>
      </c>
      <c r="D132" s="12">
        <v>57</v>
      </c>
      <c r="E132" s="12">
        <v>131</v>
      </c>
      <c r="F132" s="12">
        <v>26</v>
      </c>
      <c r="G132" s="12">
        <v>224</v>
      </c>
      <c r="H132" s="12">
        <v>9</v>
      </c>
      <c r="I132" s="30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</row>
    <row r="133" spans="1:36" s="14" customFormat="1" ht="20.25" hidden="1" customHeight="1">
      <c r="A133" s="243" t="s">
        <v>20</v>
      </c>
      <c r="B133" s="12">
        <v>15</v>
      </c>
      <c r="C133" s="12">
        <v>2</v>
      </c>
      <c r="D133" s="12">
        <v>15</v>
      </c>
      <c r="E133" s="12">
        <v>17</v>
      </c>
      <c r="F133" s="12">
        <v>3</v>
      </c>
      <c r="G133" s="12">
        <v>62</v>
      </c>
      <c r="H133" s="12">
        <v>4</v>
      </c>
      <c r="I133" s="30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</row>
    <row r="134" spans="1:36" ht="20.25" hidden="1" customHeight="1">
      <c r="A134" s="243" t="s">
        <v>21</v>
      </c>
      <c r="B134" s="12">
        <v>17</v>
      </c>
      <c r="C134" s="12">
        <v>4</v>
      </c>
      <c r="D134" s="12">
        <v>6</v>
      </c>
      <c r="E134" s="12">
        <v>26</v>
      </c>
      <c r="F134" s="12">
        <v>5</v>
      </c>
      <c r="G134" s="12">
        <v>46</v>
      </c>
      <c r="H134" s="12">
        <v>6</v>
      </c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</row>
    <row r="135" spans="1:36" s="14" customFormat="1" ht="20.25" hidden="1" customHeight="1">
      <c r="A135" s="239">
        <v>2013</v>
      </c>
      <c r="B135" s="53"/>
      <c r="C135" s="54"/>
      <c r="D135" s="55"/>
      <c r="E135" s="55"/>
      <c r="F135" s="56"/>
      <c r="G135" s="62"/>
      <c r="H135" s="62"/>
      <c r="I135" s="30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</row>
    <row r="136" spans="1:36" s="14" customFormat="1" ht="20.25" hidden="1" customHeight="1">
      <c r="A136" s="242" t="s">
        <v>14</v>
      </c>
      <c r="B136" s="251">
        <f>SUM(B137:B148)</f>
        <v>450</v>
      </c>
      <c r="C136" s="251">
        <f t="shared" ref="C136:H136" si="10">SUM(C137:C148)</f>
        <v>67</v>
      </c>
      <c r="D136" s="251">
        <f t="shared" si="10"/>
        <v>327</v>
      </c>
      <c r="E136" s="251">
        <f t="shared" si="10"/>
        <v>657</v>
      </c>
      <c r="F136" s="251">
        <f t="shared" si="10"/>
        <v>1643</v>
      </c>
      <c r="G136" s="251">
        <f t="shared" si="10"/>
        <v>917</v>
      </c>
      <c r="H136" s="251">
        <f t="shared" si="10"/>
        <v>100</v>
      </c>
      <c r="I136" s="30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</row>
    <row r="137" spans="1:36" s="14" customFormat="1" ht="20.25" hidden="1" customHeight="1">
      <c r="A137" s="197" t="s">
        <v>99</v>
      </c>
      <c r="B137" s="6">
        <v>75</v>
      </c>
      <c r="C137" s="6">
        <v>4</v>
      </c>
      <c r="D137" s="6">
        <v>23</v>
      </c>
      <c r="E137" s="6">
        <v>99</v>
      </c>
      <c r="F137" s="6">
        <v>234</v>
      </c>
      <c r="G137" s="6">
        <v>81</v>
      </c>
      <c r="H137" s="6">
        <v>1</v>
      </c>
      <c r="I137" s="30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</row>
    <row r="138" spans="1:36" s="14" customFormat="1" ht="20.25" hidden="1" customHeight="1">
      <c r="A138" s="245" t="s">
        <v>100</v>
      </c>
      <c r="B138" s="12">
        <v>37</v>
      </c>
      <c r="C138" s="12">
        <v>11</v>
      </c>
      <c r="D138" s="12">
        <v>21</v>
      </c>
      <c r="E138" s="12">
        <v>65</v>
      </c>
      <c r="F138" s="12">
        <v>95</v>
      </c>
      <c r="G138" s="12">
        <v>85</v>
      </c>
      <c r="H138" s="12">
        <v>14</v>
      </c>
      <c r="I138" s="30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</row>
    <row r="139" spans="1:36" s="14" customFormat="1" ht="20.25" hidden="1" customHeight="1">
      <c r="A139" s="245" t="s">
        <v>101</v>
      </c>
      <c r="B139" s="12">
        <v>26</v>
      </c>
      <c r="C139" s="12">
        <v>5</v>
      </c>
      <c r="D139" s="12">
        <v>28</v>
      </c>
      <c r="E139" s="12">
        <v>39</v>
      </c>
      <c r="F139" s="12">
        <v>155</v>
      </c>
      <c r="G139" s="12">
        <v>100</v>
      </c>
      <c r="H139" s="12">
        <v>9</v>
      </c>
      <c r="I139" s="30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</row>
    <row r="140" spans="1:36" s="14" customFormat="1" ht="20.25" hidden="1" customHeight="1">
      <c r="A140" s="245" t="s">
        <v>102</v>
      </c>
      <c r="B140" s="12">
        <v>24</v>
      </c>
      <c r="C140" s="12">
        <v>8</v>
      </c>
      <c r="D140" s="12">
        <v>37</v>
      </c>
      <c r="E140" s="12">
        <v>53</v>
      </c>
      <c r="F140" s="12">
        <v>125</v>
      </c>
      <c r="G140" s="12">
        <v>75</v>
      </c>
      <c r="H140" s="12">
        <v>15</v>
      </c>
      <c r="I140" s="3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</row>
    <row r="141" spans="1:36" s="14" customFormat="1" ht="20.25" hidden="1" customHeight="1">
      <c r="A141" s="245" t="s">
        <v>103</v>
      </c>
      <c r="B141" s="12">
        <v>29</v>
      </c>
      <c r="C141" s="12">
        <v>4</v>
      </c>
      <c r="D141" s="12">
        <v>30</v>
      </c>
      <c r="E141" s="12">
        <v>48</v>
      </c>
      <c r="F141" s="12">
        <v>110</v>
      </c>
      <c r="G141" s="12">
        <v>54</v>
      </c>
      <c r="H141" s="12">
        <v>8</v>
      </c>
      <c r="I141" s="30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</row>
    <row r="142" spans="1:36" s="14" customFormat="1" ht="20.25" hidden="1" customHeight="1">
      <c r="A142" s="245" t="s">
        <v>104</v>
      </c>
      <c r="B142" s="12">
        <v>34</v>
      </c>
      <c r="C142" s="12">
        <v>6</v>
      </c>
      <c r="D142" s="12">
        <v>28</v>
      </c>
      <c r="E142" s="12">
        <v>42</v>
      </c>
      <c r="F142" s="12">
        <v>135</v>
      </c>
      <c r="G142" s="12">
        <v>112</v>
      </c>
      <c r="H142" s="12">
        <v>18</v>
      </c>
      <c r="I142" s="30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</row>
    <row r="143" spans="1:36" s="14" customFormat="1" ht="20.25" hidden="1" customHeight="1">
      <c r="A143" s="245" t="s">
        <v>105</v>
      </c>
      <c r="B143" s="12">
        <v>32</v>
      </c>
      <c r="C143" s="12">
        <v>4</v>
      </c>
      <c r="D143" s="12">
        <v>15</v>
      </c>
      <c r="E143" s="12">
        <v>34</v>
      </c>
      <c r="F143" s="12">
        <v>216</v>
      </c>
      <c r="G143" s="12">
        <v>33</v>
      </c>
      <c r="H143" s="12">
        <v>1</v>
      </c>
      <c r="I143" s="30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</row>
    <row r="144" spans="1:36" s="14" customFormat="1" ht="20.25" hidden="1" customHeight="1">
      <c r="A144" s="245" t="s">
        <v>106</v>
      </c>
      <c r="B144" s="12">
        <v>15</v>
      </c>
      <c r="C144" s="12">
        <v>2</v>
      </c>
      <c r="D144" s="12">
        <v>13</v>
      </c>
      <c r="E144" s="12">
        <v>19</v>
      </c>
      <c r="F144" s="12">
        <v>47</v>
      </c>
      <c r="G144" s="12">
        <v>45</v>
      </c>
      <c r="H144" s="12">
        <v>2</v>
      </c>
      <c r="I144" s="30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</row>
    <row r="145" spans="1:41" s="14" customFormat="1" ht="20.25" hidden="1" customHeight="1">
      <c r="A145" s="245" t="s">
        <v>107</v>
      </c>
      <c r="B145" s="12">
        <v>39</v>
      </c>
      <c r="C145" s="12">
        <v>4</v>
      </c>
      <c r="D145" s="12">
        <v>29</v>
      </c>
      <c r="E145" s="12">
        <v>48</v>
      </c>
      <c r="F145" s="12">
        <v>149</v>
      </c>
      <c r="G145" s="12">
        <v>135</v>
      </c>
      <c r="H145" s="12">
        <v>21</v>
      </c>
      <c r="I145" s="30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</row>
    <row r="146" spans="1:41" s="14" customFormat="1" ht="20.25" hidden="1" customHeight="1">
      <c r="A146" s="245" t="s">
        <v>108</v>
      </c>
      <c r="B146" s="12">
        <v>103</v>
      </c>
      <c r="C146" s="12">
        <v>13</v>
      </c>
      <c r="D146" s="12">
        <v>75</v>
      </c>
      <c r="E146" s="12">
        <v>156</v>
      </c>
      <c r="F146" s="12">
        <v>277</v>
      </c>
      <c r="G146" s="12">
        <v>122</v>
      </c>
      <c r="H146" s="12">
        <v>3</v>
      </c>
      <c r="I146" s="30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</row>
    <row r="147" spans="1:41" s="14" customFormat="1" ht="20.25" hidden="1" customHeight="1">
      <c r="A147" s="245" t="s">
        <v>109</v>
      </c>
      <c r="B147" s="12">
        <v>15</v>
      </c>
      <c r="C147" s="12">
        <v>2</v>
      </c>
      <c r="D147" s="12">
        <v>17</v>
      </c>
      <c r="E147" s="12">
        <v>22</v>
      </c>
      <c r="F147" s="12">
        <v>52</v>
      </c>
      <c r="G147" s="12">
        <v>47</v>
      </c>
      <c r="H147" s="12">
        <v>5</v>
      </c>
      <c r="I147" s="30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</row>
    <row r="148" spans="1:41" s="14" customFormat="1" ht="20.25" hidden="1" customHeight="1">
      <c r="A148" s="245" t="s">
        <v>110</v>
      </c>
      <c r="B148" s="12">
        <v>21</v>
      </c>
      <c r="C148" s="12">
        <v>4</v>
      </c>
      <c r="D148" s="12">
        <v>11</v>
      </c>
      <c r="E148" s="12">
        <v>32</v>
      </c>
      <c r="F148" s="12">
        <v>48</v>
      </c>
      <c r="G148" s="12">
        <v>28</v>
      </c>
      <c r="H148" s="12">
        <v>3</v>
      </c>
      <c r="I148" s="30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</row>
    <row r="149" spans="1:41" s="14" customFormat="1" ht="20.25" hidden="1" customHeight="1">
      <c r="A149" s="245"/>
      <c r="B149" s="12"/>
      <c r="C149" s="12"/>
      <c r="D149" s="12"/>
      <c r="E149" s="12"/>
      <c r="F149" s="12"/>
      <c r="G149" s="12"/>
      <c r="H149" s="12"/>
      <c r="I149" s="30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</row>
    <row r="150" spans="1:41" s="14" customFormat="1" ht="20.25" hidden="1" customHeight="1">
      <c r="A150" s="239">
        <v>2014</v>
      </c>
      <c r="B150" s="292"/>
      <c r="C150" s="291"/>
      <c r="D150" s="47"/>
      <c r="E150" s="47"/>
      <c r="F150" s="290"/>
      <c r="G150" s="75"/>
      <c r="H150" s="75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</row>
    <row r="151" spans="1:41" s="14" customFormat="1" ht="11.25" hidden="1" customHeight="1">
      <c r="A151" s="242" t="s">
        <v>14</v>
      </c>
      <c r="B151" s="85">
        <f>SUM(B152:B163)</f>
        <v>466</v>
      </c>
      <c r="C151" s="85">
        <f t="shared" ref="C151:H151" si="11">SUM(C152:C163)</f>
        <v>109</v>
      </c>
      <c r="D151" s="85">
        <f t="shared" si="11"/>
        <v>326</v>
      </c>
      <c r="E151" s="85">
        <f t="shared" si="11"/>
        <v>661</v>
      </c>
      <c r="F151" s="85">
        <f t="shared" si="11"/>
        <v>889</v>
      </c>
      <c r="G151" s="85">
        <f t="shared" si="11"/>
        <v>1830</v>
      </c>
      <c r="H151" s="85">
        <f t="shared" si="11"/>
        <v>283</v>
      </c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</row>
    <row r="152" spans="1:41" s="14" customFormat="1" ht="36" hidden="1" customHeight="1">
      <c r="A152" s="197" t="s">
        <v>99</v>
      </c>
      <c r="B152" s="6">
        <v>65</v>
      </c>
      <c r="C152" s="6">
        <v>4</v>
      </c>
      <c r="D152" s="6">
        <v>22</v>
      </c>
      <c r="E152" s="6">
        <v>98</v>
      </c>
      <c r="F152" s="6">
        <v>155</v>
      </c>
      <c r="G152" s="6">
        <v>208</v>
      </c>
      <c r="H152" s="6">
        <v>20</v>
      </c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 s="6"/>
      <c r="AL152" s="6"/>
      <c r="AM152" s="6"/>
      <c r="AN152" s="6"/>
      <c r="AO152" s="30"/>
    </row>
    <row r="153" spans="1:41" s="14" customFormat="1" ht="39" hidden="1" customHeight="1">
      <c r="A153" s="245" t="s">
        <v>100</v>
      </c>
      <c r="B153" s="6">
        <v>39</v>
      </c>
      <c r="C153" s="6">
        <v>11</v>
      </c>
      <c r="D153" s="6">
        <v>21</v>
      </c>
      <c r="E153" s="6">
        <v>67</v>
      </c>
      <c r="F153" s="6">
        <v>33</v>
      </c>
      <c r="G153" s="24">
        <v>144</v>
      </c>
      <c r="H153" s="24">
        <v>18</v>
      </c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</row>
    <row r="154" spans="1:41" s="14" customFormat="1" ht="39" hidden="1" customHeight="1">
      <c r="A154" s="245" t="s">
        <v>101</v>
      </c>
      <c r="B154" s="6">
        <v>27</v>
      </c>
      <c r="C154" s="6">
        <v>5</v>
      </c>
      <c r="D154" s="6">
        <v>28</v>
      </c>
      <c r="E154" s="6">
        <v>39</v>
      </c>
      <c r="F154" s="6">
        <v>40</v>
      </c>
      <c r="G154" s="6">
        <v>192</v>
      </c>
      <c r="H154" s="6">
        <v>31</v>
      </c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</row>
    <row r="155" spans="1:41" s="14" customFormat="1" ht="39" hidden="1" customHeight="1">
      <c r="A155" s="245" t="s">
        <v>102</v>
      </c>
      <c r="B155" s="6">
        <v>22</v>
      </c>
      <c r="C155" s="6">
        <v>2</v>
      </c>
      <c r="D155" s="6">
        <v>14</v>
      </c>
      <c r="E155" s="6">
        <v>22</v>
      </c>
      <c r="F155" s="6">
        <v>18</v>
      </c>
      <c r="G155" s="6">
        <v>79</v>
      </c>
      <c r="H155" s="6">
        <v>7</v>
      </c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</row>
    <row r="156" spans="1:41" s="14" customFormat="1" ht="39" hidden="1" customHeight="1">
      <c r="A156" s="245" t="s">
        <v>103</v>
      </c>
      <c r="B156" s="6">
        <v>28</v>
      </c>
      <c r="C156" s="6">
        <v>8</v>
      </c>
      <c r="D156" s="6">
        <v>37</v>
      </c>
      <c r="E156" s="6">
        <v>53</v>
      </c>
      <c r="F156" s="6">
        <v>37</v>
      </c>
      <c r="G156" s="6">
        <v>144</v>
      </c>
      <c r="H156" s="6">
        <v>31</v>
      </c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</row>
    <row r="157" spans="1:41" s="14" customFormat="1" ht="39" hidden="1" customHeight="1">
      <c r="A157" s="245" t="s">
        <v>104</v>
      </c>
      <c r="B157" s="6">
        <v>30</v>
      </c>
      <c r="C157" s="6">
        <v>4</v>
      </c>
      <c r="D157" s="6">
        <v>30</v>
      </c>
      <c r="E157" s="6">
        <v>48</v>
      </c>
      <c r="F157" s="6">
        <v>28</v>
      </c>
      <c r="G157" s="6">
        <v>124</v>
      </c>
      <c r="H157" s="6">
        <v>17</v>
      </c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</row>
    <row r="158" spans="1:41" s="14" customFormat="1" ht="39" hidden="1" customHeight="1">
      <c r="A158" s="245" t="s">
        <v>105</v>
      </c>
      <c r="B158" s="6">
        <v>35</v>
      </c>
      <c r="C158" s="6">
        <v>6</v>
      </c>
      <c r="D158" s="6">
        <v>28</v>
      </c>
      <c r="E158" s="6">
        <v>42</v>
      </c>
      <c r="F158" s="6">
        <v>42</v>
      </c>
      <c r="G158" s="6">
        <v>192</v>
      </c>
      <c r="H158" s="6">
        <v>30</v>
      </c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</row>
    <row r="159" spans="1:41" s="14" customFormat="1" ht="39" hidden="1" customHeight="1">
      <c r="A159" s="245" t="s">
        <v>106</v>
      </c>
      <c r="B159" s="6">
        <v>38</v>
      </c>
      <c r="C159" s="6">
        <v>4</v>
      </c>
      <c r="D159" s="6">
        <v>15</v>
      </c>
      <c r="E159" s="6">
        <v>34</v>
      </c>
      <c r="F159" s="6">
        <v>121</v>
      </c>
      <c r="G159" s="6">
        <v>116</v>
      </c>
      <c r="H159" s="6">
        <v>10</v>
      </c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</row>
    <row r="160" spans="1:41" s="14" customFormat="1" ht="39" hidden="1" customHeight="1">
      <c r="A160" s="245" t="s">
        <v>107</v>
      </c>
      <c r="B160" s="6">
        <v>38</v>
      </c>
      <c r="C160" s="6">
        <v>47</v>
      </c>
      <c r="D160" s="6">
        <v>30</v>
      </c>
      <c r="E160" s="6">
        <v>47</v>
      </c>
      <c r="F160" s="6">
        <v>243</v>
      </c>
      <c r="G160" s="6">
        <v>243</v>
      </c>
      <c r="H160" s="6">
        <v>29</v>
      </c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</row>
    <row r="161" spans="1:36" s="14" customFormat="1" ht="39" hidden="1" customHeight="1">
      <c r="A161" s="245" t="s">
        <v>108</v>
      </c>
      <c r="B161" s="6">
        <v>108</v>
      </c>
      <c r="C161" s="6">
        <v>13</v>
      </c>
      <c r="D161" s="6">
        <v>74</v>
      </c>
      <c r="E161" s="6">
        <v>156</v>
      </c>
      <c r="F161" s="6">
        <v>132</v>
      </c>
      <c r="G161" s="6">
        <v>257</v>
      </c>
      <c r="H161" s="6">
        <v>79</v>
      </c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</row>
    <row r="162" spans="1:36" s="14" customFormat="1" ht="39" hidden="1" customHeight="1">
      <c r="A162" s="245" t="s">
        <v>109</v>
      </c>
      <c r="B162" s="6">
        <v>17</v>
      </c>
      <c r="C162" s="6">
        <v>2</v>
      </c>
      <c r="D162" s="6">
        <v>16</v>
      </c>
      <c r="E162" s="6">
        <v>23</v>
      </c>
      <c r="F162" s="6">
        <v>19</v>
      </c>
      <c r="G162" s="6">
        <v>79</v>
      </c>
      <c r="H162" s="6">
        <v>4</v>
      </c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</row>
    <row r="163" spans="1:36" s="14" customFormat="1" ht="17.25" hidden="1" customHeight="1">
      <c r="A163" s="245" t="s">
        <v>110</v>
      </c>
      <c r="B163" s="6">
        <v>19</v>
      </c>
      <c r="C163" s="6">
        <v>3</v>
      </c>
      <c r="D163" s="6">
        <v>11</v>
      </c>
      <c r="E163" s="6">
        <v>32</v>
      </c>
      <c r="F163" s="6">
        <v>21</v>
      </c>
      <c r="G163" s="6">
        <v>52</v>
      </c>
      <c r="H163" s="6">
        <v>7</v>
      </c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</row>
    <row r="164" spans="1:36" s="14" customFormat="1" ht="17.25" hidden="1" customHeight="1"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</row>
    <row r="165" spans="1:36" s="14" customFormat="1" ht="25.5" hidden="1" customHeight="1"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</row>
    <row r="166" spans="1:36" s="14" customFormat="1" ht="20.100000000000001" customHeight="1">
      <c r="A166" s="239" t="s">
        <v>725</v>
      </c>
      <c r="B166" s="617">
        <v>74112</v>
      </c>
      <c r="C166" s="617">
        <v>77665</v>
      </c>
      <c r="D166" s="617">
        <v>80723</v>
      </c>
      <c r="E166" s="617">
        <v>83931</v>
      </c>
      <c r="F166" s="617">
        <v>87264</v>
      </c>
      <c r="G166" s="617">
        <v>91143</v>
      </c>
      <c r="H166" s="617">
        <v>95581</v>
      </c>
      <c r="I166" s="30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</row>
    <row r="167" spans="1:36" s="14" customFormat="1" ht="20.100000000000001" customHeight="1">
      <c r="A167" s="245" t="s">
        <v>55</v>
      </c>
      <c r="B167" s="618">
        <v>1440</v>
      </c>
      <c r="C167" s="618">
        <v>1540</v>
      </c>
      <c r="D167" s="618">
        <v>1634</v>
      </c>
      <c r="E167" s="618">
        <v>1724</v>
      </c>
      <c r="F167" s="618">
        <v>1922</v>
      </c>
      <c r="G167" s="618">
        <v>2033</v>
      </c>
      <c r="H167" s="618">
        <v>2221</v>
      </c>
      <c r="I167" s="6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</row>
    <row r="168" spans="1:36" s="14" customFormat="1" ht="20.100000000000001" customHeight="1">
      <c r="A168" s="239" t="s">
        <v>725</v>
      </c>
      <c r="B168" s="621">
        <v>35271</v>
      </c>
      <c r="C168" s="621">
        <v>37003</v>
      </c>
      <c r="D168" s="621">
        <v>38244</v>
      </c>
      <c r="E168" s="621">
        <v>39259</v>
      </c>
      <c r="F168" s="621">
        <v>40513</v>
      </c>
      <c r="G168" s="75" t="s">
        <v>13</v>
      </c>
      <c r="H168" s="75" t="s">
        <v>13</v>
      </c>
      <c r="I168" s="6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</row>
    <row r="169" spans="1:36" s="14" customFormat="1" ht="20.100000000000001" customHeight="1">
      <c r="A169" s="245" t="s">
        <v>794</v>
      </c>
      <c r="B169" s="410">
        <v>1317</v>
      </c>
      <c r="C169" s="410">
        <v>1371</v>
      </c>
      <c r="D169" s="410">
        <v>1414</v>
      </c>
      <c r="E169" s="410">
        <v>1476</v>
      </c>
      <c r="F169" s="410">
        <v>1511</v>
      </c>
      <c r="G169" s="65" t="s">
        <v>13</v>
      </c>
      <c r="H169" s="65" t="s">
        <v>13</v>
      </c>
      <c r="I169" s="6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</row>
    <row r="170" spans="1:36" s="14" customFormat="1" ht="20.100000000000001" customHeight="1">
      <c r="A170" s="239" t="s">
        <v>725</v>
      </c>
      <c r="B170" s="622">
        <v>86565</v>
      </c>
      <c r="C170" s="622">
        <v>90484</v>
      </c>
      <c r="D170" s="622">
        <v>93972</v>
      </c>
      <c r="E170" s="622">
        <v>96468</v>
      </c>
      <c r="F170" s="622">
        <v>93677</v>
      </c>
      <c r="G170" s="622">
        <v>105836</v>
      </c>
      <c r="H170" s="622">
        <v>111083</v>
      </c>
      <c r="I170" s="6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</row>
    <row r="171" spans="1:36" s="14" customFormat="1" ht="20.100000000000001" customHeight="1">
      <c r="A171" s="245" t="s">
        <v>795</v>
      </c>
      <c r="B171" s="619">
        <v>3277</v>
      </c>
      <c r="C171" s="619">
        <v>3458</v>
      </c>
      <c r="D171" s="619">
        <v>3593</v>
      </c>
      <c r="E171" s="619">
        <v>3618</v>
      </c>
      <c r="F171" s="619">
        <v>3652</v>
      </c>
      <c r="G171" s="619">
        <v>4048</v>
      </c>
      <c r="H171" s="619">
        <v>4423</v>
      </c>
      <c r="I171" s="6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</row>
    <row r="172" spans="1:36" s="14" customFormat="1" ht="20.100000000000001" customHeight="1">
      <c r="A172" s="239" t="s">
        <v>725</v>
      </c>
      <c r="B172" s="623">
        <v>2491</v>
      </c>
      <c r="C172" s="623">
        <v>2408</v>
      </c>
      <c r="D172" s="623">
        <v>3121</v>
      </c>
      <c r="E172" s="623">
        <v>2983</v>
      </c>
      <c r="F172" s="623">
        <v>4493</v>
      </c>
      <c r="G172" s="623">
        <v>3372</v>
      </c>
      <c r="H172" s="623">
        <v>5513</v>
      </c>
      <c r="I172" s="6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</row>
    <row r="173" spans="1:36" s="14" customFormat="1" ht="20.100000000000001" customHeight="1">
      <c r="A173" s="245" t="s">
        <v>796</v>
      </c>
      <c r="B173" s="620">
        <v>17</v>
      </c>
      <c r="C173" s="620">
        <v>23</v>
      </c>
      <c r="D173" s="620">
        <v>27</v>
      </c>
      <c r="E173" s="620">
        <v>44</v>
      </c>
      <c r="F173" s="620">
        <v>50</v>
      </c>
      <c r="G173" s="620">
        <v>170</v>
      </c>
      <c r="H173" s="620">
        <v>211</v>
      </c>
      <c r="I173" s="6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</row>
    <row r="174" spans="1:36" s="14" customFormat="1" ht="11.1" hidden="1" customHeight="1">
      <c r="A174" s="239">
        <v>2021</v>
      </c>
      <c r="I174" s="30"/>
      <c r="J174" s="30"/>
      <c r="K174" s="30"/>
      <c r="L174" s="32"/>
      <c r="M174" s="84" t="s">
        <v>100</v>
      </c>
      <c r="N174" s="12">
        <v>37</v>
      </c>
      <c r="O174" s="12">
        <v>11</v>
      </c>
      <c r="P174" s="12">
        <v>21</v>
      </c>
      <c r="Q174" s="12">
        <v>65</v>
      </c>
      <c r="R174" s="12">
        <v>95</v>
      </c>
      <c r="S174" s="12">
        <v>85</v>
      </c>
      <c r="T174" s="12">
        <v>14</v>
      </c>
    </row>
    <row r="175" spans="1:36" s="9" customFormat="1" ht="11.1" hidden="1" customHeight="1">
      <c r="A175" s="239" t="s">
        <v>14</v>
      </c>
      <c r="B175" s="545" t="s">
        <v>65</v>
      </c>
      <c r="C175" s="545" t="s">
        <v>65</v>
      </c>
      <c r="D175" s="545" t="s">
        <v>65</v>
      </c>
      <c r="E175" s="545" t="s">
        <v>65</v>
      </c>
      <c r="F175" s="545" t="s">
        <v>65</v>
      </c>
      <c r="G175" s="545" t="s">
        <v>65</v>
      </c>
      <c r="H175" s="545" t="s">
        <v>65</v>
      </c>
      <c r="I175" s="30"/>
      <c r="J175" s="30"/>
      <c r="K175" s="30"/>
      <c r="L175" s="546"/>
      <c r="M175" s="84" t="s">
        <v>101</v>
      </c>
      <c r="N175" s="6">
        <v>26</v>
      </c>
      <c r="O175" s="6">
        <v>5</v>
      </c>
      <c r="P175" s="6">
        <v>28</v>
      </c>
      <c r="Q175" s="6">
        <v>39</v>
      </c>
      <c r="R175" s="6">
        <v>155</v>
      </c>
      <c r="S175" s="6">
        <v>100</v>
      </c>
      <c r="T175" s="6">
        <v>9</v>
      </c>
    </row>
    <row r="176" spans="1:36" s="14" customFormat="1" ht="23.45" hidden="1" customHeight="1">
      <c r="A176" s="197" t="s">
        <v>99</v>
      </c>
      <c r="B176" s="344" t="s">
        <v>65</v>
      </c>
      <c r="C176" s="344" t="s">
        <v>65</v>
      </c>
      <c r="D176" s="344" t="s">
        <v>65</v>
      </c>
      <c r="E176" s="344" t="s">
        <v>65</v>
      </c>
      <c r="F176" s="344" t="s">
        <v>65</v>
      </c>
      <c r="G176" s="344" t="s">
        <v>65</v>
      </c>
      <c r="H176" s="344" t="s">
        <v>65</v>
      </c>
      <c r="I176" s="6"/>
      <c r="J176" s="30"/>
      <c r="K176" s="30"/>
      <c r="L176" s="32"/>
      <c r="M176" s="84" t="s">
        <v>102</v>
      </c>
      <c r="N176" s="12">
        <v>24</v>
      </c>
      <c r="O176" s="12">
        <v>8</v>
      </c>
      <c r="P176" s="12">
        <v>37</v>
      </c>
      <c r="Q176" s="12">
        <v>53</v>
      </c>
      <c r="R176" s="12">
        <v>125</v>
      </c>
      <c r="S176" s="12">
        <v>75</v>
      </c>
      <c r="T176" s="12">
        <v>15</v>
      </c>
    </row>
    <row r="177" spans="1:20" s="14" customFormat="1" ht="9.9499999999999993" hidden="1" customHeight="1">
      <c r="A177" s="245" t="s">
        <v>394</v>
      </c>
      <c r="B177" s="547" t="s">
        <v>65</v>
      </c>
      <c r="C177" s="547" t="s">
        <v>65</v>
      </c>
      <c r="D177" s="547" t="s">
        <v>65</v>
      </c>
      <c r="E177" s="547" t="s">
        <v>65</v>
      </c>
      <c r="F177" s="547" t="s">
        <v>65</v>
      </c>
      <c r="G177" s="547" t="s">
        <v>65</v>
      </c>
      <c r="H177" s="547" t="s">
        <v>65</v>
      </c>
      <c r="I177" s="6"/>
      <c r="J177" s="30"/>
      <c r="K177" s="30"/>
      <c r="L177" s="32"/>
      <c r="M177" s="84" t="s">
        <v>103</v>
      </c>
      <c r="N177" s="12">
        <v>29</v>
      </c>
      <c r="O177" s="12">
        <v>4</v>
      </c>
      <c r="P177" s="12">
        <v>30</v>
      </c>
      <c r="Q177" s="12">
        <v>48</v>
      </c>
      <c r="R177" s="12">
        <v>110</v>
      </c>
      <c r="S177" s="12">
        <v>54</v>
      </c>
      <c r="T177" s="12">
        <v>8</v>
      </c>
    </row>
    <row r="178" spans="1:20" s="14" customFormat="1" ht="9.9499999999999993" hidden="1" customHeight="1">
      <c r="A178" s="245" t="s">
        <v>101</v>
      </c>
      <c r="B178" s="547" t="s">
        <v>65</v>
      </c>
      <c r="C178" s="547" t="s">
        <v>65</v>
      </c>
      <c r="D178" s="547" t="s">
        <v>65</v>
      </c>
      <c r="E178" s="547" t="s">
        <v>65</v>
      </c>
      <c r="F178" s="547" t="s">
        <v>65</v>
      </c>
      <c r="G178" s="547" t="s">
        <v>65</v>
      </c>
      <c r="H178" s="547" t="s">
        <v>65</v>
      </c>
      <c r="I178" s="6"/>
      <c r="J178" s="30"/>
      <c r="K178" s="30"/>
      <c r="L178" s="32"/>
      <c r="M178" s="84" t="s">
        <v>104</v>
      </c>
      <c r="N178" s="12">
        <v>34</v>
      </c>
      <c r="O178" s="12">
        <v>6</v>
      </c>
      <c r="P178" s="12">
        <v>28</v>
      </c>
      <c r="Q178" s="12">
        <v>42</v>
      </c>
      <c r="R178" s="12">
        <v>135</v>
      </c>
      <c r="S178" s="12">
        <v>112</v>
      </c>
      <c r="T178" s="12">
        <v>18</v>
      </c>
    </row>
    <row r="179" spans="1:20" s="14" customFormat="1" ht="9.9499999999999993" hidden="1" customHeight="1">
      <c r="A179" s="245" t="s">
        <v>102</v>
      </c>
      <c r="B179" s="547" t="s">
        <v>65</v>
      </c>
      <c r="C179" s="547" t="s">
        <v>65</v>
      </c>
      <c r="D179" s="547" t="s">
        <v>65</v>
      </c>
      <c r="E179" s="547" t="s">
        <v>65</v>
      </c>
      <c r="F179" s="547" t="s">
        <v>65</v>
      </c>
      <c r="G179" s="547" t="s">
        <v>65</v>
      </c>
      <c r="H179" s="547" t="s">
        <v>65</v>
      </c>
      <c r="I179" s="6"/>
      <c r="J179" s="30"/>
      <c r="K179" s="30"/>
      <c r="L179" s="32"/>
      <c r="M179" s="84" t="s">
        <v>105</v>
      </c>
      <c r="N179" s="12">
        <v>32</v>
      </c>
      <c r="O179" s="12">
        <v>4</v>
      </c>
      <c r="P179" s="12">
        <v>15</v>
      </c>
      <c r="Q179" s="12">
        <v>34</v>
      </c>
      <c r="R179" s="12">
        <v>216</v>
      </c>
      <c r="S179" s="12">
        <v>33</v>
      </c>
      <c r="T179" s="12">
        <v>1</v>
      </c>
    </row>
    <row r="180" spans="1:20" s="14" customFormat="1" ht="9.9499999999999993" hidden="1" customHeight="1">
      <c r="A180" s="245" t="s">
        <v>103</v>
      </c>
      <c r="B180" s="547" t="s">
        <v>65</v>
      </c>
      <c r="C180" s="547" t="s">
        <v>65</v>
      </c>
      <c r="D180" s="547" t="s">
        <v>65</v>
      </c>
      <c r="E180" s="547" t="s">
        <v>65</v>
      </c>
      <c r="F180" s="547" t="s">
        <v>65</v>
      </c>
      <c r="G180" s="547" t="s">
        <v>65</v>
      </c>
      <c r="H180" s="547" t="s">
        <v>65</v>
      </c>
      <c r="I180" s="6"/>
      <c r="J180" s="30"/>
      <c r="K180" s="30"/>
      <c r="L180" s="32"/>
      <c r="M180" s="84" t="s">
        <v>106</v>
      </c>
      <c r="N180" s="12">
        <v>15</v>
      </c>
      <c r="O180" s="12">
        <v>2</v>
      </c>
      <c r="P180" s="12">
        <v>13</v>
      </c>
      <c r="Q180" s="12">
        <v>19</v>
      </c>
      <c r="R180" s="12">
        <v>47</v>
      </c>
      <c r="S180" s="12">
        <v>45</v>
      </c>
      <c r="T180" s="12">
        <v>2</v>
      </c>
    </row>
    <row r="181" spans="1:20" s="14" customFormat="1" ht="9.9499999999999993" hidden="1" customHeight="1">
      <c r="A181" s="245" t="s">
        <v>104</v>
      </c>
      <c r="B181" s="547" t="s">
        <v>65</v>
      </c>
      <c r="C181" s="547" t="s">
        <v>65</v>
      </c>
      <c r="D181" s="547" t="s">
        <v>65</v>
      </c>
      <c r="E181" s="547" t="s">
        <v>65</v>
      </c>
      <c r="F181" s="547" t="s">
        <v>65</v>
      </c>
      <c r="G181" s="547" t="s">
        <v>65</v>
      </c>
      <c r="H181" s="547" t="s">
        <v>65</v>
      </c>
      <c r="I181" s="6"/>
      <c r="J181" s="30"/>
      <c r="K181" s="30"/>
      <c r="L181" s="32"/>
      <c r="M181" s="84" t="s">
        <v>107</v>
      </c>
      <c r="N181" s="12">
        <v>39</v>
      </c>
      <c r="O181" s="12">
        <v>4</v>
      </c>
      <c r="P181" s="12">
        <v>29</v>
      </c>
      <c r="Q181" s="12">
        <v>48</v>
      </c>
      <c r="R181" s="12">
        <v>149</v>
      </c>
      <c r="S181" s="12">
        <v>135</v>
      </c>
      <c r="T181" s="12">
        <v>21</v>
      </c>
    </row>
    <row r="182" spans="1:20" s="14" customFormat="1" ht="9.9499999999999993" hidden="1" customHeight="1">
      <c r="A182" s="245" t="s">
        <v>105</v>
      </c>
      <c r="B182" s="547" t="s">
        <v>65</v>
      </c>
      <c r="C182" s="547" t="s">
        <v>65</v>
      </c>
      <c r="D182" s="547" t="s">
        <v>65</v>
      </c>
      <c r="E182" s="547" t="s">
        <v>65</v>
      </c>
      <c r="F182" s="547" t="s">
        <v>65</v>
      </c>
      <c r="G182" s="547" t="s">
        <v>65</v>
      </c>
      <c r="H182" s="547" t="s">
        <v>65</v>
      </c>
      <c r="I182" s="6"/>
      <c r="J182" s="30"/>
      <c r="K182" s="30"/>
      <c r="L182" s="32"/>
      <c r="M182" s="84" t="s">
        <v>108</v>
      </c>
      <c r="N182" s="12">
        <v>103</v>
      </c>
      <c r="O182" s="12">
        <v>13</v>
      </c>
      <c r="P182" s="12">
        <v>75</v>
      </c>
      <c r="Q182" s="12">
        <v>156</v>
      </c>
      <c r="R182" s="12">
        <v>277</v>
      </c>
      <c r="S182" s="12">
        <v>122</v>
      </c>
      <c r="T182" s="12">
        <v>3</v>
      </c>
    </row>
    <row r="183" spans="1:20" s="14" customFormat="1" ht="9.9499999999999993" hidden="1" customHeight="1">
      <c r="A183" s="245" t="s">
        <v>106</v>
      </c>
      <c r="B183" s="547" t="s">
        <v>65</v>
      </c>
      <c r="C183" s="547" t="s">
        <v>65</v>
      </c>
      <c r="D183" s="547" t="s">
        <v>65</v>
      </c>
      <c r="E183" s="547" t="s">
        <v>65</v>
      </c>
      <c r="F183" s="547" t="s">
        <v>65</v>
      </c>
      <c r="G183" s="547" t="s">
        <v>65</v>
      </c>
      <c r="H183" s="547" t="s">
        <v>65</v>
      </c>
      <c r="I183" s="6"/>
      <c r="J183" s="30"/>
      <c r="K183" s="30"/>
      <c r="L183" s="32"/>
      <c r="M183" s="84" t="s">
        <v>109</v>
      </c>
      <c r="N183" s="12">
        <v>15</v>
      </c>
      <c r="O183" s="12">
        <v>2</v>
      </c>
      <c r="P183" s="12">
        <v>17</v>
      </c>
      <c r="Q183" s="12">
        <v>22</v>
      </c>
      <c r="R183" s="12">
        <v>52</v>
      </c>
      <c r="S183" s="12">
        <v>47</v>
      </c>
      <c r="T183" s="12">
        <v>5</v>
      </c>
    </row>
    <row r="184" spans="1:20" s="14" customFormat="1" ht="9.9499999999999993" hidden="1" customHeight="1">
      <c r="A184" s="245" t="s">
        <v>107</v>
      </c>
      <c r="B184" s="547" t="s">
        <v>65</v>
      </c>
      <c r="C184" s="547" t="s">
        <v>65</v>
      </c>
      <c r="D184" s="547" t="s">
        <v>65</v>
      </c>
      <c r="E184" s="547" t="s">
        <v>65</v>
      </c>
      <c r="F184" s="547" t="s">
        <v>65</v>
      </c>
      <c r="G184" s="547" t="s">
        <v>65</v>
      </c>
      <c r="H184" s="547" t="s">
        <v>65</v>
      </c>
      <c r="I184" s="6"/>
      <c r="J184" s="30"/>
      <c r="K184" s="30"/>
      <c r="L184" s="32"/>
      <c r="M184" s="84" t="s">
        <v>110</v>
      </c>
      <c r="N184" s="12">
        <v>21</v>
      </c>
      <c r="O184" s="12">
        <v>4</v>
      </c>
      <c r="P184" s="12">
        <v>11</v>
      </c>
      <c r="Q184" s="12">
        <v>32</v>
      </c>
      <c r="R184" s="12">
        <v>48</v>
      </c>
      <c r="S184" s="12">
        <v>28</v>
      </c>
      <c r="T184" s="12">
        <v>3</v>
      </c>
    </row>
    <row r="185" spans="1:20" s="14" customFormat="1" ht="9.9499999999999993" hidden="1" customHeight="1">
      <c r="A185" s="245" t="s">
        <v>108</v>
      </c>
      <c r="B185" s="547" t="s">
        <v>65</v>
      </c>
      <c r="C185" s="547" t="s">
        <v>65</v>
      </c>
      <c r="D185" s="547" t="s">
        <v>65</v>
      </c>
      <c r="E185" s="547" t="s">
        <v>65</v>
      </c>
      <c r="F185" s="547" t="s">
        <v>65</v>
      </c>
      <c r="G185" s="547" t="s">
        <v>65</v>
      </c>
      <c r="H185" s="547" t="s">
        <v>65</v>
      </c>
      <c r="I185" s="6"/>
      <c r="J185" s="30"/>
      <c r="K185" s="30"/>
      <c r="L185" s="32"/>
      <c r="M185" s="17"/>
      <c r="N185" s="72"/>
      <c r="O185" s="73"/>
      <c r="P185" s="73"/>
      <c r="Q185" s="73"/>
      <c r="R185" s="73"/>
      <c r="S185" s="73"/>
      <c r="T185" s="73"/>
    </row>
    <row r="186" spans="1:20" ht="9.9499999999999993" hidden="1" customHeight="1">
      <c r="A186" s="245" t="s">
        <v>109</v>
      </c>
      <c r="B186" s="547" t="s">
        <v>65</v>
      </c>
      <c r="C186" s="547" t="s">
        <v>65</v>
      </c>
      <c r="D186" s="547" t="s">
        <v>65</v>
      </c>
      <c r="E186" s="547" t="s">
        <v>65</v>
      </c>
      <c r="F186" s="547" t="s">
        <v>65</v>
      </c>
      <c r="G186" s="547" t="s">
        <v>65</v>
      </c>
      <c r="H186" s="547" t="s">
        <v>65</v>
      </c>
      <c r="I186" s="6"/>
      <c r="M186" s="7" t="s">
        <v>76</v>
      </c>
      <c r="T186" s="95"/>
    </row>
    <row r="187" spans="1:20" ht="9.9499999999999993" hidden="1" customHeight="1">
      <c r="A187" s="245" t="s">
        <v>110</v>
      </c>
      <c r="B187" s="547" t="s">
        <v>65</v>
      </c>
      <c r="C187" s="547" t="s">
        <v>65</v>
      </c>
      <c r="D187" s="547" t="s">
        <v>65</v>
      </c>
      <c r="E187" s="547" t="s">
        <v>65</v>
      </c>
      <c r="F187" s="547" t="s">
        <v>65</v>
      </c>
      <c r="G187" s="547" t="s">
        <v>65</v>
      </c>
      <c r="H187" s="547" t="s">
        <v>65</v>
      </c>
      <c r="I187" s="6"/>
    </row>
    <row r="188" spans="1:20" ht="5.0999999999999996" customHeight="1">
      <c r="A188" s="17"/>
      <c r="B188" s="440"/>
      <c r="C188" s="66"/>
      <c r="D188" s="66"/>
      <c r="E188" s="66"/>
      <c r="F188" s="66"/>
      <c r="G188" s="66"/>
      <c r="H188" s="66"/>
      <c r="I188" s="30"/>
    </row>
    <row r="189" spans="1:20" ht="1.5" customHeight="1">
      <c r="A189" s="717"/>
      <c r="B189" s="718"/>
      <c r="C189" s="718"/>
      <c r="D189" s="718"/>
      <c r="E189" s="718"/>
      <c r="F189" s="718"/>
      <c r="G189" s="718"/>
      <c r="H189" s="95"/>
      <c r="I189" s="30"/>
    </row>
    <row r="190" spans="1:20" ht="14.25" hidden="1" customHeight="1">
      <c r="A190" s="719" t="s">
        <v>395</v>
      </c>
      <c r="B190" s="720"/>
      <c r="C190" s="720"/>
      <c r="D190" s="720"/>
      <c r="E190" s="720"/>
      <c r="F190" s="720"/>
      <c r="G190" s="720"/>
      <c r="I190" s="30"/>
    </row>
    <row r="191" spans="1:20" ht="11.1" customHeight="1">
      <c r="A191" s="721" t="s">
        <v>798</v>
      </c>
      <c r="B191" s="721"/>
      <c r="C191" s="721"/>
      <c r="D191" s="721"/>
      <c r="E191" s="721"/>
      <c r="F191" s="721"/>
      <c r="G191" s="721"/>
      <c r="I191" s="30"/>
    </row>
    <row r="192" spans="1:20">
      <c r="A192" s="7"/>
    </row>
  </sheetData>
  <mergeCells count="35">
    <mergeCell ref="A189:G189"/>
    <mergeCell ref="A190:G190"/>
    <mergeCell ref="A191:G191"/>
    <mergeCell ref="A117:H117"/>
    <mergeCell ref="A119:A120"/>
    <mergeCell ref="B119:B120"/>
    <mergeCell ref="C119:C120"/>
    <mergeCell ref="D119:D120"/>
    <mergeCell ref="E119:E120"/>
    <mergeCell ref="F119:F120"/>
    <mergeCell ref="G119:G120"/>
    <mergeCell ref="H119:H120"/>
    <mergeCell ref="M67:M69"/>
    <mergeCell ref="N67:T67"/>
    <mergeCell ref="N68:N69"/>
    <mergeCell ref="O68:O69"/>
    <mergeCell ref="P68:P69"/>
    <mergeCell ref="Q68:Q69"/>
    <mergeCell ref="R68:R69"/>
    <mergeCell ref="A53:A55"/>
    <mergeCell ref="B53:H53"/>
    <mergeCell ref="B54:B55"/>
    <mergeCell ref="C54:C55"/>
    <mergeCell ref="D54:D55"/>
    <mergeCell ref="E54:E55"/>
    <mergeCell ref="F54:F55"/>
    <mergeCell ref="G54:G55"/>
    <mergeCell ref="H54:H55"/>
    <mergeCell ref="A4:A6"/>
    <mergeCell ref="B4:H4"/>
    <mergeCell ref="B5:B6"/>
    <mergeCell ref="C5:C6"/>
    <mergeCell ref="D5:D6"/>
    <mergeCell ref="E5:E6"/>
    <mergeCell ref="F5:F6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showGridLines="0" zoomScaleNormal="100" zoomScaleSheetLayoutView="110" workbookViewId="0">
      <selection sqref="A1:S1"/>
    </sheetView>
  </sheetViews>
  <sheetFormatPr baseColWidth="10" defaultColWidth="11.42578125" defaultRowHeight="9"/>
  <cols>
    <col min="1" max="1" width="15.5703125" style="320" customWidth="1"/>
    <col min="2" max="4" width="5.5703125" style="320" hidden="1" customWidth="1"/>
    <col min="5" max="5" width="5.7109375" style="320" hidden="1" customWidth="1"/>
    <col min="6" max="10" width="5.7109375" style="447" hidden="1" customWidth="1"/>
    <col min="11" max="17" width="7.7109375" style="447" customWidth="1"/>
    <col min="18" max="19" width="7.7109375" style="320" customWidth="1"/>
    <col min="20" max="16384" width="11.42578125" style="320"/>
  </cols>
  <sheetData>
    <row r="1" spans="1:19" s="324" customFormat="1" ht="15" customHeight="1">
      <c r="A1" s="723" t="s">
        <v>809</v>
      </c>
      <c r="B1" s="723"/>
      <c r="C1" s="723"/>
      <c r="D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723"/>
      <c r="S1" s="723"/>
    </row>
    <row r="2" spans="1:19" ht="3.75" customHeight="1">
      <c r="A2" s="325"/>
    </row>
    <row r="3" spans="1:19" ht="24" customHeight="1">
      <c r="A3" s="326" t="s">
        <v>528</v>
      </c>
      <c r="B3" s="330">
        <v>2006</v>
      </c>
      <c r="C3" s="331">
        <v>2007</v>
      </c>
      <c r="D3" s="331">
        <v>2008</v>
      </c>
      <c r="E3" s="331">
        <v>2009</v>
      </c>
      <c r="F3" s="448">
        <v>2010</v>
      </c>
      <c r="G3" s="448">
        <v>2011</v>
      </c>
      <c r="H3" s="448">
        <v>2012</v>
      </c>
      <c r="I3" s="448">
        <v>2013</v>
      </c>
      <c r="J3" s="448">
        <v>2014</v>
      </c>
      <c r="K3" s="632">
        <v>2015</v>
      </c>
      <c r="L3" s="448">
        <v>2016</v>
      </c>
      <c r="M3" s="448">
        <v>2017</v>
      </c>
      <c r="N3" s="448">
        <v>2018</v>
      </c>
      <c r="O3" s="448">
        <v>2019</v>
      </c>
      <c r="P3" s="448">
        <v>2020</v>
      </c>
      <c r="Q3" s="448">
        <v>2021</v>
      </c>
      <c r="R3" s="448">
        <v>2022</v>
      </c>
      <c r="S3" s="448">
        <v>2023</v>
      </c>
    </row>
    <row r="4" spans="1:19" ht="12.75">
      <c r="A4" s="327"/>
      <c r="B4" s="321"/>
      <c r="C4" s="321"/>
      <c r="K4" s="633"/>
      <c r="R4" s="447"/>
      <c r="S4" s="447"/>
    </row>
    <row r="5" spans="1:19" ht="30" customHeight="1">
      <c r="A5" s="328" t="s">
        <v>14</v>
      </c>
      <c r="B5" s="323">
        <f>B6+B7</f>
        <v>130</v>
      </c>
      <c r="C5" s="323">
        <f t="shared" ref="C5:L5" si="0">C6+C7</f>
        <v>118</v>
      </c>
      <c r="D5" s="323">
        <f t="shared" si="0"/>
        <v>125</v>
      </c>
      <c r="E5" s="323">
        <f t="shared" si="0"/>
        <v>123</v>
      </c>
      <c r="F5" s="449">
        <f t="shared" si="0"/>
        <v>137</v>
      </c>
      <c r="G5" s="449">
        <f t="shared" si="0"/>
        <v>129</v>
      </c>
      <c r="H5" s="449">
        <f t="shared" si="0"/>
        <v>149</v>
      </c>
      <c r="I5" s="449">
        <f t="shared" si="0"/>
        <v>180</v>
      </c>
      <c r="J5" s="449">
        <f t="shared" si="0"/>
        <v>200</v>
      </c>
      <c r="K5" s="634">
        <f t="shared" si="0"/>
        <v>211</v>
      </c>
      <c r="L5" s="449">
        <f t="shared" si="0"/>
        <v>215</v>
      </c>
      <c r="M5" s="449">
        <f t="shared" ref="M5:S5" si="1">M6+M7</f>
        <v>235</v>
      </c>
      <c r="N5" s="449">
        <f t="shared" si="1"/>
        <v>259</v>
      </c>
      <c r="O5" s="449">
        <f t="shared" si="1"/>
        <v>276</v>
      </c>
      <c r="P5" s="449">
        <f t="shared" si="1"/>
        <v>275</v>
      </c>
      <c r="Q5" s="449">
        <f t="shared" si="1"/>
        <v>316</v>
      </c>
      <c r="R5" s="449">
        <f t="shared" si="1"/>
        <v>267</v>
      </c>
      <c r="S5" s="449">
        <f t="shared" si="1"/>
        <v>281</v>
      </c>
    </row>
    <row r="6" spans="1:19" ht="30" customHeight="1">
      <c r="A6" s="327" t="s">
        <v>607</v>
      </c>
      <c r="B6" s="322">
        <v>66</v>
      </c>
      <c r="C6" s="322">
        <v>57</v>
      </c>
      <c r="D6" s="322">
        <v>64</v>
      </c>
      <c r="E6" s="321">
        <v>63</v>
      </c>
      <c r="F6" s="450">
        <v>69</v>
      </c>
      <c r="G6" s="451">
        <v>68</v>
      </c>
      <c r="H6" s="451">
        <v>78</v>
      </c>
      <c r="I6" s="450">
        <v>92</v>
      </c>
      <c r="J6" s="450">
        <v>98</v>
      </c>
      <c r="K6" s="635">
        <v>110</v>
      </c>
      <c r="L6" s="450">
        <v>112</v>
      </c>
      <c r="M6" s="450">
        <v>117</v>
      </c>
      <c r="N6" s="452">
        <v>125</v>
      </c>
      <c r="O6" s="451">
        <v>131</v>
      </c>
      <c r="P6" s="451">
        <v>133</v>
      </c>
      <c r="Q6" s="451">
        <v>164</v>
      </c>
      <c r="R6" s="451">
        <v>138</v>
      </c>
      <c r="S6" s="451">
        <v>139</v>
      </c>
    </row>
    <row r="7" spans="1:19" ht="30" customHeight="1">
      <c r="A7" s="327" t="s">
        <v>527</v>
      </c>
      <c r="B7" s="322">
        <v>64</v>
      </c>
      <c r="C7" s="322">
        <v>61</v>
      </c>
      <c r="D7" s="322">
        <v>61</v>
      </c>
      <c r="E7" s="321">
        <v>60</v>
      </c>
      <c r="F7" s="450">
        <v>68</v>
      </c>
      <c r="G7" s="451">
        <v>61</v>
      </c>
      <c r="H7" s="450">
        <v>71</v>
      </c>
      <c r="I7" s="451">
        <v>88</v>
      </c>
      <c r="J7" s="451">
        <v>102</v>
      </c>
      <c r="K7" s="636">
        <v>101</v>
      </c>
      <c r="L7" s="451">
        <v>103</v>
      </c>
      <c r="M7" s="451">
        <v>118</v>
      </c>
      <c r="N7" s="451">
        <v>134</v>
      </c>
      <c r="O7" s="451">
        <v>145</v>
      </c>
      <c r="P7" s="451">
        <v>142</v>
      </c>
      <c r="Q7" s="451">
        <v>152</v>
      </c>
      <c r="R7" s="451">
        <v>129</v>
      </c>
      <c r="S7" s="451">
        <v>142</v>
      </c>
    </row>
    <row r="8" spans="1:19" ht="5.0999999999999996" customHeight="1">
      <c r="A8" s="329"/>
      <c r="B8" s="333"/>
      <c r="C8" s="334"/>
      <c r="D8" s="334"/>
      <c r="E8" s="334"/>
      <c r="F8" s="453"/>
      <c r="G8" s="453"/>
      <c r="H8" s="453"/>
      <c r="I8" s="453"/>
      <c r="J8" s="453"/>
      <c r="K8" s="637"/>
      <c r="L8" s="453"/>
      <c r="M8" s="453"/>
      <c r="N8" s="453"/>
      <c r="O8" s="453"/>
      <c r="P8" s="453"/>
      <c r="Q8" s="453"/>
      <c r="R8" s="453"/>
      <c r="S8" s="453"/>
    </row>
    <row r="9" spans="1:19" ht="11.1" customHeight="1">
      <c r="A9" s="320" t="s">
        <v>526</v>
      </c>
    </row>
    <row r="10" spans="1:19" ht="11.1" customHeight="1">
      <c r="A10" s="320" t="s">
        <v>653</v>
      </c>
    </row>
    <row r="11" spans="1:19" s="336" customFormat="1" ht="11.1" customHeight="1">
      <c r="A11" s="638" t="s">
        <v>697</v>
      </c>
      <c r="B11" s="638"/>
      <c r="C11" s="638"/>
      <c r="D11" s="638"/>
      <c r="E11" s="638"/>
      <c r="F11" s="638"/>
      <c r="G11" s="638"/>
      <c r="H11" s="638"/>
      <c r="I11" s="638"/>
      <c r="J11" s="638"/>
      <c r="K11" s="638"/>
      <c r="L11" s="638"/>
      <c r="M11" s="638"/>
      <c r="N11" s="638"/>
      <c r="O11" s="638"/>
      <c r="P11" s="638"/>
      <c r="Q11" s="638"/>
    </row>
    <row r="14" spans="1:19">
      <c r="A14" s="332"/>
    </row>
  </sheetData>
  <mergeCells count="1">
    <mergeCell ref="A1:S1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showGridLines="0" showOutlineSymbols="0" zoomScaleNormal="100" zoomScaleSheetLayoutView="100" workbookViewId="0">
      <selection sqref="A1:Q1"/>
    </sheetView>
  </sheetViews>
  <sheetFormatPr baseColWidth="10" defaultColWidth="11.42578125" defaultRowHeight="12.75"/>
  <cols>
    <col min="1" max="1" width="14.7109375" style="236" customWidth="1"/>
    <col min="2" max="3" width="5" style="6" hidden="1" customWidth="1"/>
    <col min="4" max="4" width="9.5703125" style="6" hidden="1" customWidth="1"/>
    <col min="5" max="5" width="7.7109375" style="6" hidden="1" customWidth="1"/>
    <col min="6" max="8" width="7" style="6" hidden="1" customWidth="1"/>
    <col min="9" max="17" width="7.7109375" style="6" customWidth="1"/>
    <col min="18" max="16384" width="11.42578125" style="6"/>
  </cols>
  <sheetData>
    <row r="1" spans="1:17" ht="13.5">
      <c r="A1" s="700" t="s">
        <v>810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  <c r="L1" s="700"/>
      <c r="M1" s="700"/>
      <c r="N1" s="700"/>
      <c r="O1" s="700"/>
      <c r="P1" s="700"/>
      <c r="Q1" s="700"/>
    </row>
    <row r="2" spans="1:17" ht="5.0999999999999996" customHeight="1">
      <c r="C2" s="24"/>
      <c r="D2" s="24"/>
      <c r="E2" s="24"/>
      <c r="F2" s="24"/>
      <c r="G2" s="24"/>
    </row>
    <row r="3" spans="1:17" ht="12.75" customHeight="1">
      <c r="A3" s="713" t="s">
        <v>808</v>
      </c>
      <c r="B3" s="590"/>
      <c r="C3" s="591"/>
      <c r="D3" s="591"/>
      <c r="E3" s="591"/>
      <c r="F3" s="724">
        <v>2013</v>
      </c>
      <c r="G3" s="724">
        <v>2014</v>
      </c>
      <c r="H3" s="724">
        <v>2015</v>
      </c>
      <c r="I3" s="724">
        <v>2016</v>
      </c>
      <c r="J3" s="724">
        <v>2017</v>
      </c>
      <c r="K3" s="724">
        <v>2018</v>
      </c>
      <c r="L3" s="724">
        <v>2019</v>
      </c>
      <c r="M3" s="724">
        <v>2020</v>
      </c>
      <c r="N3" s="724">
        <v>2021</v>
      </c>
      <c r="O3" s="724">
        <v>2022</v>
      </c>
      <c r="P3" s="724">
        <v>2023</v>
      </c>
      <c r="Q3" s="724" t="s">
        <v>754</v>
      </c>
    </row>
    <row r="4" spans="1:17">
      <c r="A4" s="714"/>
      <c r="B4" s="45">
        <v>2009</v>
      </c>
      <c r="C4" s="45">
        <v>2010</v>
      </c>
      <c r="D4" s="45">
        <v>2011</v>
      </c>
      <c r="E4" s="45">
        <v>2012</v>
      </c>
      <c r="F4" s="725"/>
      <c r="G4" s="725"/>
      <c r="H4" s="725"/>
      <c r="I4" s="725"/>
      <c r="J4" s="725"/>
      <c r="K4" s="725"/>
      <c r="L4" s="725"/>
      <c r="M4" s="725"/>
      <c r="N4" s="725"/>
      <c r="O4" s="725"/>
      <c r="P4" s="725"/>
      <c r="Q4" s="725"/>
    </row>
    <row r="5" spans="1:17" ht="6.75" customHeight="1">
      <c r="A5" s="241"/>
      <c r="B5" s="43"/>
      <c r="C5" s="43"/>
      <c r="D5" s="43"/>
      <c r="E5" s="43"/>
      <c r="F5" s="43"/>
    </row>
    <row r="6" spans="1:17" ht="30" customHeight="1">
      <c r="A6" s="238" t="s">
        <v>2</v>
      </c>
      <c r="B6" s="87">
        <v>66453</v>
      </c>
      <c r="C6" s="65">
        <v>66460</v>
      </c>
      <c r="D6" s="87">
        <v>65683</v>
      </c>
      <c r="E6" s="87">
        <v>63750</v>
      </c>
      <c r="F6" s="87">
        <v>40155</v>
      </c>
      <c r="G6" s="87">
        <v>54443</v>
      </c>
      <c r="H6" s="87">
        <v>62710</v>
      </c>
      <c r="I6" s="87">
        <v>54874</v>
      </c>
      <c r="J6" s="87">
        <v>72232</v>
      </c>
      <c r="K6" s="87">
        <v>77775</v>
      </c>
      <c r="L6" s="87">
        <v>48872</v>
      </c>
      <c r="M6" s="87">
        <v>39660</v>
      </c>
      <c r="N6" s="87">
        <v>41697</v>
      </c>
      <c r="O6" s="87">
        <v>40168</v>
      </c>
      <c r="P6" s="87">
        <v>42151</v>
      </c>
      <c r="Q6" s="87">
        <v>24413</v>
      </c>
    </row>
    <row r="7" spans="1:17" ht="30" customHeight="1">
      <c r="A7" s="238" t="s">
        <v>28</v>
      </c>
      <c r="B7" s="65">
        <v>26327</v>
      </c>
      <c r="C7" s="65">
        <v>33269</v>
      </c>
      <c r="D7" s="65">
        <v>22771</v>
      </c>
      <c r="E7" s="87">
        <v>21475</v>
      </c>
      <c r="F7" s="87">
        <v>28659</v>
      </c>
      <c r="G7" s="87">
        <v>48732</v>
      </c>
      <c r="H7" s="87">
        <v>48152</v>
      </c>
      <c r="I7" s="87">
        <v>40594</v>
      </c>
      <c r="J7" s="87">
        <v>72884</v>
      </c>
      <c r="K7" s="87">
        <v>20051</v>
      </c>
      <c r="L7" s="87">
        <v>10716</v>
      </c>
      <c r="M7" s="87">
        <v>1803</v>
      </c>
      <c r="N7" s="87">
        <v>3781</v>
      </c>
      <c r="O7" s="87">
        <v>21254</v>
      </c>
      <c r="P7" s="87">
        <v>1824</v>
      </c>
      <c r="Q7" s="87">
        <v>39</v>
      </c>
    </row>
    <row r="8" spans="1:17" ht="30" customHeight="1">
      <c r="A8" s="238" t="s">
        <v>3</v>
      </c>
      <c r="B8" s="87">
        <v>67445</v>
      </c>
      <c r="C8" s="65">
        <v>67516</v>
      </c>
      <c r="D8" s="24" t="s">
        <v>65</v>
      </c>
      <c r="E8" s="24" t="s">
        <v>65</v>
      </c>
      <c r="F8" s="87">
        <v>26847</v>
      </c>
      <c r="G8" s="87">
        <v>27393</v>
      </c>
      <c r="H8" s="87">
        <v>30547</v>
      </c>
      <c r="I8" s="87">
        <v>28046</v>
      </c>
      <c r="J8" s="87">
        <v>25981</v>
      </c>
      <c r="K8" s="87">
        <v>28539</v>
      </c>
      <c r="L8" s="87">
        <v>25940</v>
      </c>
      <c r="M8" s="87">
        <v>19000</v>
      </c>
      <c r="N8" s="87">
        <v>17578</v>
      </c>
      <c r="O8" s="87">
        <v>17534</v>
      </c>
      <c r="P8" s="87">
        <v>20565</v>
      </c>
      <c r="Q8" s="87">
        <v>13321</v>
      </c>
    </row>
    <row r="9" spans="1:17" ht="30" customHeight="1">
      <c r="A9" s="238" t="s">
        <v>78</v>
      </c>
      <c r="B9" s="24" t="s">
        <v>65</v>
      </c>
      <c r="C9" s="24" t="s">
        <v>65</v>
      </c>
      <c r="D9" s="24" t="s">
        <v>65</v>
      </c>
      <c r="E9" s="65">
        <v>62946</v>
      </c>
      <c r="F9" s="87">
        <v>56385</v>
      </c>
      <c r="G9" s="87">
        <v>57413</v>
      </c>
      <c r="H9" s="87">
        <v>56342</v>
      </c>
      <c r="I9" s="87">
        <v>53744</v>
      </c>
      <c r="J9" s="87">
        <v>49985</v>
      </c>
      <c r="K9" s="87">
        <v>48312</v>
      </c>
      <c r="L9" s="87">
        <v>46399</v>
      </c>
      <c r="M9" s="87">
        <v>39785</v>
      </c>
      <c r="N9" s="87">
        <v>44046</v>
      </c>
      <c r="O9" s="87">
        <v>38989</v>
      </c>
      <c r="P9" s="87">
        <v>41454</v>
      </c>
      <c r="Q9" s="87">
        <v>24443</v>
      </c>
    </row>
    <row r="10" spans="1:17" ht="30" customHeight="1">
      <c r="A10" s="238" t="s">
        <v>64</v>
      </c>
      <c r="B10" s="87">
        <v>21104</v>
      </c>
      <c r="C10" s="65">
        <v>21381</v>
      </c>
      <c r="D10" s="65">
        <v>20718</v>
      </c>
      <c r="E10" s="65">
        <v>20171</v>
      </c>
      <c r="F10" s="87">
        <v>20650</v>
      </c>
      <c r="G10" s="87">
        <v>17796</v>
      </c>
      <c r="H10" s="87">
        <v>17767</v>
      </c>
      <c r="I10" s="87">
        <v>17846</v>
      </c>
      <c r="J10" s="87">
        <v>16843</v>
      </c>
      <c r="K10" s="87">
        <v>16057</v>
      </c>
      <c r="L10" s="87">
        <v>16396</v>
      </c>
      <c r="M10" s="87">
        <v>15993</v>
      </c>
      <c r="N10" s="87">
        <v>13166</v>
      </c>
      <c r="O10" s="87">
        <v>13803</v>
      </c>
      <c r="P10" s="87">
        <v>14285</v>
      </c>
      <c r="Q10" s="87">
        <v>8474</v>
      </c>
    </row>
    <row r="11" spans="1:17" ht="5.0999999999999996" customHeight="1">
      <c r="A11" s="395"/>
      <c r="B11" s="396"/>
      <c r="C11" s="397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396"/>
      <c r="P11" s="396"/>
      <c r="Q11" s="396"/>
    </row>
    <row r="12" spans="1:17" s="4" customFormat="1" ht="11.1" customHeight="1">
      <c r="A12" s="406" t="s">
        <v>755</v>
      </c>
      <c r="B12" s="406"/>
      <c r="C12" s="406"/>
      <c r="D12" s="406"/>
      <c r="E12" s="406"/>
      <c r="F12" s="406"/>
      <c r="G12" s="406"/>
      <c r="H12" s="35"/>
      <c r="I12" s="35"/>
      <c r="J12" s="35"/>
      <c r="K12" s="35"/>
    </row>
    <row r="13" spans="1:17" ht="11.1" customHeight="1">
      <c r="A13" s="7" t="s">
        <v>63</v>
      </c>
      <c r="B13" s="8"/>
      <c r="C13" s="258"/>
      <c r="D13" s="258"/>
      <c r="E13" s="258"/>
    </row>
    <row r="14" spans="1:17">
      <c r="A14" s="721"/>
      <c r="B14" s="8"/>
      <c r="C14" s="8"/>
      <c r="D14" s="8"/>
      <c r="E14" s="8"/>
    </row>
    <row r="15" spans="1:17">
      <c r="A15" s="721"/>
      <c r="B15" s="22"/>
      <c r="C15" s="21"/>
      <c r="D15" s="21"/>
      <c r="E15" s="21"/>
    </row>
    <row r="16" spans="1:17">
      <c r="A16" s="22"/>
      <c r="C16" s="21"/>
      <c r="E16" s="21"/>
    </row>
    <row r="17" spans="2:5">
      <c r="C17" s="21"/>
      <c r="D17" s="21"/>
      <c r="E17" s="21"/>
    </row>
    <row r="18" spans="2:5">
      <c r="C18" s="21"/>
      <c r="D18" s="21"/>
      <c r="E18" s="21"/>
    </row>
    <row r="29" spans="2:5">
      <c r="B29" s="65">
        <v>40205</v>
      </c>
    </row>
  </sheetData>
  <mergeCells count="15">
    <mergeCell ref="A1:Q1"/>
    <mergeCell ref="Q3:Q4"/>
    <mergeCell ref="P3:P4"/>
    <mergeCell ref="A3:A4"/>
    <mergeCell ref="A14:A15"/>
    <mergeCell ref="O3:O4"/>
    <mergeCell ref="N3:N4"/>
    <mergeCell ref="M3:M4"/>
    <mergeCell ref="L3:L4"/>
    <mergeCell ref="K3:K4"/>
    <mergeCell ref="J3:J4"/>
    <mergeCell ref="I3:I4"/>
    <mergeCell ref="H3:H4"/>
    <mergeCell ref="G3:G4"/>
    <mergeCell ref="F3:F4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showGridLines="0" showOutlineSymbols="0" zoomScaleNormal="100" zoomScaleSheetLayoutView="120" workbookViewId="0">
      <pane xSplit="1" ySplit="106" topLeftCell="B107" activePane="bottomRight" state="frozen"/>
      <selection activeCell="I18" sqref="I18"/>
      <selection pane="topRight" activeCell="I18" sqref="I18"/>
      <selection pane="bottomLeft" activeCell="I18" sqref="I18"/>
      <selection pane="bottomRight" sqref="A1:M1"/>
    </sheetView>
  </sheetViews>
  <sheetFormatPr baseColWidth="10" defaultColWidth="11.42578125" defaultRowHeight="12.75"/>
  <cols>
    <col min="1" max="1" width="11.28515625" style="29" customWidth="1"/>
    <col min="2" max="2" width="5.28515625" style="4" customWidth="1"/>
    <col min="3" max="3" width="5.42578125" style="4" customWidth="1"/>
    <col min="4" max="4" width="7.140625" style="4" customWidth="1"/>
    <col min="5" max="6" width="6.85546875" style="4" customWidth="1"/>
    <col min="7" max="7" width="6.42578125" style="4" customWidth="1"/>
    <col min="8" max="8" width="9" style="4" customWidth="1"/>
    <col min="9" max="10" width="5.85546875" style="4" customWidth="1"/>
    <col min="11" max="11" width="6.85546875" style="4" customWidth="1"/>
    <col min="12" max="12" width="5.7109375" style="4" customWidth="1"/>
    <col min="13" max="13" width="6.85546875" style="4" customWidth="1"/>
    <col min="14" max="16384" width="11.42578125" style="4"/>
  </cols>
  <sheetData>
    <row r="1" spans="1:17" ht="13.5">
      <c r="A1" s="726" t="s">
        <v>799</v>
      </c>
      <c r="B1" s="726"/>
      <c r="C1" s="726"/>
      <c r="D1" s="726"/>
      <c r="E1" s="726"/>
      <c r="F1" s="726"/>
      <c r="G1" s="726"/>
      <c r="H1" s="726"/>
      <c r="I1" s="726"/>
      <c r="J1" s="726"/>
      <c r="K1" s="726"/>
      <c r="L1" s="726"/>
      <c r="M1" s="726"/>
    </row>
    <row r="2" spans="1:17" ht="11.25" customHeight="1">
      <c r="A2" s="726" t="s">
        <v>800</v>
      </c>
      <c r="B2" s="726"/>
      <c r="C2" s="726"/>
      <c r="D2" s="726"/>
      <c r="E2" s="726"/>
      <c r="F2" s="726"/>
      <c r="G2" s="726"/>
      <c r="H2" s="726"/>
      <c r="I2" s="726"/>
      <c r="J2" s="726"/>
      <c r="K2" s="726"/>
      <c r="L2" s="726"/>
      <c r="M2" s="726"/>
    </row>
    <row r="3" spans="1:17" ht="5.0999999999999996" customHeight="1"/>
    <row r="4" spans="1:17" ht="15.75" customHeight="1">
      <c r="A4" s="727" t="s">
        <v>811</v>
      </c>
      <c r="B4" s="729" t="s">
        <v>14</v>
      </c>
      <c r="C4" s="731" t="s">
        <v>645</v>
      </c>
      <c r="D4" s="732"/>
      <c r="E4" s="732"/>
      <c r="F4" s="732"/>
      <c r="G4" s="732"/>
      <c r="H4" s="732"/>
      <c r="I4" s="732"/>
      <c r="J4" s="732"/>
      <c r="K4" s="732"/>
      <c r="L4" s="732"/>
      <c r="M4" s="733"/>
      <c r="N4" s="438"/>
    </row>
    <row r="5" spans="1:17" ht="21" customHeight="1">
      <c r="A5" s="728"/>
      <c r="B5" s="730"/>
      <c r="C5" s="421" t="s">
        <v>637</v>
      </c>
      <c r="D5" s="421" t="s">
        <v>638</v>
      </c>
      <c r="E5" s="421" t="s">
        <v>639</v>
      </c>
      <c r="F5" s="421" t="s">
        <v>640</v>
      </c>
      <c r="G5" s="419" t="s">
        <v>37</v>
      </c>
      <c r="H5" s="421" t="s">
        <v>723</v>
      </c>
      <c r="I5" s="421" t="s">
        <v>641</v>
      </c>
      <c r="J5" s="421" t="s">
        <v>642</v>
      </c>
      <c r="K5" s="419" t="s">
        <v>48</v>
      </c>
      <c r="L5" s="421" t="s">
        <v>20</v>
      </c>
      <c r="M5" s="422" t="s">
        <v>21</v>
      </c>
    </row>
    <row r="6" spans="1:17" ht="15.75" hidden="1" customHeight="1">
      <c r="A6" s="15"/>
      <c r="B6" s="152"/>
      <c r="C6" s="109"/>
      <c r="D6" s="109"/>
      <c r="E6" s="109"/>
      <c r="F6" s="109"/>
      <c r="G6" s="109"/>
    </row>
    <row r="7" spans="1:17" ht="15.75" hidden="1" customHeight="1">
      <c r="A7" s="252">
        <v>2014</v>
      </c>
      <c r="B7" s="70"/>
      <c r="C7" s="67"/>
      <c r="D7" s="67"/>
      <c r="E7" s="67"/>
      <c r="F7" s="67"/>
      <c r="G7" s="67"/>
      <c r="H7" s="65"/>
      <c r="I7" s="65"/>
      <c r="J7" s="65"/>
      <c r="K7" s="65"/>
      <c r="L7" s="65"/>
      <c r="M7" s="65"/>
    </row>
    <row r="8" spans="1:17" ht="15.75" hidden="1" customHeight="1">
      <c r="A8" s="15" t="s">
        <v>29</v>
      </c>
      <c r="B8" s="112">
        <f t="shared" ref="B8:G8" si="0">B9+B15</f>
        <v>54443</v>
      </c>
      <c r="C8" s="112">
        <f t="shared" si="0"/>
        <v>11771</v>
      </c>
      <c r="D8" s="112">
        <f t="shared" si="0"/>
        <v>5013</v>
      </c>
      <c r="E8" s="112">
        <f t="shared" si="0"/>
        <v>2349</v>
      </c>
      <c r="F8" s="112">
        <f t="shared" si="0"/>
        <v>3037</v>
      </c>
      <c r="G8" s="112">
        <f t="shared" si="0"/>
        <v>2663</v>
      </c>
      <c r="H8" s="69">
        <f t="shared" ref="H8:M8" si="1">SUM(H9,H15)</f>
        <v>4352</v>
      </c>
      <c r="I8" s="69">
        <f t="shared" si="1"/>
        <v>1566</v>
      </c>
      <c r="J8" s="69">
        <f t="shared" si="1"/>
        <v>5467</v>
      </c>
      <c r="K8" s="69">
        <f t="shared" si="1"/>
        <v>14810</v>
      </c>
      <c r="L8" s="69">
        <f t="shared" si="1"/>
        <v>1927</v>
      </c>
      <c r="M8" s="69">
        <f t="shared" si="1"/>
        <v>1488</v>
      </c>
      <c r="Q8"/>
    </row>
    <row r="9" spans="1:17" ht="15.75" hidden="1" customHeight="1">
      <c r="A9" s="15" t="s">
        <v>30</v>
      </c>
      <c r="B9" s="112">
        <f t="shared" ref="B9:G9" si="2">SUM(B11:B13)</f>
        <v>50855</v>
      </c>
      <c r="C9" s="112">
        <f t="shared" si="2"/>
        <v>10982</v>
      </c>
      <c r="D9" s="112">
        <f t="shared" si="2"/>
        <v>4864</v>
      </c>
      <c r="E9" s="112">
        <f t="shared" si="2"/>
        <v>2166</v>
      </c>
      <c r="F9" s="112">
        <f t="shared" si="2"/>
        <v>2918</v>
      </c>
      <c r="G9" s="112">
        <f t="shared" si="2"/>
        <v>2563</v>
      </c>
      <c r="H9" s="210">
        <f t="shared" ref="H9:M9" si="3">SUM(H10:H14)</f>
        <v>4279</v>
      </c>
      <c r="I9" s="210">
        <f t="shared" si="3"/>
        <v>1551</v>
      </c>
      <c r="J9" s="210">
        <f t="shared" si="3"/>
        <v>5355</v>
      </c>
      <c r="K9" s="210">
        <f t="shared" si="3"/>
        <v>12877</v>
      </c>
      <c r="L9" s="210">
        <f t="shared" si="3"/>
        <v>1885</v>
      </c>
      <c r="M9" s="210">
        <f t="shared" si="3"/>
        <v>1415</v>
      </c>
      <c r="Q9"/>
    </row>
    <row r="10" spans="1:17" ht="15.75" hidden="1" customHeight="1">
      <c r="A10" s="16" t="s">
        <v>4</v>
      </c>
      <c r="B10" s="209">
        <f>SUM(C10:G10)</f>
        <v>0</v>
      </c>
      <c r="C10" s="107"/>
      <c r="D10" s="107"/>
      <c r="E10" s="107"/>
      <c r="F10" s="107"/>
      <c r="G10" s="107"/>
      <c r="H10" s="108"/>
      <c r="I10" s="108"/>
      <c r="J10" s="108"/>
      <c r="K10" s="108"/>
      <c r="L10" s="108"/>
      <c r="M10" s="108"/>
      <c r="Q10"/>
    </row>
    <row r="11" spans="1:17" ht="15.75" hidden="1" customHeight="1">
      <c r="A11" s="16" t="s">
        <v>31</v>
      </c>
      <c r="B11" s="70">
        <f>SUM(C11:M11)</f>
        <v>18667</v>
      </c>
      <c r="C11" s="70">
        <v>3951</v>
      </c>
      <c r="D11" s="70">
        <v>1687</v>
      </c>
      <c r="E11" s="70">
        <v>832</v>
      </c>
      <c r="F11" s="70">
        <v>1040</v>
      </c>
      <c r="G11" s="70">
        <v>871</v>
      </c>
      <c r="H11" s="65">
        <v>1410</v>
      </c>
      <c r="I11" s="65">
        <v>510</v>
      </c>
      <c r="J11" s="65">
        <v>1803</v>
      </c>
      <c r="K11" s="65">
        <v>5438</v>
      </c>
      <c r="L11" s="65">
        <v>606</v>
      </c>
      <c r="M11" s="65">
        <v>519</v>
      </c>
      <c r="Q11"/>
    </row>
    <row r="12" spans="1:17" ht="15.75" hidden="1" customHeight="1">
      <c r="A12" s="16" t="s">
        <v>32</v>
      </c>
      <c r="B12" s="70">
        <f>SUM(C12:M12)</f>
        <v>16821</v>
      </c>
      <c r="C12" s="70">
        <v>3759</v>
      </c>
      <c r="D12" s="70">
        <v>1626</v>
      </c>
      <c r="E12" s="70">
        <v>724</v>
      </c>
      <c r="F12" s="70">
        <v>937</v>
      </c>
      <c r="G12" s="70">
        <v>871</v>
      </c>
      <c r="H12" s="65">
        <v>1427</v>
      </c>
      <c r="I12" s="65">
        <v>510</v>
      </c>
      <c r="J12" s="65">
        <v>1774</v>
      </c>
      <c r="K12" s="65">
        <v>4058</v>
      </c>
      <c r="L12" s="65">
        <v>650</v>
      </c>
      <c r="M12" s="65">
        <v>485</v>
      </c>
      <c r="Q12"/>
    </row>
    <row r="13" spans="1:17" ht="15.75" hidden="1" customHeight="1">
      <c r="A13" s="16" t="s">
        <v>33</v>
      </c>
      <c r="B13" s="70">
        <f>SUM(C13:M13)</f>
        <v>15367</v>
      </c>
      <c r="C13" s="70">
        <v>3272</v>
      </c>
      <c r="D13" s="70">
        <v>1551</v>
      </c>
      <c r="E13" s="70">
        <v>610</v>
      </c>
      <c r="F13" s="70">
        <v>941</v>
      </c>
      <c r="G13" s="70">
        <v>821</v>
      </c>
      <c r="H13" s="65">
        <v>1442</v>
      </c>
      <c r="I13" s="65">
        <v>531</v>
      </c>
      <c r="J13" s="65">
        <v>1778</v>
      </c>
      <c r="K13" s="65">
        <v>3381</v>
      </c>
      <c r="L13" s="65">
        <v>629</v>
      </c>
      <c r="M13" s="65">
        <v>411</v>
      </c>
      <c r="Q13"/>
    </row>
    <row r="14" spans="1:17" ht="15.75" hidden="1" customHeight="1">
      <c r="A14" s="16" t="s">
        <v>34</v>
      </c>
      <c r="B14" s="108">
        <v>0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Q14"/>
    </row>
    <row r="15" spans="1:17" ht="15.75" hidden="1" customHeight="1">
      <c r="A15" s="15" t="s">
        <v>35</v>
      </c>
      <c r="B15" s="112">
        <f t="shared" ref="B15:M15" si="4">SUM(B16:B18)</f>
        <v>3588</v>
      </c>
      <c r="C15" s="112">
        <f t="shared" si="4"/>
        <v>789</v>
      </c>
      <c r="D15" s="112">
        <f t="shared" si="4"/>
        <v>149</v>
      </c>
      <c r="E15" s="112">
        <f t="shared" si="4"/>
        <v>183</v>
      </c>
      <c r="F15" s="112">
        <f t="shared" si="4"/>
        <v>119</v>
      </c>
      <c r="G15" s="112">
        <f t="shared" si="4"/>
        <v>100</v>
      </c>
      <c r="H15" s="69">
        <f t="shared" si="4"/>
        <v>73</v>
      </c>
      <c r="I15" s="69">
        <f t="shared" si="4"/>
        <v>15</v>
      </c>
      <c r="J15" s="69">
        <f t="shared" si="4"/>
        <v>112</v>
      </c>
      <c r="K15" s="69">
        <f t="shared" si="4"/>
        <v>1933</v>
      </c>
      <c r="L15" s="69">
        <f t="shared" si="4"/>
        <v>42</v>
      </c>
      <c r="M15" s="69">
        <f t="shared" si="4"/>
        <v>73</v>
      </c>
      <c r="Q15"/>
    </row>
    <row r="16" spans="1:17" ht="15.75" hidden="1" customHeight="1">
      <c r="A16" s="16" t="s">
        <v>31</v>
      </c>
      <c r="B16" s="70">
        <f>SUM(C16:M16)</f>
        <v>330</v>
      </c>
      <c r="C16" s="70">
        <v>69</v>
      </c>
      <c r="D16" s="70">
        <v>2</v>
      </c>
      <c r="E16" s="70">
        <v>13</v>
      </c>
      <c r="F16" s="70">
        <v>7</v>
      </c>
      <c r="G16" s="70">
        <v>10</v>
      </c>
      <c r="H16" s="65">
        <v>7</v>
      </c>
      <c r="I16" s="65">
        <v>1</v>
      </c>
      <c r="J16" s="65">
        <v>11</v>
      </c>
      <c r="K16" s="65">
        <v>196</v>
      </c>
      <c r="L16" s="65">
        <v>2</v>
      </c>
      <c r="M16" s="65">
        <v>12</v>
      </c>
      <c r="Q16"/>
    </row>
    <row r="17" spans="1:17" ht="15.75" hidden="1" customHeight="1">
      <c r="A17" s="16" t="s">
        <v>32</v>
      </c>
      <c r="B17" s="70">
        <f>SUM(C17:M17)</f>
        <v>1007</v>
      </c>
      <c r="C17" s="70">
        <v>174</v>
      </c>
      <c r="D17" s="70">
        <v>31</v>
      </c>
      <c r="E17" s="70">
        <v>81</v>
      </c>
      <c r="F17" s="70">
        <v>37</v>
      </c>
      <c r="G17" s="70">
        <v>28</v>
      </c>
      <c r="H17" s="65">
        <v>19</v>
      </c>
      <c r="I17" s="65">
        <v>5</v>
      </c>
      <c r="J17" s="65">
        <v>38</v>
      </c>
      <c r="K17" s="65">
        <v>569</v>
      </c>
      <c r="L17" s="65">
        <v>15</v>
      </c>
      <c r="M17" s="65">
        <v>10</v>
      </c>
      <c r="Q17"/>
    </row>
    <row r="18" spans="1:17" ht="15.75" hidden="1" customHeight="1">
      <c r="A18" s="16" t="s">
        <v>33</v>
      </c>
      <c r="B18" s="70">
        <f>SUM(C18:M18)</f>
        <v>2251</v>
      </c>
      <c r="C18" s="70">
        <v>546</v>
      </c>
      <c r="D18" s="70">
        <v>116</v>
      </c>
      <c r="E18" s="70">
        <v>89</v>
      </c>
      <c r="F18" s="70">
        <v>75</v>
      </c>
      <c r="G18" s="70">
        <v>62</v>
      </c>
      <c r="H18" s="65">
        <v>47</v>
      </c>
      <c r="I18" s="65">
        <v>9</v>
      </c>
      <c r="J18" s="65">
        <v>63</v>
      </c>
      <c r="K18" s="65">
        <v>1168</v>
      </c>
      <c r="L18" s="65">
        <v>25</v>
      </c>
      <c r="M18" s="65">
        <v>51</v>
      </c>
      <c r="Q18"/>
    </row>
    <row r="19" spans="1:17" ht="15.75" hidden="1" customHeight="1">
      <c r="A19" s="16"/>
      <c r="B19" s="70"/>
      <c r="C19" s="70"/>
      <c r="D19" s="70"/>
      <c r="E19" s="70"/>
      <c r="F19" s="70"/>
      <c r="G19" s="70"/>
      <c r="H19" s="65"/>
      <c r="I19" s="65"/>
      <c r="J19" s="65"/>
      <c r="K19" s="65"/>
      <c r="L19" s="65"/>
      <c r="M19" s="65"/>
      <c r="Q19"/>
    </row>
    <row r="20" spans="1:17" ht="15.75" hidden="1" customHeight="1">
      <c r="A20" s="252">
        <v>2015</v>
      </c>
      <c r="B20" s="70"/>
      <c r="C20" s="67"/>
      <c r="D20" s="67"/>
      <c r="E20" s="67"/>
      <c r="F20" s="67"/>
      <c r="G20" s="67"/>
      <c r="H20" s="65"/>
      <c r="I20" s="65"/>
      <c r="J20" s="65"/>
      <c r="K20" s="65"/>
      <c r="L20" s="65"/>
      <c r="M20" s="65"/>
    </row>
    <row r="21" spans="1:17" ht="15.75" hidden="1" customHeight="1">
      <c r="A21" s="15" t="s">
        <v>29</v>
      </c>
      <c r="B21" s="112">
        <f t="shared" ref="B21:G21" si="5">B22+B28</f>
        <v>62710</v>
      </c>
      <c r="C21" s="112">
        <f t="shared" si="5"/>
        <v>10683</v>
      </c>
      <c r="D21" s="112">
        <f t="shared" si="5"/>
        <v>4753</v>
      </c>
      <c r="E21" s="112">
        <f t="shared" si="5"/>
        <v>2345</v>
      </c>
      <c r="F21" s="112">
        <f t="shared" si="5"/>
        <v>2901</v>
      </c>
      <c r="G21" s="112">
        <f t="shared" si="5"/>
        <v>2651</v>
      </c>
      <c r="H21" s="69">
        <f t="shared" ref="H21:M21" si="6">SUM(H22,H28)</f>
        <v>4339</v>
      </c>
      <c r="I21" s="69">
        <f t="shared" si="6"/>
        <v>1586</v>
      </c>
      <c r="J21" s="69">
        <f t="shared" si="6"/>
        <v>5295</v>
      </c>
      <c r="K21" s="69">
        <f t="shared" si="6"/>
        <v>25144</v>
      </c>
      <c r="L21" s="69">
        <f t="shared" si="6"/>
        <v>1723</v>
      </c>
      <c r="M21" s="69">
        <f t="shared" si="6"/>
        <v>1290</v>
      </c>
      <c r="O21"/>
    </row>
    <row r="22" spans="1:17" ht="15.75" hidden="1" customHeight="1">
      <c r="A22" s="15" t="s">
        <v>30</v>
      </c>
      <c r="B22" s="112">
        <f t="shared" ref="B22:G22" si="7">SUM(B24:B26)</f>
        <v>54050</v>
      </c>
      <c r="C22" s="112">
        <f t="shared" si="7"/>
        <v>10070</v>
      </c>
      <c r="D22" s="112">
        <f t="shared" si="7"/>
        <v>4638</v>
      </c>
      <c r="E22" s="112">
        <f t="shared" si="7"/>
        <v>2197</v>
      </c>
      <c r="F22" s="112">
        <f t="shared" si="7"/>
        <v>2724</v>
      </c>
      <c r="G22" s="112">
        <f t="shared" si="7"/>
        <v>2571</v>
      </c>
      <c r="H22" s="210">
        <f t="shared" ref="H22:M22" si="8">SUM(H23:H27)</f>
        <v>4243</v>
      </c>
      <c r="I22" s="210">
        <f t="shared" si="8"/>
        <v>1557</v>
      </c>
      <c r="J22" s="210">
        <f t="shared" si="8"/>
        <v>5221</v>
      </c>
      <c r="K22" s="210">
        <f t="shared" si="8"/>
        <v>17920</v>
      </c>
      <c r="L22" s="210">
        <f t="shared" si="8"/>
        <v>1701</v>
      </c>
      <c r="M22" s="210">
        <f t="shared" si="8"/>
        <v>1208</v>
      </c>
      <c r="O22"/>
    </row>
    <row r="23" spans="1:17" ht="15.75" hidden="1" customHeight="1">
      <c r="A23" s="16" t="s">
        <v>4</v>
      </c>
      <c r="B23" s="209">
        <f>SUM(C23:G23)</f>
        <v>0</v>
      </c>
      <c r="C23" s="107"/>
      <c r="D23" s="107"/>
      <c r="E23" s="107"/>
      <c r="F23" s="107"/>
      <c r="G23" s="107"/>
      <c r="H23" s="108"/>
      <c r="I23" s="108"/>
      <c r="J23" s="108"/>
      <c r="K23" s="108"/>
      <c r="L23" s="108"/>
      <c r="M23" s="108"/>
      <c r="O23"/>
    </row>
    <row r="24" spans="1:17" ht="15.75" hidden="1" customHeight="1">
      <c r="A24" s="16" t="s">
        <v>31</v>
      </c>
      <c r="B24" s="70">
        <f>SUM(C24:M24)</f>
        <v>18565</v>
      </c>
      <c r="C24" s="4">
        <v>3418</v>
      </c>
      <c r="D24" s="4">
        <v>1562</v>
      </c>
      <c r="E24" s="4">
        <v>767</v>
      </c>
      <c r="F24" s="4">
        <v>1018</v>
      </c>
      <c r="G24" s="4">
        <v>853</v>
      </c>
      <c r="H24" s="4">
        <v>1305</v>
      </c>
      <c r="I24" s="4">
        <v>522</v>
      </c>
      <c r="J24" s="4">
        <v>1820</v>
      </c>
      <c r="K24" s="4">
        <v>6313</v>
      </c>
      <c r="L24" s="4">
        <v>575</v>
      </c>
      <c r="M24" s="4">
        <v>412</v>
      </c>
      <c r="O24"/>
    </row>
    <row r="25" spans="1:17" ht="15.75" hidden="1" customHeight="1">
      <c r="A25" s="16" t="s">
        <v>32</v>
      </c>
      <c r="B25" s="70">
        <f>SUM(C25:M25)</f>
        <v>18062</v>
      </c>
      <c r="C25" s="4">
        <v>3334</v>
      </c>
      <c r="D25" s="4">
        <v>1571</v>
      </c>
      <c r="E25" s="4">
        <v>724</v>
      </c>
      <c r="F25" s="4">
        <v>889</v>
      </c>
      <c r="G25" s="4">
        <v>840</v>
      </c>
      <c r="H25" s="4">
        <v>1426</v>
      </c>
      <c r="I25" s="4">
        <v>517</v>
      </c>
      <c r="J25" s="4">
        <v>1740</v>
      </c>
      <c r="K25" s="4">
        <v>6020</v>
      </c>
      <c r="L25" s="4">
        <v>597</v>
      </c>
      <c r="M25" s="4">
        <v>404</v>
      </c>
      <c r="O25"/>
    </row>
    <row r="26" spans="1:17" ht="15.75" hidden="1" customHeight="1">
      <c r="A26" s="16" t="s">
        <v>33</v>
      </c>
      <c r="B26" s="70">
        <f>SUM(C26:M26)</f>
        <v>17423</v>
      </c>
      <c r="C26" s="4">
        <v>3318</v>
      </c>
      <c r="D26" s="4">
        <v>1505</v>
      </c>
      <c r="E26" s="4">
        <v>706</v>
      </c>
      <c r="F26" s="4">
        <v>817</v>
      </c>
      <c r="G26" s="4">
        <v>878</v>
      </c>
      <c r="H26" s="4">
        <v>1512</v>
      </c>
      <c r="I26" s="4">
        <v>518</v>
      </c>
      <c r="J26" s="4">
        <v>1661</v>
      </c>
      <c r="K26" s="4">
        <v>5587</v>
      </c>
      <c r="L26" s="4">
        <v>529</v>
      </c>
      <c r="M26" s="4">
        <v>392</v>
      </c>
      <c r="O26"/>
    </row>
    <row r="27" spans="1:17" ht="15.75" hidden="1" customHeight="1">
      <c r="A27" s="16" t="s">
        <v>34</v>
      </c>
      <c r="B27" s="108">
        <v>0</v>
      </c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O27"/>
    </row>
    <row r="28" spans="1:17" ht="15.75" hidden="1" customHeight="1">
      <c r="A28" s="15" t="s">
        <v>35</v>
      </c>
      <c r="B28" s="112">
        <f t="shared" ref="B28:M28" si="9">SUM(B29:B31)</f>
        <v>8660</v>
      </c>
      <c r="C28" s="112">
        <f t="shared" si="9"/>
        <v>613</v>
      </c>
      <c r="D28" s="112">
        <f t="shared" si="9"/>
        <v>115</v>
      </c>
      <c r="E28" s="112">
        <f t="shared" si="9"/>
        <v>148</v>
      </c>
      <c r="F28" s="112">
        <f t="shared" si="9"/>
        <v>177</v>
      </c>
      <c r="G28" s="112">
        <f t="shared" si="9"/>
        <v>80</v>
      </c>
      <c r="H28" s="69">
        <f t="shared" si="9"/>
        <v>96</v>
      </c>
      <c r="I28" s="69">
        <f t="shared" si="9"/>
        <v>29</v>
      </c>
      <c r="J28" s="69">
        <f t="shared" si="9"/>
        <v>74</v>
      </c>
      <c r="K28" s="69">
        <f t="shared" si="9"/>
        <v>7224</v>
      </c>
      <c r="L28" s="69">
        <f t="shared" si="9"/>
        <v>22</v>
      </c>
      <c r="M28" s="69">
        <f t="shared" si="9"/>
        <v>82</v>
      </c>
      <c r="O28"/>
    </row>
    <row r="29" spans="1:17" ht="15.75" hidden="1" customHeight="1">
      <c r="A29" s="16" t="s">
        <v>31</v>
      </c>
      <c r="B29" s="70">
        <f>SUM(C29:M29)</f>
        <v>576</v>
      </c>
      <c r="C29" s="4">
        <v>86</v>
      </c>
      <c r="D29" s="4">
        <v>10</v>
      </c>
      <c r="E29" s="4">
        <v>19</v>
      </c>
      <c r="F29" s="4">
        <v>21</v>
      </c>
      <c r="G29" s="4">
        <v>12</v>
      </c>
      <c r="H29" s="4">
        <v>10</v>
      </c>
      <c r="I29" s="4">
        <v>3</v>
      </c>
      <c r="J29" s="4">
        <v>12</v>
      </c>
      <c r="K29" s="4">
        <v>388</v>
      </c>
      <c r="L29" s="4">
        <v>3</v>
      </c>
      <c r="M29" s="4">
        <v>12</v>
      </c>
      <c r="O29"/>
    </row>
    <row r="30" spans="1:17" ht="15.75" hidden="1" customHeight="1">
      <c r="A30" s="16" t="s">
        <v>32</v>
      </c>
      <c r="B30" s="70">
        <f>SUM(C30:M30)</f>
        <v>1312</v>
      </c>
      <c r="C30" s="4">
        <v>205</v>
      </c>
      <c r="D30" s="4">
        <v>40</v>
      </c>
      <c r="E30" s="4">
        <v>37</v>
      </c>
      <c r="F30" s="4">
        <v>55</v>
      </c>
      <c r="G30" s="4">
        <v>39</v>
      </c>
      <c r="H30" s="4">
        <v>26</v>
      </c>
      <c r="I30" s="4">
        <v>7</v>
      </c>
      <c r="J30" s="4">
        <v>13</v>
      </c>
      <c r="K30" s="4">
        <v>862</v>
      </c>
      <c r="L30" s="4">
        <v>4</v>
      </c>
      <c r="M30" s="4">
        <v>24</v>
      </c>
      <c r="O30"/>
    </row>
    <row r="31" spans="1:17" ht="15.75" hidden="1" customHeight="1">
      <c r="A31" s="16" t="s">
        <v>33</v>
      </c>
      <c r="B31" s="70">
        <f>SUM(C31:M31)</f>
        <v>6772</v>
      </c>
      <c r="C31" s="4">
        <v>322</v>
      </c>
      <c r="D31" s="4">
        <v>65</v>
      </c>
      <c r="E31" s="4">
        <v>92</v>
      </c>
      <c r="F31" s="4">
        <v>101</v>
      </c>
      <c r="G31" s="4">
        <v>29</v>
      </c>
      <c r="H31" s="4">
        <v>60</v>
      </c>
      <c r="I31" s="4">
        <v>19</v>
      </c>
      <c r="J31" s="4">
        <v>49</v>
      </c>
      <c r="K31" s="4">
        <v>5974</v>
      </c>
      <c r="L31" s="4">
        <v>15</v>
      </c>
      <c r="M31" s="4">
        <v>46</v>
      </c>
      <c r="O31"/>
    </row>
    <row r="32" spans="1:17" ht="15" hidden="1" customHeight="1">
      <c r="A32" s="16"/>
      <c r="B32" s="70"/>
      <c r="C32" s="70"/>
      <c r="D32" s="70"/>
      <c r="E32" s="70"/>
      <c r="F32" s="70"/>
      <c r="G32" s="70"/>
      <c r="H32" s="65"/>
      <c r="I32" s="65"/>
      <c r="J32" s="65"/>
      <c r="K32" s="65"/>
      <c r="L32" s="65"/>
      <c r="M32" s="65"/>
      <c r="O32"/>
    </row>
    <row r="33" spans="1:15" ht="15.75" hidden="1" customHeight="1">
      <c r="A33" s="252">
        <v>2016</v>
      </c>
      <c r="B33" s="70"/>
      <c r="C33" s="67"/>
      <c r="D33" s="67"/>
      <c r="E33" s="67"/>
      <c r="F33" s="67"/>
      <c r="G33" s="67"/>
      <c r="H33" s="65"/>
      <c r="I33" s="65"/>
      <c r="J33" s="65"/>
      <c r="K33" s="65"/>
      <c r="L33" s="65"/>
      <c r="M33" s="65"/>
    </row>
    <row r="34" spans="1:15" ht="15.75" hidden="1" customHeight="1">
      <c r="A34" s="15" t="s">
        <v>29</v>
      </c>
      <c r="B34" s="112">
        <f>B35+B41</f>
        <v>54874</v>
      </c>
      <c r="C34" s="112">
        <f>C35+C41</f>
        <v>10256</v>
      </c>
      <c r="D34" s="112">
        <f t="shared" ref="D34:M34" si="10">D35+D41</f>
        <v>4249</v>
      </c>
      <c r="E34" s="112">
        <f t="shared" si="10"/>
        <v>2521</v>
      </c>
      <c r="F34" s="112">
        <f t="shared" si="10"/>
        <v>2962</v>
      </c>
      <c r="G34" s="112">
        <f t="shared" si="10"/>
        <v>2593</v>
      </c>
      <c r="H34" s="112">
        <f t="shared" si="10"/>
        <v>3739</v>
      </c>
      <c r="I34" s="112">
        <f t="shared" si="10"/>
        <v>1458</v>
      </c>
      <c r="J34" s="112">
        <f t="shared" si="10"/>
        <v>4983</v>
      </c>
      <c r="K34" s="112">
        <f t="shared" si="10"/>
        <v>19075</v>
      </c>
      <c r="L34" s="112">
        <f t="shared" si="10"/>
        <v>1648</v>
      </c>
      <c r="M34" s="112">
        <f t="shared" si="10"/>
        <v>1390</v>
      </c>
    </row>
    <row r="35" spans="1:15" ht="15" hidden="1" customHeight="1">
      <c r="A35" s="257" t="s">
        <v>39</v>
      </c>
      <c r="B35" s="112">
        <f>SUM(B37:B39)</f>
        <v>50786</v>
      </c>
      <c r="C35" s="112">
        <f>SUM(C37:C39)</f>
        <v>9887</v>
      </c>
      <c r="D35" s="112">
        <f t="shared" ref="D35:M35" si="11">SUM(D37:D39)</f>
        <v>4133</v>
      </c>
      <c r="E35" s="112">
        <f t="shared" si="11"/>
        <v>2341</v>
      </c>
      <c r="F35" s="112">
        <f t="shared" si="11"/>
        <v>2814</v>
      </c>
      <c r="G35" s="112">
        <f t="shared" si="11"/>
        <v>2553</v>
      </c>
      <c r="H35" s="112">
        <f t="shared" si="11"/>
        <v>3642</v>
      </c>
      <c r="I35" s="112">
        <f t="shared" si="11"/>
        <v>1435</v>
      </c>
      <c r="J35" s="112">
        <f t="shared" si="11"/>
        <v>4926</v>
      </c>
      <c r="K35" s="112">
        <f t="shared" si="11"/>
        <v>16114</v>
      </c>
      <c r="L35" s="112">
        <f t="shared" si="11"/>
        <v>1621</v>
      </c>
      <c r="M35" s="112">
        <f t="shared" si="11"/>
        <v>1320</v>
      </c>
      <c r="N35" s="255"/>
    </row>
    <row r="36" spans="1:15" ht="15" hidden="1" customHeight="1">
      <c r="A36" s="16" t="s">
        <v>4</v>
      </c>
      <c r="B36" s="209"/>
      <c r="C36" s="107"/>
      <c r="D36" s="107"/>
      <c r="E36" s="107"/>
      <c r="F36" s="107"/>
      <c r="G36" s="107"/>
      <c r="H36" s="108"/>
      <c r="I36" s="108"/>
      <c r="J36" s="108"/>
      <c r="K36" s="108"/>
      <c r="L36" s="108"/>
      <c r="M36" s="108"/>
      <c r="O36"/>
    </row>
    <row r="37" spans="1:15" ht="15" hidden="1" customHeight="1">
      <c r="A37" s="16" t="s">
        <v>31</v>
      </c>
      <c r="B37" s="70">
        <f>SUM(C37:M37)</f>
        <v>17153</v>
      </c>
      <c r="C37" s="70">
        <v>3333</v>
      </c>
      <c r="D37" s="70">
        <v>1446</v>
      </c>
      <c r="E37" s="70">
        <v>835</v>
      </c>
      <c r="F37" s="70">
        <v>959</v>
      </c>
      <c r="G37" s="70">
        <v>837</v>
      </c>
      <c r="H37" s="70">
        <v>1187</v>
      </c>
      <c r="I37" s="70">
        <v>482</v>
      </c>
      <c r="J37" s="70">
        <v>1637</v>
      </c>
      <c r="K37" s="70">
        <v>5414</v>
      </c>
      <c r="L37" s="70">
        <v>552</v>
      </c>
      <c r="M37" s="70">
        <v>471</v>
      </c>
      <c r="O37"/>
    </row>
    <row r="38" spans="1:15" ht="15" hidden="1" customHeight="1">
      <c r="A38" s="16" t="s">
        <v>32</v>
      </c>
      <c r="B38" s="70">
        <f>SUM(C38:M38)</f>
        <v>16752</v>
      </c>
      <c r="C38" s="70">
        <v>3281</v>
      </c>
      <c r="D38" s="70">
        <v>1334</v>
      </c>
      <c r="E38" s="70">
        <v>794</v>
      </c>
      <c r="F38" s="70">
        <v>933</v>
      </c>
      <c r="G38" s="70">
        <v>858</v>
      </c>
      <c r="H38" s="70">
        <v>1180</v>
      </c>
      <c r="I38" s="70">
        <v>486</v>
      </c>
      <c r="J38" s="70">
        <v>1612</v>
      </c>
      <c r="K38" s="70">
        <v>5293</v>
      </c>
      <c r="L38" s="70">
        <v>549</v>
      </c>
      <c r="M38" s="70">
        <v>432</v>
      </c>
      <c r="O38"/>
    </row>
    <row r="39" spans="1:15" ht="15" hidden="1" customHeight="1">
      <c r="A39" s="16" t="s">
        <v>33</v>
      </c>
      <c r="B39" s="70">
        <f>SUM(C39:M39)</f>
        <v>16881</v>
      </c>
      <c r="C39" s="70">
        <v>3273</v>
      </c>
      <c r="D39" s="70">
        <v>1353</v>
      </c>
      <c r="E39" s="70">
        <v>712</v>
      </c>
      <c r="F39" s="70">
        <v>922</v>
      </c>
      <c r="G39" s="70">
        <v>858</v>
      </c>
      <c r="H39" s="70">
        <v>1275</v>
      </c>
      <c r="I39" s="70">
        <v>467</v>
      </c>
      <c r="J39" s="70">
        <v>1677</v>
      </c>
      <c r="K39" s="70">
        <v>5407</v>
      </c>
      <c r="L39" s="70">
        <v>520</v>
      </c>
      <c r="M39" s="70">
        <v>417</v>
      </c>
      <c r="O39"/>
    </row>
    <row r="40" spans="1:15" ht="15" hidden="1" customHeight="1">
      <c r="A40" s="16" t="s">
        <v>34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O40"/>
    </row>
    <row r="41" spans="1:15" ht="15" hidden="1" customHeight="1">
      <c r="A41" s="15" t="s">
        <v>397</v>
      </c>
      <c r="B41" s="112">
        <f>SUM(B42:B44)</f>
        <v>4088</v>
      </c>
      <c r="C41" s="112">
        <f>SUM(C42:C44)</f>
        <v>369</v>
      </c>
      <c r="D41" s="112">
        <f t="shared" ref="D41:M41" si="12">SUM(D42:D44)</f>
        <v>116</v>
      </c>
      <c r="E41" s="112">
        <f t="shared" si="12"/>
        <v>180</v>
      </c>
      <c r="F41" s="112">
        <f t="shared" si="12"/>
        <v>148</v>
      </c>
      <c r="G41" s="112">
        <f t="shared" si="12"/>
        <v>40</v>
      </c>
      <c r="H41" s="112">
        <f t="shared" si="12"/>
        <v>97</v>
      </c>
      <c r="I41" s="112">
        <f t="shared" si="12"/>
        <v>23</v>
      </c>
      <c r="J41" s="112">
        <f t="shared" si="12"/>
        <v>57</v>
      </c>
      <c r="K41" s="112">
        <f t="shared" si="12"/>
        <v>2961</v>
      </c>
      <c r="L41" s="112">
        <f t="shared" si="12"/>
        <v>27</v>
      </c>
      <c r="M41" s="112">
        <f t="shared" si="12"/>
        <v>70</v>
      </c>
      <c r="O41"/>
    </row>
    <row r="42" spans="1:15" ht="15" hidden="1" customHeight="1">
      <c r="A42" s="16" t="s">
        <v>31</v>
      </c>
      <c r="B42" s="70">
        <f>SUM(C42:M42)</f>
        <v>390</v>
      </c>
      <c r="C42" s="255">
        <v>55</v>
      </c>
      <c r="D42" s="255">
        <v>18</v>
      </c>
      <c r="E42" s="255">
        <v>30</v>
      </c>
      <c r="F42" s="255">
        <v>12</v>
      </c>
      <c r="G42" s="255">
        <v>7</v>
      </c>
      <c r="H42" s="255">
        <v>15</v>
      </c>
      <c r="I42" s="255">
        <v>2</v>
      </c>
      <c r="J42" s="255">
        <v>7</v>
      </c>
      <c r="K42" s="255">
        <v>228</v>
      </c>
      <c r="L42" s="28" t="s">
        <v>13</v>
      </c>
      <c r="M42" s="255">
        <v>16</v>
      </c>
      <c r="O42"/>
    </row>
    <row r="43" spans="1:15" ht="15" hidden="1" customHeight="1">
      <c r="A43" s="16" t="s">
        <v>32</v>
      </c>
      <c r="B43" s="70">
        <f>SUM(C43:M43)</f>
        <v>730</v>
      </c>
      <c r="C43" s="255">
        <v>109</v>
      </c>
      <c r="D43" s="255">
        <v>41</v>
      </c>
      <c r="E43" s="255">
        <v>52</v>
      </c>
      <c r="F43" s="255">
        <v>44</v>
      </c>
      <c r="G43" s="255">
        <v>17</v>
      </c>
      <c r="H43" s="255">
        <v>30</v>
      </c>
      <c r="I43" s="255">
        <v>7</v>
      </c>
      <c r="J43" s="255">
        <v>12</v>
      </c>
      <c r="K43" s="255">
        <v>395</v>
      </c>
      <c r="L43" s="255">
        <v>5</v>
      </c>
      <c r="M43" s="255">
        <v>18</v>
      </c>
      <c r="O43"/>
    </row>
    <row r="44" spans="1:15" ht="15" hidden="1" customHeight="1">
      <c r="A44" s="16" t="s">
        <v>33</v>
      </c>
      <c r="B44" s="70">
        <f>SUM(C44:M44)</f>
        <v>2968</v>
      </c>
      <c r="C44" s="255">
        <v>205</v>
      </c>
      <c r="D44" s="255">
        <v>57</v>
      </c>
      <c r="E44" s="255">
        <v>98</v>
      </c>
      <c r="F44" s="255">
        <v>92</v>
      </c>
      <c r="G44" s="255">
        <v>16</v>
      </c>
      <c r="H44" s="255">
        <v>52</v>
      </c>
      <c r="I44" s="255">
        <v>14</v>
      </c>
      <c r="J44" s="255">
        <v>38</v>
      </c>
      <c r="K44" s="255">
        <v>2338</v>
      </c>
      <c r="L44" s="255">
        <v>22</v>
      </c>
      <c r="M44" s="255">
        <v>36</v>
      </c>
      <c r="O44"/>
    </row>
    <row r="45" spans="1:15" ht="15" hidden="1" customHeight="1">
      <c r="A45" s="252">
        <v>2017</v>
      </c>
      <c r="B45" s="70"/>
      <c r="C45" s="67" t="s">
        <v>391</v>
      </c>
      <c r="D45" s="67"/>
      <c r="E45" s="67"/>
      <c r="F45" s="67"/>
      <c r="G45" s="67"/>
      <c r="H45" s="65"/>
      <c r="I45" s="65"/>
      <c r="J45" s="65"/>
      <c r="K45" s="65"/>
      <c r="L45" s="65"/>
      <c r="M45" s="65"/>
      <c r="O45"/>
    </row>
    <row r="46" spans="1:15" ht="15" hidden="1" customHeight="1">
      <c r="A46" s="15" t="s">
        <v>29</v>
      </c>
      <c r="B46" s="112">
        <f>B47+B53</f>
        <v>72232</v>
      </c>
      <c r="C46" s="112">
        <f t="shared" ref="C46:M46" si="13">C47+C53</f>
        <v>12075</v>
      </c>
      <c r="D46" s="112">
        <f t="shared" si="13"/>
        <v>4937</v>
      </c>
      <c r="E46" s="112">
        <f t="shared" si="13"/>
        <v>2921</v>
      </c>
      <c r="F46" s="112">
        <f t="shared" si="13"/>
        <v>3167</v>
      </c>
      <c r="G46" s="112">
        <f t="shared" si="13"/>
        <v>3528</v>
      </c>
      <c r="H46" s="112">
        <f t="shared" si="13"/>
        <v>5195</v>
      </c>
      <c r="I46" s="112">
        <f t="shared" si="13"/>
        <v>1968</v>
      </c>
      <c r="J46" s="112">
        <f t="shared" si="13"/>
        <v>6504</v>
      </c>
      <c r="K46" s="112">
        <f t="shared" si="13"/>
        <v>23510</v>
      </c>
      <c r="L46" s="112">
        <f t="shared" si="13"/>
        <v>2221</v>
      </c>
      <c r="M46" s="112">
        <f t="shared" si="13"/>
        <v>1790</v>
      </c>
      <c r="N46"/>
    </row>
    <row r="47" spans="1:15" ht="15" hidden="1" customHeight="1">
      <c r="A47" s="15" t="s">
        <v>39</v>
      </c>
      <c r="B47" s="112">
        <f>SUM(B49:B52)</f>
        <v>52298</v>
      </c>
      <c r="C47" s="112">
        <f>SUM(C49:C51)</f>
        <v>9244</v>
      </c>
      <c r="D47" s="112">
        <f t="shared" ref="D47:M47" si="14">SUM(D49:D51)</f>
        <v>3623</v>
      </c>
      <c r="E47" s="112">
        <f t="shared" si="14"/>
        <v>2125</v>
      </c>
      <c r="F47" s="112">
        <f t="shared" si="14"/>
        <v>2198</v>
      </c>
      <c r="G47" s="112">
        <f t="shared" si="14"/>
        <v>2649</v>
      </c>
      <c r="H47" s="112">
        <f t="shared" si="14"/>
        <v>3316</v>
      </c>
      <c r="I47" s="112">
        <f t="shared" si="14"/>
        <v>1228</v>
      </c>
      <c r="J47" s="112">
        <f>SUM(J49:J51)</f>
        <v>4316</v>
      </c>
      <c r="K47" s="112">
        <f t="shared" si="14"/>
        <v>16474</v>
      </c>
      <c r="L47" s="112">
        <f t="shared" si="14"/>
        <v>1617</v>
      </c>
      <c r="M47" s="112">
        <f t="shared" si="14"/>
        <v>1092</v>
      </c>
      <c r="N47"/>
    </row>
    <row r="48" spans="1:15" ht="15" hidden="1" customHeight="1">
      <c r="A48" s="16" t="s">
        <v>4</v>
      </c>
      <c r="B48" s="209"/>
      <c r="C48" s="107"/>
      <c r="E48" s="107"/>
      <c r="F48" s="107"/>
      <c r="G48" s="107"/>
      <c r="H48" s="108"/>
      <c r="I48" s="108"/>
      <c r="J48" s="108"/>
      <c r="K48" s="108"/>
      <c r="L48" s="108"/>
      <c r="M48" s="108"/>
      <c r="N48"/>
    </row>
    <row r="49" spans="1:17" ht="15" hidden="1" customHeight="1">
      <c r="A49" s="16" t="s">
        <v>31</v>
      </c>
      <c r="B49" s="70">
        <f>SUM(C49:M49)</f>
        <v>16479</v>
      </c>
      <c r="C49" s="70">
        <v>3214</v>
      </c>
      <c r="D49" s="70">
        <v>1101</v>
      </c>
      <c r="E49" s="70">
        <v>704</v>
      </c>
      <c r="F49" s="70">
        <v>737</v>
      </c>
      <c r="G49" s="70">
        <v>907</v>
      </c>
      <c r="H49" s="70">
        <v>1113</v>
      </c>
      <c r="I49" s="70">
        <v>372</v>
      </c>
      <c r="J49" s="70">
        <v>1447</v>
      </c>
      <c r="K49" s="70">
        <v>5934</v>
      </c>
      <c r="L49" s="70">
        <v>571</v>
      </c>
      <c r="M49" s="70">
        <v>379</v>
      </c>
      <c r="N49"/>
    </row>
    <row r="50" spans="1:17" ht="15" hidden="1" customHeight="1">
      <c r="A50" s="16" t="s">
        <v>32</v>
      </c>
      <c r="B50" s="70">
        <f>SUM(C50:M50)</f>
        <v>15976</v>
      </c>
      <c r="C50" s="70">
        <v>3090</v>
      </c>
      <c r="D50" s="70">
        <v>1267</v>
      </c>
      <c r="E50" s="70">
        <v>719</v>
      </c>
      <c r="F50" s="70">
        <v>741</v>
      </c>
      <c r="G50" s="70">
        <v>831</v>
      </c>
      <c r="H50" s="70">
        <v>1111</v>
      </c>
      <c r="I50" s="70">
        <v>407</v>
      </c>
      <c r="J50" s="70">
        <v>1432</v>
      </c>
      <c r="K50" s="70">
        <v>5478</v>
      </c>
      <c r="L50" s="70">
        <v>539</v>
      </c>
      <c r="M50" s="70">
        <v>361</v>
      </c>
      <c r="N50"/>
    </row>
    <row r="51" spans="1:17" ht="15" hidden="1" customHeight="1">
      <c r="A51" s="16" t="s">
        <v>33</v>
      </c>
      <c r="B51" s="70">
        <f>SUM(C51:M51)</f>
        <v>15427</v>
      </c>
      <c r="C51" s="70">
        <v>2940</v>
      </c>
      <c r="D51" s="70">
        <v>1255</v>
      </c>
      <c r="E51" s="70">
        <v>702</v>
      </c>
      <c r="F51" s="70">
        <v>720</v>
      </c>
      <c r="G51" s="70">
        <v>911</v>
      </c>
      <c r="H51" s="70">
        <v>1092</v>
      </c>
      <c r="I51" s="70">
        <v>449</v>
      </c>
      <c r="J51" s="70">
        <v>1437</v>
      </c>
      <c r="K51" s="70">
        <v>5062</v>
      </c>
      <c r="L51" s="70">
        <v>507</v>
      </c>
      <c r="M51" s="70">
        <v>352</v>
      </c>
      <c r="N51"/>
    </row>
    <row r="52" spans="1:17" ht="15" hidden="1" customHeight="1">
      <c r="A52" s="16" t="s">
        <v>34</v>
      </c>
      <c r="B52" s="70">
        <f>SUM(C52:M52)</f>
        <v>4416</v>
      </c>
      <c r="C52" s="70">
        <v>1153</v>
      </c>
      <c r="D52" s="70">
        <v>621</v>
      </c>
      <c r="E52" s="70">
        <v>793</v>
      </c>
      <c r="F52" s="70">
        <v>357</v>
      </c>
      <c r="G52" s="70">
        <v>268</v>
      </c>
      <c r="H52" s="70">
        <v>464</v>
      </c>
      <c r="I52" s="70">
        <v>13</v>
      </c>
      <c r="J52" s="70">
        <v>125</v>
      </c>
      <c r="K52" s="70">
        <v>0</v>
      </c>
      <c r="L52" s="70">
        <v>586</v>
      </c>
      <c r="M52" s="70">
        <v>36</v>
      </c>
      <c r="N52"/>
    </row>
    <row r="53" spans="1:17" ht="15" hidden="1" customHeight="1">
      <c r="A53" s="15" t="s">
        <v>397</v>
      </c>
      <c r="B53" s="112">
        <f>SUM(B54:B56)</f>
        <v>19934</v>
      </c>
      <c r="C53" s="256">
        <f t="shared" ref="C53:M53" si="15">SUM(C54:C56)</f>
        <v>2831</v>
      </c>
      <c r="D53" s="256">
        <f t="shared" si="15"/>
        <v>1314</v>
      </c>
      <c r="E53" s="256">
        <f t="shared" si="15"/>
        <v>796</v>
      </c>
      <c r="F53" s="256">
        <f t="shared" si="15"/>
        <v>969</v>
      </c>
      <c r="G53" s="256">
        <f t="shared" si="15"/>
        <v>879</v>
      </c>
      <c r="H53" s="256">
        <f t="shared" si="15"/>
        <v>1879</v>
      </c>
      <c r="I53" s="256">
        <f t="shared" si="15"/>
        <v>740</v>
      </c>
      <c r="J53" s="256">
        <f t="shared" si="15"/>
        <v>2188</v>
      </c>
      <c r="K53" s="256">
        <f t="shared" si="15"/>
        <v>7036</v>
      </c>
      <c r="L53" s="256">
        <f t="shared" si="15"/>
        <v>604</v>
      </c>
      <c r="M53" s="256">
        <f t="shared" si="15"/>
        <v>698</v>
      </c>
      <c r="N53"/>
    </row>
    <row r="54" spans="1:17" ht="15" hidden="1" customHeight="1">
      <c r="A54" s="16" t="s">
        <v>31</v>
      </c>
      <c r="B54" s="70">
        <f>SUM(C54:M54)</f>
        <v>17571</v>
      </c>
      <c r="C54" s="70">
        <v>2582</v>
      </c>
      <c r="D54" s="70">
        <v>1190</v>
      </c>
      <c r="E54" s="70">
        <v>697</v>
      </c>
      <c r="F54" s="70">
        <v>934</v>
      </c>
      <c r="G54" s="70">
        <v>783</v>
      </c>
      <c r="H54" s="70">
        <v>1812</v>
      </c>
      <c r="I54" s="70">
        <v>702</v>
      </c>
      <c r="J54" s="70">
        <v>2122</v>
      </c>
      <c r="K54" s="70">
        <v>5559</v>
      </c>
      <c r="L54" s="70">
        <v>559</v>
      </c>
      <c r="M54" s="70">
        <v>631</v>
      </c>
      <c r="N54"/>
    </row>
    <row r="55" spans="1:17" ht="15" hidden="1" customHeight="1">
      <c r="A55" s="16" t="s">
        <v>32</v>
      </c>
      <c r="B55" s="70">
        <f>SUM(C55:M55)</f>
        <v>535</v>
      </c>
      <c r="C55" s="70">
        <v>76</v>
      </c>
      <c r="D55" s="70">
        <v>39</v>
      </c>
      <c r="E55" s="70">
        <v>24</v>
      </c>
      <c r="F55" s="70">
        <v>13</v>
      </c>
      <c r="G55" s="70">
        <v>37</v>
      </c>
      <c r="H55" s="70">
        <v>17</v>
      </c>
      <c r="I55" s="70">
        <v>13</v>
      </c>
      <c r="J55" s="70">
        <v>11</v>
      </c>
      <c r="K55" s="70">
        <v>263</v>
      </c>
      <c r="L55" s="70">
        <v>12</v>
      </c>
      <c r="M55" s="70">
        <v>30</v>
      </c>
      <c r="N55"/>
    </row>
    <row r="56" spans="1:17" ht="15" hidden="1" customHeight="1">
      <c r="A56" s="16" t="s">
        <v>33</v>
      </c>
      <c r="B56" s="70">
        <f>SUM(C56:M56)</f>
        <v>1828</v>
      </c>
      <c r="C56" s="70">
        <v>173</v>
      </c>
      <c r="D56" s="70">
        <v>85</v>
      </c>
      <c r="E56" s="70">
        <v>75</v>
      </c>
      <c r="F56" s="70">
        <v>22</v>
      </c>
      <c r="G56" s="70">
        <v>59</v>
      </c>
      <c r="H56" s="70">
        <v>50</v>
      </c>
      <c r="I56" s="70">
        <v>25</v>
      </c>
      <c r="J56" s="70">
        <v>55</v>
      </c>
      <c r="K56" s="70">
        <v>1214</v>
      </c>
      <c r="L56" s="70">
        <v>33</v>
      </c>
      <c r="M56" s="70">
        <v>37</v>
      </c>
      <c r="N56"/>
    </row>
    <row r="57" spans="1:17" ht="14.25" hidden="1" customHeight="1">
      <c r="A57" s="252">
        <v>2014</v>
      </c>
      <c r="B57" s="70"/>
      <c r="C57" s="67"/>
      <c r="D57" s="67"/>
      <c r="E57" s="67"/>
      <c r="F57" s="67"/>
      <c r="G57" s="67"/>
      <c r="H57" s="65"/>
      <c r="I57" s="65"/>
      <c r="J57" s="65"/>
      <c r="K57" s="65"/>
      <c r="L57" s="65"/>
      <c r="M57" s="65"/>
    </row>
    <row r="58" spans="1:17" ht="14.25" hidden="1" customHeight="1">
      <c r="A58" s="15" t="s">
        <v>29</v>
      </c>
      <c r="B58" s="112">
        <f t="shared" ref="B58:G58" si="16">B59+B65</f>
        <v>54443</v>
      </c>
      <c r="C58" s="112">
        <f t="shared" si="16"/>
        <v>11771</v>
      </c>
      <c r="D58" s="112">
        <f t="shared" si="16"/>
        <v>5013</v>
      </c>
      <c r="E58" s="112">
        <f t="shared" si="16"/>
        <v>2349</v>
      </c>
      <c r="F58" s="112">
        <f t="shared" si="16"/>
        <v>3037</v>
      </c>
      <c r="G58" s="112">
        <f t="shared" si="16"/>
        <v>2663</v>
      </c>
      <c r="H58" s="69">
        <f t="shared" ref="H58:M58" si="17">SUM(H59,H65)</f>
        <v>4352</v>
      </c>
      <c r="I58" s="69">
        <f t="shared" si="17"/>
        <v>1566</v>
      </c>
      <c r="J58" s="69">
        <f t="shared" si="17"/>
        <v>5467</v>
      </c>
      <c r="K58" s="69">
        <f t="shared" si="17"/>
        <v>14810</v>
      </c>
      <c r="L58" s="69">
        <f t="shared" si="17"/>
        <v>1927</v>
      </c>
      <c r="M58" s="69">
        <f t="shared" si="17"/>
        <v>1488</v>
      </c>
      <c r="Q58"/>
    </row>
    <row r="59" spans="1:17" ht="14.25" hidden="1" customHeight="1">
      <c r="A59" s="15" t="s">
        <v>30</v>
      </c>
      <c r="B59" s="112">
        <f t="shared" ref="B59:G59" si="18">SUM(B61:B63)</f>
        <v>50855</v>
      </c>
      <c r="C59" s="112">
        <f t="shared" si="18"/>
        <v>10982</v>
      </c>
      <c r="D59" s="112">
        <f t="shared" si="18"/>
        <v>4864</v>
      </c>
      <c r="E59" s="112">
        <f t="shared" si="18"/>
        <v>2166</v>
      </c>
      <c r="F59" s="112">
        <f t="shared" si="18"/>
        <v>2918</v>
      </c>
      <c r="G59" s="112">
        <f t="shared" si="18"/>
        <v>2563</v>
      </c>
      <c r="H59" s="210">
        <f t="shared" ref="H59:M59" si="19">SUM(H60:H64)</f>
        <v>4279</v>
      </c>
      <c r="I59" s="210">
        <f t="shared" si="19"/>
        <v>1551</v>
      </c>
      <c r="J59" s="210">
        <f t="shared" si="19"/>
        <v>5355</v>
      </c>
      <c r="K59" s="210">
        <f t="shared" si="19"/>
        <v>12877</v>
      </c>
      <c r="L59" s="210">
        <f t="shared" si="19"/>
        <v>1885</v>
      </c>
      <c r="M59" s="210">
        <f t="shared" si="19"/>
        <v>1415</v>
      </c>
      <c r="Q59"/>
    </row>
    <row r="60" spans="1:17" ht="14.25" hidden="1" customHeight="1">
      <c r="A60" s="16" t="s">
        <v>4</v>
      </c>
      <c r="B60" s="209">
        <f>SUM(C60:G60)</f>
        <v>0</v>
      </c>
      <c r="C60" s="107"/>
      <c r="D60" s="107"/>
      <c r="E60" s="107"/>
      <c r="F60" s="107"/>
      <c r="G60" s="107"/>
      <c r="H60" s="108"/>
      <c r="I60" s="108"/>
      <c r="J60" s="108"/>
      <c r="K60" s="108"/>
      <c r="L60" s="108"/>
      <c r="M60" s="108"/>
      <c r="Q60"/>
    </row>
    <row r="61" spans="1:17" ht="14.25" hidden="1" customHeight="1">
      <c r="A61" s="16" t="s">
        <v>31</v>
      </c>
      <c r="B61" s="70">
        <f>SUM(C61:M61)</f>
        <v>18667</v>
      </c>
      <c r="C61" s="70">
        <v>3951</v>
      </c>
      <c r="D61" s="70">
        <v>1687</v>
      </c>
      <c r="E61" s="70">
        <v>832</v>
      </c>
      <c r="F61" s="70">
        <v>1040</v>
      </c>
      <c r="G61" s="70">
        <v>871</v>
      </c>
      <c r="H61" s="65">
        <v>1410</v>
      </c>
      <c r="I61" s="65">
        <v>510</v>
      </c>
      <c r="J61" s="65">
        <v>1803</v>
      </c>
      <c r="K61" s="65">
        <v>5438</v>
      </c>
      <c r="L61" s="65">
        <v>606</v>
      </c>
      <c r="M61" s="65">
        <v>519</v>
      </c>
      <c r="Q61"/>
    </row>
    <row r="62" spans="1:17" ht="14.25" hidden="1" customHeight="1">
      <c r="A62" s="16" t="s">
        <v>32</v>
      </c>
      <c r="B62" s="70">
        <f>SUM(C62:M62)</f>
        <v>16821</v>
      </c>
      <c r="C62" s="70">
        <v>3759</v>
      </c>
      <c r="D62" s="70">
        <v>1626</v>
      </c>
      <c r="E62" s="70">
        <v>724</v>
      </c>
      <c r="F62" s="70">
        <v>937</v>
      </c>
      <c r="G62" s="70">
        <v>871</v>
      </c>
      <c r="H62" s="65">
        <v>1427</v>
      </c>
      <c r="I62" s="65">
        <v>510</v>
      </c>
      <c r="J62" s="65">
        <v>1774</v>
      </c>
      <c r="K62" s="65">
        <v>4058</v>
      </c>
      <c r="L62" s="65">
        <v>650</v>
      </c>
      <c r="M62" s="65">
        <v>485</v>
      </c>
      <c r="Q62"/>
    </row>
    <row r="63" spans="1:17" ht="14.25" hidden="1" customHeight="1">
      <c r="A63" s="16" t="s">
        <v>33</v>
      </c>
      <c r="B63" s="70">
        <f>SUM(C63:M63)</f>
        <v>15367</v>
      </c>
      <c r="C63" s="70">
        <v>3272</v>
      </c>
      <c r="D63" s="70">
        <v>1551</v>
      </c>
      <c r="E63" s="70">
        <v>610</v>
      </c>
      <c r="F63" s="70">
        <v>941</v>
      </c>
      <c r="G63" s="70">
        <v>821</v>
      </c>
      <c r="H63" s="65">
        <v>1442</v>
      </c>
      <c r="I63" s="65">
        <v>531</v>
      </c>
      <c r="J63" s="65">
        <v>1778</v>
      </c>
      <c r="K63" s="65">
        <v>3381</v>
      </c>
      <c r="L63" s="65">
        <v>629</v>
      </c>
      <c r="M63" s="65">
        <v>411</v>
      </c>
      <c r="Q63"/>
    </row>
    <row r="64" spans="1:17" ht="14.25" hidden="1" customHeight="1">
      <c r="A64" s="16" t="s">
        <v>34</v>
      </c>
      <c r="B64" s="108">
        <v>0</v>
      </c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Q64"/>
    </row>
    <row r="65" spans="1:17" ht="14.25" hidden="1" customHeight="1">
      <c r="A65" s="15" t="s">
        <v>35</v>
      </c>
      <c r="B65" s="112">
        <f t="shared" ref="B65:M65" si="20">SUM(B66:B68)</f>
        <v>3588</v>
      </c>
      <c r="C65" s="112">
        <f t="shared" si="20"/>
        <v>789</v>
      </c>
      <c r="D65" s="112">
        <f t="shared" si="20"/>
        <v>149</v>
      </c>
      <c r="E65" s="112">
        <f t="shared" si="20"/>
        <v>183</v>
      </c>
      <c r="F65" s="112">
        <f t="shared" si="20"/>
        <v>119</v>
      </c>
      <c r="G65" s="112">
        <f t="shared" si="20"/>
        <v>100</v>
      </c>
      <c r="H65" s="69">
        <f t="shared" si="20"/>
        <v>73</v>
      </c>
      <c r="I65" s="69">
        <f t="shared" si="20"/>
        <v>15</v>
      </c>
      <c r="J65" s="69">
        <f t="shared" si="20"/>
        <v>112</v>
      </c>
      <c r="K65" s="69">
        <f t="shared" si="20"/>
        <v>1933</v>
      </c>
      <c r="L65" s="69">
        <f t="shared" si="20"/>
        <v>42</v>
      </c>
      <c r="M65" s="69">
        <f t="shared" si="20"/>
        <v>73</v>
      </c>
      <c r="Q65"/>
    </row>
    <row r="66" spans="1:17" ht="14.25" hidden="1" customHeight="1">
      <c r="A66" s="16" t="s">
        <v>31</v>
      </c>
      <c r="B66" s="70">
        <f>SUM(C66:M66)</f>
        <v>330</v>
      </c>
      <c r="C66" s="70">
        <v>69</v>
      </c>
      <c r="D66" s="70">
        <v>2</v>
      </c>
      <c r="E66" s="70">
        <v>13</v>
      </c>
      <c r="F66" s="70">
        <v>7</v>
      </c>
      <c r="G66" s="70">
        <v>10</v>
      </c>
      <c r="H66" s="65">
        <v>7</v>
      </c>
      <c r="I66" s="65">
        <v>1</v>
      </c>
      <c r="J66" s="65">
        <v>11</v>
      </c>
      <c r="K66" s="65">
        <v>196</v>
      </c>
      <c r="L66" s="65">
        <v>2</v>
      </c>
      <c r="M66" s="65">
        <v>12</v>
      </c>
      <c r="Q66"/>
    </row>
    <row r="67" spans="1:17" ht="14.25" hidden="1" customHeight="1">
      <c r="A67" s="16" t="s">
        <v>32</v>
      </c>
      <c r="B67" s="70">
        <f>SUM(C67:M67)</f>
        <v>1007</v>
      </c>
      <c r="C67" s="70">
        <v>174</v>
      </c>
      <c r="D67" s="70">
        <v>31</v>
      </c>
      <c r="E67" s="70">
        <v>81</v>
      </c>
      <c r="F67" s="70">
        <v>37</v>
      </c>
      <c r="G67" s="70">
        <v>28</v>
      </c>
      <c r="H67" s="65">
        <v>19</v>
      </c>
      <c r="I67" s="65">
        <v>5</v>
      </c>
      <c r="J67" s="65">
        <v>38</v>
      </c>
      <c r="K67" s="65">
        <v>569</v>
      </c>
      <c r="L67" s="65">
        <v>15</v>
      </c>
      <c r="M67" s="65">
        <v>10</v>
      </c>
      <c r="Q67"/>
    </row>
    <row r="68" spans="1:17" ht="14.25" hidden="1" customHeight="1">
      <c r="A68" s="16" t="s">
        <v>33</v>
      </c>
      <c r="B68" s="70">
        <f>SUM(C68:M68)</f>
        <v>2251</v>
      </c>
      <c r="C68" s="70">
        <v>546</v>
      </c>
      <c r="D68" s="70">
        <v>116</v>
      </c>
      <c r="E68" s="70">
        <v>89</v>
      </c>
      <c r="F68" s="70">
        <v>75</v>
      </c>
      <c r="G68" s="70">
        <v>62</v>
      </c>
      <c r="H68" s="65">
        <v>47</v>
      </c>
      <c r="I68" s="65">
        <v>9</v>
      </c>
      <c r="J68" s="65">
        <v>63</v>
      </c>
      <c r="K68" s="65">
        <v>1168</v>
      </c>
      <c r="L68" s="65">
        <v>25</v>
      </c>
      <c r="M68" s="65">
        <v>51</v>
      </c>
      <c r="Q68"/>
    </row>
    <row r="69" spans="1:17" ht="14.25" hidden="1" customHeight="1">
      <c r="A69" s="16"/>
      <c r="B69" s="70"/>
      <c r="C69" s="70"/>
      <c r="D69" s="70"/>
      <c r="E69" s="70"/>
      <c r="F69" s="70"/>
      <c r="G69" s="70"/>
      <c r="H69" s="65"/>
      <c r="I69" s="65"/>
      <c r="J69" s="65"/>
      <c r="K69" s="65"/>
      <c r="L69" s="65"/>
      <c r="M69" s="65"/>
      <c r="Q69"/>
    </row>
    <row r="70" spans="1:17" ht="14.25" hidden="1" customHeight="1">
      <c r="A70" s="252">
        <v>2015</v>
      </c>
      <c r="B70" s="70"/>
      <c r="C70" s="67"/>
      <c r="D70" s="67"/>
      <c r="E70" s="67"/>
      <c r="F70" s="67"/>
      <c r="G70" s="67"/>
      <c r="H70" s="65"/>
      <c r="I70" s="65"/>
      <c r="J70" s="65"/>
      <c r="K70" s="65"/>
      <c r="L70" s="65"/>
      <c r="M70" s="65"/>
    </row>
    <row r="71" spans="1:17" ht="14.25" hidden="1" customHeight="1">
      <c r="A71" s="15" t="s">
        <v>29</v>
      </c>
      <c r="B71" s="112">
        <f t="shared" ref="B71:G71" si="21">B72+B78</f>
        <v>62710</v>
      </c>
      <c r="C71" s="112">
        <f t="shared" si="21"/>
        <v>10683</v>
      </c>
      <c r="D71" s="112">
        <f t="shared" si="21"/>
        <v>4753</v>
      </c>
      <c r="E71" s="112">
        <f t="shared" si="21"/>
        <v>2345</v>
      </c>
      <c r="F71" s="112">
        <f t="shared" si="21"/>
        <v>2901</v>
      </c>
      <c r="G71" s="112">
        <f t="shared" si="21"/>
        <v>2651</v>
      </c>
      <c r="H71" s="69">
        <f t="shared" ref="H71:M71" si="22">SUM(H72,H78)</f>
        <v>4339</v>
      </c>
      <c r="I71" s="69">
        <f t="shared" si="22"/>
        <v>1586</v>
      </c>
      <c r="J71" s="69">
        <f t="shared" si="22"/>
        <v>5295</v>
      </c>
      <c r="K71" s="69">
        <f t="shared" si="22"/>
        <v>25144</v>
      </c>
      <c r="L71" s="69">
        <f t="shared" si="22"/>
        <v>1723</v>
      </c>
      <c r="M71" s="69">
        <f t="shared" si="22"/>
        <v>1290</v>
      </c>
      <c r="O71"/>
    </row>
    <row r="72" spans="1:17" ht="14.25" hidden="1" customHeight="1">
      <c r="A72" s="15" t="s">
        <v>30</v>
      </c>
      <c r="B72" s="112">
        <f t="shared" ref="B72:G72" si="23">SUM(B74:B76)</f>
        <v>54050</v>
      </c>
      <c r="C72" s="112">
        <f t="shared" si="23"/>
        <v>10070</v>
      </c>
      <c r="D72" s="112">
        <f t="shared" si="23"/>
        <v>4638</v>
      </c>
      <c r="E72" s="112">
        <f t="shared" si="23"/>
        <v>2197</v>
      </c>
      <c r="F72" s="112">
        <f t="shared" si="23"/>
        <v>2724</v>
      </c>
      <c r="G72" s="112">
        <f t="shared" si="23"/>
        <v>2571</v>
      </c>
      <c r="H72" s="210">
        <f t="shared" ref="H72:M72" si="24">SUM(H73:H77)</f>
        <v>4243</v>
      </c>
      <c r="I72" s="210">
        <f t="shared" si="24"/>
        <v>1557</v>
      </c>
      <c r="J72" s="210">
        <f t="shared" si="24"/>
        <v>5221</v>
      </c>
      <c r="K72" s="210">
        <f t="shared" si="24"/>
        <v>17920</v>
      </c>
      <c r="L72" s="210">
        <f t="shared" si="24"/>
        <v>1701</v>
      </c>
      <c r="M72" s="210">
        <f t="shared" si="24"/>
        <v>1208</v>
      </c>
      <c r="O72"/>
    </row>
    <row r="73" spans="1:17" ht="14.25" hidden="1" customHeight="1">
      <c r="A73" s="16" t="s">
        <v>4</v>
      </c>
      <c r="B73" s="209">
        <f>SUM(C73:G73)</f>
        <v>0</v>
      </c>
      <c r="C73" s="107"/>
      <c r="D73" s="107"/>
      <c r="E73" s="107"/>
      <c r="F73" s="107"/>
      <c r="G73" s="107"/>
      <c r="H73" s="108"/>
      <c r="I73" s="108"/>
      <c r="J73" s="108"/>
      <c r="K73" s="108"/>
      <c r="L73" s="108"/>
      <c r="M73" s="108"/>
      <c r="O73"/>
    </row>
    <row r="74" spans="1:17" ht="14.25" hidden="1" customHeight="1">
      <c r="A74" s="16" t="s">
        <v>31</v>
      </c>
      <c r="B74" s="70">
        <f>SUM(C74:M74)</f>
        <v>18565</v>
      </c>
      <c r="C74" s="4">
        <v>3418</v>
      </c>
      <c r="D74" s="4">
        <v>1562</v>
      </c>
      <c r="E74" s="4">
        <v>767</v>
      </c>
      <c r="F74" s="4">
        <v>1018</v>
      </c>
      <c r="G74" s="4">
        <v>853</v>
      </c>
      <c r="H74" s="4">
        <v>1305</v>
      </c>
      <c r="I74" s="4">
        <v>522</v>
      </c>
      <c r="J74" s="4">
        <v>1820</v>
      </c>
      <c r="K74" s="4">
        <v>6313</v>
      </c>
      <c r="L74" s="4">
        <v>575</v>
      </c>
      <c r="M74" s="4">
        <v>412</v>
      </c>
      <c r="O74"/>
    </row>
    <row r="75" spans="1:17" ht="14.25" hidden="1" customHeight="1">
      <c r="A75" s="16" t="s">
        <v>32</v>
      </c>
      <c r="B75" s="70">
        <f>SUM(C75:M75)</f>
        <v>18062</v>
      </c>
      <c r="C75" s="4">
        <v>3334</v>
      </c>
      <c r="D75" s="4">
        <v>1571</v>
      </c>
      <c r="E75" s="4">
        <v>724</v>
      </c>
      <c r="F75" s="4">
        <v>889</v>
      </c>
      <c r="G75" s="4">
        <v>840</v>
      </c>
      <c r="H75" s="4">
        <v>1426</v>
      </c>
      <c r="I75" s="4">
        <v>517</v>
      </c>
      <c r="J75" s="4">
        <v>1740</v>
      </c>
      <c r="K75" s="4">
        <v>6020</v>
      </c>
      <c r="L75" s="4">
        <v>597</v>
      </c>
      <c r="M75" s="4">
        <v>404</v>
      </c>
      <c r="O75"/>
    </row>
    <row r="76" spans="1:17" ht="14.25" hidden="1" customHeight="1">
      <c r="A76" s="16" t="s">
        <v>33</v>
      </c>
      <c r="B76" s="70">
        <f>SUM(C76:M76)</f>
        <v>17423</v>
      </c>
      <c r="C76" s="4">
        <v>3318</v>
      </c>
      <c r="D76" s="4">
        <v>1505</v>
      </c>
      <c r="E76" s="4">
        <v>706</v>
      </c>
      <c r="F76" s="4">
        <v>817</v>
      </c>
      <c r="G76" s="4">
        <v>878</v>
      </c>
      <c r="H76" s="4">
        <v>1512</v>
      </c>
      <c r="I76" s="4">
        <v>518</v>
      </c>
      <c r="J76" s="4">
        <v>1661</v>
      </c>
      <c r="K76" s="4">
        <v>5587</v>
      </c>
      <c r="L76" s="4">
        <v>529</v>
      </c>
      <c r="M76" s="4">
        <v>392</v>
      </c>
      <c r="O76"/>
    </row>
    <row r="77" spans="1:17" ht="14.25" hidden="1" customHeight="1">
      <c r="A77" s="16" t="s">
        <v>34</v>
      </c>
      <c r="B77" s="108">
        <v>0</v>
      </c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O77"/>
    </row>
    <row r="78" spans="1:17" ht="14.25" hidden="1" customHeight="1">
      <c r="A78" s="15" t="s">
        <v>35</v>
      </c>
      <c r="B78" s="112">
        <f t="shared" ref="B78:M78" si="25">SUM(B79:B81)</f>
        <v>8660</v>
      </c>
      <c r="C78" s="112">
        <f t="shared" si="25"/>
        <v>613</v>
      </c>
      <c r="D78" s="112">
        <f t="shared" si="25"/>
        <v>115</v>
      </c>
      <c r="E78" s="112">
        <f t="shared" si="25"/>
        <v>148</v>
      </c>
      <c r="F78" s="112">
        <f t="shared" si="25"/>
        <v>177</v>
      </c>
      <c r="G78" s="112">
        <f t="shared" si="25"/>
        <v>80</v>
      </c>
      <c r="H78" s="69">
        <f t="shared" si="25"/>
        <v>96</v>
      </c>
      <c r="I78" s="69">
        <f t="shared" si="25"/>
        <v>29</v>
      </c>
      <c r="J78" s="69">
        <f t="shared" si="25"/>
        <v>74</v>
      </c>
      <c r="K78" s="69">
        <f t="shared" si="25"/>
        <v>7224</v>
      </c>
      <c r="L78" s="69">
        <f t="shared" si="25"/>
        <v>22</v>
      </c>
      <c r="M78" s="69">
        <f t="shared" si="25"/>
        <v>82</v>
      </c>
      <c r="O78"/>
    </row>
    <row r="79" spans="1:17" ht="14.25" hidden="1" customHeight="1">
      <c r="A79" s="16" t="s">
        <v>31</v>
      </c>
      <c r="B79" s="70">
        <f>SUM(C79:M79)</f>
        <v>576</v>
      </c>
      <c r="C79" s="4">
        <v>86</v>
      </c>
      <c r="D79" s="4">
        <v>10</v>
      </c>
      <c r="E79" s="4">
        <v>19</v>
      </c>
      <c r="F79" s="4">
        <v>21</v>
      </c>
      <c r="G79" s="4">
        <v>12</v>
      </c>
      <c r="H79" s="4">
        <v>10</v>
      </c>
      <c r="I79" s="4">
        <v>3</v>
      </c>
      <c r="J79" s="4">
        <v>12</v>
      </c>
      <c r="K79" s="4">
        <v>388</v>
      </c>
      <c r="L79" s="4">
        <v>3</v>
      </c>
      <c r="M79" s="4">
        <v>12</v>
      </c>
      <c r="O79"/>
    </row>
    <row r="80" spans="1:17" ht="14.25" hidden="1" customHeight="1">
      <c r="A80" s="16" t="s">
        <v>32</v>
      </c>
      <c r="B80" s="70">
        <f>SUM(C80:M80)</f>
        <v>1312</v>
      </c>
      <c r="C80" s="4">
        <v>205</v>
      </c>
      <c r="D80" s="4">
        <v>40</v>
      </c>
      <c r="E80" s="4">
        <v>37</v>
      </c>
      <c r="F80" s="4">
        <v>55</v>
      </c>
      <c r="G80" s="4">
        <v>39</v>
      </c>
      <c r="H80" s="4">
        <v>26</v>
      </c>
      <c r="I80" s="4">
        <v>7</v>
      </c>
      <c r="J80" s="4">
        <v>13</v>
      </c>
      <c r="K80" s="4">
        <v>862</v>
      </c>
      <c r="L80" s="4">
        <v>4</v>
      </c>
      <c r="M80" s="4">
        <v>24</v>
      </c>
      <c r="O80"/>
    </row>
    <row r="81" spans="1:15" ht="14.25" hidden="1" customHeight="1">
      <c r="A81" s="16" t="s">
        <v>33</v>
      </c>
      <c r="B81" s="70">
        <f>SUM(C81:M81)</f>
        <v>6772</v>
      </c>
      <c r="C81" s="4">
        <v>322</v>
      </c>
      <c r="D81" s="4">
        <v>65</v>
      </c>
      <c r="E81" s="4">
        <v>92</v>
      </c>
      <c r="F81" s="4">
        <v>101</v>
      </c>
      <c r="G81" s="4">
        <v>29</v>
      </c>
      <c r="H81" s="4">
        <v>60</v>
      </c>
      <c r="I81" s="4">
        <v>19</v>
      </c>
      <c r="J81" s="4">
        <v>49</v>
      </c>
      <c r="K81" s="4">
        <v>5974</v>
      </c>
      <c r="L81" s="4">
        <v>15</v>
      </c>
      <c r="M81" s="4">
        <v>46</v>
      </c>
      <c r="O81"/>
    </row>
    <row r="82" spans="1:15" ht="14.25" hidden="1" customHeight="1">
      <c r="A82" s="16"/>
      <c r="B82" s="70"/>
      <c r="C82" s="70"/>
      <c r="D82" s="70"/>
      <c r="E82" s="70"/>
      <c r="F82" s="70"/>
      <c r="G82" s="70"/>
      <c r="H82" s="65"/>
      <c r="I82" s="65"/>
      <c r="J82" s="65"/>
      <c r="K82" s="65"/>
      <c r="L82" s="65"/>
      <c r="M82" s="65"/>
      <c r="O82"/>
    </row>
    <row r="83" spans="1:15" ht="14.25" hidden="1" customHeight="1">
      <c r="A83" s="252">
        <v>2016</v>
      </c>
      <c r="B83" s="70"/>
      <c r="C83" s="67"/>
      <c r="D83" s="67"/>
      <c r="E83" s="67"/>
      <c r="F83" s="67"/>
      <c r="G83" s="67"/>
      <c r="H83" s="65"/>
      <c r="I83" s="65"/>
      <c r="J83" s="65"/>
      <c r="K83" s="65"/>
      <c r="L83" s="65"/>
      <c r="M83" s="65"/>
    </row>
    <row r="84" spans="1:15" ht="14.25" hidden="1" customHeight="1">
      <c r="A84" s="15" t="s">
        <v>29</v>
      </c>
      <c r="B84" s="112">
        <f>B85+B91</f>
        <v>54874</v>
      </c>
      <c r="C84" s="112">
        <f>C85+C91</f>
        <v>10256</v>
      </c>
      <c r="D84" s="112">
        <f t="shared" ref="D84:M84" si="26">D85+D91</f>
        <v>4249</v>
      </c>
      <c r="E84" s="112">
        <f t="shared" si="26"/>
        <v>2521</v>
      </c>
      <c r="F84" s="112">
        <f t="shared" si="26"/>
        <v>2962</v>
      </c>
      <c r="G84" s="112">
        <f t="shared" si="26"/>
        <v>2593</v>
      </c>
      <c r="H84" s="112">
        <f t="shared" si="26"/>
        <v>3739</v>
      </c>
      <c r="I84" s="112">
        <f t="shared" si="26"/>
        <v>1458</v>
      </c>
      <c r="J84" s="112">
        <f t="shared" si="26"/>
        <v>4983</v>
      </c>
      <c r="K84" s="112">
        <f t="shared" si="26"/>
        <v>19075</v>
      </c>
      <c r="L84" s="112">
        <f t="shared" si="26"/>
        <v>1648</v>
      </c>
      <c r="M84" s="112">
        <f t="shared" si="26"/>
        <v>1390</v>
      </c>
    </row>
    <row r="85" spans="1:15" ht="14.25" hidden="1" customHeight="1">
      <c r="A85" s="257" t="s">
        <v>39</v>
      </c>
      <c r="B85" s="112">
        <f>SUM(B87:B89)</f>
        <v>50786</v>
      </c>
      <c r="C85" s="112">
        <f>SUM(C87:C89)</f>
        <v>9887</v>
      </c>
      <c r="D85" s="112">
        <f t="shared" ref="D85:M85" si="27">SUM(D87:D89)</f>
        <v>4133</v>
      </c>
      <c r="E85" s="112">
        <f t="shared" si="27"/>
        <v>2341</v>
      </c>
      <c r="F85" s="112">
        <f t="shared" si="27"/>
        <v>2814</v>
      </c>
      <c r="G85" s="112">
        <f t="shared" si="27"/>
        <v>2553</v>
      </c>
      <c r="H85" s="112">
        <f t="shared" si="27"/>
        <v>3642</v>
      </c>
      <c r="I85" s="112">
        <f t="shared" si="27"/>
        <v>1435</v>
      </c>
      <c r="J85" s="112">
        <f t="shared" si="27"/>
        <v>4926</v>
      </c>
      <c r="K85" s="112">
        <f t="shared" si="27"/>
        <v>16114</v>
      </c>
      <c r="L85" s="112">
        <f t="shared" si="27"/>
        <v>1621</v>
      </c>
      <c r="M85" s="112">
        <f t="shared" si="27"/>
        <v>1320</v>
      </c>
      <c r="N85" s="255"/>
    </row>
    <row r="86" spans="1:15" ht="14.25" hidden="1" customHeight="1">
      <c r="A86" s="16" t="s">
        <v>4</v>
      </c>
      <c r="B86" s="209"/>
      <c r="C86" s="107"/>
      <c r="D86" s="107"/>
      <c r="E86" s="107"/>
      <c r="F86" s="107"/>
      <c r="G86" s="107"/>
      <c r="H86" s="108"/>
      <c r="I86" s="108"/>
      <c r="J86" s="108"/>
      <c r="K86" s="108"/>
      <c r="L86" s="108"/>
      <c r="M86" s="108"/>
      <c r="O86"/>
    </row>
    <row r="87" spans="1:15" ht="14.25" hidden="1" customHeight="1">
      <c r="A87" s="16" t="s">
        <v>31</v>
      </c>
      <c r="B87" s="70">
        <f>SUM(C87:M87)</f>
        <v>17153</v>
      </c>
      <c r="C87" s="70">
        <v>3333</v>
      </c>
      <c r="D87" s="70">
        <v>1446</v>
      </c>
      <c r="E87" s="70">
        <v>835</v>
      </c>
      <c r="F87" s="70">
        <v>959</v>
      </c>
      <c r="G87" s="70">
        <v>837</v>
      </c>
      <c r="H87" s="70">
        <v>1187</v>
      </c>
      <c r="I87" s="70">
        <v>482</v>
      </c>
      <c r="J87" s="70">
        <v>1637</v>
      </c>
      <c r="K87" s="70">
        <v>5414</v>
      </c>
      <c r="L87" s="70">
        <v>552</v>
      </c>
      <c r="M87" s="70">
        <v>471</v>
      </c>
      <c r="O87"/>
    </row>
    <row r="88" spans="1:15" ht="14.25" hidden="1" customHeight="1">
      <c r="A88" s="16" t="s">
        <v>32</v>
      </c>
      <c r="B88" s="70">
        <f>SUM(C88:M88)</f>
        <v>16752</v>
      </c>
      <c r="C88" s="70">
        <v>3281</v>
      </c>
      <c r="D88" s="70">
        <v>1334</v>
      </c>
      <c r="E88" s="70">
        <v>794</v>
      </c>
      <c r="F88" s="70">
        <v>933</v>
      </c>
      <c r="G88" s="70">
        <v>858</v>
      </c>
      <c r="H88" s="70">
        <v>1180</v>
      </c>
      <c r="I88" s="70">
        <v>486</v>
      </c>
      <c r="J88" s="70">
        <v>1612</v>
      </c>
      <c r="K88" s="70">
        <v>5293</v>
      </c>
      <c r="L88" s="70">
        <v>549</v>
      </c>
      <c r="M88" s="70">
        <v>432</v>
      </c>
      <c r="O88"/>
    </row>
    <row r="89" spans="1:15" ht="14.25" hidden="1" customHeight="1">
      <c r="A89" s="16" t="s">
        <v>33</v>
      </c>
      <c r="B89" s="70">
        <f>SUM(C89:M89)</f>
        <v>16881</v>
      </c>
      <c r="C89" s="70">
        <v>3273</v>
      </c>
      <c r="D89" s="70">
        <v>1353</v>
      </c>
      <c r="E89" s="70">
        <v>712</v>
      </c>
      <c r="F89" s="70">
        <v>922</v>
      </c>
      <c r="G89" s="70">
        <v>858</v>
      </c>
      <c r="H89" s="70">
        <v>1275</v>
      </c>
      <c r="I89" s="70">
        <v>467</v>
      </c>
      <c r="J89" s="70">
        <v>1677</v>
      </c>
      <c r="K89" s="70">
        <v>5407</v>
      </c>
      <c r="L89" s="70">
        <v>520</v>
      </c>
      <c r="M89" s="70">
        <v>417</v>
      </c>
      <c r="O89"/>
    </row>
    <row r="90" spans="1:15" ht="14.25" hidden="1" customHeight="1">
      <c r="A90" s="16" t="s">
        <v>34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O90"/>
    </row>
    <row r="91" spans="1:15" ht="14.25" hidden="1" customHeight="1">
      <c r="A91" s="15" t="s">
        <v>397</v>
      </c>
      <c r="B91" s="112">
        <f>SUM(B92:B94)</f>
        <v>4088</v>
      </c>
      <c r="C91" s="112">
        <f>SUM(C92:C94)</f>
        <v>369</v>
      </c>
      <c r="D91" s="112">
        <f t="shared" ref="D91:M91" si="28">SUM(D92:D94)</f>
        <v>116</v>
      </c>
      <c r="E91" s="112">
        <f t="shared" si="28"/>
        <v>180</v>
      </c>
      <c r="F91" s="112">
        <f t="shared" si="28"/>
        <v>148</v>
      </c>
      <c r="G91" s="112">
        <f t="shared" si="28"/>
        <v>40</v>
      </c>
      <c r="H91" s="112">
        <f t="shared" si="28"/>
        <v>97</v>
      </c>
      <c r="I91" s="112">
        <f t="shared" si="28"/>
        <v>23</v>
      </c>
      <c r="J91" s="112">
        <f t="shared" si="28"/>
        <v>57</v>
      </c>
      <c r="K91" s="112">
        <f t="shared" si="28"/>
        <v>2961</v>
      </c>
      <c r="L91" s="112">
        <f t="shared" si="28"/>
        <v>27</v>
      </c>
      <c r="M91" s="112">
        <f t="shared" si="28"/>
        <v>70</v>
      </c>
      <c r="O91"/>
    </row>
    <row r="92" spans="1:15" ht="14.25" hidden="1" customHeight="1">
      <c r="A92" s="16" t="s">
        <v>31</v>
      </c>
      <c r="B92" s="70">
        <f>SUM(C92:M92)</f>
        <v>390</v>
      </c>
      <c r="C92" s="255">
        <v>55</v>
      </c>
      <c r="D92" s="255">
        <v>18</v>
      </c>
      <c r="E92" s="255">
        <v>30</v>
      </c>
      <c r="F92" s="255">
        <v>12</v>
      </c>
      <c r="G92" s="255">
        <v>7</v>
      </c>
      <c r="H92" s="255">
        <v>15</v>
      </c>
      <c r="I92" s="255">
        <v>2</v>
      </c>
      <c r="J92" s="255">
        <v>7</v>
      </c>
      <c r="K92" s="255">
        <v>228</v>
      </c>
      <c r="L92" s="28" t="s">
        <v>13</v>
      </c>
      <c r="M92" s="255">
        <v>16</v>
      </c>
      <c r="O92"/>
    </row>
    <row r="93" spans="1:15" ht="14.25" hidden="1" customHeight="1">
      <c r="A93" s="16" t="s">
        <v>32</v>
      </c>
      <c r="B93" s="70">
        <f>SUM(C93:M93)</f>
        <v>730</v>
      </c>
      <c r="C93" s="255">
        <v>109</v>
      </c>
      <c r="D93" s="255">
        <v>41</v>
      </c>
      <c r="E93" s="255">
        <v>52</v>
      </c>
      <c r="F93" s="255">
        <v>44</v>
      </c>
      <c r="G93" s="255">
        <v>17</v>
      </c>
      <c r="H93" s="255">
        <v>30</v>
      </c>
      <c r="I93" s="255">
        <v>7</v>
      </c>
      <c r="J93" s="255">
        <v>12</v>
      </c>
      <c r="K93" s="255">
        <v>395</v>
      </c>
      <c r="L93" s="255">
        <v>5</v>
      </c>
      <c r="M93" s="255">
        <v>18</v>
      </c>
      <c r="O93"/>
    </row>
    <row r="94" spans="1:15" ht="14.25" hidden="1" customHeight="1">
      <c r="A94" s="16" t="s">
        <v>33</v>
      </c>
      <c r="B94" s="70">
        <f>SUM(C94:M94)</f>
        <v>2968</v>
      </c>
      <c r="C94" s="255">
        <v>205</v>
      </c>
      <c r="D94" s="255">
        <v>57</v>
      </c>
      <c r="E94" s="255">
        <v>98</v>
      </c>
      <c r="F94" s="255">
        <v>92</v>
      </c>
      <c r="G94" s="255">
        <v>16</v>
      </c>
      <c r="H94" s="255">
        <v>52</v>
      </c>
      <c r="I94" s="255">
        <v>14</v>
      </c>
      <c r="J94" s="255">
        <v>38</v>
      </c>
      <c r="K94" s="255">
        <v>2338</v>
      </c>
      <c r="L94" s="255">
        <v>22</v>
      </c>
      <c r="M94" s="255">
        <v>36</v>
      </c>
      <c r="O94"/>
    </row>
    <row r="95" spans="1:15" ht="14.25" hidden="1" customHeight="1">
      <c r="A95" s="252">
        <v>2017</v>
      </c>
      <c r="B95" s="70"/>
      <c r="C95" s="67" t="s">
        <v>391</v>
      </c>
      <c r="D95" s="67"/>
      <c r="E95" s="67"/>
      <c r="F95" s="67"/>
      <c r="G95" s="67"/>
      <c r="H95" s="65"/>
      <c r="I95" s="65"/>
      <c r="J95" s="65"/>
      <c r="K95" s="65"/>
      <c r="L95" s="65"/>
      <c r="M95" s="65"/>
      <c r="O95"/>
    </row>
    <row r="96" spans="1:15" ht="14.25" hidden="1" customHeight="1">
      <c r="A96" s="15" t="s">
        <v>29</v>
      </c>
      <c r="B96" s="112">
        <f>B97+B103</f>
        <v>72232</v>
      </c>
      <c r="C96" s="112">
        <f t="shared" ref="C96:M96" si="29">C97+C103</f>
        <v>12075</v>
      </c>
      <c r="D96" s="112">
        <f t="shared" si="29"/>
        <v>4937</v>
      </c>
      <c r="E96" s="112">
        <f t="shared" si="29"/>
        <v>2921</v>
      </c>
      <c r="F96" s="112">
        <f t="shared" si="29"/>
        <v>3167</v>
      </c>
      <c r="G96" s="112">
        <f t="shared" si="29"/>
        <v>3528</v>
      </c>
      <c r="H96" s="112">
        <f t="shared" si="29"/>
        <v>5195</v>
      </c>
      <c r="I96" s="112">
        <f t="shared" si="29"/>
        <v>1968</v>
      </c>
      <c r="J96" s="112">
        <f t="shared" si="29"/>
        <v>6504</v>
      </c>
      <c r="K96" s="112">
        <f t="shared" si="29"/>
        <v>23510</v>
      </c>
      <c r="L96" s="112">
        <f t="shared" si="29"/>
        <v>2221</v>
      </c>
      <c r="M96" s="112">
        <f t="shared" si="29"/>
        <v>1790</v>
      </c>
      <c r="N96"/>
    </row>
    <row r="97" spans="1:15" ht="14.25" hidden="1" customHeight="1">
      <c r="A97" s="15" t="s">
        <v>39</v>
      </c>
      <c r="B97" s="112">
        <f>SUM(B99:B102)</f>
        <v>52298</v>
      </c>
      <c r="C97" s="112">
        <f>SUM(C99:C101)</f>
        <v>9244</v>
      </c>
      <c r="D97" s="112">
        <f t="shared" ref="D97:I97" si="30">SUM(D99:D101)</f>
        <v>3623</v>
      </c>
      <c r="E97" s="112">
        <f t="shared" si="30"/>
        <v>2125</v>
      </c>
      <c r="F97" s="112">
        <f t="shared" si="30"/>
        <v>2198</v>
      </c>
      <c r="G97" s="112">
        <f t="shared" si="30"/>
        <v>2649</v>
      </c>
      <c r="H97" s="112">
        <f t="shared" si="30"/>
        <v>3316</v>
      </c>
      <c r="I97" s="112">
        <f t="shared" si="30"/>
        <v>1228</v>
      </c>
      <c r="J97" s="112">
        <f>SUM(J99:J101)</f>
        <v>4316</v>
      </c>
      <c r="K97" s="112">
        <f>SUM(K99:K101)</f>
        <v>16474</v>
      </c>
      <c r="L97" s="112">
        <f>SUM(L99:L101)</f>
        <v>1617</v>
      </c>
      <c r="M97" s="112">
        <f>SUM(M99:M101)</f>
        <v>1092</v>
      </c>
      <c r="N97"/>
    </row>
    <row r="98" spans="1:15" ht="14.25" hidden="1" customHeight="1">
      <c r="A98" s="16" t="s">
        <v>4</v>
      </c>
      <c r="B98" s="209"/>
      <c r="C98" s="107"/>
      <c r="E98" s="107"/>
      <c r="F98" s="107"/>
      <c r="G98" s="107"/>
      <c r="H98" s="108"/>
      <c r="I98" s="108"/>
      <c r="J98" s="108"/>
      <c r="K98" s="108"/>
      <c r="L98" s="108"/>
      <c r="M98" s="108"/>
      <c r="N98"/>
    </row>
    <row r="99" spans="1:15" ht="14.25" hidden="1" customHeight="1">
      <c r="A99" s="16" t="s">
        <v>31</v>
      </c>
      <c r="B99" s="70">
        <f>SUM(C99:M99)</f>
        <v>16479</v>
      </c>
      <c r="C99" s="70">
        <v>3214</v>
      </c>
      <c r="D99" s="70">
        <v>1101</v>
      </c>
      <c r="E99" s="70">
        <v>704</v>
      </c>
      <c r="F99" s="70">
        <v>737</v>
      </c>
      <c r="G99" s="70">
        <v>907</v>
      </c>
      <c r="H99" s="70">
        <v>1113</v>
      </c>
      <c r="I99" s="70">
        <v>372</v>
      </c>
      <c r="J99" s="70">
        <v>1447</v>
      </c>
      <c r="K99" s="70">
        <v>5934</v>
      </c>
      <c r="L99" s="70">
        <v>571</v>
      </c>
      <c r="M99" s="70">
        <v>379</v>
      </c>
      <c r="N99"/>
    </row>
    <row r="100" spans="1:15" ht="14.25" hidden="1" customHeight="1">
      <c r="A100" s="16" t="s">
        <v>32</v>
      </c>
      <c r="B100" s="70">
        <f>SUM(C100:M100)</f>
        <v>15976</v>
      </c>
      <c r="C100" s="70">
        <v>3090</v>
      </c>
      <c r="D100" s="70">
        <v>1267</v>
      </c>
      <c r="E100" s="70">
        <v>719</v>
      </c>
      <c r="F100" s="70">
        <v>741</v>
      </c>
      <c r="G100" s="70">
        <v>831</v>
      </c>
      <c r="H100" s="70">
        <v>1111</v>
      </c>
      <c r="I100" s="70">
        <v>407</v>
      </c>
      <c r="J100" s="70">
        <v>1432</v>
      </c>
      <c r="K100" s="70">
        <v>5478</v>
      </c>
      <c r="L100" s="70">
        <v>539</v>
      </c>
      <c r="M100" s="70">
        <v>361</v>
      </c>
      <c r="N100"/>
    </row>
    <row r="101" spans="1:15" ht="14.25" hidden="1" customHeight="1">
      <c r="A101" s="16" t="s">
        <v>33</v>
      </c>
      <c r="B101" s="70">
        <f>SUM(C101:M101)</f>
        <v>15427</v>
      </c>
      <c r="C101" s="70">
        <v>2940</v>
      </c>
      <c r="D101" s="70">
        <v>1255</v>
      </c>
      <c r="E101" s="70">
        <v>702</v>
      </c>
      <c r="F101" s="70">
        <v>720</v>
      </c>
      <c r="G101" s="70">
        <v>911</v>
      </c>
      <c r="H101" s="70">
        <v>1092</v>
      </c>
      <c r="I101" s="70">
        <v>449</v>
      </c>
      <c r="J101" s="70">
        <v>1437</v>
      </c>
      <c r="K101" s="70">
        <v>5062</v>
      </c>
      <c r="L101" s="70">
        <v>507</v>
      </c>
      <c r="M101" s="70">
        <v>352</v>
      </c>
      <c r="N101"/>
    </row>
    <row r="102" spans="1:15" ht="14.25" hidden="1" customHeight="1">
      <c r="A102" s="16" t="s">
        <v>34</v>
      </c>
      <c r="B102" s="70">
        <f>SUM(C102:M102)</f>
        <v>4416</v>
      </c>
      <c r="C102" s="70">
        <v>1153</v>
      </c>
      <c r="D102" s="70">
        <v>621</v>
      </c>
      <c r="E102" s="70">
        <v>793</v>
      </c>
      <c r="F102" s="70">
        <v>357</v>
      </c>
      <c r="G102" s="70">
        <v>268</v>
      </c>
      <c r="H102" s="70">
        <v>464</v>
      </c>
      <c r="I102" s="70">
        <v>13</v>
      </c>
      <c r="J102" s="70">
        <v>125</v>
      </c>
      <c r="K102" s="70">
        <v>0</v>
      </c>
      <c r="L102" s="70">
        <v>586</v>
      </c>
      <c r="M102" s="70">
        <v>36</v>
      </c>
      <c r="N102"/>
    </row>
    <row r="103" spans="1:15" ht="14.25" hidden="1" customHeight="1">
      <c r="A103" s="15" t="s">
        <v>397</v>
      </c>
      <c r="B103" s="112">
        <f>SUM(B104:B106)</f>
        <v>19934</v>
      </c>
      <c r="C103" s="256">
        <f t="shared" ref="C103:M103" si="31">SUM(C104:C106)</f>
        <v>2831</v>
      </c>
      <c r="D103" s="256">
        <f t="shared" si="31"/>
        <v>1314</v>
      </c>
      <c r="E103" s="256">
        <f t="shared" si="31"/>
        <v>796</v>
      </c>
      <c r="F103" s="256">
        <f t="shared" si="31"/>
        <v>969</v>
      </c>
      <c r="G103" s="256">
        <f t="shared" si="31"/>
        <v>879</v>
      </c>
      <c r="H103" s="256">
        <f t="shared" si="31"/>
        <v>1879</v>
      </c>
      <c r="I103" s="256">
        <f t="shared" si="31"/>
        <v>740</v>
      </c>
      <c r="J103" s="256">
        <f t="shared" si="31"/>
        <v>2188</v>
      </c>
      <c r="K103" s="256">
        <f t="shared" si="31"/>
        <v>7036</v>
      </c>
      <c r="L103" s="256">
        <f t="shared" si="31"/>
        <v>604</v>
      </c>
      <c r="M103" s="256">
        <f t="shared" si="31"/>
        <v>698</v>
      </c>
      <c r="N103"/>
    </row>
    <row r="104" spans="1:15" ht="14.25" hidden="1" customHeight="1">
      <c r="A104" s="16" t="s">
        <v>31</v>
      </c>
      <c r="B104" s="70">
        <f>SUM(C104:M104)</f>
        <v>17571</v>
      </c>
      <c r="C104" s="70">
        <v>2582</v>
      </c>
      <c r="D104" s="70">
        <v>1190</v>
      </c>
      <c r="E104" s="70">
        <v>697</v>
      </c>
      <c r="F104" s="70">
        <v>934</v>
      </c>
      <c r="G104" s="70">
        <v>783</v>
      </c>
      <c r="H104" s="70">
        <v>1812</v>
      </c>
      <c r="I104" s="70">
        <v>702</v>
      </c>
      <c r="J104" s="70">
        <v>2122</v>
      </c>
      <c r="K104" s="70">
        <v>5559</v>
      </c>
      <c r="L104" s="70">
        <v>559</v>
      </c>
      <c r="M104" s="70">
        <v>631</v>
      </c>
      <c r="N104"/>
    </row>
    <row r="105" spans="1:15" ht="14.25" hidden="1" customHeight="1">
      <c r="A105" s="16" t="s">
        <v>32</v>
      </c>
      <c r="B105" s="70">
        <f>SUM(C105:M105)</f>
        <v>535</v>
      </c>
      <c r="C105" s="70">
        <v>76</v>
      </c>
      <c r="D105" s="70">
        <v>39</v>
      </c>
      <c r="E105" s="70">
        <v>24</v>
      </c>
      <c r="F105" s="70">
        <v>13</v>
      </c>
      <c r="G105" s="70">
        <v>37</v>
      </c>
      <c r="H105" s="70">
        <v>17</v>
      </c>
      <c r="I105" s="70">
        <v>13</v>
      </c>
      <c r="J105" s="70">
        <v>11</v>
      </c>
      <c r="K105" s="70">
        <v>263</v>
      </c>
      <c r="L105" s="70">
        <v>12</v>
      </c>
      <c r="M105" s="70">
        <v>30</v>
      </c>
      <c r="N105"/>
    </row>
    <row r="106" spans="1:15" ht="14.25" hidden="1" customHeight="1">
      <c r="A106" s="16" t="s">
        <v>33</v>
      </c>
      <c r="B106" s="70">
        <f>SUM(C106:M106)</f>
        <v>1828</v>
      </c>
      <c r="C106" s="70">
        <v>173</v>
      </c>
      <c r="D106" s="70">
        <v>85</v>
      </c>
      <c r="E106" s="70">
        <v>75</v>
      </c>
      <c r="F106" s="70">
        <v>22</v>
      </c>
      <c r="G106" s="70">
        <v>59</v>
      </c>
      <c r="H106" s="70">
        <v>50</v>
      </c>
      <c r="I106" s="70">
        <v>25</v>
      </c>
      <c r="J106" s="70">
        <v>55</v>
      </c>
      <c r="K106" s="70">
        <v>1214</v>
      </c>
      <c r="L106" s="70">
        <v>33</v>
      </c>
      <c r="M106" s="70">
        <v>37</v>
      </c>
      <c r="N106"/>
    </row>
    <row r="107" spans="1:15" ht="12.6" hidden="1" customHeight="1">
      <c r="A107" s="15">
        <v>2018</v>
      </c>
      <c r="B107" s="70"/>
      <c r="C107" s="418" t="s">
        <v>391</v>
      </c>
      <c r="D107" s="418"/>
      <c r="E107" s="67"/>
      <c r="F107" s="67"/>
      <c r="G107" s="67"/>
      <c r="H107" s="65"/>
      <c r="I107" s="417"/>
      <c r="J107" s="65"/>
      <c r="K107" s="65"/>
      <c r="L107" s="417"/>
      <c r="M107" s="420"/>
      <c r="O107"/>
    </row>
    <row r="108" spans="1:15" ht="12.95" hidden="1" customHeight="1">
      <c r="A108" s="15" t="s">
        <v>29</v>
      </c>
      <c r="B108" s="112">
        <f>B109+B115</f>
        <v>77775</v>
      </c>
      <c r="C108" s="112">
        <f>C109+C115</f>
        <v>14518</v>
      </c>
      <c r="D108" s="112">
        <f t="shared" ref="D108:L108" si="32">D109+D115</f>
        <v>6077</v>
      </c>
      <c r="E108" s="112">
        <f t="shared" si="32"/>
        <v>3599</v>
      </c>
      <c r="F108" s="112">
        <f t="shared" si="32"/>
        <v>3902</v>
      </c>
      <c r="G108" s="112">
        <f t="shared" si="32"/>
        <v>3949</v>
      </c>
      <c r="H108" s="112">
        <f t="shared" si="32"/>
        <v>5902</v>
      </c>
      <c r="I108" s="112">
        <f t="shared" si="32"/>
        <v>2299</v>
      </c>
      <c r="J108" s="112">
        <f t="shared" si="32"/>
        <v>6747</v>
      </c>
      <c r="K108" s="112">
        <f t="shared" si="32"/>
        <v>26297</v>
      </c>
      <c r="L108" s="112">
        <f t="shared" si="32"/>
        <v>2595</v>
      </c>
      <c r="M108" s="112">
        <f>M109+M115</f>
        <v>1890</v>
      </c>
      <c r="N108"/>
    </row>
    <row r="109" spans="1:15" ht="12.95" hidden="1" customHeight="1">
      <c r="A109" s="15" t="s">
        <v>39</v>
      </c>
      <c r="B109" s="112">
        <f>SUM(B111:B114)</f>
        <v>47827</v>
      </c>
      <c r="C109" s="112">
        <f t="shared" ref="C109:M109" si="33">SUM(C111:C114)</f>
        <v>9344</v>
      </c>
      <c r="D109" s="112">
        <f t="shared" si="33"/>
        <v>3688</v>
      </c>
      <c r="E109" s="112">
        <f t="shared" si="33"/>
        <v>2187</v>
      </c>
      <c r="F109" s="112">
        <f t="shared" si="33"/>
        <v>2432</v>
      </c>
      <c r="G109" s="112">
        <f t="shared" si="33"/>
        <v>2377</v>
      </c>
      <c r="H109" s="112">
        <f t="shared" si="33"/>
        <v>3492</v>
      </c>
      <c r="I109" s="112">
        <f t="shared" si="33"/>
        <v>1358</v>
      </c>
      <c r="J109" s="112">
        <f t="shared" si="33"/>
        <v>4124</v>
      </c>
      <c r="K109" s="112">
        <f t="shared" si="33"/>
        <v>16084</v>
      </c>
      <c r="L109" s="112">
        <f t="shared" si="33"/>
        <v>1587</v>
      </c>
      <c r="M109" s="112">
        <f t="shared" si="33"/>
        <v>1154</v>
      </c>
      <c r="N109"/>
    </row>
    <row r="110" spans="1:15" ht="12.95" hidden="1" customHeight="1">
      <c r="A110" s="16" t="s">
        <v>4</v>
      </c>
      <c r="B110" s="209"/>
      <c r="C110" s="107"/>
      <c r="E110" s="107"/>
      <c r="F110" s="107"/>
      <c r="G110" s="107"/>
      <c r="H110" s="108"/>
      <c r="I110" s="108"/>
      <c r="J110" s="108"/>
      <c r="K110" s="108"/>
      <c r="L110" s="108"/>
      <c r="M110" s="108"/>
      <c r="N110"/>
    </row>
    <row r="111" spans="1:15" ht="12.95" hidden="1" customHeight="1">
      <c r="A111" s="16" t="s">
        <v>31</v>
      </c>
      <c r="B111" s="70">
        <f>SUM(C111:M111)</f>
        <v>16075</v>
      </c>
      <c r="C111" s="70">
        <v>2935</v>
      </c>
      <c r="D111" s="70">
        <v>1259</v>
      </c>
      <c r="E111" s="70">
        <v>735</v>
      </c>
      <c r="F111" s="70">
        <v>811</v>
      </c>
      <c r="G111" s="70">
        <v>784</v>
      </c>
      <c r="H111" s="70">
        <v>1110</v>
      </c>
      <c r="I111" s="70">
        <v>438</v>
      </c>
      <c r="J111" s="70">
        <v>1395</v>
      </c>
      <c r="K111" s="70">
        <v>5668</v>
      </c>
      <c r="L111" s="70">
        <v>554</v>
      </c>
      <c r="M111" s="70">
        <v>386</v>
      </c>
      <c r="N111"/>
    </row>
    <row r="112" spans="1:15" ht="12.95" hidden="1" customHeight="1">
      <c r="A112" s="16" t="s">
        <v>32</v>
      </c>
      <c r="B112" s="70">
        <f>SUM(C112:M112)</f>
        <v>15458</v>
      </c>
      <c r="C112" s="70">
        <v>2985</v>
      </c>
      <c r="D112" s="70">
        <v>1171</v>
      </c>
      <c r="E112" s="70">
        <v>695</v>
      </c>
      <c r="F112" s="70">
        <v>804</v>
      </c>
      <c r="G112" s="70">
        <v>742</v>
      </c>
      <c r="H112" s="70">
        <v>1154</v>
      </c>
      <c r="I112" s="70">
        <v>427</v>
      </c>
      <c r="J112" s="70">
        <v>1330</v>
      </c>
      <c r="K112" s="70">
        <v>5260</v>
      </c>
      <c r="L112" s="70">
        <v>527</v>
      </c>
      <c r="M112" s="70">
        <v>363</v>
      </c>
      <c r="N112"/>
    </row>
    <row r="113" spans="1:15" ht="12.95" hidden="1" customHeight="1">
      <c r="A113" s="16" t="s">
        <v>33</v>
      </c>
      <c r="B113" s="70">
        <f>SUM(C113:M113)</f>
        <v>14862</v>
      </c>
      <c r="C113" s="70">
        <v>2819</v>
      </c>
      <c r="D113" s="70">
        <v>1140</v>
      </c>
      <c r="E113" s="70">
        <v>690</v>
      </c>
      <c r="F113" s="70">
        <v>745</v>
      </c>
      <c r="G113" s="70">
        <v>653</v>
      </c>
      <c r="H113" s="70">
        <v>1169</v>
      </c>
      <c r="I113" s="70">
        <v>417</v>
      </c>
      <c r="J113" s="70">
        <v>1304</v>
      </c>
      <c r="K113" s="70">
        <v>5071</v>
      </c>
      <c r="L113" s="70">
        <v>505</v>
      </c>
      <c r="M113" s="70">
        <v>349</v>
      </c>
      <c r="N113"/>
    </row>
    <row r="114" spans="1:15" ht="12.95" hidden="1" customHeight="1">
      <c r="A114" s="16" t="s">
        <v>34</v>
      </c>
      <c r="B114" s="70">
        <f>SUM(C114:M114)</f>
        <v>1432</v>
      </c>
      <c r="C114" s="70">
        <v>605</v>
      </c>
      <c r="D114" s="70">
        <v>118</v>
      </c>
      <c r="E114" s="70">
        <v>67</v>
      </c>
      <c r="F114" s="70">
        <v>72</v>
      </c>
      <c r="G114" s="70">
        <v>198</v>
      </c>
      <c r="H114" s="70">
        <v>59</v>
      </c>
      <c r="I114" s="70">
        <v>76</v>
      </c>
      <c r="J114" s="70">
        <v>95</v>
      </c>
      <c r="K114" s="70">
        <v>85</v>
      </c>
      <c r="L114" s="70">
        <v>1</v>
      </c>
      <c r="M114" s="70">
        <v>56</v>
      </c>
      <c r="N114"/>
    </row>
    <row r="115" spans="1:15" ht="12.95" hidden="1" customHeight="1">
      <c r="A115" s="15" t="s">
        <v>397</v>
      </c>
      <c r="B115" s="112">
        <f>SUM(B116:B118)</f>
        <v>29948</v>
      </c>
      <c r="C115" s="256">
        <f>SUM(C116:C118)</f>
        <v>5174</v>
      </c>
      <c r="D115" s="256">
        <f t="shared" ref="D115:M115" si="34">SUM(D116:D118)</f>
        <v>2389</v>
      </c>
      <c r="E115" s="256">
        <f t="shared" si="34"/>
        <v>1412</v>
      </c>
      <c r="F115" s="256">
        <f t="shared" si="34"/>
        <v>1470</v>
      </c>
      <c r="G115" s="256">
        <f t="shared" si="34"/>
        <v>1572</v>
      </c>
      <c r="H115" s="256">
        <f t="shared" si="34"/>
        <v>2410</v>
      </c>
      <c r="I115" s="256">
        <f t="shared" si="34"/>
        <v>941</v>
      </c>
      <c r="J115" s="256">
        <f t="shared" si="34"/>
        <v>2623</v>
      </c>
      <c r="K115" s="256">
        <f t="shared" si="34"/>
        <v>10213</v>
      </c>
      <c r="L115" s="256">
        <f t="shared" si="34"/>
        <v>1008</v>
      </c>
      <c r="M115" s="256">
        <f t="shared" si="34"/>
        <v>736</v>
      </c>
      <c r="N115"/>
    </row>
    <row r="116" spans="1:15" ht="12.95" hidden="1" customHeight="1">
      <c r="A116" s="16" t="s">
        <v>31</v>
      </c>
      <c r="B116" s="70">
        <f>SUM(C116:M116)</f>
        <v>13983</v>
      </c>
      <c r="C116" s="70">
        <v>2470</v>
      </c>
      <c r="D116" s="70">
        <v>1113</v>
      </c>
      <c r="E116" s="70">
        <v>683</v>
      </c>
      <c r="F116" s="70">
        <v>627</v>
      </c>
      <c r="G116" s="70">
        <v>654</v>
      </c>
      <c r="H116" s="70">
        <v>1063</v>
      </c>
      <c r="I116" s="70">
        <v>416</v>
      </c>
      <c r="J116" s="70">
        <v>1289</v>
      </c>
      <c r="K116" s="70">
        <v>4849</v>
      </c>
      <c r="L116" s="70">
        <v>464</v>
      </c>
      <c r="M116" s="70">
        <v>355</v>
      </c>
      <c r="N116"/>
    </row>
    <row r="117" spans="1:15" ht="12.95" hidden="1" customHeight="1">
      <c r="A117" s="16" t="s">
        <v>32</v>
      </c>
      <c r="B117" s="70">
        <f>SUM(C117:M117)</f>
        <v>14779</v>
      </c>
      <c r="C117" s="70">
        <v>2521</v>
      </c>
      <c r="D117" s="70">
        <v>1194</v>
      </c>
      <c r="E117" s="70">
        <v>698</v>
      </c>
      <c r="F117" s="70">
        <v>830</v>
      </c>
      <c r="G117" s="70">
        <v>843</v>
      </c>
      <c r="H117" s="70">
        <v>1307</v>
      </c>
      <c r="I117" s="70">
        <v>514</v>
      </c>
      <c r="J117" s="70">
        <v>1295</v>
      </c>
      <c r="K117" s="70">
        <v>4751</v>
      </c>
      <c r="L117" s="70">
        <v>470</v>
      </c>
      <c r="M117" s="70">
        <v>356</v>
      </c>
      <c r="N117"/>
    </row>
    <row r="118" spans="1:15" ht="12.95" hidden="1" customHeight="1">
      <c r="A118" s="16" t="s">
        <v>33</v>
      </c>
      <c r="B118" s="70">
        <f>SUM(C118:M118)</f>
        <v>1186</v>
      </c>
      <c r="C118" s="70">
        <v>183</v>
      </c>
      <c r="D118" s="70">
        <v>82</v>
      </c>
      <c r="E118" s="70">
        <v>31</v>
      </c>
      <c r="F118" s="70">
        <v>13</v>
      </c>
      <c r="G118" s="70">
        <v>75</v>
      </c>
      <c r="H118" s="70">
        <v>40</v>
      </c>
      <c r="I118" s="70">
        <v>11</v>
      </c>
      <c r="J118" s="70">
        <v>39</v>
      </c>
      <c r="K118" s="70">
        <v>613</v>
      </c>
      <c r="L118" s="70">
        <v>74</v>
      </c>
      <c r="M118" s="70">
        <v>25</v>
      </c>
      <c r="N118"/>
    </row>
    <row r="119" spans="1:15" ht="12.95" hidden="1" customHeight="1">
      <c r="A119" s="15">
        <v>2019</v>
      </c>
      <c r="B119" s="70"/>
      <c r="C119" s="67" t="s">
        <v>391</v>
      </c>
      <c r="D119" s="67"/>
      <c r="E119" s="67"/>
      <c r="F119" s="67"/>
      <c r="G119" s="67"/>
      <c r="H119" s="65"/>
      <c r="I119" s="65"/>
      <c r="J119" s="65"/>
      <c r="K119" s="65"/>
      <c r="L119" s="65"/>
      <c r="M119" s="65"/>
      <c r="O119"/>
    </row>
    <row r="120" spans="1:15" ht="12.95" hidden="1" customHeight="1">
      <c r="A120" s="15" t="s">
        <v>29</v>
      </c>
      <c r="B120" s="112">
        <f t="shared" ref="B120:M120" si="35">B121+B126</f>
        <v>48872</v>
      </c>
      <c r="C120" s="112">
        <f t="shared" si="35"/>
        <v>8729</v>
      </c>
      <c r="D120" s="112">
        <f t="shared" si="35"/>
        <v>3274</v>
      </c>
      <c r="E120" s="112">
        <f t="shared" si="35"/>
        <v>2096</v>
      </c>
      <c r="F120" s="112">
        <f t="shared" si="35"/>
        <v>2214</v>
      </c>
      <c r="G120" s="112">
        <f t="shared" si="35"/>
        <v>2037</v>
      </c>
      <c r="H120" s="112">
        <f t="shared" si="35"/>
        <v>3077</v>
      </c>
      <c r="I120" s="112">
        <f t="shared" si="35"/>
        <v>1170</v>
      </c>
      <c r="J120" s="112">
        <f t="shared" si="35"/>
        <v>4857</v>
      </c>
      <c r="K120" s="112">
        <f t="shared" si="35"/>
        <v>18781</v>
      </c>
      <c r="L120" s="112">
        <f t="shared" si="35"/>
        <v>1608</v>
      </c>
      <c r="M120" s="112">
        <f t="shared" si="35"/>
        <v>1029</v>
      </c>
      <c r="N120"/>
    </row>
    <row r="121" spans="1:15" ht="12.95" hidden="1" customHeight="1">
      <c r="A121" s="15" t="s">
        <v>39</v>
      </c>
      <c r="B121" s="112">
        <f t="shared" ref="B121:M121" si="36">SUM(B123:B125)</f>
        <v>44191</v>
      </c>
      <c r="C121" s="112">
        <f t="shared" si="36"/>
        <v>8387</v>
      </c>
      <c r="D121" s="112">
        <f t="shared" si="36"/>
        <v>3183</v>
      </c>
      <c r="E121" s="112">
        <f t="shared" si="36"/>
        <v>2043</v>
      </c>
      <c r="F121" s="112">
        <f t="shared" si="36"/>
        <v>2097</v>
      </c>
      <c r="G121" s="112">
        <f t="shared" si="36"/>
        <v>1980</v>
      </c>
      <c r="H121" s="112">
        <f t="shared" si="36"/>
        <v>2945</v>
      </c>
      <c r="I121" s="112">
        <f t="shared" si="36"/>
        <v>1123</v>
      </c>
      <c r="J121" s="112">
        <f t="shared" si="36"/>
        <v>4819</v>
      </c>
      <c r="K121" s="112">
        <f t="shared" si="36"/>
        <v>15063</v>
      </c>
      <c r="L121" s="112">
        <f t="shared" si="36"/>
        <v>1563</v>
      </c>
      <c r="M121" s="112">
        <f t="shared" si="36"/>
        <v>988</v>
      </c>
      <c r="N121"/>
    </row>
    <row r="122" spans="1:15" ht="12.95" hidden="1" customHeight="1">
      <c r="A122" s="16" t="s">
        <v>4</v>
      </c>
      <c r="B122" s="209"/>
      <c r="C122" s="107"/>
      <c r="E122" s="107"/>
      <c r="F122" s="107"/>
      <c r="G122" s="107"/>
      <c r="H122" s="108"/>
      <c r="I122" s="108"/>
      <c r="J122" s="108"/>
      <c r="K122" s="108"/>
      <c r="L122" s="108"/>
      <c r="M122" s="108"/>
      <c r="N122"/>
    </row>
    <row r="123" spans="1:15" ht="12.95" hidden="1" customHeight="1">
      <c r="A123" s="16" t="s">
        <v>31</v>
      </c>
      <c r="B123" s="70">
        <f>SUM(C123:M123)</f>
        <v>15456</v>
      </c>
      <c r="C123" s="70">
        <v>2870</v>
      </c>
      <c r="D123" s="70">
        <v>1135</v>
      </c>
      <c r="E123" s="70">
        <v>702</v>
      </c>
      <c r="F123" s="70">
        <v>747</v>
      </c>
      <c r="G123" s="70">
        <v>692</v>
      </c>
      <c r="H123" s="70">
        <v>970</v>
      </c>
      <c r="I123" s="70">
        <v>367</v>
      </c>
      <c r="J123" s="70">
        <v>1572</v>
      </c>
      <c r="K123" s="70">
        <v>5508</v>
      </c>
      <c r="L123" s="70">
        <v>551</v>
      </c>
      <c r="M123" s="70">
        <v>342</v>
      </c>
      <c r="N123"/>
    </row>
    <row r="124" spans="1:15" ht="12.95" hidden="1" customHeight="1">
      <c r="A124" s="16" t="s">
        <v>32</v>
      </c>
      <c r="B124" s="70">
        <f>SUM(C124:M124)</f>
        <v>14637</v>
      </c>
      <c r="C124" s="70">
        <v>2836</v>
      </c>
      <c r="D124" s="70">
        <v>1066</v>
      </c>
      <c r="E124" s="70">
        <v>698</v>
      </c>
      <c r="F124" s="70">
        <v>678</v>
      </c>
      <c r="G124" s="70">
        <v>644</v>
      </c>
      <c r="H124" s="70">
        <v>976</v>
      </c>
      <c r="I124" s="70">
        <v>383</v>
      </c>
      <c r="J124" s="70">
        <v>1588</v>
      </c>
      <c r="K124" s="70">
        <v>4924</v>
      </c>
      <c r="L124" s="70">
        <v>515</v>
      </c>
      <c r="M124" s="70">
        <v>329</v>
      </c>
      <c r="N124"/>
    </row>
    <row r="125" spans="1:15" ht="12.95" hidden="1" customHeight="1">
      <c r="A125" s="16" t="s">
        <v>33</v>
      </c>
      <c r="B125" s="70">
        <f>SUM(C125:M125)</f>
        <v>14098</v>
      </c>
      <c r="C125" s="70">
        <v>2681</v>
      </c>
      <c r="D125" s="70">
        <v>982</v>
      </c>
      <c r="E125" s="70">
        <v>643</v>
      </c>
      <c r="F125" s="70">
        <v>672</v>
      </c>
      <c r="G125" s="70">
        <v>644</v>
      </c>
      <c r="H125" s="70">
        <v>999</v>
      </c>
      <c r="I125" s="70">
        <v>373</v>
      </c>
      <c r="J125" s="70">
        <v>1659</v>
      </c>
      <c r="K125" s="70">
        <v>4631</v>
      </c>
      <c r="L125" s="70">
        <v>497</v>
      </c>
      <c r="M125" s="70">
        <v>317</v>
      </c>
      <c r="N125"/>
    </row>
    <row r="126" spans="1:15" ht="12.95" hidden="1" customHeight="1">
      <c r="A126" s="15" t="s">
        <v>397</v>
      </c>
      <c r="B126" s="112">
        <f>SUM(B127:B129)</f>
        <v>4681</v>
      </c>
      <c r="C126" s="112">
        <f>SUM(C127:C129)</f>
        <v>342</v>
      </c>
      <c r="D126" s="112">
        <f t="shared" ref="D126:M126" si="37">SUM(D127:D129)</f>
        <v>91</v>
      </c>
      <c r="E126" s="112">
        <f t="shared" si="37"/>
        <v>53</v>
      </c>
      <c r="F126" s="112">
        <f t="shared" si="37"/>
        <v>117</v>
      </c>
      <c r="G126" s="112">
        <f t="shared" si="37"/>
        <v>57</v>
      </c>
      <c r="H126" s="112">
        <f t="shared" si="37"/>
        <v>132</v>
      </c>
      <c r="I126" s="112">
        <f t="shared" si="37"/>
        <v>47</v>
      </c>
      <c r="J126" s="112">
        <f t="shared" si="37"/>
        <v>38</v>
      </c>
      <c r="K126" s="112">
        <f t="shared" si="37"/>
        <v>3718</v>
      </c>
      <c r="L126" s="112">
        <f t="shared" si="37"/>
        <v>45</v>
      </c>
      <c r="M126" s="112">
        <f t="shared" si="37"/>
        <v>41</v>
      </c>
      <c r="N126"/>
    </row>
    <row r="127" spans="1:15" ht="12.95" hidden="1" customHeight="1">
      <c r="A127" s="16" t="s">
        <v>31</v>
      </c>
      <c r="B127" s="70">
        <f>SUM(C127:M127)</f>
        <v>769</v>
      </c>
      <c r="C127" s="70">
        <v>58</v>
      </c>
      <c r="D127" s="70">
        <v>15</v>
      </c>
      <c r="E127" s="70">
        <v>11</v>
      </c>
      <c r="F127" s="70">
        <v>53</v>
      </c>
      <c r="G127" s="70">
        <v>40</v>
      </c>
      <c r="H127" s="70">
        <v>73</v>
      </c>
      <c r="I127" s="70">
        <v>11</v>
      </c>
      <c r="J127" s="70">
        <v>10</v>
      </c>
      <c r="K127" s="70">
        <v>486</v>
      </c>
      <c r="L127" s="70">
        <v>5</v>
      </c>
      <c r="M127" s="70">
        <v>7</v>
      </c>
      <c r="N127"/>
    </row>
    <row r="128" spans="1:15" ht="12.95" hidden="1" customHeight="1">
      <c r="A128" s="16" t="s">
        <v>32</v>
      </c>
      <c r="B128" s="70">
        <f>SUM(C128:M128)</f>
        <v>2699</v>
      </c>
      <c r="C128" s="70">
        <v>100</v>
      </c>
      <c r="D128" s="70">
        <v>25</v>
      </c>
      <c r="E128" s="70">
        <v>9</v>
      </c>
      <c r="F128" s="70">
        <v>20</v>
      </c>
      <c r="G128" s="70">
        <v>5</v>
      </c>
      <c r="H128" s="70">
        <v>24</v>
      </c>
      <c r="I128" s="70">
        <v>12</v>
      </c>
      <c r="J128" s="70">
        <v>6</v>
      </c>
      <c r="K128" s="70">
        <v>2478</v>
      </c>
      <c r="L128" s="70">
        <v>4</v>
      </c>
      <c r="M128" s="70">
        <v>16</v>
      </c>
      <c r="N128"/>
    </row>
    <row r="129" spans="1:15" ht="12.95" hidden="1" customHeight="1">
      <c r="A129" s="16" t="s">
        <v>33</v>
      </c>
      <c r="B129" s="70">
        <f>SUM(C129:M129)</f>
        <v>1213</v>
      </c>
      <c r="C129" s="70">
        <v>184</v>
      </c>
      <c r="D129" s="70">
        <v>51</v>
      </c>
      <c r="E129" s="70">
        <v>33</v>
      </c>
      <c r="F129" s="70">
        <v>44</v>
      </c>
      <c r="G129" s="70">
        <v>12</v>
      </c>
      <c r="H129" s="70">
        <v>35</v>
      </c>
      <c r="I129" s="70">
        <v>24</v>
      </c>
      <c r="J129" s="70">
        <v>22</v>
      </c>
      <c r="K129" s="70">
        <v>754</v>
      </c>
      <c r="L129" s="70">
        <v>36</v>
      </c>
      <c r="M129" s="70">
        <v>18</v>
      </c>
      <c r="N129"/>
    </row>
    <row r="130" spans="1:15" ht="12" customHeight="1">
      <c r="A130" s="15">
        <v>2020</v>
      </c>
      <c r="B130" s="70"/>
      <c r="C130" s="67" t="s">
        <v>391</v>
      </c>
      <c r="D130" s="67"/>
      <c r="E130" s="67"/>
      <c r="F130" s="67"/>
      <c r="G130" s="67"/>
      <c r="H130" s="65"/>
      <c r="I130" s="65"/>
      <c r="J130" s="65"/>
      <c r="K130" s="65"/>
      <c r="L130" s="65"/>
      <c r="M130" s="65"/>
      <c r="O130"/>
    </row>
    <row r="131" spans="1:15" ht="12" customHeight="1">
      <c r="A131" s="15" t="s">
        <v>60</v>
      </c>
      <c r="B131" s="112">
        <f t="shared" ref="B131:L131" si="38">B132+B137</f>
        <v>39660</v>
      </c>
      <c r="C131" s="112">
        <f t="shared" si="38"/>
        <v>7442</v>
      </c>
      <c r="D131" s="112">
        <f>D132+D137</f>
        <v>2917</v>
      </c>
      <c r="E131" s="112">
        <f t="shared" si="38"/>
        <v>1919</v>
      </c>
      <c r="F131" s="112">
        <f t="shared" si="38"/>
        <v>1722</v>
      </c>
      <c r="G131" s="112">
        <f t="shared" si="38"/>
        <v>1633</v>
      </c>
      <c r="H131" s="112">
        <f t="shared" si="38"/>
        <v>2845</v>
      </c>
      <c r="I131" s="112">
        <f t="shared" si="38"/>
        <v>1047</v>
      </c>
      <c r="J131" s="112">
        <f t="shared" si="38"/>
        <v>3690</v>
      </c>
      <c r="K131" s="112">
        <f t="shared" si="38"/>
        <v>13976</v>
      </c>
      <c r="L131" s="112">
        <f t="shared" si="38"/>
        <v>1408</v>
      </c>
      <c r="M131" s="112">
        <f>M132+M137</f>
        <v>1061</v>
      </c>
      <c r="N131"/>
    </row>
    <row r="132" spans="1:15" ht="12" customHeight="1">
      <c r="A132" s="15" t="s">
        <v>39</v>
      </c>
      <c r="B132" s="112">
        <f>SUM(B134:B136)</f>
        <v>36738</v>
      </c>
      <c r="C132" s="112">
        <f t="shared" ref="C132:M132" si="39">SUM(C134:C136)</f>
        <v>7062</v>
      </c>
      <c r="D132" s="112">
        <f t="shared" si="39"/>
        <v>2803</v>
      </c>
      <c r="E132" s="112">
        <f t="shared" si="39"/>
        <v>1859</v>
      </c>
      <c r="F132" s="112">
        <f t="shared" si="39"/>
        <v>1596</v>
      </c>
      <c r="G132" s="112">
        <f t="shared" si="39"/>
        <v>1545</v>
      </c>
      <c r="H132" s="112">
        <f t="shared" si="39"/>
        <v>2745</v>
      </c>
      <c r="I132" s="112">
        <f t="shared" si="39"/>
        <v>1014</v>
      </c>
      <c r="J132" s="112">
        <f t="shared" si="39"/>
        <v>3592</v>
      </c>
      <c r="K132" s="112">
        <f t="shared" si="39"/>
        <v>12167</v>
      </c>
      <c r="L132" s="112">
        <f t="shared" si="39"/>
        <v>1349</v>
      </c>
      <c r="M132" s="112">
        <f t="shared" si="39"/>
        <v>1006</v>
      </c>
      <c r="N132"/>
    </row>
    <row r="133" spans="1:15" ht="12" customHeight="1">
      <c r="A133" s="16" t="s">
        <v>4</v>
      </c>
      <c r="B133" s="209"/>
      <c r="C133" s="107"/>
      <c r="E133" s="107"/>
      <c r="F133" s="107"/>
      <c r="G133" s="107"/>
      <c r="H133" s="108"/>
      <c r="I133" s="108"/>
      <c r="J133" s="108"/>
      <c r="K133" s="108"/>
      <c r="L133" s="108"/>
      <c r="M133" s="108"/>
      <c r="N133"/>
    </row>
    <row r="134" spans="1:15" ht="12" customHeight="1">
      <c r="A134" s="16" t="s">
        <v>31</v>
      </c>
      <c r="B134" s="70">
        <f>SUM(C134:M134)</f>
        <v>14521</v>
      </c>
      <c r="C134" s="70">
        <v>2690</v>
      </c>
      <c r="D134" s="70">
        <v>1128</v>
      </c>
      <c r="E134" s="70">
        <v>702</v>
      </c>
      <c r="F134" s="70">
        <v>652</v>
      </c>
      <c r="G134" s="70">
        <v>628</v>
      </c>
      <c r="H134" s="70">
        <v>995</v>
      </c>
      <c r="I134" s="70">
        <v>394</v>
      </c>
      <c r="J134" s="70">
        <v>1361</v>
      </c>
      <c r="K134" s="70">
        <v>5015</v>
      </c>
      <c r="L134" s="70">
        <v>582</v>
      </c>
      <c r="M134" s="70">
        <v>374</v>
      </c>
      <c r="N134"/>
    </row>
    <row r="135" spans="1:15" ht="12" customHeight="1">
      <c r="A135" s="16" t="s">
        <v>32</v>
      </c>
      <c r="B135" s="70">
        <f>SUM(C135:M135)</f>
        <v>12048</v>
      </c>
      <c r="C135" s="70">
        <v>2391</v>
      </c>
      <c r="D135" s="70">
        <v>898</v>
      </c>
      <c r="E135" s="70">
        <v>608</v>
      </c>
      <c r="F135" s="70">
        <v>502</v>
      </c>
      <c r="G135" s="70">
        <v>508</v>
      </c>
      <c r="H135" s="70">
        <v>931</v>
      </c>
      <c r="I135" s="70">
        <v>320</v>
      </c>
      <c r="J135" s="70">
        <v>1197</v>
      </c>
      <c r="K135" s="70">
        <v>3935</v>
      </c>
      <c r="L135" s="70">
        <v>427</v>
      </c>
      <c r="M135" s="70">
        <v>331</v>
      </c>
      <c r="N135"/>
    </row>
    <row r="136" spans="1:15" ht="12" customHeight="1">
      <c r="A136" s="16" t="s">
        <v>33</v>
      </c>
      <c r="B136" s="70">
        <f>SUM(C136:M136)</f>
        <v>10169</v>
      </c>
      <c r="C136" s="70">
        <v>1981</v>
      </c>
      <c r="D136" s="70">
        <v>777</v>
      </c>
      <c r="E136" s="70">
        <v>549</v>
      </c>
      <c r="F136" s="70">
        <v>442</v>
      </c>
      <c r="G136" s="70">
        <v>409</v>
      </c>
      <c r="H136" s="70">
        <v>819</v>
      </c>
      <c r="I136" s="70">
        <v>300</v>
      </c>
      <c r="J136" s="70">
        <v>1034</v>
      </c>
      <c r="K136" s="70">
        <v>3217</v>
      </c>
      <c r="L136" s="70">
        <v>340</v>
      </c>
      <c r="M136" s="70">
        <v>301</v>
      </c>
      <c r="N136"/>
    </row>
    <row r="137" spans="1:15" ht="12" customHeight="1">
      <c r="A137" s="15" t="s">
        <v>397</v>
      </c>
      <c r="B137" s="112">
        <f>SUM(B138:B140)</f>
        <v>2922</v>
      </c>
      <c r="C137" s="256">
        <f>SUM(C138:C140)</f>
        <v>380</v>
      </c>
      <c r="D137" s="256">
        <f t="shared" ref="D137:M137" si="40">SUM(D138:D140)</f>
        <v>114</v>
      </c>
      <c r="E137" s="256">
        <f t="shared" si="40"/>
        <v>60</v>
      </c>
      <c r="F137" s="256">
        <f t="shared" si="40"/>
        <v>126</v>
      </c>
      <c r="G137" s="256">
        <f t="shared" si="40"/>
        <v>88</v>
      </c>
      <c r="H137" s="256">
        <f t="shared" si="40"/>
        <v>100</v>
      </c>
      <c r="I137" s="256">
        <f t="shared" si="40"/>
        <v>33</v>
      </c>
      <c r="J137" s="256">
        <f t="shared" si="40"/>
        <v>98</v>
      </c>
      <c r="K137" s="256">
        <f t="shared" si="40"/>
        <v>1809</v>
      </c>
      <c r="L137" s="256">
        <f t="shared" si="40"/>
        <v>59</v>
      </c>
      <c r="M137" s="256">
        <f t="shared" si="40"/>
        <v>55</v>
      </c>
      <c r="N137"/>
    </row>
    <row r="138" spans="1:15" ht="12" customHeight="1">
      <c r="A138" s="16" t="s">
        <v>31</v>
      </c>
      <c r="B138" s="70">
        <f>SUM(C138:M138)</f>
        <v>698</v>
      </c>
      <c r="C138" s="70">
        <v>52</v>
      </c>
      <c r="D138" s="70">
        <v>14</v>
      </c>
      <c r="E138" s="70">
        <v>12</v>
      </c>
      <c r="F138" s="70">
        <v>65</v>
      </c>
      <c r="G138" s="70">
        <v>22</v>
      </c>
      <c r="H138" s="70">
        <v>24</v>
      </c>
      <c r="I138" s="70">
        <v>7</v>
      </c>
      <c r="J138" s="70">
        <v>30</v>
      </c>
      <c r="K138" s="70">
        <v>463</v>
      </c>
      <c r="L138" s="70">
        <v>3</v>
      </c>
      <c r="M138" s="70">
        <v>6</v>
      </c>
      <c r="N138"/>
    </row>
    <row r="139" spans="1:15" ht="12" customHeight="1">
      <c r="A139" s="16" t="s">
        <v>32</v>
      </c>
      <c r="B139" s="70">
        <f>SUM(C139:M139)</f>
        <v>685</v>
      </c>
      <c r="C139" s="70">
        <v>86</v>
      </c>
      <c r="D139" s="70">
        <v>25</v>
      </c>
      <c r="E139" s="70">
        <v>18</v>
      </c>
      <c r="F139" s="70">
        <v>28</v>
      </c>
      <c r="G139" s="70">
        <v>22</v>
      </c>
      <c r="H139" s="70">
        <v>30</v>
      </c>
      <c r="I139" s="70">
        <v>12</v>
      </c>
      <c r="J139" s="70">
        <v>25</v>
      </c>
      <c r="K139" s="70">
        <v>406</v>
      </c>
      <c r="L139" s="70">
        <v>15</v>
      </c>
      <c r="M139" s="70">
        <v>18</v>
      </c>
      <c r="N139"/>
    </row>
    <row r="140" spans="1:15" ht="12" customHeight="1">
      <c r="A140" s="16" t="s">
        <v>33</v>
      </c>
      <c r="B140" s="70">
        <f>SUM(C140:M140)</f>
        <v>1539</v>
      </c>
      <c r="C140" s="70">
        <v>242</v>
      </c>
      <c r="D140" s="70">
        <v>75</v>
      </c>
      <c r="E140" s="70">
        <v>30</v>
      </c>
      <c r="F140" s="70">
        <v>33</v>
      </c>
      <c r="G140" s="70">
        <v>44</v>
      </c>
      <c r="H140" s="70">
        <v>46</v>
      </c>
      <c r="I140" s="70">
        <v>14</v>
      </c>
      <c r="J140" s="70">
        <v>43</v>
      </c>
      <c r="K140" s="70">
        <v>940</v>
      </c>
      <c r="L140" s="70">
        <v>41</v>
      </c>
      <c r="M140" s="70">
        <v>31</v>
      </c>
      <c r="N140"/>
    </row>
    <row r="141" spans="1:15" ht="12" customHeight="1">
      <c r="A141" s="15">
        <v>2021</v>
      </c>
      <c r="B141" s="70"/>
      <c r="C141" s="67" t="s">
        <v>391</v>
      </c>
      <c r="D141" s="67"/>
      <c r="E141" s="67"/>
      <c r="F141" s="67"/>
      <c r="G141" s="67"/>
      <c r="H141" s="65"/>
      <c r="I141" s="65"/>
      <c r="J141" s="65"/>
      <c r="K141" s="65"/>
      <c r="L141" s="65"/>
      <c r="M141" s="65"/>
      <c r="O141"/>
    </row>
    <row r="142" spans="1:15" ht="12" customHeight="1">
      <c r="A142" s="15" t="s">
        <v>60</v>
      </c>
      <c r="B142" s="112">
        <f t="shared" ref="B142:M142" si="41">B143+B148</f>
        <v>41697</v>
      </c>
      <c r="C142" s="112">
        <f t="shared" si="41"/>
        <v>7445</v>
      </c>
      <c r="D142" s="112">
        <f t="shared" si="41"/>
        <v>3639</v>
      </c>
      <c r="E142" s="112">
        <f t="shared" si="41"/>
        <v>2100</v>
      </c>
      <c r="F142" s="112">
        <f t="shared" si="41"/>
        <v>2030</v>
      </c>
      <c r="G142" s="112">
        <f t="shared" si="41"/>
        <v>1940</v>
      </c>
      <c r="H142" s="112">
        <f t="shared" si="41"/>
        <v>3085</v>
      </c>
      <c r="I142" s="112">
        <f t="shared" si="41"/>
        <v>1094</v>
      </c>
      <c r="J142" s="112">
        <f t="shared" si="41"/>
        <v>3864</v>
      </c>
      <c r="K142" s="112">
        <f t="shared" si="41"/>
        <v>13691</v>
      </c>
      <c r="L142" s="112">
        <f t="shared" si="41"/>
        <v>1730</v>
      </c>
      <c r="M142" s="112">
        <f t="shared" si="41"/>
        <v>1079</v>
      </c>
      <c r="N142"/>
    </row>
    <row r="143" spans="1:15" ht="12" customHeight="1">
      <c r="A143" s="15" t="s">
        <v>39</v>
      </c>
      <c r="B143" s="112">
        <f t="shared" ref="B143:M143" si="42">SUM(B145:B147)</f>
        <v>38515</v>
      </c>
      <c r="C143" s="112">
        <f t="shared" si="42"/>
        <v>6922</v>
      </c>
      <c r="D143" s="112">
        <f t="shared" si="42"/>
        <v>3440</v>
      </c>
      <c r="E143" s="112">
        <f t="shared" si="42"/>
        <v>2028</v>
      </c>
      <c r="F143" s="112">
        <f t="shared" si="42"/>
        <v>1877</v>
      </c>
      <c r="G143" s="112">
        <f t="shared" si="42"/>
        <v>1768</v>
      </c>
      <c r="H143" s="112">
        <f t="shared" si="42"/>
        <v>2951</v>
      </c>
      <c r="I143" s="112">
        <f t="shared" si="42"/>
        <v>1051</v>
      </c>
      <c r="J143" s="112">
        <f t="shared" si="42"/>
        <v>3735</v>
      </c>
      <c r="K143" s="112">
        <f t="shared" si="42"/>
        <v>12112</v>
      </c>
      <c r="L143" s="112">
        <f t="shared" si="42"/>
        <v>1627</v>
      </c>
      <c r="M143" s="112">
        <f t="shared" si="42"/>
        <v>1004</v>
      </c>
      <c r="N143"/>
    </row>
    <row r="144" spans="1:15" ht="12" customHeight="1">
      <c r="A144" s="16" t="s">
        <v>4</v>
      </c>
      <c r="B144" s="209"/>
      <c r="C144" s="107"/>
      <c r="E144" s="107"/>
      <c r="F144" s="107"/>
      <c r="G144" s="107"/>
      <c r="H144" s="108"/>
      <c r="I144" s="108"/>
      <c r="J144" s="108"/>
      <c r="K144" s="108"/>
      <c r="L144" s="108"/>
      <c r="M144" s="108"/>
      <c r="N144"/>
    </row>
    <row r="145" spans="1:17" ht="12" customHeight="1">
      <c r="A145" s="16" t="s">
        <v>31</v>
      </c>
      <c r="B145" s="70">
        <f>SUM(C145:M145)</f>
        <v>13959</v>
      </c>
      <c r="C145" s="70">
        <v>2434</v>
      </c>
      <c r="D145" s="70">
        <v>1220</v>
      </c>
      <c r="E145" s="70">
        <v>728</v>
      </c>
      <c r="F145" s="70">
        <v>711</v>
      </c>
      <c r="G145" s="70">
        <v>635</v>
      </c>
      <c r="H145" s="70">
        <v>1016</v>
      </c>
      <c r="I145" s="70">
        <v>362</v>
      </c>
      <c r="J145" s="70">
        <v>1303</v>
      </c>
      <c r="K145" s="70">
        <v>4617</v>
      </c>
      <c r="L145" s="70">
        <v>585</v>
      </c>
      <c r="M145" s="70">
        <v>348</v>
      </c>
      <c r="N145"/>
    </row>
    <row r="146" spans="1:17" ht="12" customHeight="1">
      <c r="A146" s="16" t="s">
        <v>32</v>
      </c>
      <c r="B146" s="70">
        <f>SUM(C146:M146)</f>
        <v>12698</v>
      </c>
      <c r="C146" s="70">
        <v>2288</v>
      </c>
      <c r="D146" s="70">
        <v>1146</v>
      </c>
      <c r="E146" s="70">
        <v>673</v>
      </c>
      <c r="F146" s="70">
        <v>620</v>
      </c>
      <c r="G146" s="70">
        <v>604</v>
      </c>
      <c r="H146" s="70">
        <v>953</v>
      </c>
      <c r="I146" s="70">
        <v>365</v>
      </c>
      <c r="J146" s="70">
        <v>1240</v>
      </c>
      <c r="K146" s="70">
        <v>3939</v>
      </c>
      <c r="L146" s="70">
        <v>518</v>
      </c>
      <c r="M146" s="70">
        <v>352</v>
      </c>
      <c r="N146"/>
    </row>
    <row r="147" spans="1:17" ht="12" customHeight="1">
      <c r="A147" s="16" t="s">
        <v>33</v>
      </c>
      <c r="B147" s="70">
        <f>SUM(C147:M147)</f>
        <v>11858</v>
      </c>
      <c r="C147" s="70">
        <v>2200</v>
      </c>
      <c r="D147" s="70">
        <v>1074</v>
      </c>
      <c r="E147" s="70">
        <v>627</v>
      </c>
      <c r="F147" s="70">
        <v>546</v>
      </c>
      <c r="G147" s="70">
        <v>529</v>
      </c>
      <c r="H147" s="70">
        <v>982</v>
      </c>
      <c r="I147" s="70">
        <v>324</v>
      </c>
      <c r="J147" s="70">
        <v>1192</v>
      </c>
      <c r="K147" s="70">
        <v>3556</v>
      </c>
      <c r="L147" s="70">
        <v>524</v>
      </c>
      <c r="M147" s="70">
        <v>304</v>
      </c>
      <c r="N147"/>
    </row>
    <row r="148" spans="1:17" ht="12" customHeight="1">
      <c r="A148" s="15" t="s">
        <v>397</v>
      </c>
      <c r="B148" s="112">
        <f>SUM(B149:B151)</f>
        <v>3182</v>
      </c>
      <c r="C148" s="112">
        <f>SUM(C149:C151)</f>
        <v>523</v>
      </c>
      <c r="D148" s="112">
        <f t="shared" ref="D148:M148" si="43">SUM(D149:D151)</f>
        <v>199</v>
      </c>
      <c r="E148" s="112">
        <f t="shared" si="43"/>
        <v>72</v>
      </c>
      <c r="F148" s="112">
        <f t="shared" si="43"/>
        <v>153</v>
      </c>
      <c r="G148" s="112">
        <f t="shared" si="43"/>
        <v>172</v>
      </c>
      <c r="H148" s="112">
        <f t="shared" si="43"/>
        <v>134</v>
      </c>
      <c r="I148" s="112">
        <f t="shared" si="43"/>
        <v>43</v>
      </c>
      <c r="J148" s="112">
        <f t="shared" si="43"/>
        <v>129</v>
      </c>
      <c r="K148" s="112">
        <f t="shared" si="43"/>
        <v>1579</v>
      </c>
      <c r="L148" s="112">
        <f t="shared" si="43"/>
        <v>103</v>
      </c>
      <c r="M148" s="112">
        <f t="shared" si="43"/>
        <v>75</v>
      </c>
      <c r="N148"/>
    </row>
    <row r="149" spans="1:17" ht="12" customHeight="1">
      <c r="A149" s="16" t="s">
        <v>31</v>
      </c>
      <c r="B149" s="70">
        <f>SUM(C149:M149)</f>
        <v>491</v>
      </c>
      <c r="C149" s="70">
        <v>54</v>
      </c>
      <c r="D149" s="70">
        <v>24</v>
      </c>
      <c r="E149" s="70">
        <v>22</v>
      </c>
      <c r="F149" s="70">
        <v>26</v>
      </c>
      <c r="G149" s="70">
        <v>46</v>
      </c>
      <c r="H149" s="70">
        <v>23</v>
      </c>
      <c r="I149" s="70">
        <v>3</v>
      </c>
      <c r="J149" s="70">
        <v>32</v>
      </c>
      <c r="K149" s="70">
        <v>244</v>
      </c>
      <c r="L149" s="70">
        <v>12</v>
      </c>
      <c r="M149" s="70">
        <v>5</v>
      </c>
      <c r="N149"/>
    </row>
    <row r="150" spans="1:17" ht="12" customHeight="1">
      <c r="A150" s="16" t="s">
        <v>32</v>
      </c>
      <c r="B150" s="70">
        <f>SUM(C150:M150)</f>
        <v>855</v>
      </c>
      <c r="C150" s="70">
        <v>147</v>
      </c>
      <c r="D150" s="70">
        <v>49</v>
      </c>
      <c r="E150" s="70">
        <v>18</v>
      </c>
      <c r="F150" s="70">
        <v>38</v>
      </c>
      <c r="G150" s="70">
        <v>41</v>
      </c>
      <c r="H150" s="70">
        <v>47</v>
      </c>
      <c r="I150" s="70">
        <v>11</v>
      </c>
      <c r="J150" s="70">
        <v>35</v>
      </c>
      <c r="K150" s="70">
        <v>418</v>
      </c>
      <c r="L150" s="70">
        <v>26</v>
      </c>
      <c r="M150" s="70">
        <v>25</v>
      </c>
      <c r="N150"/>
    </row>
    <row r="151" spans="1:17" ht="12" customHeight="1">
      <c r="A151" s="16" t="s">
        <v>33</v>
      </c>
      <c r="B151" s="70">
        <f>SUM(C151:M151)</f>
        <v>1836</v>
      </c>
      <c r="C151" s="70">
        <v>322</v>
      </c>
      <c r="D151" s="70">
        <v>126</v>
      </c>
      <c r="E151" s="70">
        <v>32</v>
      </c>
      <c r="F151" s="70">
        <v>89</v>
      </c>
      <c r="G151" s="70">
        <v>85</v>
      </c>
      <c r="H151" s="70">
        <v>64</v>
      </c>
      <c r="I151" s="70">
        <v>29</v>
      </c>
      <c r="J151" s="70">
        <v>62</v>
      </c>
      <c r="K151" s="70">
        <v>917</v>
      </c>
      <c r="L151" s="70">
        <v>65</v>
      </c>
      <c r="M151" s="70">
        <v>45</v>
      </c>
      <c r="N151"/>
    </row>
    <row r="152" spans="1:17" ht="12" customHeight="1">
      <c r="A152" s="15">
        <v>2022</v>
      </c>
      <c r="B152" s="70"/>
      <c r="C152" s="67" t="s">
        <v>391</v>
      </c>
      <c r="D152" s="67"/>
      <c r="E152" s="67"/>
      <c r="F152" s="67"/>
      <c r="G152" s="67"/>
      <c r="H152" s="65"/>
      <c r="I152" s="65"/>
      <c r="J152" s="65"/>
      <c r="K152" s="65"/>
      <c r="L152" s="65"/>
      <c r="M152" s="65"/>
      <c r="O152"/>
    </row>
    <row r="153" spans="1:17" ht="12" customHeight="1">
      <c r="A153" s="15" t="s">
        <v>60</v>
      </c>
      <c r="B153" s="112">
        <f t="shared" ref="B153:M153" si="44">B154+B159</f>
        <v>40167</v>
      </c>
      <c r="C153" s="112">
        <f t="shared" si="44"/>
        <v>8105</v>
      </c>
      <c r="D153" s="112">
        <f t="shared" si="44"/>
        <v>3127</v>
      </c>
      <c r="E153" s="112">
        <f t="shared" si="44"/>
        <v>2145</v>
      </c>
      <c r="F153" s="112">
        <f t="shared" si="44"/>
        <v>2070</v>
      </c>
      <c r="G153" s="112">
        <f t="shared" si="44"/>
        <v>1889</v>
      </c>
      <c r="H153" s="112">
        <f t="shared" si="44"/>
        <v>2937</v>
      </c>
      <c r="I153" s="112">
        <f t="shared" si="44"/>
        <v>1060</v>
      </c>
      <c r="J153" s="112">
        <f t="shared" si="44"/>
        <v>3674</v>
      </c>
      <c r="K153" s="112">
        <f t="shared" si="44"/>
        <v>12709</v>
      </c>
      <c r="L153" s="112">
        <f t="shared" si="44"/>
        <v>1413</v>
      </c>
      <c r="M153" s="112">
        <f t="shared" si="44"/>
        <v>1038</v>
      </c>
      <c r="N153"/>
    </row>
    <row r="154" spans="1:17" ht="12" customHeight="1">
      <c r="A154" s="15" t="s">
        <v>39</v>
      </c>
      <c r="B154" s="112">
        <f t="shared" ref="B154:M154" si="45">SUM(B156:B158)</f>
        <v>38392</v>
      </c>
      <c r="C154" s="112">
        <f t="shared" si="45"/>
        <v>7754</v>
      </c>
      <c r="D154" s="112">
        <f t="shared" si="45"/>
        <v>3060</v>
      </c>
      <c r="E154" s="112">
        <f t="shared" si="45"/>
        <v>2103</v>
      </c>
      <c r="F154" s="112">
        <f t="shared" si="45"/>
        <v>1970</v>
      </c>
      <c r="G154" s="112">
        <f t="shared" si="45"/>
        <v>1833</v>
      </c>
      <c r="H154" s="112">
        <f t="shared" si="45"/>
        <v>2839</v>
      </c>
      <c r="I154" s="112">
        <f t="shared" si="45"/>
        <v>1028</v>
      </c>
      <c r="J154" s="112">
        <f t="shared" si="45"/>
        <v>3566</v>
      </c>
      <c r="K154" s="112">
        <f t="shared" si="45"/>
        <v>11881</v>
      </c>
      <c r="L154" s="112">
        <f t="shared" si="45"/>
        <v>1350</v>
      </c>
      <c r="M154" s="112">
        <f t="shared" si="45"/>
        <v>1008</v>
      </c>
      <c r="N154"/>
    </row>
    <row r="155" spans="1:17" ht="12" customHeight="1">
      <c r="A155" s="16" t="s">
        <v>4</v>
      </c>
      <c r="B155" s="209"/>
      <c r="C155" s="107"/>
      <c r="E155" s="107"/>
      <c r="F155" s="107"/>
      <c r="G155" s="107"/>
      <c r="H155" s="108"/>
      <c r="I155" s="108"/>
      <c r="J155" s="108"/>
      <c r="K155" s="108"/>
      <c r="L155" s="108"/>
      <c r="M155" s="108"/>
      <c r="N155"/>
    </row>
    <row r="156" spans="1:17" ht="12" customHeight="1">
      <c r="A156" s="16" t="s">
        <v>31</v>
      </c>
      <c r="B156" s="70">
        <f>SUM(C156:M156)</f>
        <v>13768</v>
      </c>
      <c r="C156" s="70">
        <v>2742</v>
      </c>
      <c r="D156" s="70">
        <v>1111</v>
      </c>
      <c r="E156" s="70">
        <v>737</v>
      </c>
      <c r="F156" s="70">
        <v>733</v>
      </c>
      <c r="G156" s="70">
        <v>659</v>
      </c>
      <c r="H156" s="70">
        <v>961</v>
      </c>
      <c r="I156" s="70">
        <v>360</v>
      </c>
      <c r="J156" s="70">
        <v>1296</v>
      </c>
      <c r="K156" s="70">
        <v>4364</v>
      </c>
      <c r="L156" s="70">
        <v>447</v>
      </c>
      <c r="M156" s="70">
        <v>358</v>
      </c>
      <c r="N156"/>
    </row>
    <row r="157" spans="1:17" ht="12" customHeight="1">
      <c r="A157" s="16" t="s">
        <v>32</v>
      </c>
      <c r="B157" s="70">
        <f>SUM(C157:M157)</f>
        <v>12843</v>
      </c>
      <c r="C157" s="70">
        <v>2581</v>
      </c>
      <c r="D157" s="70">
        <v>1032</v>
      </c>
      <c r="E157" s="70">
        <v>693</v>
      </c>
      <c r="F157" s="70">
        <v>644</v>
      </c>
      <c r="G157" s="70">
        <v>633</v>
      </c>
      <c r="H157" s="70">
        <v>959</v>
      </c>
      <c r="I157" s="70">
        <v>348</v>
      </c>
      <c r="J157" s="70">
        <v>1185</v>
      </c>
      <c r="K157" s="70">
        <v>3975</v>
      </c>
      <c r="L157" s="70">
        <v>459</v>
      </c>
      <c r="M157" s="70">
        <v>334</v>
      </c>
      <c r="N157"/>
      <c r="Q157" s="435"/>
    </row>
    <row r="158" spans="1:17" ht="12" customHeight="1">
      <c r="A158" s="16" t="s">
        <v>33</v>
      </c>
      <c r="B158" s="70">
        <f>SUM(C158:M158)</f>
        <v>11781</v>
      </c>
      <c r="C158" s="70">
        <v>2431</v>
      </c>
      <c r="D158" s="70">
        <v>917</v>
      </c>
      <c r="E158" s="70">
        <v>673</v>
      </c>
      <c r="F158" s="70">
        <v>593</v>
      </c>
      <c r="G158" s="70">
        <v>541</v>
      </c>
      <c r="H158" s="70">
        <v>919</v>
      </c>
      <c r="I158" s="70">
        <v>320</v>
      </c>
      <c r="J158" s="70">
        <v>1085</v>
      </c>
      <c r="K158" s="70">
        <v>3542</v>
      </c>
      <c r="L158" s="70">
        <v>444</v>
      </c>
      <c r="M158" s="70">
        <v>316</v>
      </c>
      <c r="N158"/>
    </row>
    <row r="159" spans="1:17" ht="12" customHeight="1">
      <c r="A159" s="15" t="s">
        <v>397</v>
      </c>
      <c r="B159" s="112">
        <f>SUM(B160:B162)</f>
        <v>1775</v>
      </c>
      <c r="C159" s="112">
        <f>SUM(C160:C162)</f>
        <v>351</v>
      </c>
      <c r="D159" s="112">
        <f t="shared" ref="D159:M159" si="46">SUM(D160:D162)</f>
        <v>67</v>
      </c>
      <c r="E159" s="112">
        <f t="shared" si="46"/>
        <v>42</v>
      </c>
      <c r="F159" s="112">
        <f t="shared" si="46"/>
        <v>100</v>
      </c>
      <c r="G159" s="112">
        <f t="shared" si="46"/>
        <v>56</v>
      </c>
      <c r="H159" s="112">
        <f t="shared" si="46"/>
        <v>98</v>
      </c>
      <c r="I159" s="112">
        <f t="shared" si="46"/>
        <v>32</v>
      </c>
      <c r="J159" s="112">
        <f t="shared" si="46"/>
        <v>108</v>
      </c>
      <c r="K159" s="112">
        <f t="shared" si="46"/>
        <v>828</v>
      </c>
      <c r="L159" s="112">
        <f t="shared" si="46"/>
        <v>63</v>
      </c>
      <c r="M159" s="112">
        <f t="shared" si="46"/>
        <v>30</v>
      </c>
      <c r="N159"/>
    </row>
    <row r="160" spans="1:17" ht="12" customHeight="1">
      <c r="A160" s="16" t="s">
        <v>31</v>
      </c>
      <c r="B160" s="70">
        <f>SUM(C160:M160)</f>
        <v>339</v>
      </c>
      <c r="C160" s="70">
        <v>55</v>
      </c>
      <c r="D160" s="70">
        <v>11</v>
      </c>
      <c r="E160" s="70">
        <v>15</v>
      </c>
      <c r="F160" s="70">
        <v>11</v>
      </c>
      <c r="G160" s="70">
        <v>6</v>
      </c>
      <c r="H160" s="70">
        <v>24</v>
      </c>
      <c r="I160" s="70">
        <v>3</v>
      </c>
      <c r="J160" s="70">
        <v>31</v>
      </c>
      <c r="K160" s="70">
        <v>170</v>
      </c>
      <c r="L160" s="70">
        <v>11</v>
      </c>
      <c r="M160" s="70">
        <v>2</v>
      </c>
      <c r="N160"/>
    </row>
    <row r="161" spans="1:17" ht="12" customHeight="1">
      <c r="A161" s="16" t="s">
        <v>32</v>
      </c>
      <c r="B161" s="70">
        <f>SUM(C161:M161)</f>
        <v>438</v>
      </c>
      <c r="C161" s="70">
        <v>84</v>
      </c>
      <c r="D161" s="70">
        <v>22</v>
      </c>
      <c r="E161" s="70">
        <v>9</v>
      </c>
      <c r="F161" s="70">
        <v>14</v>
      </c>
      <c r="G161" s="70">
        <v>6</v>
      </c>
      <c r="H161" s="70">
        <v>25</v>
      </c>
      <c r="I161" s="70">
        <v>13</v>
      </c>
      <c r="J161" s="70">
        <v>22</v>
      </c>
      <c r="K161" s="70">
        <v>218</v>
      </c>
      <c r="L161" s="70">
        <v>21</v>
      </c>
      <c r="M161" s="70">
        <v>4</v>
      </c>
      <c r="N161"/>
    </row>
    <row r="162" spans="1:17" ht="12" customHeight="1">
      <c r="A162" s="16" t="s">
        <v>33</v>
      </c>
      <c r="B162" s="70">
        <f>SUM(C162:M162)</f>
        <v>998</v>
      </c>
      <c r="C162" s="70">
        <v>212</v>
      </c>
      <c r="D162" s="70">
        <v>34</v>
      </c>
      <c r="E162" s="70">
        <v>18</v>
      </c>
      <c r="F162" s="70">
        <v>75</v>
      </c>
      <c r="G162" s="70">
        <v>44</v>
      </c>
      <c r="H162" s="70">
        <v>49</v>
      </c>
      <c r="I162" s="70">
        <v>16</v>
      </c>
      <c r="J162" s="70">
        <v>55</v>
      </c>
      <c r="K162" s="70">
        <v>440</v>
      </c>
      <c r="L162" s="70">
        <v>31</v>
      </c>
      <c r="M162" s="70">
        <v>24</v>
      </c>
      <c r="N162"/>
    </row>
    <row r="163" spans="1:17" ht="12" customHeight="1">
      <c r="A163" s="15">
        <v>2023</v>
      </c>
      <c r="B163" s="70"/>
      <c r="C163" s="67" t="s">
        <v>391</v>
      </c>
      <c r="D163" s="67"/>
      <c r="E163" s="67"/>
      <c r="F163" s="67"/>
      <c r="G163" s="67"/>
      <c r="H163" s="65"/>
      <c r="I163" s="65"/>
      <c r="J163" s="65"/>
      <c r="K163" s="65"/>
      <c r="L163" s="65"/>
      <c r="M163" s="65"/>
      <c r="O163"/>
    </row>
    <row r="164" spans="1:17" ht="12" customHeight="1">
      <c r="A164" s="15" t="s">
        <v>60</v>
      </c>
      <c r="B164" s="112">
        <f t="shared" ref="B164:M164" si="47">B165+B170</f>
        <v>42149</v>
      </c>
      <c r="C164" s="112">
        <f t="shared" si="47"/>
        <v>7264</v>
      </c>
      <c r="D164" s="112">
        <f t="shared" si="47"/>
        <v>3306</v>
      </c>
      <c r="E164" s="112">
        <f t="shared" si="47"/>
        <v>2061</v>
      </c>
      <c r="F164" s="112">
        <f t="shared" si="47"/>
        <v>2253</v>
      </c>
      <c r="G164" s="112">
        <f t="shared" si="47"/>
        <v>2205</v>
      </c>
      <c r="H164" s="112">
        <f t="shared" si="47"/>
        <v>2914</v>
      </c>
      <c r="I164" s="112">
        <f t="shared" si="47"/>
        <v>1076</v>
      </c>
      <c r="J164" s="112">
        <f t="shared" si="47"/>
        <v>3959</v>
      </c>
      <c r="K164" s="112">
        <f t="shared" si="47"/>
        <v>14770</v>
      </c>
      <c r="L164" s="112">
        <f t="shared" si="47"/>
        <v>1360</v>
      </c>
      <c r="M164" s="112">
        <f t="shared" si="47"/>
        <v>981</v>
      </c>
      <c r="N164"/>
    </row>
    <row r="165" spans="1:17" ht="12" customHeight="1">
      <c r="A165" s="15" t="s">
        <v>39</v>
      </c>
      <c r="B165" s="112">
        <f t="shared" ref="B165:M165" si="48">SUM(B167:B169)</f>
        <v>39498</v>
      </c>
      <c r="C165" s="112">
        <f t="shared" si="48"/>
        <v>6947</v>
      </c>
      <c r="D165" s="112">
        <f t="shared" si="48"/>
        <v>3108</v>
      </c>
      <c r="E165" s="112">
        <f t="shared" si="48"/>
        <v>2021</v>
      </c>
      <c r="F165" s="112">
        <f t="shared" si="48"/>
        <v>2141</v>
      </c>
      <c r="G165" s="112">
        <f t="shared" si="48"/>
        <v>1817</v>
      </c>
      <c r="H165" s="112">
        <f t="shared" si="48"/>
        <v>2781</v>
      </c>
      <c r="I165" s="112">
        <f t="shared" si="48"/>
        <v>1027</v>
      </c>
      <c r="J165" s="112">
        <f t="shared" si="48"/>
        <v>3746</v>
      </c>
      <c r="K165" s="112">
        <f t="shared" si="48"/>
        <v>13751</v>
      </c>
      <c r="L165" s="112">
        <f t="shared" si="48"/>
        <v>1259</v>
      </c>
      <c r="M165" s="112">
        <f t="shared" si="48"/>
        <v>900</v>
      </c>
      <c r="N165"/>
    </row>
    <row r="166" spans="1:17" ht="12" customHeight="1">
      <c r="A166" s="16" t="s">
        <v>4</v>
      </c>
      <c r="B166" s="209"/>
      <c r="C166" s="107"/>
      <c r="E166" s="107"/>
      <c r="F166" s="107"/>
      <c r="G166" s="107"/>
      <c r="H166" s="108"/>
      <c r="I166" s="108"/>
      <c r="J166" s="108"/>
      <c r="K166" s="108"/>
      <c r="L166" s="108"/>
      <c r="M166" s="108"/>
      <c r="N166"/>
    </row>
    <row r="167" spans="1:17" ht="12" customHeight="1">
      <c r="A167" s="16" t="s">
        <v>31</v>
      </c>
      <c r="B167" s="70">
        <f>SUM(C167:M167)</f>
        <v>14041</v>
      </c>
      <c r="C167" s="70">
        <v>2383</v>
      </c>
      <c r="D167" s="70">
        <v>1066</v>
      </c>
      <c r="E167" s="70">
        <v>680</v>
      </c>
      <c r="F167" s="70">
        <v>759</v>
      </c>
      <c r="G167" s="70">
        <v>625</v>
      </c>
      <c r="H167" s="70">
        <v>941</v>
      </c>
      <c r="I167" s="70">
        <v>345</v>
      </c>
      <c r="J167" s="70">
        <v>1299</v>
      </c>
      <c r="K167" s="70">
        <v>5199</v>
      </c>
      <c r="L167" s="70">
        <v>447</v>
      </c>
      <c r="M167" s="70">
        <v>297</v>
      </c>
      <c r="N167"/>
    </row>
    <row r="168" spans="1:17" ht="12" customHeight="1">
      <c r="A168" s="16" t="s">
        <v>32</v>
      </c>
      <c r="B168" s="70">
        <f>SUM(C168:M168)</f>
        <v>13311</v>
      </c>
      <c r="C168" s="70">
        <v>2319</v>
      </c>
      <c r="D168" s="70">
        <v>1046</v>
      </c>
      <c r="E168" s="70">
        <v>670</v>
      </c>
      <c r="F168" s="70">
        <v>718</v>
      </c>
      <c r="G168" s="70">
        <v>597</v>
      </c>
      <c r="H168" s="70">
        <v>952</v>
      </c>
      <c r="I168" s="70">
        <v>349</v>
      </c>
      <c r="J168" s="70">
        <v>1241</v>
      </c>
      <c r="K168" s="70">
        <v>4692</v>
      </c>
      <c r="L168" s="70">
        <v>424</v>
      </c>
      <c r="M168" s="70">
        <v>303</v>
      </c>
      <c r="N168"/>
      <c r="Q168" s="435"/>
    </row>
    <row r="169" spans="1:17" ht="12" customHeight="1">
      <c r="A169" s="16" t="s">
        <v>33</v>
      </c>
      <c r="B169" s="70">
        <f>SUM(C169:M169)</f>
        <v>12146</v>
      </c>
      <c r="C169" s="70">
        <v>2245</v>
      </c>
      <c r="D169" s="70">
        <v>996</v>
      </c>
      <c r="E169" s="70">
        <v>671</v>
      </c>
      <c r="F169" s="70">
        <v>664</v>
      </c>
      <c r="G169" s="70">
        <v>595</v>
      </c>
      <c r="H169" s="70">
        <v>888</v>
      </c>
      <c r="I169" s="70">
        <v>333</v>
      </c>
      <c r="J169" s="70">
        <v>1206</v>
      </c>
      <c r="K169" s="70">
        <v>3860</v>
      </c>
      <c r="L169" s="70">
        <v>388</v>
      </c>
      <c r="M169" s="70">
        <v>300</v>
      </c>
      <c r="N169"/>
    </row>
    <row r="170" spans="1:17" ht="12" customHeight="1">
      <c r="A170" s="15" t="s">
        <v>397</v>
      </c>
      <c r="B170" s="112">
        <f>SUM(B171:B173)</f>
        <v>2651</v>
      </c>
      <c r="C170" s="112">
        <f>SUM(C171:C173)</f>
        <v>317</v>
      </c>
      <c r="D170" s="112">
        <f t="shared" ref="D170:M170" si="49">SUM(D171:D173)</f>
        <v>198</v>
      </c>
      <c r="E170" s="112">
        <f t="shared" si="49"/>
        <v>40</v>
      </c>
      <c r="F170" s="112">
        <f t="shared" si="49"/>
        <v>112</v>
      </c>
      <c r="G170" s="112">
        <f t="shared" si="49"/>
        <v>388</v>
      </c>
      <c r="H170" s="112">
        <f t="shared" si="49"/>
        <v>133</v>
      </c>
      <c r="I170" s="112">
        <f t="shared" si="49"/>
        <v>49</v>
      </c>
      <c r="J170" s="112">
        <f t="shared" si="49"/>
        <v>213</v>
      </c>
      <c r="K170" s="112">
        <f t="shared" si="49"/>
        <v>1019</v>
      </c>
      <c r="L170" s="112">
        <f t="shared" si="49"/>
        <v>101</v>
      </c>
      <c r="M170" s="112">
        <f t="shared" si="49"/>
        <v>81</v>
      </c>
      <c r="N170"/>
    </row>
    <row r="171" spans="1:17" ht="12" customHeight="1">
      <c r="A171" s="16" t="s">
        <v>31</v>
      </c>
      <c r="B171" s="70">
        <f>SUM(C171:M171)</f>
        <v>1025</v>
      </c>
      <c r="C171" s="70">
        <v>82</v>
      </c>
      <c r="D171" s="70">
        <v>54</v>
      </c>
      <c r="E171" s="70">
        <v>20</v>
      </c>
      <c r="F171" s="70">
        <v>59</v>
      </c>
      <c r="G171" s="70">
        <v>206</v>
      </c>
      <c r="H171" s="70">
        <v>49</v>
      </c>
      <c r="I171" s="70">
        <v>9</v>
      </c>
      <c r="J171" s="70">
        <v>88</v>
      </c>
      <c r="K171" s="70">
        <v>390</v>
      </c>
      <c r="L171" s="70">
        <v>39</v>
      </c>
      <c r="M171" s="70">
        <v>29</v>
      </c>
      <c r="N171"/>
    </row>
    <row r="172" spans="1:17" ht="12" customHeight="1">
      <c r="A172" s="16" t="s">
        <v>32</v>
      </c>
      <c r="B172" s="70">
        <f>SUM(C172:M172)</f>
        <v>796</v>
      </c>
      <c r="C172" s="70">
        <v>117</v>
      </c>
      <c r="D172" s="70">
        <v>65</v>
      </c>
      <c r="E172" s="70">
        <v>9</v>
      </c>
      <c r="F172" s="70">
        <v>24</v>
      </c>
      <c r="G172" s="70">
        <v>50</v>
      </c>
      <c r="H172" s="70">
        <v>46</v>
      </c>
      <c r="I172" s="70">
        <v>8</v>
      </c>
      <c r="J172" s="70">
        <v>69</v>
      </c>
      <c r="K172" s="70">
        <v>337</v>
      </c>
      <c r="L172" s="70">
        <v>35</v>
      </c>
      <c r="M172" s="70">
        <v>36</v>
      </c>
      <c r="N172"/>
    </row>
    <row r="173" spans="1:17" ht="12" customHeight="1">
      <c r="A173" s="16" t="s">
        <v>33</v>
      </c>
      <c r="B173" s="70">
        <f>SUM(C173:M173)</f>
        <v>830</v>
      </c>
      <c r="C173" s="70">
        <v>118</v>
      </c>
      <c r="D173" s="70">
        <v>79</v>
      </c>
      <c r="E173" s="70">
        <v>11</v>
      </c>
      <c r="F173" s="70">
        <v>29</v>
      </c>
      <c r="G173" s="70">
        <v>132</v>
      </c>
      <c r="H173" s="70">
        <v>38</v>
      </c>
      <c r="I173" s="70">
        <v>32</v>
      </c>
      <c r="J173" s="70">
        <v>56</v>
      </c>
      <c r="K173" s="70">
        <v>292</v>
      </c>
      <c r="L173" s="70">
        <v>27</v>
      </c>
      <c r="M173" s="70">
        <v>16</v>
      </c>
      <c r="N173"/>
    </row>
    <row r="174" spans="1:17" ht="12" customHeight="1">
      <c r="A174" s="15" t="s">
        <v>754</v>
      </c>
      <c r="B174" s="70"/>
      <c r="C174" s="67" t="s">
        <v>391</v>
      </c>
      <c r="D174" s="67"/>
      <c r="E174" s="67"/>
      <c r="F174" s="67"/>
      <c r="G174" s="67"/>
      <c r="H174" s="65"/>
      <c r="I174" s="65"/>
      <c r="J174" s="65"/>
      <c r="K174" s="65"/>
      <c r="L174" s="65"/>
      <c r="M174" s="65"/>
      <c r="O174"/>
    </row>
    <row r="175" spans="1:17" ht="12" customHeight="1">
      <c r="A175" s="15" t="s">
        <v>60</v>
      </c>
      <c r="B175" s="112">
        <f t="shared" ref="B175:M175" si="50">B176+B181</f>
        <v>24411</v>
      </c>
      <c r="C175" s="112">
        <f t="shared" si="50"/>
        <v>4689</v>
      </c>
      <c r="D175" s="112">
        <f t="shared" si="50"/>
        <v>1908</v>
      </c>
      <c r="E175" s="112">
        <f t="shared" si="50"/>
        <v>1042</v>
      </c>
      <c r="F175" s="112">
        <f t="shared" si="50"/>
        <v>1226</v>
      </c>
      <c r="G175" s="112">
        <f t="shared" si="50"/>
        <v>1072</v>
      </c>
      <c r="H175" s="112">
        <f t="shared" si="50"/>
        <v>1546</v>
      </c>
      <c r="I175" s="112">
        <f t="shared" si="50"/>
        <v>522</v>
      </c>
      <c r="J175" s="112">
        <f t="shared" si="50"/>
        <v>2225</v>
      </c>
      <c r="K175" s="112">
        <f t="shared" si="50"/>
        <v>8800</v>
      </c>
      <c r="L175" s="112">
        <f t="shared" si="50"/>
        <v>847</v>
      </c>
      <c r="M175" s="112">
        <f t="shared" si="50"/>
        <v>534</v>
      </c>
      <c r="N175"/>
    </row>
    <row r="176" spans="1:17" ht="12" customHeight="1">
      <c r="A176" s="15" t="s">
        <v>39</v>
      </c>
      <c r="B176" s="112">
        <f t="shared" ref="B176:M176" si="51">SUM(B178:B180)</f>
        <v>22734</v>
      </c>
      <c r="C176" s="112">
        <f t="shared" si="51"/>
        <v>4359</v>
      </c>
      <c r="D176" s="112">
        <f t="shared" si="51"/>
        <v>1839</v>
      </c>
      <c r="E176" s="112">
        <f t="shared" si="51"/>
        <v>1039</v>
      </c>
      <c r="F176" s="112">
        <f t="shared" si="51"/>
        <v>1188</v>
      </c>
      <c r="G176" s="112">
        <f t="shared" si="51"/>
        <v>1057</v>
      </c>
      <c r="H176" s="112">
        <f t="shared" si="51"/>
        <v>1484</v>
      </c>
      <c r="I176" s="112">
        <f t="shared" si="51"/>
        <v>517</v>
      </c>
      <c r="J176" s="112">
        <f t="shared" si="51"/>
        <v>2144</v>
      </c>
      <c r="K176" s="112">
        <f t="shared" si="51"/>
        <v>7766</v>
      </c>
      <c r="L176" s="112">
        <f t="shared" si="51"/>
        <v>820</v>
      </c>
      <c r="M176" s="112">
        <f t="shared" si="51"/>
        <v>521</v>
      </c>
      <c r="N176"/>
    </row>
    <row r="177" spans="1:17" ht="12" customHeight="1">
      <c r="A177" s="16" t="s">
        <v>4</v>
      </c>
      <c r="B177" s="209"/>
      <c r="C177" s="107"/>
      <c r="E177" s="107"/>
      <c r="F177" s="107"/>
      <c r="G177" s="107"/>
      <c r="H177" s="108"/>
      <c r="I177" s="108"/>
      <c r="J177" s="108"/>
      <c r="K177" s="108"/>
      <c r="L177" s="108"/>
      <c r="M177" s="108"/>
      <c r="N177"/>
    </row>
    <row r="178" spans="1:17" ht="12" customHeight="1">
      <c r="A178" s="16" t="s">
        <v>31</v>
      </c>
      <c r="B178" s="70">
        <f>SUM(C178:M178)</f>
        <v>7982</v>
      </c>
      <c r="C178" s="70">
        <v>1465</v>
      </c>
      <c r="D178" s="70">
        <v>643</v>
      </c>
      <c r="E178" s="70">
        <v>335</v>
      </c>
      <c r="F178" s="70">
        <v>400</v>
      </c>
      <c r="G178" s="70">
        <v>374</v>
      </c>
      <c r="H178" s="70">
        <v>483</v>
      </c>
      <c r="I178" s="70">
        <v>158</v>
      </c>
      <c r="J178" s="70">
        <v>717</v>
      </c>
      <c r="K178" s="70">
        <v>2944</v>
      </c>
      <c r="L178" s="70">
        <v>273</v>
      </c>
      <c r="M178" s="70">
        <v>190</v>
      </c>
      <c r="N178"/>
    </row>
    <row r="179" spans="1:17" ht="12" customHeight="1">
      <c r="A179" s="16" t="s">
        <v>32</v>
      </c>
      <c r="B179" s="70">
        <f>SUM(C179:M179)</f>
        <v>7777</v>
      </c>
      <c r="C179" s="70">
        <v>1465</v>
      </c>
      <c r="D179" s="70">
        <v>600</v>
      </c>
      <c r="E179" s="70">
        <v>359</v>
      </c>
      <c r="F179" s="70">
        <v>386</v>
      </c>
      <c r="G179" s="70">
        <v>355</v>
      </c>
      <c r="H179" s="70">
        <v>496</v>
      </c>
      <c r="I179" s="70">
        <v>180</v>
      </c>
      <c r="J179" s="70">
        <v>710</v>
      </c>
      <c r="K179" s="70">
        <v>2769</v>
      </c>
      <c r="L179" s="70">
        <v>282</v>
      </c>
      <c r="M179" s="70">
        <v>175</v>
      </c>
      <c r="N179"/>
      <c r="Q179" s="435"/>
    </row>
    <row r="180" spans="1:17" ht="12" customHeight="1">
      <c r="A180" s="16" t="s">
        <v>33</v>
      </c>
      <c r="B180" s="70">
        <f>SUM(C180:M180)</f>
        <v>6975</v>
      </c>
      <c r="C180" s="70">
        <v>1429</v>
      </c>
      <c r="D180" s="70">
        <v>596</v>
      </c>
      <c r="E180" s="70">
        <v>345</v>
      </c>
      <c r="F180" s="70">
        <v>402</v>
      </c>
      <c r="G180" s="70">
        <v>328</v>
      </c>
      <c r="H180" s="70">
        <v>505</v>
      </c>
      <c r="I180" s="70">
        <v>179</v>
      </c>
      <c r="J180" s="70">
        <v>717</v>
      </c>
      <c r="K180" s="70">
        <v>2053</v>
      </c>
      <c r="L180" s="70">
        <v>265</v>
      </c>
      <c r="M180" s="70">
        <v>156</v>
      </c>
      <c r="N180"/>
    </row>
    <row r="181" spans="1:17" ht="12" customHeight="1">
      <c r="A181" s="15" t="s">
        <v>397</v>
      </c>
      <c r="B181" s="112">
        <f>SUM(B182:B184)</f>
        <v>1677</v>
      </c>
      <c r="C181" s="112">
        <f>SUM(C182:C184)</f>
        <v>330</v>
      </c>
      <c r="D181" s="112">
        <f t="shared" ref="D181:M181" si="52">SUM(D182:D184)</f>
        <v>69</v>
      </c>
      <c r="E181" s="112">
        <f t="shared" si="52"/>
        <v>3</v>
      </c>
      <c r="F181" s="112">
        <f t="shared" si="52"/>
        <v>38</v>
      </c>
      <c r="G181" s="112">
        <f t="shared" si="52"/>
        <v>15</v>
      </c>
      <c r="H181" s="112">
        <f t="shared" si="52"/>
        <v>62</v>
      </c>
      <c r="I181" s="112">
        <f t="shared" si="52"/>
        <v>5</v>
      </c>
      <c r="J181" s="112">
        <f t="shared" si="52"/>
        <v>81</v>
      </c>
      <c r="K181" s="112">
        <f t="shared" si="52"/>
        <v>1034</v>
      </c>
      <c r="L181" s="112">
        <f t="shared" si="52"/>
        <v>27</v>
      </c>
      <c r="M181" s="112">
        <f t="shared" si="52"/>
        <v>13</v>
      </c>
      <c r="N181"/>
    </row>
    <row r="182" spans="1:17" ht="12" customHeight="1">
      <c r="A182" s="16" t="s">
        <v>31</v>
      </c>
      <c r="B182" s="70">
        <f>SUM(C182:M182)</f>
        <v>670</v>
      </c>
      <c r="C182" s="70">
        <v>146</v>
      </c>
      <c r="D182" s="70">
        <v>23</v>
      </c>
      <c r="E182" s="70">
        <v>2</v>
      </c>
      <c r="F182" s="70">
        <v>19</v>
      </c>
      <c r="G182" s="70">
        <v>7</v>
      </c>
      <c r="H182" s="70">
        <v>28</v>
      </c>
      <c r="I182" s="70">
        <v>0</v>
      </c>
      <c r="J182" s="70">
        <v>22</v>
      </c>
      <c r="K182" s="70">
        <v>410</v>
      </c>
      <c r="L182" s="70">
        <v>6</v>
      </c>
      <c r="M182" s="70">
        <v>7</v>
      </c>
      <c r="N182"/>
    </row>
    <row r="183" spans="1:17" ht="12" customHeight="1">
      <c r="A183" s="16" t="s">
        <v>32</v>
      </c>
      <c r="B183" s="70">
        <f>SUM(C183:M183)</f>
        <v>457</v>
      </c>
      <c r="C183" s="70">
        <v>74</v>
      </c>
      <c r="D183" s="70">
        <v>20</v>
      </c>
      <c r="E183" s="70">
        <v>0</v>
      </c>
      <c r="F183" s="70">
        <v>8</v>
      </c>
      <c r="G183" s="70">
        <v>5</v>
      </c>
      <c r="H183" s="70">
        <v>20</v>
      </c>
      <c r="I183" s="70">
        <v>2</v>
      </c>
      <c r="J183" s="70">
        <v>23</v>
      </c>
      <c r="K183" s="70">
        <v>295</v>
      </c>
      <c r="L183" s="70">
        <v>6</v>
      </c>
      <c r="M183" s="70">
        <v>4</v>
      </c>
      <c r="N183"/>
    </row>
    <row r="184" spans="1:17" ht="12" customHeight="1">
      <c r="A184" s="16" t="s">
        <v>33</v>
      </c>
      <c r="B184" s="70">
        <f>SUM(C184:M184)</f>
        <v>550</v>
      </c>
      <c r="C184" s="70">
        <v>110</v>
      </c>
      <c r="D184" s="70">
        <v>26</v>
      </c>
      <c r="E184" s="70">
        <v>1</v>
      </c>
      <c r="F184" s="70">
        <v>11</v>
      </c>
      <c r="G184" s="70">
        <v>3</v>
      </c>
      <c r="H184" s="70">
        <v>14</v>
      </c>
      <c r="I184" s="70">
        <v>3</v>
      </c>
      <c r="J184" s="70">
        <v>36</v>
      </c>
      <c r="K184" s="70">
        <v>329</v>
      </c>
      <c r="L184" s="70">
        <v>15</v>
      </c>
      <c r="M184" s="70">
        <v>2</v>
      </c>
      <c r="N184"/>
    </row>
    <row r="185" spans="1:17" ht="5.0999999999999996" customHeight="1">
      <c r="A185" s="17"/>
      <c r="B185" s="72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/>
    </row>
    <row r="186" spans="1:17" ht="11.1" customHeight="1">
      <c r="A186" s="719" t="s">
        <v>755</v>
      </c>
      <c r="B186" s="719"/>
      <c r="C186" s="719"/>
      <c r="D186" s="719"/>
      <c r="E186" s="719"/>
      <c r="F186" s="719"/>
      <c r="G186" s="719"/>
      <c r="H186" s="35"/>
      <c r="I186" s="35"/>
      <c r="J186" s="35"/>
      <c r="K186" s="35"/>
    </row>
    <row r="187" spans="1:17" ht="11.1" customHeight="1">
      <c r="A187" s="717" t="s">
        <v>696</v>
      </c>
      <c r="B187" s="717"/>
      <c r="C187" s="717"/>
      <c r="D187" s="717"/>
      <c r="E187" s="717"/>
      <c r="F187" s="717"/>
      <c r="G187" s="717"/>
      <c r="H187" s="717"/>
      <c r="I187" s="717"/>
      <c r="J187" s="717"/>
      <c r="K187" s="717"/>
      <c r="L187" s="717"/>
      <c r="M187" s="717"/>
    </row>
    <row r="188" spans="1:17" ht="11.1" customHeight="1">
      <c r="A188" s="7" t="s">
        <v>63</v>
      </c>
    </row>
  </sheetData>
  <mergeCells count="7">
    <mergeCell ref="A1:M1"/>
    <mergeCell ref="A187:M187"/>
    <mergeCell ref="A186:G186"/>
    <mergeCell ref="A4:A5"/>
    <mergeCell ref="B4:B5"/>
    <mergeCell ref="C4:M4"/>
    <mergeCell ref="A2:M2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  <rowBreaks count="1" manualBreakCount="1">
    <brk id="23" max="16383" man="1"/>
  </rowBreaks>
  <ignoredErrors>
    <ignoredError sqref="B119:B127 B115:B118 B148 B137 B159 B170 B18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6"/>
  <sheetViews>
    <sheetView showGridLines="0" topLeftCell="A58" zoomScaleNormal="100" zoomScaleSheetLayoutView="85" workbookViewId="0">
      <selection activeCell="A58" sqref="A58:M58"/>
    </sheetView>
  </sheetViews>
  <sheetFormatPr baseColWidth="10" defaultColWidth="11.42578125" defaultRowHeight="12.75"/>
  <cols>
    <col min="1" max="1" width="11" style="29" customWidth="1"/>
    <col min="2" max="2" width="5" style="4" bestFit="1" customWidth="1"/>
    <col min="3" max="3" width="5" style="4" customWidth="1"/>
    <col min="4" max="6" width="6.85546875" style="4" customWidth="1"/>
    <col min="7" max="7" width="5.7109375" style="4" customWidth="1"/>
    <col min="8" max="8" width="8.7109375" style="4" customWidth="1"/>
    <col min="9" max="12" width="6.42578125" style="4" bestFit="1" customWidth="1"/>
    <col min="13" max="13" width="6.85546875" style="4" customWidth="1"/>
    <col min="14" max="14" width="11.42578125" style="4" customWidth="1"/>
    <col min="15" max="15" width="11.140625" style="4" customWidth="1"/>
    <col min="16" max="24" width="7.28515625" style="4" customWidth="1"/>
    <col min="25" max="16384" width="11.42578125" style="4"/>
  </cols>
  <sheetData>
    <row r="1" spans="1:22" ht="13.5" hidden="1">
      <c r="A1" s="2" t="s">
        <v>600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3.5" hidden="1">
      <c r="A2" s="91"/>
      <c r="B2" s="3"/>
      <c r="C2" s="3"/>
      <c r="D2" s="3"/>
      <c r="E2" s="3"/>
      <c r="F2" s="3"/>
      <c r="G2" s="3"/>
      <c r="H2" s="3"/>
      <c r="I2" s="3"/>
      <c r="J2" s="3"/>
      <c r="K2" s="3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idden="1">
      <c r="A3" s="737" t="s">
        <v>38</v>
      </c>
      <c r="B3" s="739" t="s">
        <v>14</v>
      </c>
      <c r="C3" s="740" t="s">
        <v>5</v>
      </c>
      <c r="D3" s="740"/>
      <c r="E3" s="740"/>
      <c r="F3" s="740"/>
      <c r="G3" s="740"/>
      <c r="H3" s="740"/>
      <c r="I3" s="740"/>
      <c r="J3" s="740"/>
      <c r="K3" s="740"/>
      <c r="L3" s="740"/>
      <c r="M3" s="740"/>
      <c r="N3" s="736"/>
      <c r="O3" s="736"/>
    </row>
    <row r="4" spans="1:22" ht="51" hidden="1">
      <c r="A4" s="738"/>
      <c r="B4" s="739"/>
      <c r="C4" s="68" t="s">
        <v>100</v>
      </c>
      <c r="D4" s="68" t="s">
        <v>101</v>
      </c>
      <c r="E4" s="68" t="s">
        <v>102</v>
      </c>
      <c r="F4" s="68" t="s">
        <v>103</v>
      </c>
      <c r="G4" s="68" t="s">
        <v>387</v>
      </c>
      <c r="H4" s="68" t="s">
        <v>105</v>
      </c>
      <c r="I4" s="68" t="s">
        <v>106</v>
      </c>
      <c r="J4" s="68" t="s">
        <v>107</v>
      </c>
      <c r="K4" s="68" t="s">
        <v>388</v>
      </c>
      <c r="L4" s="68" t="s">
        <v>109</v>
      </c>
      <c r="M4" s="68" t="s">
        <v>110</v>
      </c>
      <c r="N4" s="18"/>
      <c r="O4" s="19"/>
    </row>
    <row r="5" spans="1:22" hidden="1">
      <c r="A5" s="247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8"/>
      <c r="O5" s="19"/>
    </row>
    <row r="6" spans="1:22" hidden="1">
      <c r="A6" s="252">
        <v>2012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28"/>
      <c r="O6" s="28"/>
    </row>
    <row r="7" spans="1:22" hidden="1">
      <c r="A7" s="15" t="s">
        <v>29</v>
      </c>
      <c r="B7" s="69">
        <f t="shared" ref="B7:G7" si="0">SUM(B8,B12)</f>
        <v>62946</v>
      </c>
      <c r="C7" s="69">
        <f t="shared" si="0"/>
        <v>10653</v>
      </c>
      <c r="D7" s="69">
        <f t="shared" si="0"/>
        <v>5371</v>
      </c>
      <c r="E7" s="69">
        <f t="shared" si="0"/>
        <v>2800</v>
      </c>
      <c r="F7" s="69">
        <f t="shared" si="0"/>
        <v>3891</v>
      </c>
      <c r="G7" s="69">
        <f t="shared" si="0"/>
        <v>3181</v>
      </c>
      <c r="H7" s="69">
        <f t="shared" ref="H7:M7" si="1">SUM(H8,H12)</f>
        <v>5821</v>
      </c>
      <c r="I7" s="69">
        <f t="shared" si="1"/>
        <v>1579</v>
      </c>
      <c r="J7" s="69">
        <f t="shared" si="1"/>
        <v>5888</v>
      </c>
      <c r="K7" s="69">
        <f t="shared" si="1"/>
        <v>19985</v>
      </c>
      <c r="L7" s="69">
        <f t="shared" si="1"/>
        <v>2162</v>
      </c>
      <c r="M7" s="69">
        <f t="shared" si="1"/>
        <v>1615</v>
      </c>
      <c r="N7" s="34"/>
      <c r="O7" s="35"/>
    </row>
    <row r="8" spans="1:22" s="13" customFormat="1" hidden="1">
      <c r="A8" s="15" t="s">
        <v>30</v>
      </c>
      <c r="B8" s="69">
        <f t="shared" ref="B8:G8" si="2">SUM(B9:B11)</f>
        <v>61909</v>
      </c>
      <c r="C8" s="69">
        <f t="shared" si="2"/>
        <v>10476</v>
      </c>
      <c r="D8" s="69">
        <f t="shared" si="2"/>
        <v>5321</v>
      </c>
      <c r="E8" s="69">
        <f t="shared" si="2"/>
        <v>2734</v>
      </c>
      <c r="F8" s="69">
        <f t="shared" si="2"/>
        <v>3851</v>
      </c>
      <c r="G8" s="69">
        <f t="shared" si="2"/>
        <v>3081</v>
      </c>
      <c r="H8" s="69">
        <f t="shared" ref="H8:M8" si="3">SUM(H9:H11)</f>
        <v>5746</v>
      </c>
      <c r="I8" s="69">
        <f t="shared" si="3"/>
        <v>1570</v>
      </c>
      <c r="J8" s="69">
        <f t="shared" si="3"/>
        <v>5844</v>
      </c>
      <c r="K8" s="69">
        <f t="shared" si="3"/>
        <v>19563</v>
      </c>
      <c r="L8" s="69">
        <f t="shared" si="3"/>
        <v>2149</v>
      </c>
      <c r="M8" s="69">
        <f t="shared" si="3"/>
        <v>1574</v>
      </c>
      <c r="N8" s="34"/>
      <c r="O8" s="35"/>
    </row>
    <row r="9" spans="1:22" hidden="1">
      <c r="A9" s="16" t="s">
        <v>31</v>
      </c>
      <c r="B9" s="70">
        <f t="shared" ref="B9:B15" si="4">SUM(C9:M9)</f>
        <v>20697</v>
      </c>
      <c r="C9" s="71">
        <v>3530</v>
      </c>
      <c r="D9" s="71">
        <v>1812</v>
      </c>
      <c r="E9" s="71">
        <v>935</v>
      </c>
      <c r="F9" s="71">
        <v>1250</v>
      </c>
      <c r="G9" s="71">
        <v>1015</v>
      </c>
      <c r="H9" s="71">
        <v>1843</v>
      </c>
      <c r="I9" s="71">
        <v>516</v>
      </c>
      <c r="J9" s="71">
        <v>1899</v>
      </c>
      <c r="K9" s="71">
        <v>6662</v>
      </c>
      <c r="L9" s="71">
        <v>695</v>
      </c>
      <c r="M9" s="71">
        <v>540</v>
      </c>
      <c r="N9" s="33"/>
      <c r="O9" s="36"/>
    </row>
    <row r="10" spans="1:22" hidden="1">
      <c r="A10" s="16" t="s">
        <v>32</v>
      </c>
      <c r="B10" s="70">
        <f t="shared" si="4"/>
        <v>20093</v>
      </c>
      <c r="C10" s="71">
        <v>3478</v>
      </c>
      <c r="D10" s="71">
        <v>1684</v>
      </c>
      <c r="E10" s="71">
        <v>865</v>
      </c>
      <c r="F10" s="71">
        <v>1266</v>
      </c>
      <c r="G10" s="71">
        <v>1014</v>
      </c>
      <c r="H10" s="71">
        <v>1850</v>
      </c>
      <c r="I10" s="71">
        <v>537</v>
      </c>
      <c r="J10" s="71">
        <v>1942</v>
      </c>
      <c r="K10" s="71">
        <v>6212</v>
      </c>
      <c r="L10" s="71">
        <v>728</v>
      </c>
      <c r="M10" s="71">
        <v>517</v>
      </c>
      <c r="N10" s="33"/>
      <c r="O10" s="36"/>
    </row>
    <row r="11" spans="1:22" hidden="1">
      <c r="A11" s="16" t="s">
        <v>33</v>
      </c>
      <c r="B11" s="70">
        <f t="shared" si="4"/>
        <v>21119</v>
      </c>
      <c r="C11" s="71">
        <v>3468</v>
      </c>
      <c r="D11" s="71">
        <v>1825</v>
      </c>
      <c r="E11" s="71">
        <v>934</v>
      </c>
      <c r="F11" s="71">
        <v>1335</v>
      </c>
      <c r="G11" s="71">
        <v>1052</v>
      </c>
      <c r="H11" s="71">
        <v>2053</v>
      </c>
      <c r="I11" s="71">
        <v>517</v>
      </c>
      <c r="J11" s="71">
        <v>2003</v>
      </c>
      <c r="K11" s="71">
        <v>6689</v>
      </c>
      <c r="L11" s="71">
        <v>726</v>
      </c>
      <c r="M11" s="71">
        <v>517</v>
      </c>
      <c r="N11" s="33"/>
      <c r="O11" s="36"/>
    </row>
    <row r="12" spans="1:22" s="13" customFormat="1" hidden="1">
      <c r="A12" s="15" t="s">
        <v>35</v>
      </c>
      <c r="B12" s="69">
        <f t="shared" si="4"/>
        <v>1037</v>
      </c>
      <c r="C12" s="69">
        <f>SUM(C13:C15)</f>
        <v>177</v>
      </c>
      <c r="D12" s="69">
        <f>SUM(D13:D15)</f>
        <v>50</v>
      </c>
      <c r="E12" s="69">
        <f>SUM(E13:E15)</f>
        <v>66</v>
      </c>
      <c r="F12" s="69">
        <f>SUM(F13:F15)</f>
        <v>40</v>
      </c>
      <c r="G12" s="69">
        <f>SUM(G13:G15)</f>
        <v>100</v>
      </c>
      <c r="H12" s="69">
        <f t="shared" ref="H12:M12" si="5">SUM(H13:H15)</f>
        <v>75</v>
      </c>
      <c r="I12" s="69">
        <f t="shared" si="5"/>
        <v>9</v>
      </c>
      <c r="J12" s="69">
        <f t="shared" si="5"/>
        <v>44</v>
      </c>
      <c r="K12" s="69">
        <f t="shared" si="5"/>
        <v>422</v>
      </c>
      <c r="L12" s="69">
        <f t="shared" si="5"/>
        <v>13</v>
      </c>
      <c r="M12" s="69">
        <f t="shared" si="5"/>
        <v>41</v>
      </c>
      <c r="N12" s="34"/>
      <c r="O12" s="35"/>
    </row>
    <row r="13" spans="1:22" hidden="1">
      <c r="A13" s="16" t="s">
        <v>31</v>
      </c>
      <c r="B13" s="70">
        <f t="shared" si="4"/>
        <v>214</v>
      </c>
      <c r="C13" s="70">
        <v>32</v>
      </c>
      <c r="D13" s="70">
        <v>7</v>
      </c>
      <c r="E13" s="70">
        <v>8</v>
      </c>
      <c r="F13" s="70">
        <v>9</v>
      </c>
      <c r="G13" s="70">
        <v>23</v>
      </c>
      <c r="H13" s="70">
        <v>22</v>
      </c>
      <c r="I13" s="70">
        <v>3</v>
      </c>
      <c r="J13" s="70">
        <v>10</v>
      </c>
      <c r="K13" s="70">
        <v>88</v>
      </c>
      <c r="L13" s="70">
        <v>5</v>
      </c>
      <c r="M13" s="70">
        <v>7</v>
      </c>
      <c r="N13" s="33"/>
      <c r="O13" s="36"/>
    </row>
    <row r="14" spans="1:22" hidden="1">
      <c r="A14" s="16" t="s">
        <v>32</v>
      </c>
      <c r="B14" s="70">
        <f t="shared" si="4"/>
        <v>301</v>
      </c>
      <c r="C14" s="70">
        <v>45</v>
      </c>
      <c r="D14" s="70">
        <v>13</v>
      </c>
      <c r="E14" s="70">
        <v>18</v>
      </c>
      <c r="F14" s="70">
        <v>10</v>
      </c>
      <c r="G14" s="70">
        <v>27</v>
      </c>
      <c r="H14" s="70">
        <v>22</v>
      </c>
      <c r="I14" s="70">
        <v>3</v>
      </c>
      <c r="J14" s="70">
        <v>11</v>
      </c>
      <c r="K14" s="70">
        <v>133</v>
      </c>
      <c r="L14" s="70">
        <v>5</v>
      </c>
      <c r="M14" s="70">
        <v>14</v>
      </c>
      <c r="N14" s="33"/>
      <c r="O14" s="36"/>
    </row>
    <row r="15" spans="1:22" hidden="1">
      <c r="A15" s="16" t="s">
        <v>33</v>
      </c>
      <c r="B15" s="70">
        <f t="shared" si="4"/>
        <v>522</v>
      </c>
      <c r="C15" s="70">
        <v>100</v>
      </c>
      <c r="D15" s="70">
        <v>30</v>
      </c>
      <c r="E15" s="70">
        <v>40</v>
      </c>
      <c r="F15" s="70">
        <v>21</v>
      </c>
      <c r="G15" s="70">
        <v>50</v>
      </c>
      <c r="H15" s="70">
        <v>31</v>
      </c>
      <c r="I15" s="70">
        <v>3</v>
      </c>
      <c r="J15" s="70">
        <v>23</v>
      </c>
      <c r="K15" s="70">
        <v>201</v>
      </c>
      <c r="L15" s="70">
        <v>3</v>
      </c>
      <c r="M15" s="70">
        <v>20</v>
      </c>
      <c r="N15" s="33"/>
      <c r="O15" s="36"/>
    </row>
    <row r="16" spans="1:22" hidden="1">
      <c r="A16" s="16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33"/>
      <c r="O16" s="36"/>
    </row>
    <row r="17" spans="1:13" hidden="1">
      <c r="A17" s="252">
        <v>2013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</row>
    <row r="18" spans="1:13" hidden="1">
      <c r="A18" s="15" t="s">
        <v>29</v>
      </c>
      <c r="B18" s="69">
        <f t="shared" ref="B18:G18" si="6">SUM(B19,B23)</f>
        <v>56385</v>
      </c>
      <c r="C18" s="69">
        <f t="shared" si="6"/>
        <v>10122</v>
      </c>
      <c r="D18" s="69">
        <f t="shared" si="6"/>
        <v>4921</v>
      </c>
      <c r="E18" s="69">
        <f t="shared" si="6"/>
        <v>2752</v>
      </c>
      <c r="F18" s="69">
        <f t="shared" si="6"/>
        <v>3639</v>
      </c>
      <c r="G18" s="69">
        <f t="shared" si="6"/>
        <v>2779</v>
      </c>
      <c r="H18" s="69">
        <f t="shared" ref="H18:M18" si="7">SUM(H19,H23)</f>
        <v>4774</v>
      </c>
      <c r="I18" s="69">
        <f t="shared" si="7"/>
        <v>1542</v>
      </c>
      <c r="J18" s="69">
        <f t="shared" si="7"/>
        <v>5289</v>
      </c>
      <c r="K18" s="69">
        <f t="shared" si="7"/>
        <v>17076</v>
      </c>
      <c r="L18" s="69">
        <f t="shared" si="7"/>
        <v>2076</v>
      </c>
      <c r="M18" s="69">
        <f t="shared" si="7"/>
        <v>1415</v>
      </c>
    </row>
    <row r="19" spans="1:13" hidden="1">
      <c r="A19" s="15" t="s">
        <v>30</v>
      </c>
      <c r="B19" s="69">
        <f t="shared" ref="B19:G19" si="8">SUM(B20:B22)</f>
        <v>55491</v>
      </c>
      <c r="C19" s="69">
        <f t="shared" si="8"/>
        <v>9949</v>
      </c>
      <c r="D19" s="69">
        <f t="shared" si="8"/>
        <v>4884</v>
      </c>
      <c r="E19" s="69">
        <f t="shared" si="8"/>
        <v>2695</v>
      </c>
      <c r="F19" s="69">
        <f t="shared" si="8"/>
        <v>3611</v>
      </c>
      <c r="G19" s="69">
        <f t="shared" si="8"/>
        <v>2671</v>
      </c>
      <c r="H19" s="69">
        <f t="shared" ref="H19:M19" si="9">SUM(H20:H22)</f>
        <v>4748</v>
      </c>
      <c r="I19" s="69">
        <f t="shared" si="9"/>
        <v>1527</v>
      </c>
      <c r="J19" s="69">
        <f t="shared" si="9"/>
        <v>5261</v>
      </c>
      <c r="K19" s="69">
        <f t="shared" si="9"/>
        <v>16694</v>
      </c>
      <c r="L19" s="69">
        <f t="shared" si="9"/>
        <v>2064</v>
      </c>
      <c r="M19" s="69">
        <f t="shared" si="9"/>
        <v>1387</v>
      </c>
    </row>
    <row r="20" spans="1:13" hidden="1">
      <c r="A20" s="16" t="s">
        <v>31</v>
      </c>
      <c r="B20" s="70">
        <f>SUM(C20:M20)</f>
        <v>19304</v>
      </c>
      <c r="C20" s="70">
        <v>3500</v>
      </c>
      <c r="D20" s="70">
        <v>1682</v>
      </c>
      <c r="E20" s="70">
        <v>953</v>
      </c>
      <c r="F20" s="70">
        <v>1234</v>
      </c>
      <c r="G20" s="70">
        <v>953</v>
      </c>
      <c r="H20" s="70">
        <v>1519</v>
      </c>
      <c r="I20" s="70">
        <v>526</v>
      </c>
      <c r="J20" s="70">
        <v>1812</v>
      </c>
      <c r="K20" s="70">
        <v>5946</v>
      </c>
      <c r="L20" s="70">
        <v>705</v>
      </c>
      <c r="M20" s="70">
        <v>474</v>
      </c>
    </row>
    <row r="21" spans="1:13" hidden="1">
      <c r="A21" s="16" t="s">
        <v>32</v>
      </c>
      <c r="B21" s="70">
        <f>SUM(C21:M21)</f>
        <v>18344</v>
      </c>
      <c r="C21" s="70">
        <v>3309</v>
      </c>
      <c r="D21" s="70">
        <v>1642</v>
      </c>
      <c r="E21" s="70">
        <v>892</v>
      </c>
      <c r="F21" s="70">
        <v>1208</v>
      </c>
      <c r="G21" s="70">
        <v>874</v>
      </c>
      <c r="H21" s="70">
        <v>1597</v>
      </c>
      <c r="I21" s="70">
        <v>517</v>
      </c>
      <c r="J21" s="70">
        <v>1721</v>
      </c>
      <c r="K21" s="70">
        <v>5437</v>
      </c>
      <c r="L21" s="70">
        <v>688</v>
      </c>
      <c r="M21" s="70">
        <v>459</v>
      </c>
    </row>
    <row r="22" spans="1:13" hidden="1">
      <c r="A22" s="16" t="s">
        <v>33</v>
      </c>
      <c r="B22" s="70">
        <f>SUM(C22:M22)</f>
        <v>17843</v>
      </c>
      <c r="C22" s="70">
        <v>3140</v>
      </c>
      <c r="D22" s="70">
        <v>1560</v>
      </c>
      <c r="E22" s="70">
        <v>850</v>
      </c>
      <c r="F22" s="70">
        <v>1169</v>
      </c>
      <c r="G22" s="70">
        <v>844</v>
      </c>
      <c r="H22" s="70">
        <v>1632</v>
      </c>
      <c r="I22" s="70">
        <v>484</v>
      </c>
      <c r="J22" s="70">
        <v>1728</v>
      </c>
      <c r="K22" s="70">
        <v>5311</v>
      </c>
      <c r="L22" s="70">
        <v>671</v>
      </c>
      <c r="M22" s="70">
        <v>454</v>
      </c>
    </row>
    <row r="23" spans="1:13" hidden="1">
      <c r="A23" s="15" t="s">
        <v>35</v>
      </c>
      <c r="B23" s="69">
        <f t="shared" ref="B23:M23" si="10">SUM(B24:B26)</f>
        <v>894</v>
      </c>
      <c r="C23" s="69">
        <f t="shared" si="10"/>
        <v>173</v>
      </c>
      <c r="D23" s="69">
        <f t="shared" si="10"/>
        <v>37</v>
      </c>
      <c r="E23" s="69">
        <f t="shared" si="10"/>
        <v>57</v>
      </c>
      <c r="F23" s="69">
        <f t="shared" si="10"/>
        <v>28</v>
      </c>
      <c r="G23" s="69">
        <f t="shared" si="10"/>
        <v>108</v>
      </c>
      <c r="H23" s="69">
        <f t="shared" si="10"/>
        <v>26</v>
      </c>
      <c r="I23" s="69">
        <f t="shared" si="10"/>
        <v>15</v>
      </c>
      <c r="J23" s="69">
        <f t="shared" si="10"/>
        <v>28</v>
      </c>
      <c r="K23" s="69">
        <f t="shared" si="10"/>
        <v>382</v>
      </c>
      <c r="L23" s="69">
        <f t="shared" si="10"/>
        <v>12</v>
      </c>
      <c r="M23" s="69">
        <f t="shared" si="10"/>
        <v>28</v>
      </c>
    </row>
    <row r="24" spans="1:13" hidden="1">
      <c r="A24" s="16" t="s">
        <v>31</v>
      </c>
      <c r="B24" s="70">
        <f>SUM(C24:M24)</f>
        <v>228</v>
      </c>
      <c r="C24" s="70">
        <v>44</v>
      </c>
      <c r="D24" s="70">
        <v>5</v>
      </c>
      <c r="E24" s="70">
        <v>24</v>
      </c>
      <c r="F24" s="70">
        <v>6</v>
      </c>
      <c r="G24" s="70">
        <v>22</v>
      </c>
      <c r="H24" s="70">
        <v>8</v>
      </c>
      <c r="I24" s="70">
        <v>3</v>
      </c>
      <c r="J24" s="70">
        <v>5</v>
      </c>
      <c r="K24" s="70">
        <v>101</v>
      </c>
      <c r="L24" s="70">
        <v>5</v>
      </c>
      <c r="M24" s="70">
        <v>5</v>
      </c>
    </row>
    <row r="25" spans="1:13" hidden="1">
      <c r="A25" s="16" t="s">
        <v>32</v>
      </c>
      <c r="B25" s="70">
        <f>SUM(C25:M25)</f>
        <v>276</v>
      </c>
      <c r="C25" s="70">
        <v>47</v>
      </c>
      <c r="D25" s="70">
        <v>11</v>
      </c>
      <c r="E25" s="70">
        <v>10</v>
      </c>
      <c r="F25" s="70">
        <v>11</v>
      </c>
      <c r="G25" s="70">
        <v>35</v>
      </c>
      <c r="H25" s="70">
        <v>10</v>
      </c>
      <c r="I25" s="70">
        <v>5</v>
      </c>
      <c r="J25" s="70">
        <v>10</v>
      </c>
      <c r="K25" s="70">
        <v>127</v>
      </c>
      <c r="L25" s="70">
        <v>2</v>
      </c>
      <c r="M25" s="70">
        <v>8</v>
      </c>
    </row>
    <row r="26" spans="1:13" hidden="1">
      <c r="A26" s="16" t="s">
        <v>33</v>
      </c>
      <c r="B26" s="70">
        <f>SUM(C26:M26)</f>
        <v>390</v>
      </c>
      <c r="C26" s="70">
        <v>82</v>
      </c>
      <c r="D26" s="70">
        <v>21</v>
      </c>
      <c r="E26" s="70">
        <v>23</v>
      </c>
      <c r="F26" s="70">
        <v>11</v>
      </c>
      <c r="G26" s="70">
        <v>51</v>
      </c>
      <c r="H26" s="70">
        <v>8</v>
      </c>
      <c r="I26" s="70">
        <v>7</v>
      </c>
      <c r="J26" s="70">
        <v>13</v>
      </c>
      <c r="K26" s="70">
        <v>154</v>
      </c>
      <c r="L26" s="70">
        <v>5</v>
      </c>
      <c r="M26" s="70">
        <v>15</v>
      </c>
    </row>
    <row r="27" spans="1:13" hidden="1">
      <c r="A27" s="17"/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</row>
    <row r="28" spans="1:13" hidden="1"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211" t="s">
        <v>353</v>
      </c>
    </row>
    <row r="29" spans="1:13" hidden="1"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28"/>
    </row>
    <row r="30" spans="1:13" ht="12" hidden="1" customHeight="1">
      <c r="A30" s="2" t="s">
        <v>606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28"/>
    </row>
    <row r="31" spans="1:13" ht="12.75" hidden="1" customHeight="1">
      <c r="A31"/>
      <c r="B31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153"/>
    </row>
    <row r="32" spans="1:13" ht="15.95" hidden="1" customHeight="1">
      <c r="A32" s="734" t="s">
        <v>38</v>
      </c>
      <c r="B32" s="739" t="s">
        <v>14</v>
      </c>
      <c r="C32" s="740" t="s">
        <v>5</v>
      </c>
      <c r="D32" s="740"/>
      <c r="E32" s="740"/>
      <c r="F32" s="740"/>
      <c r="G32" s="740"/>
      <c r="H32" s="740"/>
      <c r="I32" s="740"/>
      <c r="J32" s="740"/>
      <c r="K32" s="740"/>
      <c r="L32" s="740"/>
      <c r="M32" s="740"/>
    </row>
    <row r="33" spans="1:13" ht="51" hidden="1">
      <c r="A33" s="735"/>
      <c r="B33" s="739"/>
      <c r="C33" s="68" t="s">
        <v>100</v>
      </c>
      <c r="D33" s="68" t="s">
        <v>101</v>
      </c>
      <c r="E33" s="68" t="s">
        <v>102</v>
      </c>
      <c r="F33" s="68" t="s">
        <v>103</v>
      </c>
      <c r="G33" s="68" t="s">
        <v>402</v>
      </c>
      <c r="H33" s="68" t="s">
        <v>105</v>
      </c>
      <c r="I33" s="68" t="s">
        <v>398</v>
      </c>
      <c r="J33" s="68" t="s">
        <v>399</v>
      </c>
      <c r="K33" s="68" t="s">
        <v>401</v>
      </c>
      <c r="L33" s="68" t="s">
        <v>400</v>
      </c>
      <c r="M33" s="68" t="s">
        <v>110</v>
      </c>
    </row>
    <row r="34" spans="1:13" ht="16.5" hidden="1" customHeight="1">
      <c r="A34" s="252">
        <v>2014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</row>
    <row r="35" spans="1:13" ht="16.5" hidden="1" customHeight="1">
      <c r="A35" s="15" t="s">
        <v>29</v>
      </c>
      <c r="B35" s="75">
        <f>SUM(B36,B40)</f>
        <v>57413</v>
      </c>
      <c r="C35" s="75">
        <f>SUM(C36,C40)</f>
        <v>10878</v>
      </c>
      <c r="D35" s="75">
        <f t="shared" ref="D35:M35" si="11">SUM(D36,D40)</f>
        <v>4951</v>
      </c>
      <c r="E35" s="75">
        <f t="shared" si="11"/>
        <v>2389</v>
      </c>
      <c r="F35" s="75">
        <f t="shared" si="11"/>
        <v>3181</v>
      </c>
      <c r="G35" s="75">
        <f t="shared" si="11"/>
        <v>2627</v>
      </c>
      <c r="H35" s="75">
        <f t="shared" si="11"/>
        <v>4311</v>
      </c>
      <c r="I35" s="75">
        <f t="shared" si="11"/>
        <v>1566</v>
      </c>
      <c r="J35" s="75">
        <f t="shared" si="11"/>
        <v>5508</v>
      </c>
      <c r="K35" s="75">
        <f t="shared" si="11"/>
        <v>18733</v>
      </c>
      <c r="L35" s="75">
        <f t="shared" si="11"/>
        <v>1924</v>
      </c>
      <c r="M35" s="75">
        <f t="shared" si="11"/>
        <v>1345</v>
      </c>
    </row>
    <row r="36" spans="1:13" ht="16.5" hidden="1" customHeight="1">
      <c r="A36" s="15" t="s">
        <v>39</v>
      </c>
      <c r="B36" s="75">
        <f>SUM(B37:B39)</f>
        <v>55501</v>
      </c>
      <c r="C36" s="75">
        <f>SUM(C37:C39)</f>
        <v>10479</v>
      </c>
      <c r="D36" s="75">
        <f t="shared" ref="D36:M36" si="12">SUM(D37:D39)</f>
        <v>4857</v>
      </c>
      <c r="E36" s="75">
        <f t="shared" si="12"/>
        <v>2331</v>
      </c>
      <c r="F36" s="75">
        <f t="shared" si="12"/>
        <v>3124</v>
      </c>
      <c r="G36" s="75">
        <f t="shared" si="12"/>
        <v>2525</v>
      </c>
      <c r="H36" s="75">
        <f t="shared" si="12"/>
        <v>4234</v>
      </c>
      <c r="I36" s="75">
        <f t="shared" si="12"/>
        <v>1551</v>
      </c>
      <c r="J36" s="75">
        <f t="shared" si="12"/>
        <v>5411</v>
      </c>
      <c r="K36" s="75">
        <f t="shared" si="12"/>
        <v>17804</v>
      </c>
      <c r="L36" s="75">
        <f t="shared" si="12"/>
        <v>1875</v>
      </c>
      <c r="M36" s="75">
        <f t="shared" si="12"/>
        <v>1310</v>
      </c>
    </row>
    <row r="37" spans="1:13" ht="16.5" hidden="1" customHeight="1">
      <c r="A37" s="16" t="s">
        <v>31</v>
      </c>
      <c r="B37" s="65">
        <f>SUM(C37:M37)</f>
        <v>19489</v>
      </c>
      <c r="C37" s="70">
        <v>3686</v>
      </c>
      <c r="D37" s="70">
        <v>1650</v>
      </c>
      <c r="E37" s="70">
        <v>841</v>
      </c>
      <c r="F37" s="70">
        <v>1066</v>
      </c>
      <c r="G37" s="70">
        <v>875</v>
      </c>
      <c r="H37" s="70">
        <v>1365</v>
      </c>
      <c r="I37" s="70">
        <v>510</v>
      </c>
      <c r="J37" s="70">
        <v>1843</v>
      </c>
      <c r="K37" s="70">
        <v>6588</v>
      </c>
      <c r="L37" s="70">
        <v>611</v>
      </c>
      <c r="M37" s="70">
        <v>454</v>
      </c>
    </row>
    <row r="38" spans="1:13" ht="16.5" hidden="1" customHeight="1">
      <c r="A38" s="16" t="s">
        <v>32</v>
      </c>
      <c r="B38" s="65">
        <f>SUM(C38:M38)</f>
        <v>18337</v>
      </c>
      <c r="C38" s="70">
        <v>3438</v>
      </c>
      <c r="D38" s="70">
        <v>1602</v>
      </c>
      <c r="E38" s="70">
        <v>779</v>
      </c>
      <c r="F38" s="70">
        <v>1013</v>
      </c>
      <c r="G38" s="70">
        <v>832</v>
      </c>
      <c r="H38" s="70">
        <v>1425</v>
      </c>
      <c r="I38" s="70">
        <v>510</v>
      </c>
      <c r="J38" s="70">
        <v>1781</v>
      </c>
      <c r="K38" s="70">
        <v>5888</v>
      </c>
      <c r="L38" s="70">
        <v>639</v>
      </c>
      <c r="M38" s="70">
        <v>430</v>
      </c>
    </row>
    <row r="39" spans="1:13" ht="16.5" hidden="1" customHeight="1">
      <c r="A39" s="16" t="s">
        <v>33</v>
      </c>
      <c r="B39" s="65">
        <f>SUM(C39:M39)</f>
        <v>17675</v>
      </c>
      <c r="C39" s="70">
        <v>3355</v>
      </c>
      <c r="D39" s="70">
        <v>1605</v>
      </c>
      <c r="E39" s="70">
        <v>711</v>
      </c>
      <c r="F39" s="70">
        <v>1045</v>
      </c>
      <c r="G39" s="70">
        <v>818</v>
      </c>
      <c r="H39" s="70">
        <v>1444</v>
      </c>
      <c r="I39" s="70">
        <v>531</v>
      </c>
      <c r="J39" s="70">
        <v>1787</v>
      </c>
      <c r="K39" s="70">
        <v>5328</v>
      </c>
      <c r="L39" s="70">
        <v>625</v>
      </c>
      <c r="M39" s="70">
        <v>426</v>
      </c>
    </row>
    <row r="40" spans="1:13" ht="16.5" hidden="1" customHeight="1">
      <c r="A40" s="15" t="s">
        <v>397</v>
      </c>
      <c r="B40" s="75">
        <f>SUM(B41:B43)</f>
        <v>1912</v>
      </c>
      <c r="C40" s="69">
        <f>SUM(C41:C43)</f>
        <v>399</v>
      </c>
      <c r="D40" s="69">
        <f t="shared" ref="D40:M40" si="13">SUM(D41:D43)</f>
        <v>94</v>
      </c>
      <c r="E40" s="69">
        <f t="shared" si="13"/>
        <v>58</v>
      </c>
      <c r="F40" s="69">
        <f t="shared" si="13"/>
        <v>57</v>
      </c>
      <c r="G40" s="69">
        <f t="shared" si="13"/>
        <v>102</v>
      </c>
      <c r="H40" s="69">
        <f t="shared" si="13"/>
        <v>77</v>
      </c>
      <c r="I40" s="69">
        <f t="shared" si="13"/>
        <v>15</v>
      </c>
      <c r="J40" s="69">
        <f t="shared" si="13"/>
        <v>97</v>
      </c>
      <c r="K40" s="69">
        <f t="shared" si="13"/>
        <v>929</v>
      </c>
      <c r="L40" s="69">
        <f t="shared" si="13"/>
        <v>49</v>
      </c>
      <c r="M40" s="69">
        <f t="shared" si="13"/>
        <v>35</v>
      </c>
    </row>
    <row r="41" spans="1:13" ht="16.5" hidden="1" customHeight="1">
      <c r="A41" s="16" t="s">
        <v>31</v>
      </c>
      <c r="B41" s="70">
        <f>SUM(C41:M41)</f>
        <v>278</v>
      </c>
      <c r="C41" s="70">
        <v>52</v>
      </c>
      <c r="D41" s="70">
        <v>1</v>
      </c>
      <c r="E41" s="70">
        <v>8</v>
      </c>
      <c r="F41" s="70">
        <v>10</v>
      </c>
      <c r="G41" s="70">
        <v>13</v>
      </c>
      <c r="H41" s="70">
        <v>10</v>
      </c>
      <c r="I41" s="70">
        <v>1</v>
      </c>
      <c r="J41" s="70">
        <v>11</v>
      </c>
      <c r="K41" s="70">
        <v>156</v>
      </c>
      <c r="L41" s="70">
        <v>6</v>
      </c>
      <c r="M41" s="70">
        <v>10</v>
      </c>
    </row>
    <row r="42" spans="1:13" ht="16.5" hidden="1" customHeight="1">
      <c r="A42" s="16" t="s">
        <v>32</v>
      </c>
      <c r="B42" s="70">
        <f>SUM(C42:M42)</f>
        <v>494</v>
      </c>
      <c r="C42" s="70">
        <v>92</v>
      </c>
      <c r="D42" s="70">
        <v>16</v>
      </c>
      <c r="E42" s="70">
        <v>17</v>
      </c>
      <c r="F42" s="70">
        <v>19</v>
      </c>
      <c r="G42" s="70">
        <v>29</v>
      </c>
      <c r="H42" s="70">
        <v>37</v>
      </c>
      <c r="I42" s="70">
        <v>5</v>
      </c>
      <c r="J42" s="70">
        <v>24</v>
      </c>
      <c r="K42" s="70">
        <v>232</v>
      </c>
      <c r="L42" s="70">
        <v>12</v>
      </c>
      <c r="M42" s="70">
        <v>11</v>
      </c>
    </row>
    <row r="43" spans="1:13" ht="16.5" hidden="1" customHeight="1">
      <c r="A43" s="16" t="s">
        <v>33</v>
      </c>
      <c r="B43" s="70">
        <f>SUM(C43:M43)</f>
        <v>1140</v>
      </c>
      <c r="C43" s="70">
        <v>255</v>
      </c>
      <c r="D43" s="70">
        <v>77</v>
      </c>
      <c r="E43" s="70">
        <v>33</v>
      </c>
      <c r="F43" s="70">
        <v>28</v>
      </c>
      <c r="G43" s="70">
        <v>60</v>
      </c>
      <c r="H43" s="70">
        <v>30</v>
      </c>
      <c r="I43" s="70">
        <v>9</v>
      </c>
      <c r="J43" s="70">
        <v>62</v>
      </c>
      <c r="K43" s="70">
        <v>541</v>
      </c>
      <c r="L43" s="70">
        <v>31</v>
      </c>
      <c r="M43" s="70">
        <v>14</v>
      </c>
    </row>
    <row r="44" spans="1:13" ht="8.25" hidden="1" customHeight="1">
      <c r="A44" s="16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</row>
    <row r="45" spans="1:13" ht="16.5" hidden="1" customHeight="1">
      <c r="A45" s="252">
        <v>2015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</row>
    <row r="46" spans="1:13" ht="16.5" hidden="1" customHeight="1">
      <c r="A46" s="15" t="s">
        <v>29</v>
      </c>
      <c r="B46" s="75">
        <f>SUM(B47,B51)</f>
        <v>56342</v>
      </c>
      <c r="C46" s="75">
        <f>SUM(C47,C51)</f>
        <v>10598</v>
      </c>
      <c r="D46" s="75">
        <f t="shared" ref="D46:M46" si="14">SUM(D47,D51)</f>
        <v>4745</v>
      </c>
      <c r="E46" s="75">
        <f t="shared" si="14"/>
        <v>2396</v>
      </c>
      <c r="F46" s="75">
        <f t="shared" si="14"/>
        <v>2928</v>
      </c>
      <c r="G46" s="75">
        <f t="shared" si="14"/>
        <v>2646</v>
      </c>
      <c r="H46" s="75">
        <f t="shared" si="14"/>
        <v>4321</v>
      </c>
      <c r="I46" s="75">
        <f t="shared" si="14"/>
        <v>1585</v>
      </c>
      <c r="J46" s="75">
        <f t="shared" si="14"/>
        <v>5303</v>
      </c>
      <c r="K46" s="75">
        <f t="shared" si="14"/>
        <v>18978</v>
      </c>
      <c r="L46" s="75">
        <f t="shared" si="14"/>
        <v>1580</v>
      </c>
      <c r="M46" s="75">
        <f t="shared" si="14"/>
        <v>1262</v>
      </c>
    </row>
    <row r="47" spans="1:13" ht="16.5" hidden="1" customHeight="1">
      <c r="A47" s="15" t="s">
        <v>39</v>
      </c>
      <c r="B47" s="75">
        <f t="shared" ref="B47:G47" si="15">SUM(B48:B50)</f>
        <v>53851</v>
      </c>
      <c r="C47" s="75">
        <f t="shared" si="15"/>
        <v>10049</v>
      </c>
      <c r="D47" s="75">
        <f t="shared" si="15"/>
        <v>4653</v>
      </c>
      <c r="E47" s="75">
        <f t="shared" si="15"/>
        <v>2286</v>
      </c>
      <c r="F47" s="75">
        <f t="shared" si="15"/>
        <v>2772</v>
      </c>
      <c r="G47" s="75">
        <f t="shared" si="15"/>
        <v>2579</v>
      </c>
      <c r="H47" s="75">
        <f t="shared" ref="H47:M47" si="16">SUM(H48:H50)</f>
        <v>4244</v>
      </c>
      <c r="I47" s="75">
        <f t="shared" si="16"/>
        <v>1556</v>
      </c>
      <c r="J47" s="75">
        <f t="shared" si="16"/>
        <v>5223</v>
      </c>
      <c r="K47" s="75">
        <f t="shared" si="16"/>
        <v>17728</v>
      </c>
      <c r="L47" s="75">
        <f t="shared" si="16"/>
        <v>1556</v>
      </c>
      <c r="M47" s="75">
        <f t="shared" si="16"/>
        <v>1205</v>
      </c>
    </row>
    <row r="48" spans="1:13" s="92" customFormat="1" ht="16.5" hidden="1" customHeight="1">
      <c r="A48" s="16" t="s">
        <v>31</v>
      </c>
      <c r="B48" s="65">
        <f>SUM(C48:M48)</f>
        <v>18379</v>
      </c>
      <c r="C48" s="65">
        <v>3430</v>
      </c>
      <c r="D48" s="65">
        <v>1571</v>
      </c>
      <c r="E48" s="65">
        <v>812</v>
      </c>
      <c r="F48" s="65">
        <v>1021</v>
      </c>
      <c r="G48" s="65">
        <v>853</v>
      </c>
      <c r="H48" s="65">
        <v>1310</v>
      </c>
      <c r="I48" s="65">
        <v>521</v>
      </c>
      <c r="J48" s="65">
        <v>1822</v>
      </c>
      <c r="K48" s="65">
        <v>6087</v>
      </c>
      <c r="L48" s="65">
        <v>541</v>
      </c>
      <c r="M48" s="65">
        <v>411</v>
      </c>
    </row>
    <row r="49" spans="1:14" ht="16.5" hidden="1" customHeight="1">
      <c r="A49" s="16" t="s">
        <v>32</v>
      </c>
      <c r="B49" s="65">
        <f>SUM(C49:M49)</f>
        <v>17762</v>
      </c>
      <c r="C49" s="65">
        <v>3311</v>
      </c>
      <c r="D49" s="65">
        <v>1580</v>
      </c>
      <c r="E49" s="65">
        <v>761</v>
      </c>
      <c r="F49" s="65">
        <v>920</v>
      </c>
      <c r="G49" s="65">
        <v>843</v>
      </c>
      <c r="H49" s="65">
        <v>1427</v>
      </c>
      <c r="I49" s="65">
        <v>515</v>
      </c>
      <c r="J49" s="65">
        <v>1740</v>
      </c>
      <c r="K49" s="65">
        <v>5721</v>
      </c>
      <c r="L49" s="65">
        <v>543</v>
      </c>
      <c r="M49" s="65">
        <v>401</v>
      </c>
    </row>
    <row r="50" spans="1:14" ht="16.5" hidden="1" customHeight="1">
      <c r="A50" s="16" t="s">
        <v>33</v>
      </c>
      <c r="B50" s="65">
        <f>SUM(C50:M50)</f>
        <v>17710</v>
      </c>
      <c r="C50" s="65">
        <v>3308</v>
      </c>
      <c r="D50" s="65">
        <v>1502</v>
      </c>
      <c r="E50" s="65">
        <v>713</v>
      </c>
      <c r="F50" s="65">
        <v>831</v>
      </c>
      <c r="G50" s="65">
        <v>883</v>
      </c>
      <c r="H50" s="65">
        <v>1507</v>
      </c>
      <c r="I50" s="65">
        <v>520</v>
      </c>
      <c r="J50" s="65">
        <v>1661</v>
      </c>
      <c r="K50" s="65">
        <v>5920</v>
      </c>
      <c r="L50" s="65">
        <v>472</v>
      </c>
      <c r="M50" s="65">
        <v>393</v>
      </c>
    </row>
    <row r="51" spans="1:14" ht="16.5" hidden="1" customHeight="1">
      <c r="A51" s="15" t="s">
        <v>397</v>
      </c>
      <c r="B51" s="69">
        <f>SUM(B52:B54)</f>
        <v>2491</v>
      </c>
      <c r="C51" s="69">
        <f>SUM(C52:C54)</f>
        <v>549</v>
      </c>
      <c r="D51" s="69">
        <f t="shared" ref="D51:M51" si="17">SUM(D52:D54)</f>
        <v>92</v>
      </c>
      <c r="E51" s="69">
        <f t="shared" si="17"/>
        <v>110</v>
      </c>
      <c r="F51" s="69">
        <f t="shared" si="17"/>
        <v>156</v>
      </c>
      <c r="G51" s="69">
        <f t="shared" si="17"/>
        <v>67</v>
      </c>
      <c r="H51" s="69">
        <f t="shared" si="17"/>
        <v>77</v>
      </c>
      <c r="I51" s="69">
        <f t="shared" si="17"/>
        <v>29</v>
      </c>
      <c r="J51" s="69">
        <f t="shared" si="17"/>
        <v>80</v>
      </c>
      <c r="K51" s="69">
        <f t="shared" si="17"/>
        <v>1250</v>
      </c>
      <c r="L51" s="69">
        <f t="shared" si="17"/>
        <v>24</v>
      </c>
      <c r="M51" s="69">
        <f t="shared" si="17"/>
        <v>57</v>
      </c>
    </row>
    <row r="52" spans="1:14" ht="16.5" hidden="1" customHeight="1">
      <c r="A52" s="16" t="s">
        <v>31</v>
      </c>
      <c r="B52" s="70">
        <f>SUM(C52:M52)</f>
        <v>391</v>
      </c>
      <c r="C52" s="4">
        <v>77</v>
      </c>
      <c r="D52" s="4">
        <v>10</v>
      </c>
      <c r="E52" s="4">
        <v>9</v>
      </c>
      <c r="F52" s="4">
        <v>19</v>
      </c>
      <c r="G52" s="4">
        <v>14</v>
      </c>
      <c r="H52" s="4">
        <v>10</v>
      </c>
      <c r="I52" s="4">
        <v>3</v>
      </c>
      <c r="J52" s="4">
        <v>14</v>
      </c>
      <c r="K52" s="4">
        <v>223</v>
      </c>
      <c r="L52" s="4">
        <v>5</v>
      </c>
      <c r="M52" s="4">
        <v>7</v>
      </c>
    </row>
    <row r="53" spans="1:14" ht="16.5" hidden="1" customHeight="1">
      <c r="A53" s="16" t="s">
        <v>32</v>
      </c>
      <c r="B53" s="70">
        <f>SUM(C53:M53)</f>
        <v>773</v>
      </c>
      <c r="C53" s="4">
        <v>190</v>
      </c>
      <c r="D53" s="4">
        <v>36</v>
      </c>
      <c r="E53" s="4">
        <v>30</v>
      </c>
      <c r="F53" s="4">
        <v>49</v>
      </c>
      <c r="G53" s="4">
        <v>18</v>
      </c>
      <c r="H53" s="4">
        <v>27</v>
      </c>
      <c r="I53" s="4">
        <v>7</v>
      </c>
      <c r="J53" s="4">
        <v>14</v>
      </c>
      <c r="K53" s="4">
        <v>380</v>
      </c>
      <c r="L53" s="4">
        <v>5</v>
      </c>
      <c r="M53" s="4">
        <v>17</v>
      </c>
    </row>
    <row r="54" spans="1:14" ht="16.5" hidden="1" customHeight="1">
      <c r="A54" s="16" t="s">
        <v>33</v>
      </c>
      <c r="B54" s="70">
        <f>SUM(C54:M54)</f>
        <v>1327</v>
      </c>
      <c r="C54" s="4">
        <v>282</v>
      </c>
      <c r="D54" s="4">
        <v>46</v>
      </c>
      <c r="E54" s="4">
        <v>71</v>
      </c>
      <c r="F54" s="4">
        <v>88</v>
      </c>
      <c r="G54" s="4">
        <v>35</v>
      </c>
      <c r="H54" s="4">
        <v>40</v>
      </c>
      <c r="I54" s="4">
        <v>19</v>
      </c>
      <c r="J54" s="4">
        <v>52</v>
      </c>
      <c r="K54" s="4">
        <v>647</v>
      </c>
      <c r="L54" s="4">
        <v>14</v>
      </c>
      <c r="M54" s="4">
        <v>33</v>
      </c>
    </row>
    <row r="55" spans="1:14" ht="8.25" hidden="1" customHeight="1">
      <c r="A55" s="17"/>
      <c r="B55" s="72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</row>
    <row r="56" spans="1:14" ht="15.95" hidden="1" customHeight="1">
      <c r="A56" s="7"/>
      <c r="G56" s="23"/>
      <c r="H56" s="35"/>
      <c r="I56" s="35"/>
      <c r="J56" s="35"/>
      <c r="K56" s="35"/>
      <c r="M56" s="160" t="s">
        <v>45</v>
      </c>
    </row>
    <row r="57" spans="1:14" ht="15.95" hidden="1" customHeight="1">
      <c r="A57" s="2"/>
      <c r="B57" s="2"/>
      <c r="C57" s="2"/>
      <c r="D57" s="2"/>
      <c r="E57" s="2"/>
      <c r="F57" s="2"/>
      <c r="G57" s="2"/>
    </row>
    <row r="58" spans="1:14" ht="12.75" customHeight="1">
      <c r="A58" s="726" t="s">
        <v>801</v>
      </c>
      <c r="B58" s="726"/>
      <c r="C58" s="726"/>
      <c r="D58" s="726"/>
      <c r="E58" s="726"/>
      <c r="F58" s="726"/>
      <c r="G58" s="726"/>
      <c r="H58" s="726"/>
      <c r="I58" s="726"/>
      <c r="J58" s="726"/>
      <c r="K58" s="726"/>
      <c r="L58" s="726"/>
      <c r="M58" s="726"/>
    </row>
    <row r="59" spans="1:14" ht="13.5" customHeight="1">
      <c r="A59" s="741" t="s">
        <v>812</v>
      </c>
      <c r="B59" s="741"/>
      <c r="C59" s="741"/>
      <c r="D59" s="741"/>
      <c r="E59" s="741"/>
      <c r="F59" s="741"/>
      <c r="G59" s="741"/>
      <c r="H59" s="741"/>
      <c r="I59" s="741"/>
      <c r="J59" s="741"/>
      <c r="K59" s="741"/>
      <c r="L59" s="741"/>
      <c r="M59" s="741"/>
    </row>
    <row r="60" spans="1:14" ht="3.75" customHeight="1">
      <c r="A60"/>
      <c r="B6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153"/>
    </row>
    <row r="61" spans="1:14" ht="15.95" customHeight="1">
      <c r="A61" s="734" t="s">
        <v>38</v>
      </c>
      <c r="B61" s="739" t="s">
        <v>14</v>
      </c>
      <c r="C61" s="731" t="s">
        <v>645</v>
      </c>
      <c r="D61" s="732"/>
      <c r="E61" s="732"/>
      <c r="F61" s="732"/>
      <c r="G61" s="732"/>
      <c r="H61" s="732"/>
      <c r="I61" s="732"/>
      <c r="J61" s="732"/>
      <c r="K61" s="732"/>
      <c r="L61" s="732"/>
      <c r="M61" s="732"/>
      <c r="N61" s="438"/>
    </row>
    <row r="62" spans="1:14" ht="25.5" customHeight="1">
      <c r="A62" s="735"/>
      <c r="B62" s="739"/>
      <c r="C62" s="412" t="s">
        <v>637</v>
      </c>
      <c r="D62" s="412" t="s">
        <v>638</v>
      </c>
      <c r="E62" s="412" t="s">
        <v>639</v>
      </c>
      <c r="F62" s="412" t="s">
        <v>640</v>
      </c>
      <c r="G62" s="68" t="s">
        <v>643</v>
      </c>
      <c r="H62" s="412" t="s">
        <v>723</v>
      </c>
      <c r="I62" s="412" t="s">
        <v>641</v>
      </c>
      <c r="J62" s="412" t="s">
        <v>642</v>
      </c>
      <c r="K62" s="68" t="s">
        <v>48</v>
      </c>
      <c r="L62" s="412" t="s">
        <v>20</v>
      </c>
      <c r="M62" s="412" t="s">
        <v>21</v>
      </c>
    </row>
    <row r="63" spans="1:14" ht="18" hidden="1" customHeight="1">
      <c r="A63" s="252">
        <v>2016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</row>
    <row r="64" spans="1:14" ht="18" hidden="1" customHeight="1">
      <c r="A64" s="15" t="s">
        <v>29</v>
      </c>
      <c r="B64" s="75">
        <f>SUM(B65,B69)</f>
        <v>53744</v>
      </c>
      <c r="C64" s="75">
        <f t="shared" ref="C64:M64" si="18">SUM(C65,C69)</f>
        <v>10257</v>
      </c>
      <c r="D64" s="75">
        <f t="shared" si="18"/>
        <v>4237</v>
      </c>
      <c r="E64" s="75">
        <f t="shared" si="18"/>
        <v>2477</v>
      </c>
      <c r="F64" s="75">
        <f t="shared" si="18"/>
        <v>2953</v>
      </c>
      <c r="G64" s="75">
        <f t="shared" si="18"/>
        <v>2603</v>
      </c>
      <c r="H64" s="75">
        <f t="shared" si="18"/>
        <v>3737</v>
      </c>
      <c r="I64" s="75">
        <f t="shared" si="18"/>
        <v>1459</v>
      </c>
      <c r="J64" s="75">
        <f t="shared" si="18"/>
        <v>4989</v>
      </c>
      <c r="K64" s="75">
        <f t="shared" si="18"/>
        <v>18058</v>
      </c>
      <c r="L64" s="75">
        <f t="shared" si="18"/>
        <v>1649</v>
      </c>
      <c r="M64" s="75">
        <f t="shared" si="18"/>
        <v>1325</v>
      </c>
    </row>
    <row r="65" spans="1:13" ht="18" hidden="1" customHeight="1">
      <c r="A65" s="15" t="s">
        <v>39</v>
      </c>
      <c r="B65" s="75">
        <f>SUM(B66:B68)</f>
        <v>51701</v>
      </c>
      <c r="C65" s="75">
        <f t="shared" ref="C65:M65" si="19">SUM(C66:C68)</f>
        <v>9878</v>
      </c>
      <c r="D65" s="75">
        <f t="shared" si="19"/>
        <v>4126</v>
      </c>
      <c r="E65" s="75">
        <f t="shared" si="19"/>
        <v>2336</v>
      </c>
      <c r="F65" s="75">
        <f t="shared" si="19"/>
        <v>2812</v>
      </c>
      <c r="G65" s="75">
        <f t="shared" si="19"/>
        <v>2563</v>
      </c>
      <c r="H65" s="75">
        <f t="shared" si="19"/>
        <v>3638</v>
      </c>
      <c r="I65" s="75">
        <f t="shared" si="19"/>
        <v>1435</v>
      </c>
      <c r="J65" s="75">
        <f t="shared" si="19"/>
        <v>4927</v>
      </c>
      <c r="K65" s="75">
        <f t="shared" si="19"/>
        <v>17073</v>
      </c>
      <c r="L65" s="75">
        <f t="shared" si="19"/>
        <v>1620</v>
      </c>
      <c r="M65" s="75">
        <f t="shared" si="19"/>
        <v>1293</v>
      </c>
    </row>
    <row r="66" spans="1:13" ht="18" hidden="1" customHeight="1">
      <c r="A66" s="16" t="s">
        <v>31</v>
      </c>
      <c r="B66" s="65">
        <f t="shared" ref="B66:B72" si="20">SUM(C66:M66)</f>
        <v>17571</v>
      </c>
      <c r="C66" s="65">
        <v>3335</v>
      </c>
      <c r="D66" s="65">
        <v>1441</v>
      </c>
      <c r="E66" s="65">
        <v>821</v>
      </c>
      <c r="F66" s="65">
        <v>963</v>
      </c>
      <c r="G66" s="65">
        <v>838</v>
      </c>
      <c r="H66" s="65">
        <v>1180</v>
      </c>
      <c r="I66" s="65">
        <v>482</v>
      </c>
      <c r="J66" s="65">
        <v>1637</v>
      </c>
      <c r="K66" s="65">
        <v>5863</v>
      </c>
      <c r="L66" s="65">
        <v>552</v>
      </c>
      <c r="M66" s="65">
        <v>459</v>
      </c>
    </row>
    <row r="67" spans="1:13" ht="18" hidden="1" customHeight="1">
      <c r="A67" s="16" t="s">
        <v>32</v>
      </c>
      <c r="B67" s="65">
        <f t="shared" si="20"/>
        <v>17038</v>
      </c>
      <c r="C67" s="65">
        <v>3280</v>
      </c>
      <c r="D67" s="65">
        <v>1333</v>
      </c>
      <c r="E67" s="65">
        <v>783</v>
      </c>
      <c r="F67" s="65">
        <v>928</v>
      </c>
      <c r="G67" s="65">
        <v>863</v>
      </c>
      <c r="H67" s="65">
        <v>1174</v>
      </c>
      <c r="I67" s="65">
        <v>486</v>
      </c>
      <c r="J67" s="65">
        <v>1611</v>
      </c>
      <c r="K67" s="65">
        <v>5610</v>
      </c>
      <c r="L67" s="65">
        <v>549</v>
      </c>
      <c r="M67" s="65">
        <v>421</v>
      </c>
    </row>
    <row r="68" spans="1:13" ht="18" hidden="1" customHeight="1">
      <c r="A68" s="16" t="s">
        <v>33</v>
      </c>
      <c r="B68" s="65">
        <f t="shared" si="20"/>
        <v>17092</v>
      </c>
      <c r="C68" s="65">
        <v>3263</v>
      </c>
      <c r="D68" s="65">
        <v>1352</v>
      </c>
      <c r="E68" s="65">
        <v>732</v>
      </c>
      <c r="F68" s="65">
        <v>921</v>
      </c>
      <c r="G68" s="65">
        <v>862</v>
      </c>
      <c r="H68" s="65">
        <v>1284</v>
      </c>
      <c r="I68" s="65">
        <v>467</v>
      </c>
      <c r="J68" s="65">
        <v>1679</v>
      </c>
      <c r="K68" s="65">
        <v>5600</v>
      </c>
      <c r="L68" s="65">
        <v>519</v>
      </c>
      <c r="M68" s="65">
        <v>413</v>
      </c>
    </row>
    <row r="69" spans="1:13" ht="18" hidden="1" customHeight="1">
      <c r="A69" s="15" t="s">
        <v>397</v>
      </c>
      <c r="B69" s="75">
        <f t="shared" si="20"/>
        <v>2043</v>
      </c>
      <c r="C69" s="75">
        <f t="shared" ref="C69:M69" si="21">SUM(C70:C72)</f>
        <v>379</v>
      </c>
      <c r="D69" s="75">
        <f t="shared" si="21"/>
        <v>111</v>
      </c>
      <c r="E69" s="75">
        <f t="shared" si="21"/>
        <v>141</v>
      </c>
      <c r="F69" s="75">
        <f t="shared" si="21"/>
        <v>141</v>
      </c>
      <c r="G69" s="75">
        <f t="shared" si="21"/>
        <v>40</v>
      </c>
      <c r="H69" s="75">
        <f t="shared" si="21"/>
        <v>99</v>
      </c>
      <c r="I69" s="75">
        <f t="shared" si="21"/>
        <v>24</v>
      </c>
      <c r="J69" s="75">
        <f t="shared" si="21"/>
        <v>62</v>
      </c>
      <c r="K69" s="75">
        <f t="shared" si="21"/>
        <v>985</v>
      </c>
      <c r="L69" s="75">
        <f t="shared" si="21"/>
        <v>29</v>
      </c>
      <c r="M69" s="75">
        <f t="shared" si="21"/>
        <v>32</v>
      </c>
    </row>
    <row r="70" spans="1:13" ht="18" hidden="1" customHeight="1">
      <c r="A70" s="16" t="s">
        <v>31</v>
      </c>
      <c r="B70" s="70">
        <f t="shared" si="20"/>
        <v>295</v>
      </c>
      <c r="C70" s="65">
        <v>56</v>
      </c>
      <c r="D70" s="65">
        <v>17</v>
      </c>
      <c r="E70" s="65">
        <v>21</v>
      </c>
      <c r="F70" s="65">
        <v>16</v>
      </c>
      <c r="G70" s="65">
        <v>7</v>
      </c>
      <c r="H70" s="65">
        <v>16</v>
      </c>
      <c r="I70" s="65">
        <v>3</v>
      </c>
      <c r="J70" s="65">
        <v>7</v>
      </c>
      <c r="K70" s="65">
        <v>146</v>
      </c>
      <c r="L70" s="65">
        <v>1</v>
      </c>
      <c r="M70" s="65">
        <v>5</v>
      </c>
    </row>
    <row r="71" spans="1:13" ht="18" hidden="1" customHeight="1">
      <c r="A71" s="16" t="s">
        <v>32</v>
      </c>
      <c r="B71" s="70">
        <f t="shared" si="20"/>
        <v>609</v>
      </c>
      <c r="C71" s="65">
        <v>108</v>
      </c>
      <c r="D71" s="65">
        <v>40</v>
      </c>
      <c r="E71" s="65">
        <v>41</v>
      </c>
      <c r="F71" s="65">
        <v>40</v>
      </c>
      <c r="G71" s="65">
        <v>18</v>
      </c>
      <c r="H71" s="65">
        <v>34</v>
      </c>
      <c r="I71" s="65">
        <v>7</v>
      </c>
      <c r="J71" s="65">
        <v>16</v>
      </c>
      <c r="K71" s="65">
        <v>292</v>
      </c>
      <c r="L71" s="65">
        <v>6</v>
      </c>
      <c r="M71" s="65">
        <v>7</v>
      </c>
    </row>
    <row r="72" spans="1:13" ht="18" hidden="1" customHeight="1">
      <c r="A72" s="16" t="s">
        <v>33</v>
      </c>
      <c r="B72" s="70">
        <f t="shared" si="20"/>
        <v>1139</v>
      </c>
      <c r="C72" s="65">
        <v>215</v>
      </c>
      <c r="D72" s="65">
        <v>54</v>
      </c>
      <c r="E72" s="65">
        <v>79</v>
      </c>
      <c r="F72" s="65">
        <v>85</v>
      </c>
      <c r="G72" s="65">
        <v>15</v>
      </c>
      <c r="H72" s="65">
        <v>49</v>
      </c>
      <c r="I72" s="65">
        <v>14</v>
      </c>
      <c r="J72" s="65">
        <v>39</v>
      </c>
      <c r="K72" s="65">
        <v>547</v>
      </c>
      <c r="L72" s="65">
        <v>22</v>
      </c>
      <c r="M72" s="65">
        <v>20</v>
      </c>
    </row>
    <row r="73" spans="1:13" ht="18" hidden="1" customHeight="1">
      <c r="A73" s="252">
        <v>2017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</row>
    <row r="74" spans="1:13" ht="18" hidden="1" customHeight="1">
      <c r="A74" s="15" t="s">
        <v>29</v>
      </c>
      <c r="B74" s="75">
        <f>SUM(B75,B79)</f>
        <v>49985</v>
      </c>
      <c r="C74" s="75">
        <f>SUM(C75,C79)</f>
        <v>9541</v>
      </c>
      <c r="D74" s="75">
        <f t="shared" ref="D74:M74" si="22">SUM(D75,D79)</f>
        <v>4050</v>
      </c>
      <c r="E74" s="75">
        <f t="shared" si="22"/>
        <v>2233</v>
      </c>
      <c r="F74" s="75">
        <f t="shared" si="22"/>
        <v>2243</v>
      </c>
      <c r="G74" s="75">
        <f t="shared" si="22"/>
        <v>2734</v>
      </c>
      <c r="H74" s="75">
        <f t="shared" si="22"/>
        <v>3377</v>
      </c>
      <c r="I74" s="75">
        <f t="shared" si="22"/>
        <v>1259</v>
      </c>
      <c r="J74" s="75">
        <f t="shared" si="22"/>
        <v>4397</v>
      </c>
      <c r="K74" s="75">
        <f t="shared" si="22"/>
        <v>17398</v>
      </c>
      <c r="L74" s="75">
        <f t="shared" si="22"/>
        <v>1669</v>
      </c>
      <c r="M74" s="75">
        <f t="shared" si="22"/>
        <v>1084</v>
      </c>
    </row>
    <row r="75" spans="1:13" ht="18" hidden="1" customHeight="1">
      <c r="A75" s="15" t="s">
        <v>39</v>
      </c>
      <c r="B75" s="75">
        <f>SUM(B76:B78)</f>
        <v>47608</v>
      </c>
      <c r="C75" s="75">
        <f t="shared" ref="C75:M75" si="23">SUM(C76:C78)</f>
        <v>9253</v>
      </c>
      <c r="D75" s="75">
        <f t="shared" si="23"/>
        <v>3912</v>
      </c>
      <c r="E75" s="75">
        <f t="shared" si="23"/>
        <v>2132</v>
      </c>
      <c r="F75" s="75">
        <f t="shared" si="23"/>
        <v>2203</v>
      </c>
      <c r="G75" s="75">
        <f t="shared" si="23"/>
        <v>2658</v>
      </c>
      <c r="H75" s="75">
        <f t="shared" si="23"/>
        <v>3295</v>
      </c>
      <c r="I75" s="75">
        <f t="shared" si="23"/>
        <v>1228</v>
      </c>
      <c r="J75" s="75">
        <f t="shared" si="23"/>
        <v>4318</v>
      </c>
      <c r="K75" s="75">
        <f t="shared" si="23"/>
        <v>15929</v>
      </c>
      <c r="L75" s="75">
        <f t="shared" si="23"/>
        <v>1620</v>
      </c>
      <c r="M75" s="75">
        <f t="shared" si="23"/>
        <v>1060</v>
      </c>
    </row>
    <row r="76" spans="1:13" ht="18" hidden="1" customHeight="1">
      <c r="A76" s="16" t="s">
        <v>31</v>
      </c>
      <c r="B76" s="65">
        <f>SUM(C76:M76)</f>
        <v>16474</v>
      </c>
      <c r="C76" s="65">
        <v>3219</v>
      </c>
      <c r="D76" s="65">
        <v>1387</v>
      </c>
      <c r="E76" s="65">
        <v>706</v>
      </c>
      <c r="F76" s="65">
        <v>737</v>
      </c>
      <c r="G76" s="65">
        <v>906</v>
      </c>
      <c r="H76" s="65">
        <v>1103</v>
      </c>
      <c r="I76" s="65">
        <v>372</v>
      </c>
      <c r="J76" s="65">
        <v>1448</v>
      </c>
      <c r="K76" s="65">
        <v>5654</v>
      </c>
      <c r="L76" s="65">
        <v>572</v>
      </c>
      <c r="M76" s="65">
        <v>370</v>
      </c>
    </row>
    <row r="77" spans="1:13" ht="18" hidden="1" customHeight="1">
      <c r="A77" s="16" t="s">
        <v>32</v>
      </c>
      <c r="B77" s="65">
        <f>SUM(C77:M77)</f>
        <v>15652</v>
      </c>
      <c r="C77" s="65">
        <v>3085</v>
      </c>
      <c r="D77" s="65">
        <v>1269</v>
      </c>
      <c r="E77" s="65">
        <v>721</v>
      </c>
      <c r="F77" s="65">
        <v>742</v>
      </c>
      <c r="G77" s="65">
        <v>838</v>
      </c>
      <c r="H77" s="65">
        <v>1105</v>
      </c>
      <c r="I77" s="65">
        <v>407</v>
      </c>
      <c r="J77" s="65">
        <v>1431</v>
      </c>
      <c r="K77" s="65">
        <v>5168</v>
      </c>
      <c r="L77" s="65">
        <v>540</v>
      </c>
      <c r="M77" s="65">
        <v>346</v>
      </c>
    </row>
    <row r="78" spans="1:13" ht="18" hidden="1" customHeight="1">
      <c r="A78" s="16" t="s">
        <v>33</v>
      </c>
      <c r="B78" s="65">
        <f>SUM(C78:M78)</f>
        <v>15482</v>
      </c>
      <c r="C78" s="65">
        <v>2949</v>
      </c>
      <c r="D78" s="65">
        <v>1256</v>
      </c>
      <c r="E78" s="65">
        <v>705</v>
      </c>
      <c r="F78" s="65">
        <v>724</v>
      </c>
      <c r="G78" s="65">
        <v>914</v>
      </c>
      <c r="H78" s="65">
        <v>1087</v>
      </c>
      <c r="I78" s="65">
        <v>449</v>
      </c>
      <c r="J78" s="65">
        <v>1439</v>
      </c>
      <c r="K78" s="65">
        <v>5107</v>
      </c>
      <c r="L78" s="65">
        <v>508</v>
      </c>
      <c r="M78" s="65">
        <v>344</v>
      </c>
    </row>
    <row r="79" spans="1:13" ht="18" hidden="1" customHeight="1">
      <c r="A79" s="15" t="s">
        <v>397</v>
      </c>
      <c r="B79" s="69">
        <f>SUM(B80:B82)</f>
        <v>2377</v>
      </c>
      <c r="C79" s="69">
        <f t="shared" ref="C79:M79" si="24">SUM(C80:C82)</f>
        <v>288</v>
      </c>
      <c r="D79" s="69">
        <f t="shared" si="24"/>
        <v>138</v>
      </c>
      <c r="E79" s="69">
        <f t="shared" si="24"/>
        <v>101</v>
      </c>
      <c r="F79" s="69">
        <f t="shared" si="24"/>
        <v>40</v>
      </c>
      <c r="G79" s="69">
        <f t="shared" si="24"/>
        <v>76</v>
      </c>
      <c r="H79" s="69">
        <f t="shared" si="24"/>
        <v>82</v>
      </c>
      <c r="I79" s="69">
        <f t="shared" si="24"/>
        <v>31</v>
      </c>
      <c r="J79" s="69">
        <f t="shared" si="24"/>
        <v>79</v>
      </c>
      <c r="K79" s="69">
        <f t="shared" si="24"/>
        <v>1469</v>
      </c>
      <c r="L79" s="69">
        <f t="shared" si="24"/>
        <v>49</v>
      </c>
      <c r="M79" s="69">
        <f t="shared" si="24"/>
        <v>24</v>
      </c>
    </row>
    <row r="80" spans="1:13" ht="18" hidden="1" customHeight="1">
      <c r="A80" s="16" t="s">
        <v>31</v>
      </c>
      <c r="B80" s="70">
        <f>SUM(C80:M80)</f>
        <v>302</v>
      </c>
      <c r="C80" s="65">
        <v>42</v>
      </c>
      <c r="D80" s="65">
        <v>21</v>
      </c>
      <c r="E80" s="65">
        <v>17</v>
      </c>
      <c r="F80" s="65">
        <v>7</v>
      </c>
      <c r="G80" s="65">
        <v>10</v>
      </c>
      <c r="H80" s="65">
        <v>22</v>
      </c>
      <c r="I80" s="65">
        <v>4</v>
      </c>
      <c r="J80" s="65">
        <v>12</v>
      </c>
      <c r="K80" s="65">
        <v>153</v>
      </c>
      <c r="L80" s="65">
        <v>7</v>
      </c>
      <c r="M80" s="65">
        <v>7</v>
      </c>
    </row>
    <row r="81" spans="1:13" ht="18" hidden="1" customHeight="1">
      <c r="A81" s="16" t="s">
        <v>32</v>
      </c>
      <c r="B81" s="70">
        <f>SUM(C81:M81)</f>
        <v>563</v>
      </c>
      <c r="C81" s="65">
        <v>88</v>
      </c>
      <c r="D81" s="65">
        <v>42</v>
      </c>
      <c r="E81" s="65">
        <v>27</v>
      </c>
      <c r="F81" s="65">
        <v>15</v>
      </c>
      <c r="G81" s="65">
        <v>38</v>
      </c>
      <c r="H81" s="65">
        <v>15</v>
      </c>
      <c r="I81" s="65">
        <v>14</v>
      </c>
      <c r="J81" s="65">
        <v>21</v>
      </c>
      <c r="K81" s="65">
        <v>284</v>
      </c>
      <c r="L81" s="65">
        <v>15</v>
      </c>
      <c r="M81" s="65">
        <v>4</v>
      </c>
    </row>
    <row r="82" spans="1:13" ht="18" hidden="1" customHeight="1">
      <c r="A82" s="16" t="s">
        <v>33</v>
      </c>
      <c r="B82" s="70">
        <f>SUM(C82:M82)</f>
        <v>1512</v>
      </c>
      <c r="C82" s="65">
        <v>158</v>
      </c>
      <c r="D82" s="65">
        <v>75</v>
      </c>
      <c r="E82" s="65">
        <v>57</v>
      </c>
      <c r="F82" s="65">
        <v>18</v>
      </c>
      <c r="G82" s="65">
        <v>28</v>
      </c>
      <c r="H82" s="65">
        <v>45</v>
      </c>
      <c r="I82" s="65">
        <v>13</v>
      </c>
      <c r="J82" s="65">
        <v>46</v>
      </c>
      <c r="K82" s="65">
        <v>1032</v>
      </c>
      <c r="L82" s="65">
        <v>27</v>
      </c>
      <c r="M82" s="65">
        <v>13</v>
      </c>
    </row>
    <row r="83" spans="1:13" ht="8.25" hidden="1" customHeight="1">
      <c r="A83" s="17"/>
      <c r="B83" s="72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</row>
    <row r="84" spans="1:13" ht="12.95" hidden="1" customHeight="1">
      <c r="A84" s="15">
        <v>2018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</row>
    <row r="85" spans="1:13" ht="12.95" hidden="1" customHeight="1">
      <c r="A85" s="15" t="s">
        <v>29</v>
      </c>
      <c r="B85" s="75">
        <f>SUM(B86,B90)</f>
        <v>48312</v>
      </c>
      <c r="C85" s="75">
        <f t="shared" ref="C85:M85" si="25">SUM(C86,C90)</f>
        <v>9031</v>
      </c>
      <c r="D85" s="75">
        <f t="shared" si="25"/>
        <v>3721</v>
      </c>
      <c r="E85" s="75">
        <f t="shared" si="25"/>
        <v>2172</v>
      </c>
      <c r="F85" s="75">
        <f>SUM(F86,F90)</f>
        <v>2479</v>
      </c>
      <c r="G85" s="75">
        <f>SUM(G86,G90)</f>
        <v>2211</v>
      </c>
      <c r="H85" s="75">
        <f t="shared" si="25"/>
        <v>3504</v>
      </c>
      <c r="I85" s="75">
        <f t="shared" si="25"/>
        <v>1300</v>
      </c>
      <c r="J85" s="75">
        <f t="shared" si="25"/>
        <v>4057</v>
      </c>
      <c r="K85" s="75">
        <f t="shared" si="25"/>
        <v>17163</v>
      </c>
      <c r="L85" s="75">
        <f t="shared" si="25"/>
        <v>1610</v>
      </c>
      <c r="M85" s="75">
        <f t="shared" si="25"/>
        <v>1064</v>
      </c>
    </row>
    <row r="86" spans="1:13" ht="12.95" hidden="1" customHeight="1">
      <c r="A86" s="15" t="s">
        <v>39</v>
      </c>
      <c r="B86" s="75">
        <f>SUM(B87:B89)</f>
        <v>46264</v>
      </c>
      <c r="C86" s="75">
        <f t="shared" ref="C86:M86" si="26">SUM(C87:C89)</f>
        <v>8759</v>
      </c>
      <c r="D86" s="75">
        <f t="shared" si="26"/>
        <v>3571</v>
      </c>
      <c r="E86" s="75">
        <f t="shared" si="26"/>
        <v>2130</v>
      </c>
      <c r="F86" s="75">
        <f t="shared" si="26"/>
        <v>2360</v>
      </c>
      <c r="G86" s="75">
        <f t="shared" si="26"/>
        <v>2189</v>
      </c>
      <c r="H86" s="75">
        <f t="shared" si="26"/>
        <v>3433</v>
      </c>
      <c r="I86" s="75">
        <f t="shared" si="26"/>
        <v>1282</v>
      </c>
      <c r="J86" s="75">
        <f t="shared" si="26"/>
        <v>4021</v>
      </c>
      <c r="K86" s="75">
        <f t="shared" si="26"/>
        <v>15885</v>
      </c>
      <c r="L86" s="75">
        <f t="shared" si="26"/>
        <v>1588</v>
      </c>
      <c r="M86" s="75">
        <f t="shared" si="26"/>
        <v>1046</v>
      </c>
    </row>
    <row r="87" spans="1:13" ht="12.95" hidden="1" customHeight="1">
      <c r="A87" s="16" t="s">
        <v>31</v>
      </c>
      <c r="B87" s="65">
        <f t="shared" ref="B87:B93" si="27">SUM(C87:M87)</f>
        <v>15983</v>
      </c>
      <c r="C87" s="65">
        <v>2942</v>
      </c>
      <c r="D87" s="65">
        <v>1259</v>
      </c>
      <c r="E87" s="65">
        <v>743</v>
      </c>
      <c r="F87" s="65">
        <v>811</v>
      </c>
      <c r="G87" s="65">
        <v>776</v>
      </c>
      <c r="H87" s="65">
        <v>1110</v>
      </c>
      <c r="I87" s="65">
        <v>438</v>
      </c>
      <c r="J87" s="65">
        <v>1390</v>
      </c>
      <c r="K87" s="65">
        <v>5589</v>
      </c>
      <c r="L87" s="65">
        <v>556</v>
      </c>
      <c r="M87" s="65">
        <v>369</v>
      </c>
    </row>
    <row r="88" spans="1:13" ht="12.95" hidden="1" customHeight="1">
      <c r="A88" s="16" t="s">
        <v>32</v>
      </c>
      <c r="B88" s="65">
        <f t="shared" si="27"/>
        <v>15338</v>
      </c>
      <c r="C88" s="65">
        <v>2987</v>
      </c>
      <c r="D88" s="65">
        <v>1171</v>
      </c>
      <c r="E88" s="65">
        <v>690</v>
      </c>
      <c r="F88" s="65">
        <v>804</v>
      </c>
      <c r="G88" s="65">
        <v>742</v>
      </c>
      <c r="H88" s="65">
        <v>1154</v>
      </c>
      <c r="I88" s="65">
        <v>427</v>
      </c>
      <c r="J88" s="65">
        <v>1327</v>
      </c>
      <c r="K88" s="65">
        <v>5162</v>
      </c>
      <c r="L88" s="65">
        <v>527</v>
      </c>
      <c r="M88" s="65">
        <v>347</v>
      </c>
    </row>
    <row r="89" spans="1:13" ht="12.95" hidden="1" customHeight="1">
      <c r="A89" s="16" t="s">
        <v>33</v>
      </c>
      <c r="B89" s="65">
        <f t="shared" si="27"/>
        <v>14943</v>
      </c>
      <c r="C89" s="65">
        <v>2830</v>
      </c>
      <c r="D89" s="65">
        <v>1141</v>
      </c>
      <c r="E89" s="65">
        <v>697</v>
      </c>
      <c r="F89" s="65">
        <v>745</v>
      </c>
      <c r="G89" s="65">
        <v>671</v>
      </c>
      <c r="H89" s="65">
        <v>1169</v>
      </c>
      <c r="I89" s="65">
        <v>417</v>
      </c>
      <c r="J89" s="65">
        <v>1304</v>
      </c>
      <c r="K89" s="65">
        <v>5134</v>
      </c>
      <c r="L89" s="65">
        <v>505</v>
      </c>
      <c r="M89" s="65">
        <v>330</v>
      </c>
    </row>
    <row r="90" spans="1:13" ht="12.95" hidden="1" customHeight="1">
      <c r="A90" s="15" t="s">
        <v>397</v>
      </c>
      <c r="B90" s="75">
        <f t="shared" si="27"/>
        <v>2048</v>
      </c>
      <c r="C90" s="75">
        <f t="shared" ref="C90:M90" si="28">SUM(C91:C93)</f>
        <v>272</v>
      </c>
      <c r="D90" s="75">
        <f t="shared" si="28"/>
        <v>150</v>
      </c>
      <c r="E90" s="75">
        <f t="shared" si="28"/>
        <v>42</v>
      </c>
      <c r="F90" s="75">
        <f>SUM(F91:F93)</f>
        <v>119</v>
      </c>
      <c r="G90" s="75">
        <f>SUM(G91:G93)</f>
        <v>22</v>
      </c>
      <c r="H90" s="75">
        <f t="shared" si="28"/>
        <v>71</v>
      </c>
      <c r="I90" s="75">
        <f t="shared" si="28"/>
        <v>18</v>
      </c>
      <c r="J90" s="75">
        <f t="shared" si="28"/>
        <v>36</v>
      </c>
      <c r="K90" s="75">
        <f t="shared" si="28"/>
        <v>1278</v>
      </c>
      <c r="L90" s="75">
        <f t="shared" si="28"/>
        <v>22</v>
      </c>
      <c r="M90" s="75">
        <f t="shared" si="28"/>
        <v>18</v>
      </c>
    </row>
    <row r="91" spans="1:13" ht="12.95" hidden="1" customHeight="1">
      <c r="A91" s="16" t="s">
        <v>31</v>
      </c>
      <c r="B91" s="70">
        <f t="shared" si="27"/>
        <v>334</v>
      </c>
      <c r="C91" s="65">
        <v>51</v>
      </c>
      <c r="D91" s="65">
        <v>21</v>
      </c>
      <c r="E91" s="65">
        <v>2</v>
      </c>
      <c r="F91" s="65">
        <v>22</v>
      </c>
      <c r="G91" s="65">
        <v>5</v>
      </c>
      <c r="H91" s="65">
        <v>14</v>
      </c>
      <c r="I91" s="65">
        <v>3</v>
      </c>
      <c r="J91" s="65">
        <v>2</v>
      </c>
      <c r="K91" s="65">
        <v>210</v>
      </c>
      <c r="L91" s="65">
        <v>1</v>
      </c>
      <c r="M91" s="65">
        <v>3</v>
      </c>
    </row>
    <row r="92" spans="1:13" ht="12.95" hidden="1" customHeight="1">
      <c r="A92" s="16" t="s">
        <v>32</v>
      </c>
      <c r="B92" s="70">
        <f t="shared" si="27"/>
        <v>535</v>
      </c>
      <c r="C92" s="65">
        <v>79</v>
      </c>
      <c r="D92" s="65">
        <v>41</v>
      </c>
      <c r="E92" s="65">
        <v>12</v>
      </c>
      <c r="F92" s="65">
        <v>38</v>
      </c>
      <c r="G92" s="65">
        <v>6</v>
      </c>
      <c r="H92" s="65">
        <v>20</v>
      </c>
      <c r="I92" s="65">
        <v>7</v>
      </c>
      <c r="J92" s="65">
        <v>9</v>
      </c>
      <c r="K92" s="65">
        <v>313</v>
      </c>
      <c r="L92" s="65">
        <v>5</v>
      </c>
      <c r="M92" s="65">
        <v>5</v>
      </c>
    </row>
    <row r="93" spans="1:13" ht="12.95" hidden="1" customHeight="1">
      <c r="A93" s="16" t="s">
        <v>33</v>
      </c>
      <c r="B93" s="70">
        <f t="shared" si="27"/>
        <v>1179</v>
      </c>
      <c r="C93" s="65">
        <v>142</v>
      </c>
      <c r="D93" s="65">
        <v>88</v>
      </c>
      <c r="E93" s="65">
        <v>28</v>
      </c>
      <c r="F93" s="65">
        <v>59</v>
      </c>
      <c r="G93" s="65">
        <v>11</v>
      </c>
      <c r="H93" s="65">
        <v>37</v>
      </c>
      <c r="I93" s="65">
        <v>8</v>
      </c>
      <c r="J93" s="65">
        <v>25</v>
      </c>
      <c r="K93" s="65">
        <v>755</v>
      </c>
      <c r="L93" s="65">
        <v>16</v>
      </c>
      <c r="M93" s="65">
        <v>10</v>
      </c>
    </row>
    <row r="94" spans="1:13" ht="12.95" hidden="1" customHeight="1">
      <c r="A94" s="15">
        <v>2019</v>
      </c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</row>
    <row r="95" spans="1:13" ht="12.95" hidden="1" customHeight="1">
      <c r="A95" s="15" t="s">
        <v>60</v>
      </c>
      <c r="B95" s="75">
        <f>SUM(B96,B100)</f>
        <v>46399</v>
      </c>
      <c r="C95" s="75">
        <f>SUM(C96,C100)</f>
        <v>8796</v>
      </c>
      <c r="D95" s="75">
        <f t="shared" ref="D95:M95" si="29">SUM(D96,D100)</f>
        <v>3281</v>
      </c>
      <c r="E95" s="75">
        <f t="shared" si="29"/>
        <v>2040</v>
      </c>
      <c r="F95" s="75">
        <f t="shared" si="29"/>
        <v>1906</v>
      </c>
      <c r="G95" s="75">
        <f t="shared" si="29"/>
        <v>2020</v>
      </c>
      <c r="H95" s="75">
        <f t="shared" si="29"/>
        <v>2941</v>
      </c>
      <c r="I95" s="75">
        <f t="shared" si="29"/>
        <v>1159</v>
      </c>
      <c r="J95" s="75">
        <f t="shared" si="29"/>
        <v>4848</v>
      </c>
      <c r="K95" s="75">
        <f t="shared" si="29"/>
        <v>16836</v>
      </c>
      <c r="L95" s="75">
        <f t="shared" si="29"/>
        <v>1667</v>
      </c>
      <c r="M95" s="75">
        <f t="shared" si="29"/>
        <v>905</v>
      </c>
    </row>
    <row r="96" spans="1:13" ht="12.95" hidden="1" customHeight="1">
      <c r="A96" s="15" t="s">
        <v>39</v>
      </c>
      <c r="B96" s="75">
        <f>SUM(B97:B99)</f>
        <v>44014</v>
      </c>
      <c r="C96" s="75">
        <f t="shared" ref="C96:M96" si="30">SUM(C97:C99)</f>
        <v>8490</v>
      </c>
      <c r="D96" s="75">
        <f t="shared" si="30"/>
        <v>3192</v>
      </c>
      <c r="E96" s="75">
        <f t="shared" si="30"/>
        <v>2013</v>
      </c>
      <c r="F96" s="75">
        <f t="shared" si="30"/>
        <v>1850</v>
      </c>
      <c r="G96" s="75">
        <f t="shared" si="30"/>
        <v>1997</v>
      </c>
      <c r="H96" s="75">
        <f t="shared" si="30"/>
        <v>2867</v>
      </c>
      <c r="I96" s="75">
        <f t="shared" si="30"/>
        <v>1123</v>
      </c>
      <c r="J96" s="75">
        <f t="shared" si="30"/>
        <v>4818</v>
      </c>
      <c r="K96" s="75">
        <f t="shared" si="30"/>
        <v>15125</v>
      </c>
      <c r="L96" s="75">
        <f t="shared" si="30"/>
        <v>1640</v>
      </c>
      <c r="M96" s="75">
        <f t="shared" si="30"/>
        <v>899</v>
      </c>
    </row>
    <row r="97" spans="1:13" ht="12.95" hidden="1" customHeight="1">
      <c r="A97" s="16" t="s">
        <v>31</v>
      </c>
      <c r="B97" s="65">
        <f>SUM(C97:M97)</f>
        <v>15485</v>
      </c>
      <c r="C97" s="65">
        <v>2936</v>
      </c>
      <c r="D97" s="65">
        <v>1136</v>
      </c>
      <c r="E97" s="65">
        <v>686</v>
      </c>
      <c r="F97" s="65">
        <v>681</v>
      </c>
      <c r="G97" s="65">
        <v>698</v>
      </c>
      <c r="H97" s="65">
        <v>945</v>
      </c>
      <c r="I97" s="65">
        <v>367</v>
      </c>
      <c r="J97" s="65">
        <v>1573</v>
      </c>
      <c r="K97" s="65">
        <v>5570</v>
      </c>
      <c r="L97" s="65">
        <v>574</v>
      </c>
      <c r="M97" s="65">
        <v>319</v>
      </c>
    </row>
    <row r="98" spans="1:13" ht="12.95" hidden="1" customHeight="1">
      <c r="A98" s="16" t="s">
        <v>32</v>
      </c>
      <c r="B98" s="65">
        <f>SUM(C98:M98)</f>
        <v>14495</v>
      </c>
      <c r="C98" s="65">
        <v>2853</v>
      </c>
      <c r="D98" s="65">
        <v>1067</v>
      </c>
      <c r="E98" s="65">
        <v>693</v>
      </c>
      <c r="F98" s="65">
        <v>586</v>
      </c>
      <c r="G98" s="65">
        <v>648</v>
      </c>
      <c r="H98" s="65">
        <v>950</v>
      </c>
      <c r="I98" s="65">
        <v>383</v>
      </c>
      <c r="J98" s="65">
        <v>1585</v>
      </c>
      <c r="K98" s="65">
        <v>4892</v>
      </c>
      <c r="L98" s="65">
        <v>542</v>
      </c>
      <c r="M98" s="65">
        <v>296</v>
      </c>
    </row>
    <row r="99" spans="1:13" ht="12.95" hidden="1" customHeight="1">
      <c r="A99" s="16" t="s">
        <v>33</v>
      </c>
      <c r="B99" s="65">
        <f>SUM(C99:M99)</f>
        <v>14034</v>
      </c>
      <c r="C99" s="65">
        <v>2701</v>
      </c>
      <c r="D99" s="65">
        <v>989</v>
      </c>
      <c r="E99" s="65">
        <v>634</v>
      </c>
      <c r="F99" s="65">
        <v>583</v>
      </c>
      <c r="G99" s="65">
        <v>651</v>
      </c>
      <c r="H99" s="65">
        <v>972</v>
      </c>
      <c r="I99" s="65">
        <v>373</v>
      </c>
      <c r="J99" s="65">
        <v>1660</v>
      </c>
      <c r="K99" s="65">
        <v>4663</v>
      </c>
      <c r="L99" s="65">
        <v>524</v>
      </c>
      <c r="M99" s="65">
        <v>284</v>
      </c>
    </row>
    <row r="100" spans="1:13" ht="12.95" hidden="1" customHeight="1">
      <c r="A100" s="15" t="s">
        <v>397</v>
      </c>
      <c r="B100" s="69">
        <f>SUM(B101:B103)</f>
        <v>2385</v>
      </c>
      <c r="C100" s="69">
        <f t="shared" ref="C100:M100" si="31">SUM(C101:C103)</f>
        <v>306</v>
      </c>
      <c r="D100" s="69">
        <f t="shared" si="31"/>
        <v>89</v>
      </c>
      <c r="E100" s="69">
        <f t="shared" si="31"/>
        <v>27</v>
      </c>
      <c r="F100" s="69">
        <f t="shared" si="31"/>
        <v>56</v>
      </c>
      <c r="G100" s="69">
        <f t="shared" si="31"/>
        <v>23</v>
      </c>
      <c r="H100" s="69">
        <f t="shared" si="31"/>
        <v>74</v>
      </c>
      <c r="I100" s="69">
        <f t="shared" si="31"/>
        <v>36</v>
      </c>
      <c r="J100" s="69">
        <f t="shared" si="31"/>
        <v>30</v>
      </c>
      <c r="K100" s="69">
        <f t="shared" si="31"/>
        <v>1711</v>
      </c>
      <c r="L100" s="69">
        <f t="shared" si="31"/>
        <v>27</v>
      </c>
      <c r="M100" s="69">
        <f t="shared" si="31"/>
        <v>6</v>
      </c>
    </row>
    <row r="101" spans="1:13" ht="12.95" hidden="1" customHeight="1">
      <c r="A101" s="16" t="s">
        <v>31</v>
      </c>
      <c r="B101" s="70">
        <f>SUM(C101:M101)</f>
        <v>686</v>
      </c>
      <c r="C101" s="65">
        <v>53</v>
      </c>
      <c r="D101" s="65">
        <v>17</v>
      </c>
      <c r="E101" s="65">
        <v>4</v>
      </c>
      <c r="F101" s="65">
        <v>13</v>
      </c>
      <c r="G101" s="65">
        <v>6</v>
      </c>
      <c r="H101" s="65">
        <v>24</v>
      </c>
      <c r="I101" s="65">
        <v>6</v>
      </c>
      <c r="J101" s="65">
        <v>3</v>
      </c>
      <c r="K101" s="65">
        <v>548</v>
      </c>
      <c r="L101" s="65">
        <v>9</v>
      </c>
      <c r="M101" s="65">
        <v>3</v>
      </c>
    </row>
    <row r="102" spans="1:13" ht="12.95" hidden="1" customHeight="1">
      <c r="A102" s="16" t="s">
        <v>32</v>
      </c>
      <c r="B102" s="70">
        <f>SUM(C102:M102)</f>
        <v>494</v>
      </c>
      <c r="C102" s="65">
        <v>103</v>
      </c>
      <c r="D102" s="65">
        <v>24</v>
      </c>
      <c r="E102" s="65">
        <v>7</v>
      </c>
      <c r="F102" s="65">
        <v>15</v>
      </c>
      <c r="G102" s="65">
        <v>5</v>
      </c>
      <c r="H102" s="65">
        <v>21</v>
      </c>
      <c r="I102" s="65">
        <v>9</v>
      </c>
      <c r="J102" s="65">
        <v>4</v>
      </c>
      <c r="K102" s="65">
        <v>300</v>
      </c>
      <c r="L102" s="65">
        <v>4</v>
      </c>
      <c r="M102" s="65">
        <v>2</v>
      </c>
    </row>
    <row r="103" spans="1:13" ht="12.95" hidden="1" customHeight="1">
      <c r="A103" s="16" t="s">
        <v>33</v>
      </c>
      <c r="B103" s="70">
        <f>SUM(C103:M103)</f>
        <v>1205</v>
      </c>
      <c r="C103" s="65">
        <v>150</v>
      </c>
      <c r="D103" s="65">
        <v>48</v>
      </c>
      <c r="E103" s="65">
        <v>16</v>
      </c>
      <c r="F103" s="65">
        <v>28</v>
      </c>
      <c r="G103" s="65">
        <v>12</v>
      </c>
      <c r="H103" s="65">
        <v>29</v>
      </c>
      <c r="I103" s="65">
        <v>21</v>
      </c>
      <c r="J103" s="65">
        <v>23</v>
      </c>
      <c r="K103" s="65">
        <v>863</v>
      </c>
      <c r="L103" s="65">
        <v>14</v>
      </c>
      <c r="M103" s="65">
        <v>1</v>
      </c>
    </row>
    <row r="104" spans="1:13" ht="12.95" customHeight="1">
      <c r="A104" s="15">
        <v>2020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ht="12.95" customHeight="1">
      <c r="A105" s="15" t="s">
        <v>60</v>
      </c>
      <c r="B105" s="75">
        <f t="shared" ref="B105:G105" si="32">SUM(B106,B110)</f>
        <v>39785</v>
      </c>
      <c r="C105" s="75">
        <f t="shared" si="32"/>
        <v>7441</v>
      </c>
      <c r="D105" s="75">
        <f t="shared" si="32"/>
        <v>2919</v>
      </c>
      <c r="E105" s="75">
        <f t="shared" si="32"/>
        <v>1931</v>
      </c>
      <c r="F105" s="75">
        <f t="shared" si="32"/>
        <v>1673</v>
      </c>
      <c r="G105" s="75">
        <f t="shared" si="32"/>
        <v>1619</v>
      </c>
      <c r="H105" s="75">
        <f t="shared" ref="H105:M105" si="33">SUM(H106,H110)</f>
        <v>2831</v>
      </c>
      <c r="I105" s="75">
        <f t="shared" si="33"/>
        <v>1041</v>
      </c>
      <c r="J105" s="75">
        <f t="shared" si="33"/>
        <v>3664</v>
      </c>
      <c r="K105" s="75">
        <f t="shared" si="33"/>
        <v>14349</v>
      </c>
      <c r="L105" s="75">
        <f t="shared" si="33"/>
        <v>1392</v>
      </c>
      <c r="M105" s="75">
        <f t="shared" si="33"/>
        <v>925</v>
      </c>
    </row>
    <row r="106" spans="1:13" ht="12.95" customHeight="1">
      <c r="A106" s="15" t="s">
        <v>39</v>
      </c>
      <c r="B106" s="75">
        <f>SUM(B107:B109)</f>
        <v>37324</v>
      </c>
      <c r="C106" s="75">
        <f t="shared" ref="C106:M106" si="34">SUM(C107:C109)</f>
        <v>7108</v>
      </c>
      <c r="D106" s="75">
        <f t="shared" si="34"/>
        <v>2806</v>
      </c>
      <c r="E106" s="75">
        <f t="shared" si="34"/>
        <v>1871</v>
      </c>
      <c r="F106" s="75">
        <f t="shared" si="34"/>
        <v>1630</v>
      </c>
      <c r="G106" s="75">
        <f t="shared" si="34"/>
        <v>1558</v>
      </c>
      <c r="H106" s="75">
        <f t="shared" si="34"/>
        <v>2744</v>
      </c>
      <c r="I106" s="75">
        <f t="shared" si="34"/>
        <v>1014</v>
      </c>
      <c r="J106" s="75">
        <f t="shared" si="34"/>
        <v>3599</v>
      </c>
      <c r="K106" s="75">
        <f t="shared" si="34"/>
        <v>12745</v>
      </c>
      <c r="L106" s="75">
        <f t="shared" si="34"/>
        <v>1350</v>
      </c>
      <c r="M106" s="75">
        <f t="shared" si="34"/>
        <v>899</v>
      </c>
    </row>
    <row r="107" spans="1:13" ht="12.95" customHeight="1">
      <c r="A107" s="16" t="s">
        <v>31</v>
      </c>
      <c r="B107" s="65">
        <f t="shared" ref="B107:B113" si="35">SUM(C107:M107)</f>
        <v>14711</v>
      </c>
      <c r="C107" s="65">
        <v>2696</v>
      </c>
      <c r="D107" s="65">
        <v>1126</v>
      </c>
      <c r="E107" s="65">
        <v>703</v>
      </c>
      <c r="F107" s="65">
        <v>669</v>
      </c>
      <c r="G107" s="65">
        <v>632</v>
      </c>
      <c r="H107" s="65">
        <v>994</v>
      </c>
      <c r="I107" s="65">
        <v>394</v>
      </c>
      <c r="J107" s="65">
        <v>1355</v>
      </c>
      <c r="K107" s="65">
        <v>5221</v>
      </c>
      <c r="L107" s="65">
        <v>580</v>
      </c>
      <c r="M107" s="65">
        <v>341</v>
      </c>
    </row>
    <row r="108" spans="1:13" ht="12.95" customHeight="1">
      <c r="A108" s="16" t="s">
        <v>32</v>
      </c>
      <c r="B108" s="65">
        <f t="shared" si="35"/>
        <v>12257</v>
      </c>
      <c r="C108" s="65">
        <v>2406</v>
      </c>
      <c r="D108" s="65">
        <v>907</v>
      </c>
      <c r="E108" s="65">
        <v>610</v>
      </c>
      <c r="F108" s="65">
        <v>510</v>
      </c>
      <c r="G108" s="65">
        <v>514</v>
      </c>
      <c r="H108" s="65">
        <v>929</v>
      </c>
      <c r="I108" s="65">
        <v>320</v>
      </c>
      <c r="J108" s="65">
        <v>1201</v>
      </c>
      <c r="K108" s="65">
        <v>4140</v>
      </c>
      <c r="L108" s="65">
        <v>427</v>
      </c>
      <c r="M108" s="65">
        <v>293</v>
      </c>
    </row>
    <row r="109" spans="1:13" ht="12.95" customHeight="1">
      <c r="A109" s="16" t="s">
        <v>33</v>
      </c>
      <c r="B109" s="65">
        <f t="shared" si="35"/>
        <v>10356</v>
      </c>
      <c r="C109" s="65">
        <v>2006</v>
      </c>
      <c r="D109" s="65">
        <v>773</v>
      </c>
      <c r="E109" s="65">
        <v>558</v>
      </c>
      <c r="F109" s="65">
        <v>451</v>
      </c>
      <c r="G109" s="65">
        <v>412</v>
      </c>
      <c r="H109" s="65">
        <v>821</v>
      </c>
      <c r="I109" s="65">
        <v>300</v>
      </c>
      <c r="J109" s="65">
        <v>1043</v>
      </c>
      <c r="K109" s="65">
        <v>3384</v>
      </c>
      <c r="L109" s="65">
        <v>343</v>
      </c>
      <c r="M109" s="65">
        <v>265</v>
      </c>
    </row>
    <row r="110" spans="1:13" ht="12.95" customHeight="1">
      <c r="A110" s="15" t="s">
        <v>397</v>
      </c>
      <c r="B110" s="75">
        <f t="shared" si="35"/>
        <v>2461</v>
      </c>
      <c r="C110" s="75">
        <f>SUM(C111:C113)</f>
        <v>333</v>
      </c>
      <c r="D110" s="75">
        <f>SUM(D111:D113)</f>
        <v>113</v>
      </c>
      <c r="E110" s="75">
        <f>SUM(E111:E113)</f>
        <v>60</v>
      </c>
      <c r="F110" s="75">
        <f>SUM(F111:F113)</f>
        <v>43</v>
      </c>
      <c r="G110" s="75">
        <f>SUM(G111:G113)</f>
        <v>61</v>
      </c>
      <c r="H110" s="75">
        <f t="shared" ref="H110:M110" si="36">SUM(H111:H113)</f>
        <v>87</v>
      </c>
      <c r="I110" s="75">
        <f t="shared" si="36"/>
        <v>27</v>
      </c>
      <c r="J110" s="75">
        <f t="shared" si="36"/>
        <v>65</v>
      </c>
      <c r="K110" s="75">
        <f t="shared" si="36"/>
        <v>1604</v>
      </c>
      <c r="L110" s="75">
        <f t="shared" si="36"/>
        <v>42</v>
      </c>
      <c r="M110" s="75">
        <f t="shared" si="36"/>
        <v>26</v>
      </c>
    </row>
    <row r="111" spans="1:13" ht="12.95" customHeight="1">
      <c r="A111" s="16" t="s">
        <v>31</v>
      </c>
      <c r="B111" s="70">
        <f t="shared" si="35"/>
        <v>447</v>
      </c>
      <c r="C111" s="65">
        <v>42</v>
      </c>
      <c r="D111" s="65">
        <v>16</v>
      </c>
      <c r="E111" s="65">
        <v>7</v>
      </c>
      <c r="F111" s="65">
        <v>11</v>
      </c>
      <c r="G111" s="65">
        <v>4</v>
      </c>
      <c r="H111" s="65">
        <v>19</v>
      </c>
      <c r="I111" s="65">
        <v>5</v>
      </c>
      <c r="J111" s="65">
        <v>8</v>
      </c>
      <c r="K111" s="65">
        <v>326</v>
      </c>
      <c r="L111" s="65">
        <v>5</v>
      </c>
      <c r="M111" s="65">
        <v>4</v>
      </c>
    </row>
    <row r="112" spans="1:13" ht="12.95" customHeight="1">
      <c r="A112" s="16" t="s">
        <v>32</v>
      </c>
      <c r="B112" s="70">
        <f t="shared" si="35"/>
        <v>613</v>
      </c>
      <c r="C112" s="65">
        <v>83</v>
      </c>
      <c r="D112" s="65">
        <v>26</v>
      </c>
      <c r="E112" s="65">
        <v>22</v>
      </c>
      <c r="F112" s="65">
        <v>11</v>
      </c>
      <c r="G112" s="65">
        <v>18</v>
      </c>
      <c r="H112" s="65">
        <v>26</v>
      </c>
      <c r="I112" s="65">
        <v>10</v>
      </c>
      <c r="J112" s="65">
        <v>18</v>
      </c>
      <c r="K112" s="65">
        <v>383</v>
      </c>
      <c r="L112" s="65">
        <v>8</v>
      </c>
      <c r="M112" s="65">
        <v>8</v>
      </c>
    </row>
    <row r="113" spans="1:13" ht="12.95" customHeight="1">
      <c r="A113" s="16" t="s">
        <v>33</v>
      </c>
      <c r="B113" s="70">
        <f t="shared" si="35"/>
        <v>1401</v>
      </c>
      <c r="C113" s="65">
        <v>208</v>
      </c>
      <c r="D113" s="65">
        <v>71</v>
      </c>
      <c r="E113" s="65">
        <v>31</v>
      </c>
      <c r="F113" s="65">
        <v>21</v>
      </c>
      <c r="G113" s="65">
        <v>39</v>
      </c>
      <c r="H113" s="65">
        <v>42</v>
      </c>
      <c r="I113" s="65">
        <v>12</v>
      </c>
      <c r="J113" s="65">
        <v>39</v>
      </c>
      <c r="K113" s="65">
        <v>895</v>
      </c>
      <c r="L113" s="65">
        <v>29</v>
      </c>
      <c r="M113" s="65">
        <v>14</v>
      </c>
    </row>
    <row r="114" spans="1:13" ht="12.95" customHeight="1">
      <c r="A114" s="15">
        <v>2021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</row>
    <row r="115" spans="1:13" ht="12.95" customHeight="1">
      <c r="A115" s="15" t="s">
        <v>60</v>
      </c>
      <c r="B115" s="75">
        <f>SUM(B116,B120)</f>
        <v>44046</v>
      </c>
      <c r="C115" s="75">
        <f>SUM(C116,C120)</f>
        <v>7700</v>
      </c>
      <c r="D115" s="75">
        <f t="shared" ref="D115:M115" si="37">SUM(D116,D120)</f>
        <v>3701</v>
      </c>
      <c r="E115" s="75">
        <f t="shared" si="37"/>
        <v>2161</v>
      </c>
      <c r="F115" s="75">
        <f t="shared" si="37"/>
        <v>1962</v>
      </c>
      <c r="G115" s="75">
        <f t="shared" si="37"/>
        <v>1969</v>
      </c>
      <c r="H115" s="75">
        <f t="shared" si="37"/>
        <v>3092</v>
      </c>
      <c r="I115" s="75">
        <f t="shared" si="37"/>
        <v>1150</v>
      </c>
      <c r="J115" s="75">
        <f t="shared" si="37"/>
        <v>3867</v>
      </c>
      <c r="K115" s="75">
        <f t="shared" si="37"/>
        <v>15633</v>
      </c>
      <c r="L115" s="75">
        <f t="shared" si="37"/>
        <v>1855</v>
      </c>
      <c r="M115" s="75">
        <f t="shared" si="37"/>
        <v>956</v>
      </c>
    </row>
    <row r="116" spans="1:13" ht="12.95" customHeight="1">
      <c r="A116" s="15" t="s">
        <v>39</v>
      </c>
      <c r="B116" s="75">
        <f>SUM(B117:B119)</f>
        <v>40790</v>
      </c>
      <c r="C116" s="75">
        <f t="shared" ref="C116:M116" si="38">SUM(C117:C119)</f>
        <v>7237</v>
      </c>
      <c r="D116" s="75">
        <f t="shared" si="38"/>
        <v>3496</v>
      </c>
      <c r="E116" s="75">
        <f t="shared" si="38"/>
        <v>2072</v>
      </c>
      <c r="F116" s="75">
        <f t="shared" si="38"/>
        <v>1869</v>
      </c>
      <c r="G116" s="75">
        <f t="shared" si="38"/>
        <v>1838</v>
      </c>
      <c r="H116" s="75">
        <f t="shared" si="38"/>
        <v>2967</v>
      </c>
      <c r="I116" s="75">
        <f t="shared" si="38"/>
        <v>1106</v>
      </c>
      <c r="J116" s="75">
        <f t="shared" si="38"/>
        <v>3773</v>
      </c>
      <c r="K116" s="75">
        <f t="shared" si="38"/>
        <v>13756</v>
      </c>
      <c r="L116" s="75">
        <f t="shared" si="38"/>
        <v>1748</v>
      </c>
      <c r="M116" s="75">
        <f t="shared" si="38"/>
        <v>928</v>
      </c>
    </row>
    <row r="117" spans="1:13" ht="12.95" customHeight="1">
      <c r="A117" s="16" t="s">
        <v>31</v>
      </c>
      <c r="B117" s="65">
        <f>SUM(C117:M117)</f>
        <v>14259</v>
      </c>
      <c r="C117" s="65">
        <v>2484</v>
      </c>
      <c r="D117" s="65">
        <v>1226</v>
      </c>
      <c r="E117" s="65">
        <v>739</v>
      </c>
      <c r="F117" s="65">
        <v>676</v>
      </c>
      <c r="G117" s="65">
        <v>643</v>
      </c>
      <c r="H117" s="65">
        <v>1016</v>
      </c>
      <c r="I117" s="65">
        <v>368</v>
      </c>
      <c r="J117" s="65">
        <v>1301</v>
      </c>
      <c r="K117" s="65">
        <v>4865</v>
      </c>
      <c r="L117" s="65">
        <v>618</v>
      </c>
      <c r="M117" s="65">
        <v>323</v>
      </c>
    </row>
    <row r="118" spans="1:13" ht="12.95" customHeight="1">
      <c r="A118" s="16" t="s">
        <v>32</v>
      </c>
      <c r="B118" s="65">
        <f>SUM(C118:M118)</f>
        <v>13487</v>
      </c>
      <c r="C118" s="65">
        <v>2392</v>
      </c>
      <c r="D118" s="65">
        <v>1174</v>
      </c>
      <c r="E118" s="65">
        <v>670</v>
      </c>
      <c r="F118" s="65">
        <v>618</v>
      </c>
      <c r="G118" s="65">
        <v>616</v>
      </c>
      <c r="H118" s="65">
        <v>959</v>
      </c>
      <c r="I118" s="65">
        <v>370</v>
      </c>
      <c r="J118" s="65">
        <v>1251</v>
      </c>
      <c r="K118" s="65">
        <v>4523</v>
      </c>
      <c r="L118" s="65">
        <v>595</v>
      </c>
      <c r="M118" s="65">
        <v>319</v>
      </c>
    </row>
    <row r="119" spans="1:13" ht="12.95" customHeight="1">
      <c r="A119" s="16" t="s">
        <v>33</v>
      </c>
      <c r="B119" s="65">
        <f>SUM(C119:M119)</f>
        <v>13044</v>
      </c>
      <c r="C119" s="65">
        <v>2361</v>
      </c>
      <c r="D119" s="65">
        <v>1096</v>
      </c>
      <c r="E119" s="65">
        <v>663</v>
      </c>
      <c r="F119" s="65">
        <v>575</v>
      </c>
      <c r="G119" s="65">
        <v>579</v>
      </c>
      <c r="H119" s="65">
        <v>992</v>
      </c>
      <c r="I119" s="65">
        <v>368</v>
      </c>
      <c r="J119" s="65">
        <v>1221</v>
      </c>
      <c r="K119" s="65">
        <v>4368</v>
      </c>
      <c r="L119" s="65">
        <v>535</v>
      </c>
      <c r="M119" s="65">
        <v>286</v>
      </c>
    </row>
    <row r="120" spans="1:13" ht="12.95" customHeight="1">
      <c r="A120" s="15" t="s">
        <v>397</v>
      </c>
      <c r="B120" s="69">
        <f>SUM(B121:B123)</f>
        <v>3256</v>
      </c>
      <c r="C120" s="69">
        <f t="shared" ref="C120:M120" si="39">SUM(C121:C123)</f>
        <v>463</v>
      </c>
      <c r="D120" s="69">
        <f t="shared" si="39"/>
        <v>205</v>
      </c>
      <c r="E120" s="69">
        <f t="shared" si="39"/>
        <v>89</v>
      </c>
      <c r="F120" s="69">
        <f t="shared" si="39"/>
        <v>93</v>
      </c>
      <c r="G120" s="69">
        <f t="shared" si="39"/>
        <v>131</v>
      </c>
      <c r="H120" s="69">
        <f t="shared" si="39"/>
        <v>125</v>
      </c>
      <c r="I120" s="69">
        <f t="shared" si="39"/>
        <v>44</v>
      </c>
      <c r="J120" s="69">
        <f t="shared" si="39"/>
        <v>94</v>
      </c>
      <c r="K120" s="69">
        <f t="shared" si="39"/>
        <v>1877</v>
      </c>
      <c r="L120" s="69">
        <f t="shared" si="39"/>
        <v>107</v>
      </c>
      <c r="M120" s="69">
        <f t="shared" si="39"/>
        <v>28</v>
      </c>
    </row>
    <row r="121" spans="1:13" ht="12.95" customHeight="1">
      <c r="A121" s="16" t="s">
        <v>31</v>
      </c>
      <c r="B121" s="70">
        <f>SUM(C121:M121)</f>
        <v>462</v>
      </c>
      <c r="C121" s="65">
        <v>48</v>
      </c>
      <c r="D121" s="65">
        <v>27</v>
      </c>
      <c r="E121" s="65">
        <v>8</v>
      </c>
      <c r="F121" s="65">
        <v>14</v>
      </c>
      <c r="G121" s="65">
        <v>13</v>
      </c>
      <c r="H121" s="65">
        <v>18</v>
      </c>
      <c r="I121" s="65">
        <v>3</v>
      </c>
      <c r="J121" s="65">
        <v>14</v>
      </c>
      <c r="K121" s="65">
        <v>296</v>
      </c>
      <c r="L121" s="65">
        <v>14</v>
      </c>
      <c r="M121" s="65">
        <v>7</v>
      </c>
    </row>
    <row r="122" spans="1:13" ht="12.95" customHeight="1">
      <c r="A122" s="16" t="s">
        <v>32</v>
      </c>
      <c r="B122" s="70">
        <f>SUM(C122:M122)</f>
        <v>874</v>
      </c>
      <c r="C122" s="65">
        <v>137</v>
      </c>
      <c r="D122" s="65">
        <v>50</v>
      </c>
      <c r="E122" s="65">
        <v>28</v>
      </c>
      <c r="F122" s="65">
        <v>28</v>
      </c>
      <c r="G122" s="65">
        <v>41</v>
      </c>
      <c r="H122" s="65">
        <v>44</v>
      </c>
      <c r="I122" s="65">
        <v>13</v>
      </c>
      <c r="J122" s="65">
        <v>26</v>
      </c>
      <c r="K122" s="65">
        <v>474</v>
      </c>
      <c r="L122" s="65">
        <v>27</v>
      </c>
      <c r="M122" s="65">
        <v>6</v>
      </c>
    </row>
    <row r="123" spans="1:13" ht="12.95" customHeight="1">
      <c r="A123" s="16" t="s">
        <v>33</v>
      </c>
      <c r="B123" s="70">
        <f>SUM(C123:M123)</f>
        <v>1920</v>
      </c>
      <c r="C123" s="65">
        <v>278</v>
      </c>
      <c r="D123" s="65">
        <v>128</v>
      </c>
      <c r="E123" s="65">
        <v>53</v>
      </c>
      <c r="F123" s="65">
        <v>51</v>
      </c>
      <c r="G123" s="65">
        <v>77</v>
      </c>
      <c r="H123" s="65">
        <v>63</v>
      </c>
      <c r="I123" s="65">
        <v>28</v>
      </c>
      <c r="J123" s="65">
        <v>54</v>
      </c>
      <c r="K123" s="65">
        <v>1107</v>
      </c>
      <c r="L123" s="65">
        <v>66</v>
      </c>
      <c r="M123" s="65">
        <v>15</v>
      </c>
    </row>
    <row r="124" spans="1:13" ht="12.95" customHeight="1">
      <c r="A124" s="15">
        <v>2022</v>
      </c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</row>
    <row r="125" spans="1:13" ht="12.95" customHeight="1">
      <c r="A125" s="15" t="s">
        <v>60</v>
      </c>
      <c r="B125" s="75">
        <f>SUM(B126,B130)</f>
        <v>38989</v>
      </c>
      <c r="C125" s="75">
        <f>SUM(C126,C130)</f>
        <v>7990</v>
      </c>
      <c r="D125" s="75">
        <f t="shared" ref="D125:M125" si="40">SUM(D126,D130)</f>
        <v>3126</v>
      </c>
      <c r="E125" s="75">
        <f t="shared" si="40"/>
        <v>2096</v>
      </c>
      <c r="F125" s="75">
        <f t="shared" si="40"/>
        <v>2030</v>
      </c>
      <c r="G125" s="75">
        <f t="shared" si="40"/>
        <v>1879</v>
      </c>
      <c r="H125" s="75">
        <f t="shared" si="40"/>
        <v>2898</v>
      </c>
      <c r="I125" s="75">
        <f t="shared" si="40"/>
        <v>1058</v>
      </c>
      <c r="J125" s="75">
        <f t="shared" si="40"/>
        <v>3601</v>
      </c>
      <c r="K125" s="75">
        <f t="shared" si="40"/>
        <v>11964</v>
      </c>
      <c r="L125" s="75">
        <f t="shared" si="40"/>
        <v>1412</v>
      </c>
      <c r="M125" s="75">
        <f t="shared" si="40"/>
        <v>935</v>
      </c>
    </row>
    <row r="126" spans="1:13" ht="12.95" customHeight="1">
      <c r="A126" s="15" t="s">
        <v>39</v>
      </c>
      <c r="B126" s="75">
        <f>SUM(B127:B129)</f>
        <v>37881</v>
      </c>
      <c r="C126" s="75">
        <f t="shared" ref="C126:M126" si="41">SUM(C127:C129)</f>
        <v>7696</v>
      </c>
      <c r="D126" s="75">
        <f t="shared" si="41"/>
        <v>3056</v>
      </c>
      <c r="E126" s="75">
        <f t="shared" si="41"/>
        <v>2084</v>
      </c>
      <c r="F126" s="75">
        <f t="shared" si="41"/>
        <v>1974</v>
      </c>
      <c r="G126" s="75">
        <f t="shared" si="41"/>
        <v>1849</v>
      </c>
      <c r="H126" s="75">
        <f t="shared" si="41"/>
        <v>2836</v>
      </c>
      <c r="I126" s="75">
        <f t="shared" si="41"/>
        <v>1030</v>
      </c>
      <c r="J126" s="75">
        <f t="shared" si="41"/>
        <v>3540</v>
      </c>
      <c r="K126" s="75">
        <f t="shared" si="41"/>
        <v>11536</v>
      </c>
      <c r="L126" s="75">
        <f t="shared" si="41"/>
        <v>1362</v>
      </c>
      <c r="M126" s="75">
        <f t="shared" si="41"/>
        <v>918</v>
      </c>
    </row>
    <row r="127" spans="1:13" ht="12.95" customHeight="1">
      <c r="A127" s="16" t="s">
        <v>31</v>
      </c>
      <c r="B127" s="65">
        <f>SUM(C127:M127)</f>
        <v>13516</v>
      </c>
      <c r="C127" s="65">
        <v>2743</v>
      </c>
      <c r="D127" s="65">
        <v>1110</v>
      </c>
      <c r="E127" s="65">
        <v>729</v>
      </c>
      <c r="F127" s="65">
        <v>722</v>
      </c>
      <c r="G127" s="65">
        <v>658</v>
      </c>
      <c r="H127" s="65">
        <v>962</v>
      </c>
      <c r="I127" s="65">
        <v>360</v>
      </c>
      <c r="J127" s="65">
        <v>1293</v>
      </c>
      <c r="K127" s="65">
        <v>4165</v>
      </c>
      <c r="L127" s="65">
        <v>448</v>
      </c>
      <c r="M127" s="65">
        <v>326</v>
      </c>
    </row>
    <row r="128" spans="1:13" ht="12.95" customHeight="1">
      <c r="A128" s="16" t="s">
        <v>32</v>
      </c>
      <c r="B128" s="65">
        <f>SUM(C128:M128)</f>
        <v>12571</v>
      </c>
      <c r="C128" s="65">
        <v>2558</v>
      </c>
      <c r="D128" s="65">
        <v>1037</v>
      </c>
      <c r="E128" s="65">
        <v>691</v>
      </c>
      <c r="F128" s="65">
        <v>638</v>
      </c>
      <c r="G128" s="65">
        <v>634</v>
      </c>
      <c r="H128" s="65">
        <v>956</v>
      </c>
      <c r="I128" s="65">
        <v>348</v>
      </c>
      <c r="J128" s="65">
        <v>1174</v>
      </c>
      <c r="K128" s="65">
        <v>3774</v>
      </c>
      <c r="L128" s="65">
        <v>458</v>
      </c>
      <c r="M128" s="65">
        <v>303</v>
      </c>
    </row>
    <row r="129" spans="1:13" ht="12.95" customHeight="1">
      <c r="A129" s="16" t="s">
        <v>33</v>
      </c>
      <c r="B129" s="65">
        <f>SUM(C129:M129)</f>
        <v>11794</v>
      </c>
      <c r="C129" s="65">
        <v>2395</v>
      </c>
      <c r="D129" s="65">
        <v>909</v>
      </c>
      <c r="E129" s="65">
        <v>664</v>
      </c>
      <c r="F129" s="65">
        <v>614</v>
      </c>
      <c r="G129" s="65">
        <v>557</v>
      </c>
      <c r="H129" s="65">
        <v>918</v>
      </c>
      <c r="I129" s="65">
        <v>322</v>
      </c>
      <c r="J129" s="65">
        <v>1073</v>
      </c>
      <c r="K129" s="65">
        <v>3597</v>
      </c>
      <c r="L129" s="65">
        <v>456</v>
      </c>
      <c r="M129" s="65">
        <v>289</v>
      </c>
    </row>
    <row r="130" spans="1:13" ht="12.95" customHeight="1">
      <c r="A130" s="15" t="s">
        <v>397</v>
      </c>
      <c r="B130" s="69">
        <f>SUM(B131:B133)</f>
        <v>1108</v>
      </c>
      <c r="C130" s="69">
        <f t="shared" ref="C130:M130" si="42">SUM(C131:C133)</f>
        <v>294</v>
      </c>
      <c r="D130" s="69">
        <f t="shared" si="42"/>
        <v>70</v>
      </c>
      <c r="E130" s="69">
        <f t="shared" si="42"/>
        <v>12</v>
      </c>
      <c r="F130" s="69">
        <f t="shared" si="42"/>
        <v>56</v>
      </c>
      <c r="G130" s="69">
        <f t="shared" si="42"/>
        <v>30</v>
      </c>
      <c r="H130" s="69">
        <f t="shared" si="42"/>
        <v>62</v>
      </c>
      <c r="I130" s="69">
        <f t="shared" si="42"/>
        <v>28</v>
      </c>
      <c r="J130" s="69">
        <f t="shared" si="42"/>
        <v>61</v>
      </c>
      <c r="K130" s="69">
        <f t="shared" si="42"/>
        <v>428</v>
      </c>
      <c r="L130" s="69">
        <f t="shared" si="42"/>
        <v>50</v>
      </c>
      <c r="M130" s="69">
        <f t="shared" si="42"/>
        <v>17</v>
      </c>
    </row>
    <row r="131" spans="1:13" ht="12.95" customHeight="1">
      <c r="A131" s="16" t="s">
        <v>31</v>
      </c>
      <c r="B131" s="70">
        <f>SUM(C131:M131)</f>
        <v>177</v>
      </c>
      <c r="C131" s="65">
        <v>43</v>
      </c>
      <c r="D131" s="65">
        <v>14</v>
      </c>
      <c r="E131" s="65">
        <v>4</v>
      </c>
      <c r="F131" s="65">
        <v>17</v>
      </c>
      <c r="G131" s="65">
        <v>5</v>
      </c>
      <c r="H131" s="65">
        <v>5</v>
      </c>
      <c r="I131" s="65">
        <v>3</v>
      </c>
      <c r="J131" s="65">
        <v>13</v>
      </c>
      <c r="K131" s="65">
        <v>65</v>
      </c>
      <c r="L131" s="65">
        <v>5</v>
      </c>
      <c r="M131" s="65">
        <v>3</v>
      </c>
    </row>
    <row r="132" spans="1:13" ht="12.95" customHeight="1">
      <c r="A132" s="16" t="s">
        <v>32</v>
      </c>
      <c r="B132" s="70">
        <f>SUM(C132:M132)</f>
        <v>322</v>
      </c>
      <c r="C132" s="65">
        <v>78</v>
      </c>
      <c r="D132" s="65">
        <v>23</v>
      </c>
      <c r="E132" s="65">
        <v>2</v>
      </c>
      <c r="F132" s="65">
        <v>14</v>
      </c>
      <c r="G132" s="65">
        <v>7</v>
      </c>
      <c r="H132" s="65">
        <v>20</v>
      </c>
      <c r="I132" s="65">
        <v>13</v>
      </c>
      <c r="J132" s="65">
        <v>14</v>
      </c>
      <c r="K132" s="65">
        <v>127</v>
      </c>
      <c r="L132" s="65">
        <v>20</v>
      </c>
      <c r="M132" s="65">
        <v>4</v>
      </c>
    </row>
    <row r="133" spans="1:13" ht="12.95" customHeight="1">
      <c r="A133" s="16" t="s">
        <v>33</v>
      </c>
      <c r="B133" s="70">
        <f>SUM(C133:M133)</f>
        <v>609</v>
      </c>
      <c r="C133" s="65">
        <v>173</v>
      </c>
      <c r="D133" s="65">
        <v>33</v>
      </c>
      <c r="E133" s="65">
        <v>6</v>
      </c>
      <c r="F133" s="65">
        <v>25</v>
      </c>
      <c r="G133" s="65">
        <v>18</v>
      </c>
      <c r="H133" s="65">
        <v>37</v>
      </c>
      <c r="I133" s="65">
        <v>12</v>
      </c>
      <c r="J133" s="65">
        <v>34</v>
      </c>
      <c r="K133" s="65">
        <v>236</v>
      </c>
      <c r="L133" s="65">
        <v>25</v>
      </c>
      <c r="M133" s="65">
        <v>10</v>
      </c>
    </row>
    <row r="134" spans="1:13" ht="12.95" customHeight="1">
      <c r="A134" s="15">
        <v>2023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</row>
    <row r="135" spans="1:13" ht="12.95" customHeight="1">
      <c r="A135" s="15" t="s">
        <v>60</v>
      </c>
      <c r="B135" s="75">
        <f>SUM(B136,B140)</f>
        <v>41454</v>
      </c>
      <c r="C135" s="75">
        <f>SUM(C136,C140)</f>
        <v>7268</v>
      </c>
      <c r="D135" s="75">
        <f t="shared" ref="D135:M135" si="43">SUM(D136,D140)</f>
        <v>3325</v>
      </c>
      <c r="E135" s="75">
        <f t="shared" si="43"/>
        <v>2041</v>
      </c>
      <c r="F135" s="75">
        <f t="shared" si="43"/>
        <v>2175</v>
      </c>
      <c r="G135" s="75">
        <f t="shared" si="43"/>
        <v>1875</v>
      </c>
      <c r="H135" s="75">
        <f t="shared" si="43"/>
        <v>3008</v>
      </c>
      <c r="I135" s="75">
        <f t="shared" si="43"/>
        <v>1052</v>
      </c>
      <c r="J135" s="75">
        <f t="shared" si="43"/>
        <v>3849</v>
      </c>
      <c r="K135" s="75">
        <f t="shared" si="43"/>
        <v>14627</v>
      </c>
      <c r="L135" s="75">
        <f t="shared" si="43"/>
        <v>1388</v>
      </c>
      <c r="M135" s="75">
        <f t="shared" si="43"/>
        <v>846</v>
      </c>
    </row>
    <row r="136" spans="1:13" ht="12.95" customHeight="1">
      <c r="A136" s="15" t="s">
        <v>39</v>
      </c>
      <c r="B136" s="75">
        <f>SUM(B137:B139)</f>
        <v>39844</v>
      </c>
      <c r="C136" s="75">
        <f t="shared" ref="C136:M136" si="44">SUM(C137:C139)</f>
        <v>6992</v>
      </c>
      <c r="D136" s="75">
        <f t="shared" si="44"/>
        <v>3139</v>
      </c>
      <c r="E136" s="75">
        <f t="shared" si="44"/>
        <v>2021</v>
      </c>
      <c r="F136" s="75">
        <f t="shared" si="44"/>
        <v>2116</v>
      </c>
      <c r="G136" s="75">
        <f t="shared" si="44"/>
        <v>1820</v>
      </c>
      <c r="H136" s="75">
        <f t="shared" si="44"/>
        <v>2866</v>
      </c>
      <c r="I136" s="75">
        <f t="shared" si="44"/>
        <v>1027</v>
      </c>
      <c r="J136" s="75">
        <f t="shared" si="44"/>
        <v>3723</v>
      </c>
      <c r="K136" s="75">
        <f t="shared" si="44"/>
        <v>14040</v>
      </c>
      <c r="L136" s="75">
        <f t="shared" si="44"/>
        <v>1277</v>
      </c>
      <c r="M136" s="75">
        <f t="shared" si="44"/>
        <v>823</v>
      </c>
    </row>
    <row r="137" spans="1:13" ht="12.95" customHeight="1">
      <c r="A137" s="16" t="s">
        <v>31</v>
      </c>
      <c r="B137" s="65">
        <f>SUM(C137:M137)</f>
        <v>13915</v>
      </c>
      <c r="C137" s="65">
        <v>2384</v>
      </c>
      <c r="D137" s="65">
        <v>1064</v>
      </c>
      <c r="E137" s="65">
        <v>675</v>
      </c>
      <c r="F137" s="65">
        <v>745</v>
      </c>
      <c r="G137" s="65">
        <v>627</v>
      </c>
      <c r="H137" s="65">
        <v>945</v>
      </c>
      <c r="I137" s="65">
        <v>346</v>
      </c>
      <c r="J137" s="65">
        <v>1292</v>
      </c>
      <c r="K137" s="65">
        <v>5113</v>
      </c>
      <c r="L137" s="65">
        <v>448</v>
      </c>
      <c r="M137" s="65">
        <v>276</v>
      </c>
    </row>
    <row r="138" spans="1:13" ht="12.95" customHeight="1">
      <c r="A138" s="16" t="s">
        <v>32</v>
      </c>
      <c r="B138" s="65">
        <f>SUM(C138:M138)</f>
        <v>13183</v>
      </c>
      <c r="C138" s="65">
        <v>2305</v>
      </c>
      <c r="D138" s="65">
        <v>1045</v>
      </c>
      <c r="E138" s="65">
        <v>664</v>
      </c>
      <c r="F138" s="65">
        <v>701</v>
      </c>
      <c r="G138" s="65">
        <v>595</v>
      </c>
      <c r="H138" s="65">
        <v>973</v>
      </c>
      <c r="I138" s="65">
        <v>349</v>
      </c>
      <c r="J138" s="65">
        <v>1239</v>
      </c>
      <c r="K138" s="65">
        <v>4614</v>
      </c>
      <c r="L138" s="65">
        <v>424</v>
      </c>
      <c r="M138" s="65">
        <v>274</v>
      </c>
    </row>
    <row r="139" spans="1:13" ht="12.95" customHeight="1">
      <c r="A139" s="16" t="s">
        <v>33</v>
      </c>
      <c r="B139" s="65">
        <f>SUM(C139:M139)</f>
        <v>12746</v>
      </c>
      <c r="C139" s="65">
        <v>2303</v>
      </c>
      <c r="D139" s="65">
        <v>1030</v>
      </c>
      <c r="E139" s="65">
        <v>682</v>
      </c>
      <c r="F139" s="65">
        <v>670</v>
      </c>
      <c r="G139" s="65">
        <v>598</v>
      </c>
      <c r="H139" s="65">
        <v>948</v>
      </c>
      <c r="I139" s="65">
        <v>332</v>
      </c>
      <c r="J139" s="65">
        <v>1192</v>
      </c>
      <c r="K139" s="65">
        <v>4313</v>
      </c>
      <c r="L139" s="65">
        <v>405</v>
      </c>
      <c r="M139" s="65">
        <v>273</v>
      </c>
    </row>
    <row r="140" spans="1:13" ht="12.95" customHeight="1">
      <c r="A140" s="15" t="s">
        <v>397</v>
      </c>
      <c r="B140" s="69">
        <f>SUM(B141:B143)</f>
        <v>1610</v>
      </c>
      <c r="C140" s="69">
        <f t="shared" ref="C140:M140" si="45">SUM(C141:C143)</f>
        <v>276</v>
      </c>
      <c r="D140" s="69">
        <f t="shared" si="45"/>
        <v>186</v>
      </c>
      <c r="E140" s="69">
        <f t="shared" si="45"/>
        <v>20</v>
      </c>
      <c r="F140" s="69">
        <f t="shared" si="45"/>
        <v>59</v>
      </c>
      <c r="G140" s="69">
        <f t="shared" si="45"/>
        <v>55</v>
      </c>
      <c r="H140" s="69">
        <f t="shared" si="45"/>
        <v>142</v>
      </c>
      <c r="I140" s="69">
        <f t="shared" si="45"/>
        <v>25</v>
      </c>
      <c r="J140" s="69">
        <f t="shared" si="45"/>
        <v>126</v>
      </c>
      <c r="K140" s="69">
        <f t="shared" si="45"/>
        <v>587</v>
      </c>
      <c r="L140" s="69">
        <f t="shared" si="45"/>
        <v>111</v>
      </c>
      <c r="M140" s="69">
        <f t="shared" si="45"/>
        <v>23</v>
      </c>
    </row>
    <row r="141" spans="1:13" ht="12.95" customHeight="1">
      <c r="A141" s="16" t="s">
        <v>31</v>
      </c>
      <c r="B141" s="70">
        <f>SUM(C141:M141)</f>
        <v>377</v>
      </c>
      <c r="C141" s="65">
        <v>45</v>
      </c>
      <c r="D141" s="65">
        <v>23</v>
      </c>
      <c r="E141" s="65">
        <v>9</v>
      </c>
      <c r="F141" s="65">
        <v>29</v>
      </c>
      <c r="G141" s="65">
        <v>14</v>
      </c>
      <c r="H141" s="65">
        <v>39</v>
      </c>
      <c r="I141" s="65">
        <v>5</v>
      </c>
      <c r="J141" s="65">
        <v>27</v>
      </c>
      <c r="K141" s="65">
        <v>143</v>
      </c>
      <c r="L141" s="65">
        <v>40</v>
      </c>
      <c r="M141" s="65">
        <v>3</v>
      </c>
    </row>
    <row r="142" spans="1:13" ht="12.95" customHeight="1">
      <c r="A142" s="16" t="s">
        <v>32</v>
      </c>
      <c r="B142" s="70">
        <f>SUM(C142:M142)</f>
        <v>476</v>
      </c>
      <c r="C142" s="65">
        <v>89</v>
      </c>
      <c r="D142" s="65">
        <v>56</v>
      </c>
      <c r="E142" s="65">
        <v>3</v>
      </c>
      <c r="F142" s="65">
        <v>13</v>
      </c>
      <c r="G142" s="65">
        <v>16</v>
      </c>
      <c r="H142" s="65">
        <v>36</v>
      </c>
      <c r="I142" s="65">
        <v>7</v>
      </c>
      <c r="J142" s="65">
        <v>35</v>
      </c>
      <c r="K142" s="65">
        <v>176</v>
      </c>
      <c r="L142" s="65">
        <v>35</v>
      </c>
      <c r="M142" s="65">
        <v>10</v>
      </c>
    </row>
    <row r="143" spans="1:13" ht="12.95" customHeight="1">
      <c r="A143" s="16" t="s">
        <v>33</v>
      </c>
      <c r="B143" s="70">
        <f>SUM(C143:M143)</f>
        <v>757</v>
      </c>
      <c r="C143" s="65">
        <v>142</v>
      </c>
      <c r="D143" s="65">
        <v>107</v>
      </c>
      <c r="E143" s="65">
        <v>8</v>
      </c>
      <c r="F143" s="65">
        <v>17</v>
      </c>
      <c r="G143" s="65">
        <v>25</v>
      </c>
      <c r="H143" s="65">
        <v>67</v>
      </c>
      <c r="I143" s="65">
        <v>13</v>
      </c>
      <c r="J143" s="65">
        <v>64</v>
      </c>
      <c r="K143" s="65">
        <v>268</v>
      </c>
      <c r="L143" s="65">
        <v>36</v>
      </c>
      <c r="M143" s="65">
        <v>10</v>
      </c>
    </row>
    <row r="144" spans="1:13" ht="12.95" customHeight="1">
      <c r="A144" s="15" t="s">
        <v>754</v>
      </c>
      <c r="B144" s="67"/>
      <c r="C144" s="67"/>
      <c r="D144" s="67"/>
      <c r="E144" s="67"/>
      <c r="F144" s="67"/>
      <c r="G144" s="67"/>
      <c r="H144" s="67"/>
      <c r="I144" s="67"/>
      <c r="J144" s="67"/>
      <c r="K144" s="67"/>
      <c r="L144" s="67"/>
      <c r="M144" s="67"/>
    </row>
    <row r="145" spans="1:13" ht="12.95" customHeight="1">
      <c r="A145" s="15" t="s">
        <v>60</v>
      </c>
      <c r="B145" s="75">
        <f>SUM(B146,B150)</f>
        <v>24443</v>
      </c>
      <c r="C145" s="75">
        <f>SUM(C146,C150)</f>
        <v>4583</v>
      </c>
      <c r="D145" s="75">
        <f t="shared" ref="D145:M145" si="46">SUM(D146,D150)</f>
        <v>1903</v>
      </c>
      <c r="E145" s="75">
        <f t="shared" si="46"/>
        <v>1019</v>
      </c>
      <c r="F145" s="75">
        <f t="shared" si="46"/>
        <v>1218</v>
      </c>
      <c r="G145" s="75">
        <f t="shared" si="46"/>
        <v>1058</v>
      </c>
      <c r="H145" s="75">
        <f t="shared" si="46"/>
        <v>1525</v>
      </c>
      <c r="I145" s="75">
        <f t="shared" si="46"/>
        <v>525</v>
      </c>
      <c r="J145" s="75">
        <f t="shared" si="46"/>
        <v>2193</v>
      </c>
      <c r="K145" s="75">
        <f t="shared" si="46"/>
        <v>9096</v>
      </c>
      <c r="L145" s="75">
        <f t="shared" si="46"/>
        <v>843</v>
      </c>
      <c r="M145" s="75">
        <f t="shared" si="46"/>
        <v>480</v>
      </c>
    </row>
    <row r="146" spans="1:13" ht="12.95" customHeight="1">
      <c r="A146" s="15" t="s">
        <v>39</v>
      </c>
      <c r="B146" s="75">
        <f>SUM(B147:B149)</f>
        <v>23242</v>
      </c>
      <c r="C146" s="75">
        <f t="shared" ref="C146:M146" si="47">SUM(C147:C149)</f>
        <v>4346</v>
      </c>
      <c r="D146" s="75">
        <f t="shared" si="47"/>
        <v>1835</v>
      </c>
      <c r="E146" s="75">
        <f t="shared" si="47"/>
        <v>1019</v>
      </c>
      <c r="F146" s="75">
        <f t="shared" si="47"/>
        <v>1187</v>
      </c>
      <c r="G146" s="75">
        <f t="shared" si="47"/>
        <v>1053</v>
      </c>
      <c r="H146" s="75">
        <f t="shared" si="47"/>
        <v>1480</v>
      </c>
      <c r="I146" s="75">
        <f t="shared" si="47"/>
        <v>517</v>
      </c>
      <c r="J146" s="75">
        <f t="shared" si="47"/>
        <v>2140</v>
      </c>
      <c r="K146" s="75">
        <f t="shared" si="47"/>
        <v>8376</v>
      </c>
      <c r="L146" s="75">
        <f t="shared" si="47"/>
        <v>812</v>
      </c>
      <c r="M146" s="75">
        <f t="shared" si="47"/>
        <v>477</v>
      </c>
    </row>
    <row r="147" spans="1:13" ht="12.95" customHeight="1">
      <c r="A147" s="16" t="s">
        <v>31</v>
      </c>
      <c r="B147" s="65">
        <f>SUM(C147:M147)</f>
        <v>7945</v>
      </c>
      <c r="C147" s="65">
        <v>1457</v>
      </c>
      <c r="D147" s="65">
        <v>641</v>
      </c>
      <c r="E147" s="65">
        <v>327</v>
      </c>
      <c r="F147" s="65">
        <v>396</v>
      </c>
      <c r="G147" s="65">
        <v>373</v>
      </c>
      <c r="H147" s="65">
        <v>482</v>
      </c>
      <c r="I147" s="65">
        <v>158</v>
      </c>
      <c r="J147" s="65">
        <v>714</v>
      </c>
      <c r="K147" s="65">
        <v>2951</v>
      </c>
      <c r="L147" s="65">
        <v>271</v>
      </c>
      <c r="M147" s="65">
        <v>175</v>
      </c>
    </row>
    <row r="148" spans="1:13" ht="12.95" customHeight="1">
      <c r="A148" s="16" t="s">
        <v>32</v>
      </c>
      <c r="B148" s="65">
        <f>SUM(C148:M148)</f>
        <v>7736</v>
      </c>
      <c r="C148" s="65">
        <v>1464</v>
      </c>
      <c r="D148" s="65">
        <v>598</v>
      </c>
      <c r="E148" s="65">
        <v>351</v>
      </c>
      <c r="F148" s="65">
        <v>390</v>
      </c>
      <c r="G148" s="65">
        <v>355</v>
      </c>
      <c r="H148" s="65">
        <v>496</v>
      </c>
      <c r="I148" s="65">
        <v>180</v>
      </c>
      <c r="J148" s="65">
        <v>705</v>
      </c>
      <c r="K148" s="65">
        <v>2760</v>
      </c>
      <c r="L148" s="65">
        <v>280</v>
      </c>
      <c r="M148" s="65">
        <v>157</v>
      </c>
    </row>
    <row r="149" spans="1:13" ht="12.95" customHeight="1">
      <c r="A149" s="16" t="s">
        <v>33</v>
      </c>
      <c r="B149" s="65">
        <f>SUM(C149:M149)</f>
        <v>7561</v>
      </c>
      <c r="C149" s="65">
        <v>1425</v>
      </c>
      <c r="D149" s="65">
        <v>596</v>
      </c>
      <c r="E149" s="65">
        <v>341</v>
      </c>
      <c r="F149" s="65">
        <v>401</v>
      </c>
      <c r="G149" s="65">
        <v>325</v>
      </c>
      <c r="H149" s="65">
        <v>502</v>
      </c>
      <c r="I149" s="65">
        <v>179</v>
      </c>
      <c r="J149" s="65">
        <v>721</v>
      </c>
      <c r="K149" s="65">
        <v>2665</v>
      </c>
      <c r="L149" s="65">
        <v>261</v>
      </c>
      <c r="M149" s="65">
        <v>145</v>
      </c>
    </row>
    <row r="150" spans="1:13" ht="12.95" customHeight="1">
      <c r="A150" s="15" t="s">
        <v>397</v>
      </c>
      <c r="B150" s="69">
        <f>SUM(B151:B153)</f>
        <v>1201</v>
      </c>
      <c r="C150" s="69">
        <f t="shared" ref="C150:M150" si="48">SUM(C151:C153)</f>
        <v>237</v>
      </c>
      <c r="D150" s="69">
        <f t="shared" si="48"/>
        <v>68</v>
      </c>
      <c r="E150" s="69" t="s">
        <v>65</v>
      </c>
      <c r="F150" s="69">
        <f t="shared" si="48"/>
        <v>31</v>
      </c>
      <c r="G150" s="69">
        <f t="shared" si="48"/>
        <v>5</v>
      </c>
      <c r="H150" s="69">
        <f t="shared" si="48"/>
        <v>45</v>
      </c>
      <c r="I150" s="69">
        <f t="shared" si="48"/>
        <v>8</v>
      </c>
      <c r="J150" s="69">
        <f t="shared" si="48"/>
        <v>53</v>
      </c>
      <c r="K150" s="69">
        <f t="shared" si="48"/>
        <v>720</v>
      </c>
      <c r="L150" s="69">
        <f t="shared" si="48"/>
        <v>31</v>
      </c>
      <c r="M150" s="69">
        <f t="shared" si="48"/>
        <v>3</v>
      </c>
    </row>
    <row r="151" spans="1:13" ht="12.95" customHeight="1">
      <c r="A151" s="16" t="s">
        <v>31</v>
      </c>
      <c r="B151" s="70">
        <f>SUM(C151:M151)</f>
        <v>317</v>
      </c>
      <c r="C151" s="65">
        <v>55</v>
      </c>
      <c r="D151" s="65">
        <v>7</v>
      </c>
      <c r="E151" s="70" t="s">
        <v>65</v>
      </c>
      <c r="F151" s="65">
        <v>8</v>
      </c>
      <c r="G151" s="65">
        <v>2</v>
      </c>
      <c r="H151" s="65">
        <v>11</v>
      </c>
      <c r="I151" s="65">
        <v>2</v>
      </c>
      <c r="J151" s="65">
        <v>12</v>
      </c>
      <c r="K151" s="65">
        <v>217</v>
      </c>
      <c r="L151" s="65">
        <v>3</v>
      </c>
      <c r="M151" s="70" t="s">
        <v>65</v>
      </c>
    </row>
    <row r="152" spans="1:13" ht="12.95" customHeight="1">
      <c r="A152" s="16" t="s">
        <v>32</v>
      </c>
      <c r="B152" s="70">
        <f>SUM(C152:M152)</f>
        <v>349</v>
      </c>
      <c r="C152" s="65">
        <v>70</v>
      </c>
      <c r="D152" s="65">
        <v>20</v>
      </c>
      <c r="E152" s="70" t="s">
        <v>65</v>
      </c>
      <c r="F152" s="65">
        <v>9</v>
      </c>
      <c r="G152" s="65" t="s">
        <v>13</v>
      </c>
      <c r="H152" s="65">
        <v>12</v>
      </c>
      <c r="I152" s="65">
        <v>1</v>
      </c>
      <c r="J152" s="65">
        <v>11</v>
      </c>
      <c r="K152" s="65">
        <v>218</v>
      </c>
      <c r="L152" s="65">
        <v>6</v>
      </c>
      <c r="M152" s="65">
        <v>2</v>
      </c>
    </row>
    <row r="153" spans="1:13" ht="12.95" customHeight="1">
      <c r="A153" s="16" t="s">
        <v>33</v>
      </c>
      <c r="B153" s="70">
        <f>SUM(C153:M153)</f>
        <v>535</v>
      </c>
      <c r="C153" s="65">
        <v>112</v>
      </c>
      <c r="D153" s="65">
        <v>41</v>
      </c>
      <c r="E153" s="70" t="s">
        <v>65</v>
      </c>
      <c r="F153" s="65">
        <v>14</v>
      </c>
      <c r="G153" s="65">
        <v>3</v>
      </c>
      <c r="H153" s="65">
        <v>22</v>
      </c>
      <c r="I153" s="65">
        <v>5</v>
      </c>
      <c r="J153" s="65">
        <v>30</v>
      </c>
      <c r="K153" s="65">
        <v>285</v>
      </c>
      <c r="L153" s="65">
        <v>22</v>
      </c>
      <c r="M153" s="65">
        <v>1</v>
      </c>
    </row>
    <row r="154" spans="1:13" ht="4.5" customHeight="1">
      <c r="A154" s="17"/>
      <c r="B154" s="72"/>
      <c r="C154" s="73"/>
      <c r="D154" s="73"/>
      <c r="E154" s="629" t="s">
        <v>65</v>
      </c>
      <c r="F154" s="73"/>
      <c r="G154" s="73"/>
      <c r="H154" s="73"/>
      <c r="I154" s="73"/>
      <c r="J154" s="73"/>
      <c r="K154" s="73"/>
      <c r="L154" s="73"/>
      <c r="M154" s="73"/>
    </row>
    <row r="155" spans="1:13" ht="11.1" customHeight="1">
      <c r="A155" s="9" t="s">
        <v>755</v>
      </c>
      <c r="B155" s="6"/>
      <c r="C155" s="6"/>
      <c r="D155" s="6"/>
      <c r="E155" s="6"/>
      <c r="F155" s="6"/>
      <c r="G155" s="6"/>
      <c r="H155" s="35"/>
      <c r="I155" s="35"/>
      <c r="J155" s="35"/>
      <c r="K155" s="35"/>
    </row>
    <row r="156" spans="1:13" ht="11.1" customHeight="1">
      <c r="A156" s="717" t="s">
        <v>696</v>
      </c>
      <c r="B156" s="717"/>
      <c r="C156" s="717"/>
      <c r="D156" s="717"/>
      <c r="E156" s="717"/>
      <c r="F156" s="717"/>
      <c r="G156" s="717"/>
      <c r="H156" s="717"/>
      <c r="I156" s="717"/>
      <c r="J156" s="717"/>
      <c r="K156" s="717"/>
      <c r="L156" s="717"/>
      <c r="M156" s="717"/>
    </row>
    <row r="157" spans="1:13" ht="11.1" customHeight="1">
      <c r="A157" s="168" t="s">
        <v>63</v>
      </c>
      <c r="B157" s="548"/>
      <c r="C157" s="548"/>
      <c r="D157" s="548"/>
      <c r="E157" s="548"/>
      <c r="F157" s="548"/>
      <c r="G157" s="548"/>
      <c r="H157" s="548"/>
      <c r="I157" s="548"/>
      <c r="J157" s="548"/>
      <c r="K157" s="548"/>
      <c r="L157" s="548"/>
      <c r="M157" s="548"/>
    </row>
    <row r="158" spans="1:13">
      <c r="A158" s="549"/>
      <c r="B158" s="548"/>
      <c r="C158" s="548"/>
      <c r="D158" s="548"/>
      <c r="E158" s="548"/>
      <c r="F158" s="548"/>
      <c r="G158" s="548"/>
      <c r="H158" s="548"/>
      <c r="I158" s="548"/>
      <c r="J158" s="548"/>
      <c r="K158" s="548"/>
      <c r="L158" s="548"/>
      <c r="M158" s="548"/>
    </row>
    <row r="159" spans="1:13">
      <c r="A159" s="549"/>
      <c r="B159" s="548"/>
      <c r="C159" s="548"/>
      <c r="D159" s="548"/>
      <c r="E159" s="548"/>
      <c r="F159" s="548"/>
      <c r="G159" s="548"/>
      <c r="H159" s="548"/>
      <c r="I159" s="548"/>
      <c r="J159" s="548"/>
      <c r="K159" s="548"/>
      <c r="L159" s="548"/>
      <c r="M159" s="548"/>
    </row>
    <row r="160" spans="1:13">
      <c r="A160" s="549"/>
      <c r="B160" s="548"/>
      <c r="C160" s="548"/>
      <c r="D160" s="548"/>
      <c r="E160" s="548"/>
      <c r="F160" s="548"/>
      <c r="G160" s="548"/>
      <c r="H160" s="548"/>
      <c r="I160" s="548"/>
      <c r="J160" s="548"/>
      <c r="K160" s="548"/>
      <c r="L160" s="548"/>
      <c r="M160" s="548"/>
    </row>
    <row r="161" spans="1:13">
      <c r="A161" s="549"/>
      <c r="B161" s="548"/>
      <c r="C161" s="548"/>
      <c r="D161" s="548"/>
      <c r="E161" s="548"/>
      <c r="F161" s="548"/>
      <c r="G161" s="548"/>
      <c r="H161" s="548"/>
      <c r="I161" s="548"/>
      <c r="J161" s="548"/>
      <c r="K161" s="548"/>
      <c r="L161" s="548"/>
      <c r="M161" s="548"/>
    </row>
    <row r="162" spans="1:13">
      <c r="A162" s="549"/>
      <c r="B162" s="548"/>
      <c r="C162" s="548"/>
      <c r="D162" s="548"/>
      <c r="E162" s="548"/>
      <c r="F162" s="548"/>
      <c r="G162" s="548"/>
      <c r="H162" s="548"/>
      <c r="I162" s="548"/>
      <c r="J162" s="548"/>
      <c r="K162" s="548"/>
      <c r="L162" s="548"/>
      <c r="M162" s="548"/>
    </row>
    <row r="163" spans="1:13">
      <c r="A163" s="549"/>
      <c r="B163" s="548"/>
      <c r="C163" s="548"/>
      <c r="D163" s="548"/>
      <c r="E163" s="548"/>
      <c r="F163" s="548"/>
      <c r="G163" s="548"/>
      <c r="H163" s="548"/>
      <c r="I163" s="548"/>
      <c r="J163" s="548"/>
      <c r="K163" s="548"/>
      <c r="L163" s="548"/>
      <c r="M163" s="548"/>
    </row>
    <row r="164" spans="1:13">
      <c r="A164" s="549"/>
      <c r="B164" s="548"/>
      <c r="C164" s="548"/>
      <c r="D164" s="548"/>
      <c r="E164" s="548"/>
      <c r="F164" s="548"/>
      <c r="G164" s="548"/>
      <c r="H164" s="548"/>
      <c r="I164" s="548"/>
      <c r="J164" s="548"/>
      <c r="K164" s="548"/>
      <c r="L164" s="548"/>
      <c r="M164" s="548"/>
    </row>
    <row r="165" spans="1:13">
      <c r="A165" s="549"/>
      <c r="B165" s="548"/>
      <c r="C165" s="548"/>
      <c r="D165" s="548"/>
      <c r="E165" s="548"/>
      <c r="F165" s="548"/>
      <c r="G165" s="548"/>
      <c r="H165" s="548"/>
      <c r="I165" s="548"/>
      <c r="J165" s="548"/>
      <c r="K165" s="548"/>
      <c r="L165" s="548"/>
      <c r="M165" s="548"/>
    </row>
    <row r="166" spans="1:13">
      <c r="A166" s="549"/>
      <c r="B166" s="548"/>
      <c r="C166" s="548"/>
      <c r="D166" s="548"/>
      <c r="E166" s="548"/>
      <c r="F166" s="548"/>
      <c r="G166" s="548"/>
      <c r="H166" s="548"/>
      <c r="I166" s="548"/>
      <c r="J166" s="548"/>
      <c r="K166" s="548"/>
      <c r="L166" s="548"/>
      <c r="M166" s="548"/>
    </row>
  </sheetData>
  <dataConsolidate link="1"/>
  <mergeCells count="13">
    <mergeCell ref="A156:M156"/>
    <mergeCell ref="A61:A62"/>
    <mergeCell ref="N3:O3"/>
    <mergeCell ref="A3:A4"/>
    <mergeCell ref="B3:B4"/>
    <mergeCell ref="C3:M3"/>
    <mergeCell ref="A32:A33"/>
    <mergeCell ref="B32:B33"/>
    <mergeCell ref="C32:M32"/>
    <mergeCell ref="B61:B62"/>
    <mergeCell ref="C61:M61"/>
    <mergeCell ref="A58:M58"/>
    <mergeCell ref="A59:M59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  <rowBreaks count="1" manualBreakCount="1">
    <brk id="56" max="12" man="1"/>
  </rowBreaks>
  <ignoredErrors>
    <ignoredError sqref="B23 B51 B40 B79 B100 B120 B130 B150 B14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98"/>
  <sheetViews>
    <sheetView showGridLines="0" showOutlineSymbols="0" zoomScaleNormal="100" zoomScaleSheetLayoutView="150" workbookViewId="0">
      <selection sqref="A1:N1"/>
    </sheetView>
  </sheetViews>
  <sheetFormatPr baseColWidth="10" defaultRowHeight="12.75"/>
  <cols>
    <col min="1" max="1" width="10.140625" style="248" customWidth="1"/>
    <col min="2" max="2" width="4.7109375" customWidth="1"/>
    <col min="3" max="3" width="6.5703125" customWidth="1"/>
    <col min="4" max="4" width="4.7109375" customWidth="1"/>
    <col min="5" max="5" width="6.85546875" customWidth="1"/>
    <col min="6" max="7" width="6.7109375" customWidth="1"/>
    <col min="8" max="8" width="5" customWidth="1"/>
    <col min="9" max="9" width="8.7109375" customWidth="1"/>
    <col min="10" max="10" width="5.140625" style="473" customWidth="1"/>
    <col min="11" max="11" width="5.140625" customWidth="1"/>
    <col min="12" max="12" width="5.5703125" customWidth="1"/>
    <col min="13" max="13" width="5.28515625" customWidth="1"/>
    <col min="14" max="14" width="6.7109375" customWidth="1"/>
    <col min="15" max="15" width="19.85546875" customWidth="1"/>
    <col min="17" max="28" width="11.7109375" customWidth="1"/>
  </cols>
  <sheetData>
    <row r="1" spans="1:15" ht="14.1" customHeight="1">
      <c r="A1" s="749" t="s">
        <v>802</v>
      </c>
      <c r="B1" s="749"/>
      <c r="C1" s="749"/>
      <c r="D1" s="749"/>
      <c r="E1" s="749"/>
      <c r="F1" s="749"/>
      <c r="G1" s="749"/>
      <c r="H1" s="749"/>
      <c r="I1" s="749"/>
      <c r="J1" s="749"/>
      <c r="K1" s="749"/>
      <c r="L1" s="749"/>
      <c r="M1" s="749"/>
      <c r="N1" s="749"/>
    </row>
    <row r="2" spans="1:15" ht="14.1" customHeight="1">
      <c r="A2" s="749" t="s">
        <v>805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139"/>
    </row>
    <row r="3" spans="1:15" ht="5.0999999999999996" customHeight="1">
      <c r="A3" s="588"/>
      <c r="B3" s="589"/>
      <c r="C3" s="589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139"/>
    </row>
    <row r="4" spans="1:15" ht="12.75" customHeight="1">
      <c r="A4" s="742" t="s">
        <v>811</v>
      </c>
      <c r="B4" s="744" t="s">
        <v>14</v>
      </c>
      <c r="C4" s="747" t="s">
        <v>644</v>
      </c>
      <c r="D4" s="746" t="s">
        <v>645</v>
      </c>
      <c r="E4" s="746"/>
      <c r="F4" s="746"/>
      <c r="G4" s="746"/>
      <c r="H4" s="746"/>
      <c r="I4" s="746"/>
      <c r="J4" s="746"/>
      <c r="K4" s="746"/>
      <c r="L4" s="746"/>
      <c r="M4" s="746"/>
      <c r="N4" s="746"/>
    </row>
    <row r="5" spans="1:15" ht="30" customHeight="1">
      <c r="A5" s="743"/>
      <c r="B5" s="745"/>
      <c r="C5" s="748"/>
      <c r="D5" s="412" t="s">
        <v>15</v>
      </c>
      <c r="E5" s="412" t="s">
        <v>40</v>
      </c>
      <c r="F5" s="412" t="s">
        <v>16</v>
      </c>
      <c r="G5" s="412" t="s">
        <v>36</v>
      </c>
      <c r="H5" s="68" t="s">
        <v>37</v>
      </c>
      <c r="I5" s="412" t="s">
        <v>723</v>
      </c>
      <c r="J5" s="412" t="s">
        <v>17</v>
      </c>
      <c r="K5" s="412" t="s">
        <v>19</v>
      </c>
      <c r="L5" s="68" t="s">
        <v>48</v>
      </c>
      <c r="M5" s="412" t="s">
        <v>20</v>
      </c>
      <c r="N5" s="412" t="s">
        <v>21</v>
      </c>
      <c r="O5" s="438"/>
    </row>
    <row r="6" spans="1:15" ht="5.0999999999999996" hidden="1" customHeight="1">
      <c r="A6" s="249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ht="9.75" hidden="1" customHeight="1">
      <c r="A7" s="253">
        <v>2007</v>
      </c>
      <c r="B7" s="113"/>
      <c r="C7" s="113"/>
      <c r="D7" s="114"/>
      <c r="E7" s="114"/>
      <c r="F7" s="114"/>
      <c r="G7" s="114"/>
      <c r="H7" s="114"/>
      <c r="I7" s="123"/>
      <c r="J7" s="123"/>
      <c r="K7" s="123"/>
      <c r="L7" s="123"/>
      <c r="M7" s="123"/>
      <c r="N7" s="123"/>
    </row>
    <row r="8" spans="1:15" ht="9.75" hidden="1" customHeight="1">
      <c r="A8" s="115" t="s">
        <v>29</v>
      </c>
      <c r="B8" s="141">
        <f>SUM(D8:N8)</f>
        <v>24082</v>
      </c>
      <c r="C8" s="113" t="s">
        <v>13</v>
      </c>
      <c r="D8" s="113">
        <v>3441</v>
      </c>
      <c r="E8" s="113">
        <v>1423</v>
      </c>
      <c r="F8" s="113">
        <v>719</v>
      </c>
      <c r="G8" s="113">
        <v>1481</v>
      </c>
      <c r="H8" s="113">
        <v>1310</v>
      </c>
      <c r="I8" s="123">
        <v>7854</v>
      </c>
      <c r="J8" s="123">
        <v>534</v>
      </c>
      <c r="K8" s="123">
        <v>1556</v>
      </c>
      <c r="L8" s="123">
        <v>4309</v>
      </c>
      <c r="M8" s="123">
        <v>775</v>
      </c>
      <c r="N8" s="123">
        <v>680</v>
      </c>
    </row>
    <row r="9" spans="1:15" ht="9.75" hidden="1" customHeight="1">
      <c r="A9" s="116" t="s">
        <v>39</v>
      </c>
      <c r="B9" s="117">
        <f>SUM(D9:N9)</f>
        <v>24082</v>
      </c>
      <c r="C9" s="114" t="s">
        <v>13</v>
      </c>
      <c r="D9" s="114">
        <v>3441</v>
      </c>
      <c r="E9" s="114">
        <v>1423</v>
      </c>
      <c r="F9" s="114">
        <v>719</v>
      </c>
      <c r="G9" s="114">
        <v>1481</v>
      </c>
      <c r="H9" s="114">
        <v>1310</v>
      </c>
      <c r="I9" s="124">
        <v>7854</v>
      </c>
      <c r="J9" s="124">
        <v>534</v>
      </c>
      <c r="K9" s="124">
        <v>1556</v>
      </c>
      <c r="L9" s="124">
        <v>4309</v>
      </c>
      <c r="M9" s="124">
        <v>775</v>
      </c>
      <c r="N9" s="124">
        <v>680</v>
      </c>
    </row>
    <row r="10" spans="1:15" ht="9.75" hidden="1" customHeight="1">
      <c r="A10" s="253">
        <v>2008</v>
      </c>
      <c r="B10" s="113"/>
      <c r="C10" s="113"/>
      <c r="D10" s="114"/>
      <c r="E10" s="114"/>
      <c r="F10" s="114"/>
      <c r="G10" s="114"/>
      <c r="H10" s="114"/>
      <c r="I10" s="123"/>
      <c r="J10" s="123"/>
      <c r="K10" s="123"/>
      <c r="L10" s="123"/>
      <c r="M10" s="123"/>
      <c r="N10" s="123"/>
    </row>
    <row r="11" spans="1:15" ht="9.75" hidden="1" customHeight="1">
      <c r="A11" s="115" t="s">
        <v>29</v>
      </c>
      <c r="B11" s="113">
        <f>SUM(D11:N11)</f>
        <v>16302</v>
      </c>
      <c r="C11" s="113" t="s">
        <v>13</v>
      </c>
      <c r="D11" s="113">
        <v>2793</v>
      </c>
      <c r="E11" s="113">
        <v>1407</v>
      </c>
      <c r="F11" s="113">
        <v>677</v>
      </c>
      <c r="G11" s="113">
        <v>1485</v>
      </c>
      <c r="H11" s="113">
        <v>1149</v>
      </c>
      <c r="I11" s="123">
        <v>1466</v>
      </c>
      <c r="J11" s="123">
        <v>565</v>
      </c>
      <c r="K11" s="123">
        <v>1501</v>
      </c>
      <c r="L11" s="123">
        <v>3961</v>
      </c>
      <c r="M11" s="123">
        <v>682</v>
      </c>
      <c r="N11" s="123">
        <v>616</v>
      </c>
    </row>
    <row r="12" spans="1:15" ht="9.75" hidden="1" customHeight="1">
      <c r="A12" s="116" t="s">
        <v>39</v>
      </c>
      <c r="B12" s="117">
        <f>SUM(D12:N12)</f>
        <v>16302</v>
      </c>
      <c r="C12" s="114" t="s">
        <v>13</v>
      </c>
      <c r="D12" s="114">
        <v>2793</v>
      </c>
      <c r="E12" s="114">
        <v>1407</v>
      </c>
      <c r="F12" s="114">
        <v>677</v>
      </c>
      <c r="G12" s="114">
        <v>1485</v>
      </c>
      <c r="H12" s="114">
        <v>1149</v>
      </c>
      <c r="I12" s="124">
        <v>1466</v>
      </c>
      <c r="J12" s="124">
        <v>565</v>
      </c>
      <c r="K12" s="124">
        <v>1501</v>
      </c>
      <c r="L12" s="124">
        <v>3961</v>
      </c>
      <c r="M12" s="124">
        <v>682</v>
      </c>
      <c r="N12" s="124">
        <v>616</v>
      </c>
    </row>
    <row r="13" spans="1:15" ht="11.25" hidden="1" customHeight="1">
      <c r="A13" s="253">
        <v>2009</v>
      </c>
      <c r="B13" s="113"/>
      <c r="C13" s="113"/>
      <c r="D13" s="114"/>
      <c r="E13" s="114"/>
      <c r="F13" s="114"/>
      <c r="G13" s="114"/>
      <c r="H13" s="114"/>
      <c r="I13" s="123"/>
      <c r="J13" s="123"/>
      <c r="K13" s="123"/>
      <c r="L13" s="123"/>
      <c r="M13" s="123"/>
      <c r="N13" s="123"/>
    </row>
    <row r="14" spans="1:15" ht="11.25" hidden="1" customHeight="1">
      <c r="A14" s="115" t="s">
        <v>29</v>
      </c>
      <c r="B14" s="113">
        <f>SUM(D14:N14)</f>
        <v>21104</v>
      </c>
      <c r="C14" s="113" t="s">
        <v>13</v>
      </c>
      <c r="D14" s="113">
        <v>3654</v>
      </c>
      <c r="E14" s="113">
        <v>2066</v>
      </c>
      <c r="F14" s="113">
        <v>878</v>
      </c>
      <c r="G14" s="113">
        <v>1484</v>
      </c>
      <c r="H14" s="113">
        <v>1296</v>
      </c>
      <c r="I14" s="123">
        <v>1469</v>
      </c>
      <c r="J14" s="123">
        <v>604</v>
      </c>
      <c r="K14" s="123">
        <v>1993</v>
      </c>
      <c r="L14" s="123">
        <v>6300</v>
      </c>
      <c r="M14" s="123">
        <v>722</v>
      </c>
      <c r="N14" s="123">
        <v>638</v>
      </c>
    </row>
    <row r="15" spans="1:15" ht="11.25" hidden="1" customHeight="1">
      <c r="A15" s="116" t="s">
        <v>39</v>
      </c>
      <c r="B15" s="117">
        <f>SUM(D15:N15)</f>
        <v>21104</v>
      </c>
      <c r="C15" s="114" t="s">
        <v>13</v>
      </c>
      <c r="D15" s="114">
        <v>3654</v>
      </c>
      <c r="E15" s="114">
        <v>2066</v>
      </c>
      <c r="F15" s="114">
        <v>878</v>
      </c>
      <c r="G15" s="114">
        <v>1484</v>
      </c>
      <c r="H15" s="114">
        <v>1296</v>
      </c>
      <c r="I15" s="124">
        <v>1469</v>
      </c>
      <c r="J15" s="124">
        <v>604</v>
      </c>
      <c r="K15" s="124">
        <v>1993</v>
      </c>
      <c r="L15" s="124">
        <v>6300</v>
      </c>
      <c r="M15" s="124">
        <v>722</v>
      </c>
      <c r="N15" s="124">
        <v>638</v>
      </c>
    </row>
    <row r="16" spans="1:15" ht="11.25" hidden="1" customHeight="1">
      <c r="A16" s="253">
        <v>2010</v>
      </c>
      <c r="B16" s="118"/>
      <c r="C16" s="118"/>
      <c r="D16" s="119"/>
      <c r="E16" s="119"/>
      <c r="F16" s="119"/>
      <c r="G16" s="119"/>
      <c r="H16" s="120"/>
      <c r="I16" s="125"/>
      <c r="J16" s="125"/>
      <c r="K16" s="125"/>
      <c r="L16" s="125"/>
      <c r="M16" s="125"/>
      <c r="N16" s="125"/>
    </row>
    <row r="17" spans="1:14" ht="11.25" hidden="1" customHeight="1">
      <c r="A17" s="115" t="s">
        <v>29</v>
      </c>
      <c r="B17" s="113">
        <f>SUM(D17:N17)</f>
        <v>21381</v>
      </c>
      <c r="C17" s="113" t="s">
        <v>13</v>
      </c>
      <c r="D17" s="113">
        <v>3954</v>
      </c>
      <c r="E17" s="113">
        <v>2034</v>
      </c>
      <c r="F17" s="113">
        <v>1043</v>
      </c>
      <c r="G17" s="113">
        <v>1394</v>
      </c>
      <c r="H17" s="113">
        <v>990</v>
      </c>
      <c r="I17" s="113">
        <v>1578</v>
      </c>
      <c r="J17" s="113">
        <v>551</v>
      </c>
      <c r="K17" s="113">
        <v>2057</v>
      </c>
      <c r="L17" s="113">
        <v>6473</v>
      </c>
      <c r="M17" s="113">
        <v>742</v>
      </c>
      <c r="N17" s="113">
        <v>565</v>
      </c>
    </row>
    <row r="18" spans="1:14" ht="11.25" hidden="1" customHeight="1">
      <c r="A18" s="116" t="s">
        <v>39</v>
      </c>
      <c r="B18" s="114">
        <f>SUM(D18:N18)</f>
        <v>21381</v>
      </c>
      <c r="C18" s="114" t="s">
        <v>13</v>
      </c>
      <c r="D18" s="114">
        <v>3954</v>
      </c>
      <c r="E18" s="114">
        <v>2034</v>
      </c>
      <c r="F18" s="114">
        <v>1043</v>
      </c>
      <c r="G18" s="114">
        <v>1394</v>
      </c>
      <c r="H18" s="114">
        <v>990</v>
      </c>
      <c r="I18" s="114">
        <v>1578</v>
      </c>
      <c r="J18" s="114">
        <v>551</v>
      </c>
      <c r="K18" s="114">
        <v>2057</v>
      </c>
      <c r="L18" s="114">
        <v>6473</v>
      </c>
      <c r="M18" s="114">
        <v>742</v>
      </c>
      <c r="N18" s="114">
        <v>565</v>
      </c>
    </row>
    <row r="19" spans="1:14" ht="11.25" hidden="1" customHeight="1">
      <c r="A19" s="253">
        <v>2011</v>
      </c>
      <c r="B19" s="80"/>
      <c r="C19" s="80"/>
      <c r="D19" s="12"/>
      <c r="E19" s="12"/>
      <c r="F19" s="12"/>
      <c r="G19" s="12"/>
      <c r="H19" s="12"/>
      <c r="I19" s="12"/>
      <c r="J19" s="6"/>
      <c r="K19" s="12"/>
      <c r="L19" s="12"/>
      <c r="M19" s="12"/>
      <c r="N19" s="12"/>
    </row>
    <row r="20" spans="1:14" ht="11.25" hidden="1" customHeight="1">
      <c r="A20" s="115" t="s">
        <v>29</v>
      </c>
      <c r="B20" s="113">
        <f>SUM(B22:B23)</f>
        <v>20718</v>
      </c>
      <c r="C20" s="113" t="s">
        <v>13</v>
      </c>
      <c r="D20" s="113">
        <f t="shared" ref="D20:N20" si="0">SUM(D22:D23)</f>
        <v>4106</v>
      </c>
      <c r="E20" s="113">
        <f t="shared" si="0"/>
        <v>1749</v>
      </c>
      <c r="F20" s="113">
        <f t="shared" si="0"/>
        <v>896</v>
      </c>
      <c r="G20" s="113">
        <f t="shared" si="0"/>
        <v>1271</v>
      </c>
      <c r="H20" s="113">
        <f t="shared" si="0"/>
        <v>1286</v>
      </c>
      <c r="I20" s="113">
        <f t="shared" si="0"/>
        <v>1413</v>
      </c>
      <c r="J20" s="113">
        <f t="shared" si="0"/>
        <v>498</v>
      </c>
      <c r="K20" s="113">
        <f t="shared" si="0"/>
        <v>1972</v>
      </c>
      <c r="L20" s="113">
        <f t="shared" si="0"/>
        <v>6354</v>
      </c>
      <c r="M20" s="113">
        <f t="shared" si="0"/>
        <v>647</v>
      </c>
      <c r="N20" s="113">
        <f t="shared" si="0"/>
        <v>526</v>
      </c>
    </row>
    <row r="21" spans="1:14" ht="11.25" hidden="1" customHeight="1">
      <c r="A21" s="116" t="s">
        <v>39</v>
      </c>
      <c r="B21" s="113" t="s">
        <v>13</v>
      </c>
      <c r="C21" s="113" t="s">
        <v>13</v>
      </c>
      <c r="D21" s="113" t="s">
        <v>13</v>
      </c>
      <c r="E21" s="113" t="s">
        <v>13</v>
      </c>
      <c r="F21" s="113" t="s">
        <v>13</v>
      </c>
      <c r="G21" s="113" t="s">
        <v>13</v>
      </c>
      <c r="H21" s="113" t="s">
        <v>13</v>
      </c>
      <c r="I21" s="113" t="s">
        <v>13</v>
      </c>
      <c r="J21" s="113" t="s">
        <v>13</v>
      </c>
      <c r="K21" s="113" t="s">
        <v>13</v>
      </c>
      <c r="L21" s="113" t="s">
        <v>13</v>
      </c>
      <c r="M21" s="113" t="s">
        <v>13</v>
      </c>
      <c r="N21" s="113" t="s">
        <v>13</v>
      </c>
    </row>
    <row r="22" spans="1:14" ht="11.25" hidden="1" customHeight="1">
      <c r="A22" s="116" t="s">
        <v>392</v>
      </c>
      <c r="B22" s="114">
        <f>SUM(D22:N22)</f>
        <v>11779</v>
      </c>
      <c r="C22" s="114" t="s">
        <v>13</v>
      </c>
      <c r="D22" s="114">
        <v>1934</v>
      </c>
      <c r="E22" s="114">
        <v>1215</v>
      </c>
      <c r="F22" s="131">
        <v>393</v>
      </c>
      <c r="G22" s="131">
        <v>815</v>
      </c>
      <c r="H22" s="131">
        <v>780</v>
      </c>
      <c r="I22" s="114">
        <v>863</v>
      </c>
      <c r="J22" s="114">
        <v>390</v>
      </c>
      <c r="K22" s="114">
        <v>1581</v>
      </c>
      <c r="L22" s="114">
        <v>3092</v>
      </c>
      <c r="M22" s="114">
        <v>476</v>
      </c>
      <c r="N22" s="114">
        <v>240</v>
      </c>
    </row>
    <row r="23" spans="1:14" ht="11.25" hidden="1" customHeight="1">
      <c r="A23" s="116" t="s">
        <v>393</v>
      </c>
      <c r="B23" s="114">
        <f>SUM(D23:N23)</f>
        <v>8939</v>
      </c>
      <c r="C23" s="114" t="s">
        <v>13</v>
      </c>
      <c r="D23" s="114">
        <v>2172</v>
      </c>
      <c r="E23" s="114">
        <v>534</v>
      </c>
      <c r="F23" s="114">
        <v>503</v>
      </c>
      <c r="G23" s="114">
        <v>456</v>
      </c>
      <c r="H23" s="119">
        <v>506</v>
      </c>
      <c r="I23" s="114">
        <v>550</v>
      </c>
      <c r="J23" s="114">
        <v>108</v>
      </c>
      <c r="K23" s="114">
        <v>391</v>
      </c>
      <c r="L23" s="114">
        <v>3262</v>
      </c>
      <c r="M23" s="114">
        <v>171</v>
      </c>
      <c r="N23" s="114">
        <v>286</v>
      </c>
    </row>
    <row r="24" spans="1:14" ht="11.25" hidden="1" customHeight="1">
      <c r="A24" s="253">
        <v>2012</v>
      </c>
      <c r="B24" s="80"/>
      <c r="C24" s="80"/>
      <c r="D24" s="12"/>
      <c r="E24" s="12"/>
      <c r="F24" s="12"/>
      <c r="G24" s="12"/>
      <c r="H24" s="12"/>
      <c r="I24" s="12"/>
      <c r="J24" s="6"/>
      <c r="K24" s="12"/>
      <c r="L24" s="12"/>
      <c r="M24" s="12"/>
      <c r="N24" s="12"/>
    </row>
    <row r="25" spans="1:14" ht="11.25" hidden="1" customHeight="1">
      <c r="A25" s="115" t="s">
        <v>29</v>
      </c>
      <c r="B25" s="113">
        <f t="shared" ref="B25:N25" si="1">SUM(B27:B28)</f>
        <v>20171</v>
      </c>
      <c r="C25" s="113">
        <f t="shared" si="1"/>
        <v>1305</v>
      </c>
      <c r="D25" s="113">
        <f t="shared" si="1"/>
        <v>2429</v>
      </c>
      <c r="E25" s="113">
        <f t="shared" si="1"/>
        <v>1655</v>
      </c>
      <c r="F25" s="113">
        <f t="shared" si="1"/>
        <v>859</v>
      </c>
      <c r="G25" s="113">
        <f t="shared" si="1"/>
        <v>1059</v>
      </c>
      <c r="H25" s="113">
        <f t="shared" si="1"/>
        <v>1153</v>
      </c>
      <c r="I25" s="113">
        <f t="shared" si="1"/>
        <v>1441</v>
      </c>
      <c r="J25" s="113">
        <f t="shared" si="1"/>
        <v>469</v>
      </c>
      <c r="K25" s="113">
        <f t="shared" si="1"/>
        <v>1752</v>
      </c>
      <c r="L25" s="113">
        <f t="shared" si="1"/>
        <v>6940</v>
      </c>
      <c r="M25" s="113">
        <f t="shared" si="1"/>
        <v>629</v>
      </c>
      <c r="N25" s="113">
        <f t="shared" si="1"/>
        <v>480</v>
      </c>
    </row>
    <row r="26" spans="1:14" ht="11.25" hidden="1" customHeight="1">
      <c r="A26" s="116" t="s">
        <v>39</v>
      </c>
      <c r="B26" s="113" t="s">
        <v>13</v>
      </c>
      <c r="C26" s="113" t="s">
        <v>13</v>
      </c>
      <c r="D26" s="113" t="s">
        <v>13</v>
      </c>
      <c r="E26" s="113" t="s">
        <v>13</v>
      </c>
      <c r="F26" s="113" t="s">
        <v>13</v>
      </c>
      <c r="G26" s="113" t="s">
        <v>13</v>
      </c>
      <c r="H26" s="113" t="s">
        <v>13</v>
      </c>
      <c r="I26" s="113" t="s">
        <v>13</v>
      </c>
      <c r="J26" s="113" t="s">
        <v>13</v>
      </c>
      <c r="K26" s="113" t="s">
        <v>13</v>
      </c>
      <c r="L26" s="113" t="s">
        <v>13</v>
      </c>
      <c r="M26" s="113" t="s">
        <v>13</v>
      </c>
      <c r="N26" s="113" t="s">
        <v>13</v>
      </c>
    </row>
    <row r="27" spans="1:14" ht="11.25" hidden="1" customHeight="1">
      <c r="A27" s="116" t="s">
        <v>392</v>
      </c>
      <c r="B27" s="114">
        <f>SUM(C27:N27)</f>
        <v>16962</v>
      </c>
      <c r="C27" s="114">
        <v>1268</v>
      </c>
      <c r="D27" s="114">
        <v>1445</v>
      </c>
      <c r="E27" s="114">
        <v>1567</v>
      </c>
      <c r="F27" s="131">
        <v>751</v>
      </c>
      <c r="G27" s="131">
        <v>984</v>
      </c>
      <c r="H27" s="131">
        <v>1008</v>
      </c>
      <c r="I27" s="114">
        <v>1391</v>
      </c>
      <c r="J27" s="114">
        <v>424</v>
      </c>
      <c r="K27" s="114">
        <v>1658</v>
      </c>
      <c r="L27" s="114">
        <v>5488</v>
      </c>
      <c r="M27" s="114">
        <v>584</v>
      </c>
      <c r="N27" s="114">
        <v>394</v>
      </c>
    </row>
    <row r="28" spans="1:14" ht="11.25" hidden="1" customHeight="1">
      <c r="A28" s="116" t="s">
        <v>393</v>
      </c>
      <c r="B28" s="114">
        <f>SUM(C28:N28)</f>
        <v>3209</v>
      </c>
      <c r="C28" s="114">
        <v>37</v>
      </c>
      <c r="D28" s="114">
        <v>984</v>
      </c>
      <c r="E28" s="114">
        <v>88</v>
      </c>
      <c r="F28" s="114">
        <v>108</v>
      </c>
      <c r="G28" s="114">
        <v>75</v>
      </c>
      <c r="H28" s="119">
        <v>145</v>
      </c>
      <c r="I28" s="114">
        <v>50</v>
      </c>
      <c r="J28" s="114">
        <v>45</v>
      </c>
      <c r="K28" s="114">
        <v>94</v>
      </c>
      <c r="L28" s="114">
        <v>1452</v>
      </c>
      <c r="M28" s="114">
        <v>45</v>
      </c>
      <c r="N28" s="114">
        <v>86</v>
      </c>
    </row>
    <row r="29" spans="1:14" ht="11.25" hidden="1" customHeight="1">
      <c r="A29" s="253">
        <v>2013</v>
      </c>
      <c r="B29" s="80"/>
      <c r="C29" s="80"/>
      <c r="D29" s="12"/>
      <c r="E29" s="12"/>
      <c r="F29" s="12"/>
      <c r="G29" s="12"/>
      <c r="H29" s="12"/>
      <c r="I29" s="12"/>
      <c r="J29" s="6"/>
      <c r="K29" s="12"/>
      <c r="L29" s="12"/>
      <c r="M29" s="12"/>
      <c r="N29" s="12"/>
    </row>
    <row r="30" spans="1:14" ht="11.25" hidden="1" customHeight="1">
      <c r="A30" s="115" t="s">
        <v>29</v>
      </c>
      <c r="B30" s="113">
        <f t="shared" ref="B30:N30" si="2">SUM(B32:B33)</f>
        <v>20650</v>
      </c>
      <c r="C30" s="113">
        <f t="shared" si="2"/>
        <v>2164</v>
      </c>
      <c r="D30" s="113">
        <f t="shared" si="2"/>
        <v>1757</v>
      </c>
      <c r="E30" s="113">
        <f t="shared" si="2"/>
        <v>1592</v>
      </c>
      <c r="F30" s="113">
        <f t="shared" si="2"/>
        <v>884</v>
      </c>
      <c r="G30" s="113">
        <f t="shared" si="2"/>
        <v>1076</v>
      </c>
      <c r="H30" s="113">
        <f t="shared" si="2"/>
        <v>971</v>
      </c>
      <c r="I30" s="113">
        <f t="shared" si="2"/>
        <v>1223</v>
      </c>
      <c r="J30" s="113">
        <f t="shared" si="2"/>
        <v>478</v>
      </c>
      <c r="K30" s="113">
        <f t="shared" si="2"/>
        <v>1757</v>
      </c>
      <c r="L30" s="113">
        <f t="shared" si="2"/>
        <v>7702</v>
      </c>
      <c r="M30" s="113">
        <f t="shared" si="2"/>
        <v>609</v>
      </c>
      <c r="N30" s="113">
        <f t="shared" si="2"/>
        <v>437</v>
      </c>
    </row>
    <row r="31" spans="1:14" ht="11.25" hidden="1" customHeight="1">
      <c r="A31" s="116" t="s">
        <v>39</v>
      </c>
      <c r="B31" s="113" t="s">
        <v>13</v>
      </c>
      <c r="C31" s="113" t="s">
        <v>13</v>
      </c>
      <c r="D31" s="113" t="s">
        <v>13</v>
      </c>
      <c r="E31" s="113" t="s">
        <v>13</v>
      </c>
      <c r="F31" s="113" t="s">
        <v>13</v>
      </c>
      <c r="G31" s="113" t="s">
        <v>13</v>
      </c>
      <c r="H31" s="113" t="s">
        <v>13</v>
      </c>
      <c r="I31" s="113" t="s">
        <v>13</v>
      </c>
      <c r="J31" s="113" t="s">
        <v>13</v>
      </c>
      <c r="K31" s="113" t="s">
        <v>13</v>
      </c>
      <c r="L31" s="113" t="s">
        <v>13</v>
      </c>
      <c r="M31" s="113" t="s">
        <v>13</v>
      </c>
      <c r="N31" s="113" t="s">
        <v>13</v>
      </c>
    </row>
    <row r="32" spans="1:14" ht="11.25" hidden="1" customHeight="1">
      <c r="A32" s="116" t="s">
        <v>392</v>
      </c>
      <c r="B32" s="114">
        <f>SUM(C32:N32)</f>
        <v>19424</v>
      </c>
      <c r="C32" s="114">
        <v>2115</v>
      </c>
      <c r="D32" s="114">
        <v>1308</v>
      </c>
      <c r="E32" s="114">
        <v>1503</v>
      </c>
      <c r="F32" s="131">
        <v>819</v>
      </c>
      <c r="G32" s="131">
        <v>1040</v>
      </c>
      <c r="H32" s="131">
        <v>907</v>
      </c>
      <c r="I32" s="114">
        <v>1179</v>
      </c>
      <c r="J32" s="114">
        <v>456</v>
      </c>
      <c r="K32" s="114">
        <v>1682</v>
      </c>
      <c r="L32" s="114">
        <v>7438</v>
      </c>
      <c r="M32" s="114">
        <v>587</v>
      </c>
      <c r="N32" s="114">
        <v>390</v>
      </c>
    </row>
    <row r="33" spans="1:17" ht="11.25" hidden="1" customHeight="1">
      <c r="A33" s="116" t="s">
        <v>393</v>
      </c>
      <c r="B33" s="114">
        <f>SUM(C33:N33)</f>
        <v>1226</v>
      </c>
      <c r="C33" s="114">
        <v>49</v>
      </c>
      <c r="D33" s="114">
        <v>449</v>
      </c>
      <c r="E33" s="114">
        <v>89</v>
      </c>
      <c r="F33" s="114">
        <v>65</v>
      </c>
      <c r="G33" s="114">
        <v>36</v>
      </c>
      <c r="H33" s="119">
        <v>64</v>
      </c>
      <c r="I33" s="114">
        <v>44</v>
      </c>
      <c r="J33" s="114">
        <v>22</v>
      </c>
      <c r="K33" s="114">
        <v>75</v>
      </c>
      <c r="L33" s="114">
        <v>264</v>
      </c>
      <c r="M33" s="114">
        <v>22</v>
      </c>
      <c r="N33" s="114">
        <v>47</v>
      </c>
    </row>
    <row r="34" spans="1:17" ht="12.95" hidden="1" customHeight="1">
      <c r="A34" s="115">
        <v>2014</v>
      </c>
      <c r="B34" s="80"/>
      <c r="C34" s="80"/>
      <c r="D34" s="12"/>
      <c r="E34" s="12"/>
      <c r="F34" s="12"/>
      <c r="G34" s="12"/>
      <c r="H34" s="12"/>
      <c r="I34" s="12"/>
      <c r="J34" s="6"/>
      <c r="K34" s="12"/>
      <c r="L34" s="12"/>
      <c r="M34" s="12"/>
      <c r="N34" s="12"/>
    </row>
    <row r="35" spans="1:17" ht="12.95" hidden="1" customHeight="1">
      <c r="A35" s="115" t="s">
        <v>29</v>
      </c>
      <c r="B35" s="113">
        <f>SUM(B36:B38)</f>
        <v>17796</v>
      </c>
      <c r="C35" s="113">
        <f>SUM(C36:C38)</f>
        <v>2111</v>
      </c>
      <c r="D35" s="113">
        <f t="shared" ref="D35:N35" si="3">SUM(D36:D38)</f>
        <v>1575</v>
      </c>
      <c r="E35" s="113">
        <f t="shared" si="3"/>
        <v>1484</v>
      </c>
      <c r="F35" s="113">
        <f t="shared" si="3"/>
        <v>724</v>
      </c>
      <c r="G35" s="113">
        <f t="shared" si="3"/>
        <v>868</v>
      </c>
      <c r="H35" s="113">
        <f t="shared" si="3"/>
        <v>903</v>
      </c>
      <c r="I35" s="113">
        <f t="shared" si="3"/>
        <v>1163</v>
      </c>
      <c r="J35" s="113">
        <f t="shared" si="3"/>
        <v>426</v>
      </c>
      <c r="K35" s="113">
        <f t="shared" si="3"/>
        <v>1755</v>
      </c>
      <c r="L35" s="113">
        <f t="shared" si="3"/>
        <v>5886</v>
      </c>
      <c r="M35" s="113">
        <f t="shared" si="3"/>
        <v>526</v>
      </c>
      <c r="N35" s="113">
        <f t="shared" si="3"/>
        <v>375</v>
      </c>
      <c r="O35" s="413"/>
    </row>
    <row r="36" spans="1:17" ht="12.95" hidden="1" customHeight="1">
      <c r="A36" s="116" t="s">
        <v>39</v>
      </c>
      <c r="B36" s="114">
        <f>SUM(C36:N36)</f>
        <v>892</v>
      </c>
      <c r="C36" s="114">
        <v>6</v>
      </c>
      <c r="D36" s="114">
        <v>100</v>
      </c>
      <c r="E36" s="114">
        <v>87</v>
      </c>
      <c r="F36" s="114">
        <v>24</v>
      </c>
      <c r="G36" s="114">
        <v>60</v>
      </c>
      <c r="H36" s="114">
        <v>8</v>
      </c>
      <c r="I36" s="114">
        <v>19</v>
      </c>
      <c r="J36" s="114">
        <v>22</v>
      </c>
      <c r="K36" s="114">
        <v>36</v>
      </c>
      <c r="L36" s="114">
        <v>489</v>
      </c>
      <c r="M36" s="114">
        <v>16</v>
      </c>
      <c r="N36" s="114">
        <v>25</v>
      </c>
      <c r="Q36" s="41"/>
    </row>
    <row r="37" spans="1:17" ht="12.95" hidden="1" customHeight="1">
      <c r="A37" s="116" t="s">
        <v>392</v>
      </c>
      <c r="B37" s="114">
        <f>SUM(C37:N37)</f>
        <v>15032</v>
      </c>
      <c r="C37" s="114">
        <v>2082</v>
      </c>
      <c r="D37" s="114">
        <v>844</v>
      </c>
      <c r="E37" s="114">
        <v>1116</v>
      </c>
      <c r="F37" s="131">
        <v>649</v>
      </c>
      <c r="G37" s="131">
        <v>724</v>
      </c>
      <c r="H37" s="131">
        <v>875</v>
      </c>
      <c r="I37" s="114">
        <v>1115</v>
      </c>
      <c r="J37" s="114">
        <v>374</v>
      </c>
      <c r="K37" s="114">
        <v>1651</v>
      </c>
      <c r="L37" s="114">
        <v>4793</v>
      </c>
      <c r="M37" s="114">
        <v>494</v>
      </c>
      <c r="N37" s="114">
        <v>315</v>
      </c>
    </row>
    <row r="38" spans="1:17" ht="12.95" hidden="1" customHeight="1">
      <c r="A38" s="116" t="s">
        <v>393</v>
      </c>
      <c r="B38" s="114">
        <f>SUM(C38:N38)</f>
        <v>1872</v>
      </c>
      <c r="C38" s="114">
        <v>23</v>
      </c>
      <c r="D38" s="114">
        <v>631</v>
      </c>
      <c r="E38" s="114">
        <v>281</v>
      </c>
      <c r="F38" s="114">
        <v>51</v>
      </c>
      <c r="G38" s="114">
        <v>84</v>
      </c>
      <c r="H38" s="119">
        <v>20</v>
      </c>
      <c r="I38" s="114">
        <v>29</v>
      </c>
      <c r="J38" s="114">
        <v>30</v>
      </c>
      <c r="K38" s="114">
        <v>68</v>
      </c>
      <c r="L38" s="114">
        <v>604</v>
      </c>
      <c r="M38" s="114">
        <v>16</v>
      </c>
      <c r="N38" s="114">
        <v>35</v>
      </c>
    </row>
    <row r="39" spans="1:17" ht="12.95" hidden="1" customHeight="1">
      <c r="A39" s="115">
        <v>2015</v>
      </c>
      <c r="B39" s="80"/>
      <c r="C39" s="80"/>
      <c r="D39" s="12"/>
      <c r="E39" s="12"/>
      <c r="F39" s="12"/>
      <c r="G39" s="12"/>
      <c r="H39" s="12"/>
      <c r="I39" s="12"/>
      <c r="J39" s="6"/>
      <c r="K39" s="12"/>
      <c r="L39" s="12"/>
      <c r="M39" s="12"/>
      <c r="N39" s="12"/>
    </row>
    <row r="40" spans="1:17" ht="12.95" hidden="1" customHeight="1">
      <c r="A40" s="115" t="s">
        <v>29</v>
      </c>
      <c r="B40" s="113">
        <f>SUM(B41:B43)</f>
        <v>17767</v>
      </c>
      <c r="C40" s="113">
        <f t="shared" ref="C40:N40" si="4">SUM(C41:C43)</f>
        <v>2213</v>
      </c>
      <c r="D40" s="113">
        <f t="shared" si="4"/>
        <v>1408</v>
      </c>
      <c r="E40" s="113">
        <f t="shared" si="4"/>
        <v>1338</v>
      </c>
      <c r="F40" s="113">
        <f t="shared" si="4"/>
        <v>621</v>
      </c>
      <c r="G40" s="113">
        <f t="shared" si="4"/>
        <v>693</v>
      </c>
      <c r="H40" s="113">
        <f t="shared" si="4"/>
        <v>844</v>
      </c>
      <c r="I40" s="113">
        <f t="shared" si="4"/>
        <v>957</v>
      </c>
      <c r="J40" s="113">
        <f t="shared" si="4"/>
        <v>353</v>
      </c>
      <c r="K40" s="113">
        <f t="shared" si="4"/>
        <v>1585</v>
      </c>
      <c r="L40" s="113">
        <f t="shared" si="4"/>
        <v>6898</v>
      </c>
      <c r="M40" s="113">
        <f t="shared" si="4"/>
        <v>456</v>
      </c>
      <c r="N40" s="113">
        <f t="shared" si="4"/>
        <v>401</v>
      </c>
    </row>
    <row r="41" spans="1:17" ht="12.95" hidden="1" customHeight="1">
      <c r="A41" s="116" t="s">
        <v>39</v>
      </c>
      <c r="B41" s="114">
        <f>SUM(C41:N41)</f>
        <v>1455</v>
      </c>
      <c r="C41" s="114">
        <v>9</v>
      </c>
      <c r="D41" s="114">
        <v>154</v>
      </c>
      <c r="E41" s="114">
        <v>38</v>
      </c>
      <c r="F41" s="114">
        <v>160</v>
      </c>
      <c r="G41" s="114">
        <v>14</v>
      </c>
      <c r="H41" s="114">
        <v>10</v>
      </c>
      <c r="I41" s="114">
        <v>20</v>
      </c>
      <c r="J41" s="114">
        <v>7</v>
      </c>
      <c r="K41" s="114">
        <v>49</v>
      </c>
      <c r="L41" s="114">
        <v>971</v>
      </c>
      <c r="M41" s="114">
        <v>10</v>
      </c>
      <c r="N41" s="114">
        <v>13</v>
      </c>
    </row>
    <row r="42" spans="1:17" ht="12.95" hidden="1" customHeight="1">
      <c r="A42" s="116" t="s">
        <v>392</v>
      </c>
      <c r="B42" s="114">
        <f>SUM(C42:N42)</f>
        <v>13489</v>
      </c>
      <c r="C42" s="114">
        <v>2178</v>
      </c>
      <c r="D42" s="114">
        <v>565</v>
      </c>
      <c r="E42" s="114">
        <v>1067</v>
      </c>
      <c r="F42" s="114">
        <v>305</v>
      </c>
      <c r="G42" s="114">
        <v>670</v>
      </c>
      <c r="H42" s="114">
        <v>819</v>
      </c>
      <c r="I42" s="114">
        <v>913</v>
      </c>
      <c r="J42" s="114">
        <v>345</v>
      </c>
      <c r="K42" s="114">
        <v>1476</v>
      </c>
      <c r="L42" s="114">
        <v>4367</v>
      </c>
      <c r="M42" s="114">
        <v>436</v>
      </c>
      <c r="N42" s="114">
        <v>348</v>
      </c>
    </row>
    <row r="43" spans="1:17" ht="12.95" hidden="1" customHeight="1">
      <c r="A43" s="116" t="s">
        <v>393</v>
      </c>
      <c r="B43" s="114">
        <f>SUM(C43:N43)</f>
        <v>2823</v>
      </c>
      <c r="C43" s="114">
        <v>26</v>
      </c>
      <c r="D43" s="114">
        <v>689</v>
      </c>
      <c r="E43" s="114">
        <v>233</v>
      </c>
      <c r="F43" s="114">
        <v>156</v>
      </c>
      <c r="G43" s="114">
        <v>9</v>
      </c>
      <c r="H43" s="114">
        <v>15</v>
      </c>
      <c r="I43" s="114">
        <v>24</v>
      </c>
      <c r="J43" s="114">
        <v>1</v>
      </c>
      <c r="K43" s="114">
        <v>60</v>
      </c>
      <c r="L43" s="114">
        <v>1560</v>
      </c>
      <c r="M43" s="114">
        <v>10</v>
      </c>
      <c r="N43" s="114">
        <v>40</v>
      </c>
    </row>
    <row r="44" spans="1:17" ht="13.5" customHeight="1">
      <c r="A44" s="115">
        <v>2016</v>
      </c>
    </row>
    <row r="45" spans="1:17" ht="13.5" customHeight="1">
      <c r="A45" s="115" t="s">
        <v>60</v>
      </c>
      <c r="B45" s="113">
        <f>SUM(B46:B48)</f>
        <v>17846</v>
      </c>
      <c r="C45" s="113">
        <f t="shared" ref="C45:N45" si="5">SUM(C46:C48)</f>
        <v>2148</v>
      </c>
      <c r="D45" s="113">
        <f t="shared" si="5"/>
        <v>1395</v>
      </c>
      <c r="E45" s="113">
        <f t="shared" si="5"/>
        <v>1244</v>
      </c>
      <c r="F45" s="113">
        <f t="shared" si="5"/>
        <v>797</v>
      </c>
      <c r="G45" s="113">
        <f t="shared" si="5"/>
        <v>843</v>
      </c>
      <c r="H45" s="113">
        <f t="shared" si="5"/>
        <v>775</v>
      </c>
      <c r="I45" s="113">
        <f t="shared" si="5"/>
        <v>943</v>
      </c>
      <c r="J45" s="113">
        <f t="shared" si="5"/>
        <v>353</v>
      </c>
      <c r="K45" s="113">
        <f t="shared" si="5"/>
        <v>1496</v>
      </c>
      <c r="L45" s="113">
        <f t="shared" si="5"/>
        <v>6964</v>
      </c>
      <c r="M45" s="113">
        <f t="shared" si="5"/>
        <v>474</v>
      </c>
      <c r="N45" s="113">
        <f t="shared" si="5"/>
        <v>414</v>
      </c>
    </row>
    <row r="46" spans="1:17" ht="13.5" customHeight="1">
      <c r="A46" s="116" t="s">
        <v>39</v>
      </c>
      <c r="B46" s="114">
        <f>SUM(C46:N46)</f>
        <v>1028</v>
      </c>
      <c r="C46" s="114">
        <v>10</v>
      </c>
      <c r="D46" s="114">
        <v>115</v>
      </c>
      <c r="E46" s="114">
        <v>42</v>
      </c>
      <c r="F46" s="114">
        <v>80</v>
      </c>
      <c r="G46" s="114">
        <v>39</v>
      </c>
      <c r="H46" s="114">
        <v>12</v>
      </c>
      <c r="I46" s="114">
        <v>53</v>
      </c>
      <c r="J46" s="114">
        <v>28</v>
      </c>
      <c r="K46" s="114">
        <v>42</v>
      </c>
      <c r="L46" s="114">
        <v>572</v>
      </c>
      <c r="M46" s="114">
        <v>22</v>
      </c>
      <c r="N46" s="114">
        <v>13</v>
      </c>
    </row>
    <row r="47" spans="1:17" ht="13.5" customHeight="1">
      <c r="A47" s="116" t="s">
        <v>392</v>
      </c>
      <c r="B47" s="114">
        <f>SUM(C47:N47)</f>
        <v>15748</v>
      </c>
      <c r="C47" s="114">
        <v>2112</v>
      </c>
      <c r="D47" s="114">
        <v>1081</v>
      </c>
      <c r="E47" s="114">
        <v>1080</v>
      </c>
      <c r="F47" s="114">
        <v>667</v>
      </c>
      <c r="G47" s="114">
        <v>770</v>
      </c>
      <c r="H47" s="114">
        <v>743</v>
      </c>
      <c r="I47" s="114">
        <v>856</v>
      </c>
      <c r="J47" s="114">
        <v>302</v>
      </c>
      <c r="K47" s="114">
        <v>1393</v>
      </c>
      <c r="L47" s="114">
        <v>5944</v>
      </c>
      <c r="M47" s="114">
        <v>435</v>
      </c>
      <c r="N47" s="114">
        <v>365</v>
      </c>
    </row>
    <row r="48" spans="1:17" ht="13.5" customHeight="1">
      <c r="A48" s="116" t="s">
        <v>393</v>
      </c>
      <c r="B48" s="114">
        <f>SUM(C48:N48)</f>
        <v>1070</v>
      </c>
      <c r="C48" s="114">
        <v>26</v>
      </c>
      <c r="D48" s="114">
        <v>199</v>
      </c>
      <c r="E48" s="114">
        <v>122</v>
      </c>
      <c r="F48" s="114">
        <v>50</v>
      </c>
      <c r="G48" s="114">
        <v>34</v>
      </c>
      <c r="H48" s="114">
        <v>20</v>
      </c>
      <c r="I48" s="114">
        <v>34</v>
      </c>
      <c r="J48" s="114">
        <v>23</v>
      </c>
      <c r="K48" s="114">
        <v>61</v>
      </c>
      <c r="L48" s="114">
        <v>448</v>
      </c>
      <c r="M48" s="114">
        <v>17</v>
      </c>
      <c r="N48" s="114">
        <v>36</v>
      </c>
    </row>
    <row r="49" spans="1:14" ht="13.5" customHeight="1">
      <c r="A49" s="115">
        <v>2017</v>
      </c>
      <c r="B49" s="639"/>
      <c r="C49" s="639"/>
      <c r="D49" s="639"/>
      <c r="E49" s="639"/>
      <c r="F49" s="639"/>
      <c r="G49" s="639"/>
      <c r="H49" s="639"/>
      <c r="I49" s="639"/>
      <c r="J49" s="639"/>
      <c r="K49" s="639"/>
      <c r="L49" s="639"/>
      <c r="M49" s="639"/>
      <c r="N49" s="639"/>
    </row>
    <row r="50" spans="1:14" ht="13.5" customHeight="1">
      <c r="A50" s="115" t="s">
        <v>60</v>
      </c>
      <c r="B50" s="113">
        <f>SUM(B51:B53)</f>
        <v>16843</v>
      </c>
      <c r="C50" s="113">
        <f t="shared" ref="C50:N50" si="6">SUM(C51:C53)</f>
        <v>2171</v>
      </c>
      <c r="D50" s="113">
        <f t="shared" si="6"/>
        <v>1499</v>
      </c>
      <c r="E50" s="113">
        <f t="shared" si="6"/>
        <v>1255</v>
      </c>
      <c r="F50" s="113">
        <f t="shared" si="6"/>
        <v>669</v>
      </c>
      <c r="G50" s="113">
        <f t="shared" si="6"/>
        <v>752</v>
      </c>
      <c r="H50" s="113">
        <f t="shared" si="6"/>
        <v>701</v>
      </c>
      <c r="I50" s="113">
        <f t="shared" si="6"/>
        <v>840</v>
      </c>
      <c r="J50" s="113">
        <f t="shared" si="6"/>
        <v>288</v>
      </c>
      <c r="K50" s="113">
        <f t="shared" si="6"/>
        <v>1297</v>
      </c>
      <c r="L50" s="113">
        <f t="shared" si="6"/>
        <v>6555</v>
      </c>
      <c r="M50" s="113">
        <f t="shared" si="6"/>
        <v>471</v>
      </c>
      <c r="N50" s="113">
        <f t="shared" si="6"/>
        <v>345</v>
      </c>
    </row>
    <row r="51" spans="1:14" ht="13.5" customHeight="1">
      <c r="A51" s="116" t="s">
        <v>39</v>
      </c>
      <c r="B51" s="114">
        <f>SUM(C51:N51)</f>
        <v>880</v>
      </c>
      <c r="C51" s="114">
        <v>5</v>
      </c>
      <c r="D51" s="114">
        <v>111</v>
      </c>
      <c r="E51" s="114">
        <v>41</v>
      </c>
      <c r="F51" s="114">
        <v>44</v>
      </c>
      <c r="G51" s="114">
        <v>14</v>
      </c>
      <c r="H51" s="114">
        <v>34</v>
      </c>
      <c r="I51" s="114">
        <v>30</v>
      </c>
      <c r="J51" s="114">
        <v>21</v>
      </c>
      <c r="K51" s="114">
        <v>35</v>
      </c>
      <c r="L51" s="114">
        <v>519</v>
      </c>
      <c r="M51" s="114">
        <v>15</v>
      </c>
      <c r="N51" s="114">
        <v>11</v>
      </c>
    </row>
    <row r="52" spans="1:14" ht="13.5" customHeight="1">
      <c r="A52" s="116" t="s">
        <v>392</v>
      </c>
      <c r="B52" s="114">
        <f>SUM(C52:N52)</f>
        <v>14844</v>
      </c>
      <c r="C52" s="114">
        <v>2138</v>
      </c>
      <c r="D52" s="114">
        <v>1210</v>
      </c>
      <c r="E52" s="114">
        <v>1101</v>
      </c>
      <c r="F52" s="114">
        <v>599</v>
      </c>
      <c r="G52" s="114">
        <v>731</v>
      </c>
      <c r="H52" s="114">
        <v>638</v>
      </c>
      <c r="I52" s="114">
        <v>776</v>
      </c>
      <c r="J52" s="114">
        <v>254</v>
      </c>
      <c r="K52" s="114">
        <v>1209</v>
      </c>
      <c r="L52" s="114">
        <v>5442</v>
      </c>
      <c r="M52" s="114">
        <v>445</v>
      </c>
      <c r="N52" s="114">
        <v>301</v>
      </c>
    </row>
    <row r="53" spans="1:14" ht="13.5" customHeight="1">
      <c r="A53" s="116" t="s">
        <v>393</v>
      </c>
      <c r="B53" s="114">
        <f>SUM(C53:N53)</f>
        <v>1119</v>
      </c>
      <c r="C53" s="114">
        <v>28</v>
      </c>
      <c r="D53" s="114">
        <v>178</v>
      </c>
      <c r="E53" s="114">
        <v>113</v>
      </c>
      <c r="F53" s="114">
        <v>26</v>
      </c>
      <c r="G53" s="114">
        <v>7</v>
      </c>
      <c r="H53" s="114">
        <v>29</v>
      </c>
      <c r="I53" s="114">
        <v>34</v>
      </c>
      <c r="J53" s="114">
        <v>13</v>
      </c>
      <c r="K53" s="114">
        <v>53</v>
      </c>
      <c r="L53" s="114">
        <v>594</v>
      </c>
      <c r="M53" s="114">
        <v>11</v>
      </c>
      <c r="N53" s="114">
        <v>33</v>
      </c>
    </row>
    <row r="54" spans="1:14" ht="13.5" customHeight="1">
      <c r="A54" s="115">
        <v>2018</v>
      </c>
      <c r="B54" s="639"/>
      <c r="C54" s="639"/>
      <c r="D54" s="639"/>
      <c r="E54" s="639"/>
      <c r="F54" s="639"/>
      <c r="G54" s="639"/>
      <c r="H54" s="639"/>
      <c r="I54" s="639"/>
      <c r="J54" s="639"/>
      <c r="K54" s="639"/>
      <c r="L54" s="639"/>
      <c r="M54" s="639"/>
      <c r="N54" s="639"/>
    </row>
    <row r="55" spans="1:14" ht="13.5" customHeight="1">
      <c r="A55" s="115" t="s">
        <v>60</v>
      </c>
      <c r="B55" s="113">
        <f>SUM(B56:B58)</f>
        <v>16057</v>
      </c>
      <c r="C55" s="113">
        <f t="shared" ref="C55:N55" si="7">SUM(C56:C58)</f>
        <v>1969</v>
      </c>
      <c r="D55" s="113">
        <f t="shared" si="7"/>
        <v>1335</v>
      </c>
      <c r="E55" s="113">
        <f t="shared" si="7"/>
        <v>1196</v>
      </c>
      <c r="F55" s="113">
        <f t="shared" si="7"/>
        <v>674</v>
      </c>
      <c r="G55" s="113">
        <f t="shared" si="7"/>
        <v>795</v>
      </c>
      <c r="H55" s="113">
        <f t="shared" si="7"/>
        <v>557</v>
      </c>
      <c r="I55" s="113">
        <f t="shared" si="7"/>
        <v>856</v>
      </c>
      <c r="J55" s="113">
        <f t="shared" si="7"/>
        <v>314</v>
      </c>
      <c r="K55" s="113">
        <f t="shared" si="7"/>
        <v>1249</v>
      </c>
      <c r="L55" s="113">
        <f t="shared" si="7"/>
        <v>6310</v>
      </c>
      <c r="M55" s="113">
        <f t="shared" si="7"/>
        <v>464</v>
      </c>
      <c r="N55" s="113">
        <f t="shared" si="7"/>
        <v>338</v>
      </c>
    </row>
    <row r="56" spans="1:14" ht="13.5" customHeight="1">
      <c r="A56" s="116" t="s">
        <v>39</v>
      </c>
      <c r="B56" s="114">
        <f>SUM(C56:N56)</f>
        <v>727</v>
      </c>
      <c r="C56" s="114">
        <v>4</v>
      </c>
      <c r="D56" s="114">
        <v>77</v>
      </c>
      <c r="E56" s="114">
        <v>24</v>
      </c>
      <c r="F56" s="114">
        <v>14</v>
      </c>
      <c r="G56" s="114">
        <v>20</v>
      </c>
      <c r="H56" s="114">
        <v>23</v>
      </c>
      <c r="I56" s="114">
        <v>18</v>
      </c>
      <c r="J56" s="114">
        <v>15</v>
      </c>
      <c r="K56" s="114">
        <v>35</v>
      </c>
      <c r="L56" s="114">
        <v>469</v>
      </c>
      <c r="M56" s="114">
        <v>13</v>
      </c>
      <c r="N56" s="114">
        <v>15</v>
      </c>
    </row>
    <row r="57" spans="1:14" ht="13.5" customHeight="1">
      <c r="A57" s="116" t="s">
        <v>392</v>
      </c>
      <c r="B57" s="114">
        <f>SUM(C57:N57)</f>
        <v>14372</v>
      </c>
      <c r="C57" s="114">
        <v>1860</v>
      </c>
      <c r="D57" s="114">
        <v>1171</v>
      </c>
      <c r="E57" s="114">
        <v>1101</v>
      </c>
      <c r="F57" s="114">
        <v>644</v>
      </c>
      <c r="G57" s="114">
        <v>761</v>
      </c>
      <c r="H57" s="114">
        <v>499</v>
      </c>
      <c r="I57" s="114">
        <v>811</v>
      </c>
      <c r="J57" s="114">
        <v>285</v>
      </c>
      <c r="K57" s="114">
        <v>1175</v>
      </c>
      <c r="L57" s="114">
        <v>5313</v>
      </c>
      <c r="M57" s="114">
        <v>442</v>
      </c>
      <c r="N57" s="114">
        <v>310</v>
      </c>
    </row>
    <row r="58" spans="1:14" ht="13.5" customHeight="1">
      <c r="A58" s="116" t="s">
        <v>393</v>
      </c>
      <c r="B58" s="114">
        <f>SUM(C58:N58)</f>
        <v>958</v>
      </c>
      <c r="C58" s="114">
        <v>105</v>
      </c>
      <c r="D58" s="114">
        <v>87</v>
      </c>
      <c r="E58" s="114">
        <v>71</v>
      </c>
      <c r="F58" s="114">
        <v>16</v>
      </c>
      <c r="G58" s="114">
        <v>14</v>
      </c>
      <c r="H58" s="114">
        <v>35</v>
      </c>
      <c r="I58" s="114">
        <v>27</v>
      </c>
      <c r="J58" s="114">
        <v>14</v>
      </c>
      <c r="K58" s="114">
        <v>39</v>
      </c>
      <c r="L58" s="114">
        <v>528</v>
      </c>
      <c r="M58" s="114">
        <v>9</v>
      </c>
      <c r="N58" s="114">
        <v>13</v>
      </c>
    </row>
    <row r="59" spans="1:14" ht="13.5" customHeight="1">
      <c r="A59" s="115">
        <v>2019</v>
      </c>
      <c r="B59" s="639"/>
      <c r="C59" s="639"/>
      <c r="D59" s="639"/>
      <c r="E59" s="639"/>
      <c r="F59" s="639"/>
      <c r="G59" s="639"/>
      <c r="H59" s="639"/>
      <c r="I59" s="639"/>
      <c r="J59" s="639"/>
      <c r="K59" s="639"/>
      <c r="L59" s="639"/>
      <c r="M59" s="639"/>
      <c r="N59" s="639"/>
    </row>
    <row r="60" spans="1:14" ht="13.5" customHeight="1">
      <c r="A60" s="115" t="s">
        <v>60</v>
      </c>
      <c r="B60" s="113">
        <f>SUM(B61:B63)</f>
        <v>16396</v>
      </c>
      <c r="C60" s="113">
        <f t="shared" ref="C60:N60" si="8">SUM(C61:C63)</f>
        <v>2191</v>
      </c>
      <c r="D60" s="113">
        <f t="shared" si="8"/>
        <v>1339</v>
      </c>
      <c r="E60" s="113">
        <f t="shared" si="8"/>
        <v>1033</v>
      </c>
      <c r="F60" s="113">
        <f t="shared" si="8"/>
        <v>598</v>
      </c>
      <c r="G60" s="113">
        <f t="shared" si="8"/>
        <v>663</v>
      </c>
      <c r="H60" s="113">
        <f t="shared" si="8"/>
        <v>650</v>
      </c>
      <c r="I60" s="113">
        <f t="shared" si="8"/>
        <v>705</v>
      </c>
      <c r="J60" s="113">
        <f t="shared" si="8"/>
        <v>277</v>
      </c>
      <c r="K60" s="113">
        <f t="shared" si="8"/>
        <v>1556</v>
      </c>
      <c r="L60" s="113">
        <f t="shared" si="8"/>
        <v>6619</v>
      </c>
      <c r="M60" s="113">
        <f t="shared" si="8"/>
        <v>422</v>
      </c>
      <c r="N60" s="113">
        <f t="shared" si="8"/>
        <v>343</v>
      </c>
    </row>
    <row r="61" spans="1:14" ht="13.5" customHeight="1">
      <c r="A61" s="116" t="s">
        <v>39</v>
      </c>
      <c r="B61" s="114">
        <f>SUM(C61:N61)</f>
        <v>649</v>
      </c>
      <c r="C61" s="114">
        <v>6</v>
      </c>
      <c r="D61" s="114">
        <v>49</v>
      </c>
      <c r="E61" s="114">
        <v>25</v>
      </c>
      <c r="F61" s="114">
        <v>5</v>
      </c>
      <c r="G61" s="114">
        <v>24</v>
      </c>
      <c r="H61" s="114">
        <v>5</v>
      </c>
      <c r="I61" s="114">
        <v>23</v>
      </c>
      <c r="J61" s="114">
        <v>8</v>
      </c>
      <c r="K61" s="114">
        <v>17</v>
      </c>
      <c r="L61" s="114">
        <v>461</v>
      </c>
      <c r="M61" s="114">
        <v>18</v>
      </c>
      <c r="N61" s="114">
        <v>8</v>
      </c>
    </row>
    <row r="62" spans="1:14" ht="13.5" customHeight="1">
      <c r="A62" s="116" t="s">
        <v>392</v>
      </c>
      <c r="B62" s="114">
        <f>SUM(C62:N62)</f>
        <v>15082</v>
      </c>
      <c r="C62" s="114">
        <v>2127</v>
      </c>
      <c r="D62" s="114">
        <v>1235</v>
      </c>
      <c r="E62" s="114">
        <v>975</v>
      </c>
      <c r="F62" s="114">
        <v>583</v>
      </c>
      <c r="G62" s="114">
        <v>615</v>
      </c>
      <c r="H62" s="114">
        <v>639</v>
      </c>
      <c r="I62" s="114">
        <v>657</v>
      </c>
      <c r="J62" s="114">
        <v>260</v>
      </c>
      <c r="K62" s="114">
        <v>1517</v>
      </c>
      <c r="L62" s="114">
        <v>5764</v>
      </c>
      <c r="M62" s="114">
        <v>388</v>
      </c>
      <c r="N62" s="114">
        <v>322</v>
      </c>
    </row>
    <row r="63" spans="1:14" ht="13.5" customHeight="1">
      <c r="A63" s="116" t="s">
        <v>393</v>
      </c>
      <c r="B63" s="114">
        <f>SUM(C63:N63)</f>
        <v>665</v>
      </c>
      <c r="C63" s="114">
        <v>58</v>
      </c>
      <c r="D63" s="114">
        <v>55</v>
      </c>
      <c r="E63" s="114">
        <v>33</v>
      </c>
      <c r="F63" s="114">
        <v>10</v>
      </c>
      <c r="G63" s="114">
        <v>24</v>
      </c>
      <c r="H63" s="114">
        <v>6</v>
      </c>
      <c r="I63" s="114">
        <v>25</v>
      </c>
      <c r="J63" s="114">
        <v>9</v>
      </c>
      <c r="K63" s="114">
        <v>22</v>
      </c>
      <c r="L63" s="114">
        <v>394</v>
      </c>
      <c r="M63" s="114">
        <v>16</v>
      </c>
      <c r="N63" s="114">
        <v>13</v>
      </c>
    </row>
    <row r="64" spans="1:14" ht="13.5" customHeight="1">
      <c r="A64" s="115">
        <v>2020</v>
      </c>
      <c r="B64" s="639"/>
      <c r="C64" s="639"/>
      <c r="D64" s="639"/>
      <c r="E64" s="639"/>
      <c r="F64" s="639"/>
      <c r="G64" s="639"/>
      <c r="H64" s="639"/>
      <c r="I64" s="639"/>
      <c r="J64" s="639"/>
      <c r="K64" s="639"/>
      <c r="L64" s="639"/>
      <c r="M64" s="639"/>
      <c r="N64" s="639"/>
    </row>
    <row r="65" spans="1:14" ht="13.5" customHeight="1">
      <c r="A65" s="115" t="s">
        <v>60</v>
      </c>
      <c r="B65" s="113">
        <f>SUM(B66:B68)</f>
        <v>15993</v>
      </c>
      <c r="C65" s="113">
        <f t="shared" ref="C65:N65" si="9">SUM(C66:C68)</f>
        <v>1814</v>
      </c>
      <c r="D65" s="113">
        <f t="shared" si="9"/>
        <v>1298</v>
      </c>
      <c r="E65" s="113">
        <f t="shared" si="9"/>
        <v>1095</v>
      </c>
      <c r="F65" s="113">
        <f t="shared" si="9"/>
        <v>818</v>
      </c>
      <c r="G65" s="113">
        <f t="shared" si="9"/>
        <v>666</v>
      </c>
      <c r="H65" s="113">
        <f t="shared" si="9"/>
        <v>716</v>
      </c>
      <c r="I65" s="113">
        <f t="shared" si="9"/>
        <v>869</v>
      </c>
      <c r="J65" s="113">
        <f t="shared" si="9"/>
        <v>317</v>
      </c>
      <c r="K65" s="113">
        <f t="shared" si="9"/>
        <v>1302</v>
      </c>
      <c r="L65" s="113">
        <f t="shared" si="9"/>
        <v>6170</v>
      </c>
      <c r="M65" s="113">
        <f t="shared" si="9"/>
        <v>591</v>
      </c>
      <c r="N65" s="113">
        <f t="shared" si="9"/>
        <v>337</v>
      </c>
    </row>
    <row r="66" spans="1:14" ht="13.5" customHeight="1">
      <c r="A66" s="116" t="s">
        <v>39</v>
      </c>
      <c r="B66" s="114">
        <f>SUM(C66:N66)</f>
        <v>916</v>
      </c>
      <c r="C66" s="114">
        <v>1</v>
      </c>
      <c r="D66" s="114">
        <v>42</v>
      </c>
      <c r="E66" s="114">
        <v>7</v>
      </c>
      <c r="F66" s="114">
        <v>16</v>
      </c>
      <c r="G66" s="114">
        <v>11</v>
      </c>
      <c r="H66" s="114">
        <v>10</v>
      </c>
      <c r="I66" s="114">
        <v>7</v>
      </c>
      <c r="J66" s="114">
        <v>9</v>
      </c>
      <c r="K66" s="114">
        <v>15</v>
      </c>
      <c r="L66" s="114">
        <v>772</v>
      </c>
      <c r="M66" s="114">
        <v>14</v>
      </c>
      <c r="N66" s="114">
        <v>12</v>
      </c>
    </row>
    <row r="67" spans="1:14" ht="13.5" customHeight="1">
      <c r="A67" s="116" t="s">
        <v>392</v>
      </c>
      <c r="B67" s="114">
        <f>SUM(C67:N67)</f>
        <v>14186</v>
      </c>
      <c r="C67" s="114">
        <v>1789</v>
      </c>
      <c r="D67" s="114">
        <v>1188</v>
      </c>
      <c r="E67" s="114">
        <v>1053</v>
      </c>
      <c r="F67" s="114">
        <v>778</v>
      </c>
      <c r="G67" s="114">
        <v>630</v>
      </c>
      <c r="H67" s="114">
        <v>685</v>
      </c>
      <c r="I67" s="114">
        <v>829</v>
      </c>
      <c r="J67" s="114">
        <v>303</v>
      </c>
      <c r="K67" s="114">
        <v>1251</v>
      </c>
      <c r="L67" s="114">
        <v>4820</v>
      </c>
      <c r="M67" s="114">
        <v>562</v>
      </c>
      <c r="N67" s="114">
        <v>298</v>
      </c>
    </row>
    <row r="68" spans="1:14" ht="13.5" customHeight="1">
      <c r="A68" s="116" t="s">
        <v>393</v>
      </c>
      <c r="B68" s="114">
        <f>SUM(C68:N68)</f>
        <v>891</v>
      </c>
      <c r="C68" s="114">
        <v>24</v>
      </c>
      <c r="D68" s="114">
        <v>68</v>
      </c>
      <c r="E68" s="114">
        <v>35</v>
      </c>
      <c r="F68" s="114">
        <v>24</v>
      </c>
      <c r="G68" s="114">
        <v>25</v>
      </c>
      <c r="H68" s="114">
        <v>21</v>
      </c>
      <c r="I68" s="114">
        <v>33</v>
      </c>
      <c r="J68" s="114">
        <v>5</v>
      </c>
      <c r="K68" s="114">
        <v>36</v>
      </c>
      <c r="L68" s="114">
        <v>578</v>
      </c>
      <c r="M68" s="114">
        <v>15</v>
      </c>
      <c r="N68" s="114">
        <v>27</v>
      </c>
    </row>
    <row r="69" spans="1:14" ht="13.5" customHeight="1">
      <c r="A69" s="115">
        <v>2021</v>
      </c>
      <c r="B69" s="639"/>
      <c r="C69" s="639"/>
      <c r="D69" s="639"/>
      <c r="E69" s="639"/>
      <c r="F69" s="639"/>
      <c r="G69" s="639"/>
      <c r="H69" s="639"/>
      <c r="I69" s="639"/>
      <c r="J69" s="639"/>
      <c r="K69" s="639"/>
      <c r="L69" s="639"/>
      <c r="M69" s="639"/>
      <c r="N69" s="639"/>
    </row>
    <row r="70" spans="1:14" ht="13.5" customHeight="1">
      <c r="A70" s="115" t="s">
        <v>60</v>
      </c>
      <c r="B70" s="113">
        <f>SUM(B71:B73)</f>
        <v>13166</v>
      </c>
      <c r="C70" s="113">
        <f t="shared" ref="C70:N70" si="10">SUM(C71:C73)</f>
        <v>1592</v>
      </c>
      <c r="D70" s="113">
        <f t="shared" si="10"/>
        <v>858</v>
      </c>
      <c r="E70" s="113">
        <f t="shared" si="10"/>
        <v>954</v>
      </c>
      <c r="F70" s="113">
        <f t="shared" si="10"/>
        <v>713</v>
      </c>
      <c r="G70" s="113">
        <f t="shared" si="10"/>
        <v>532</v>
      </c>
      <c r="H70" s="113">
        <f t="shared" si="10"/>
        <v>663</v>
      </c>
      <c r="I70" s="113">
        <f t="shared" si="10"/>
        <v>740</v>
      </c>
      <c r="J70" s="113">
        <f t="shared" si="10"/>
        <v>285</v>
      </c>
      <c r="K70" s="113">
        <f t="shared" si="10"/>
        <v>1265</v>
      </c>
      <c r="L70" s="113">
        <f t="shared" si="10"/>
        <v>4678</v>
      </c>
      <c r="M70" s="113">
        <f t="shared" si="10"/>
        <v>495</v>
      </c>
      <c r="N70" s="113">
        <f t="shared" si="10"/>
        <v>391</v>
      </c>
    </row>
    <row r="71" spans="1:14" ht="13.5" customHeight="1">
      <c r="A71" s="116" t="s">
        <v>39</v>
      </c>
      <c r="B71" s="114">
        <f>SUM(C71:N71)</f>
        <v>898</v>
      </c>
      <c r="C71" s="114">
        <v>10</v>
      </c>
      <c r="D71" s="114">
        <v>45</v>
      </c>
      <c r="E71" s="114">
        <v>24</v>
      </c>
      <c r="F71" s="114">
        <v>15</v>
      </c>
      <c r="G71" s="114">
        <v>14</v>
      </c>
      <c r="H71" s="114">
        <v>5</v>
      </c>
      <c r="I71" s="114">
        <v>25</v>
      </c>
      <c r="J71" s="114">
        <v>6</v>
      </c>
      <c r="K71" s="114">
        <v>22</v>
      </c>
      <c r="L71" s="114">
        <v>697</v>
      </c>
      <c r="M71" s="114">
        <v>30</v>
      </c>
      <c r="N71" s="114">
        <v>5</v>
      </c>
    </row>
    <row r="72" spans="1:14" ht="13.5" customHeight="1">
      <c r="A72" s="116" t="s">
        <v>392</v>
      </c>
      <c r="B72" s="114">
        <f>SUM(C72:N72)</f>
        <v>11051</v>
      </c>
      <c r="C72" s="114">
        <v>1468</v>
      </c>
      <c r="D72" s="114">
        <v>752</v>
      </c>
      <c r="E72" s="114">
        <v>735</v>
      </c>
      <c r="F72" s="114">
        <v>664</v>
      </c>
      <c r="G72" s="114">
        <v>478</v>
      </c>
      <c r="H72" s="114">
        <v>652</v>
      </c>
      <c r="I72" s="114">
        <v>662</v>
      </c>
      <c r="J72" s="114">
        <v>269</v>
      </c>
      <c r="K72" s="114">
        <v>1204</v>
      </c>
      <c r="L72" s="114">
        <v>3409</v>
      </c>
      <c r="M72" s="114">
        <v>407</v>
      </c>
      <c r="N72" s="114">
        <v>351</v>
      </c>
    </row>
    <row r="73" spans="1:14" ht="13.5" customHeight="1">
      <c r="A73" s="116" t="s">
        <v>393</v>
      </c>
      <c r="B73" s="114">
        <f>SUM(C73:N73)</f>
        <v>1217</v>
      </c>
      <c r="C73" s="114">
        <v>114</v>
      </c>
      <c r="D73" s="114">
        <v>61</v>
      </c>
      <c r="E73" s="114">
        <v>195</v>
      </c>
      <c r="F73" s="114">
        <v>34</v>
      </c>
      <c r="G73" s="114">
        <v>40</v>
      </c>
      <c r="H73" s="114">
        <v>6</v>
      </c>
      <c r="I73" s="114">
        <v>53</v>
      </c>
      <c r="J73" s="114">
        <v>10</v>
      </c>
      <c r="K73" s="114">
        <v>39</v>
      </c>
      <c r="L73" s="114">
        <v>572</v>
      </c>
      <c r="M73" s="114">
        <v>58</v>
      </c>
      <c r="N73" s="114">
        <v>35</v>
      </c>
    </row>
    <row r="74" spans="1:14" ht="13.5" customHeight="1">
      <c r="A74" s="115">
        <v>2022</v>
      </c>
      <c r="B74" s="639"/>
      <c r="C74" s="639"/>
      <c r="D74" s="639"/>
      <c r="E74" s="639"/>
      <c r="F74" s="639"/>
      <c r="G74" s="639"/>
      <c r="H74" s="639"/>
      <c r="I74" s="639"/>
      <c r="J74" s="639"/>
      <c r="K74" s="639"/>
      <c r="L74" s="639"/>
      <c r="M74" s="639"/>
      <c r="N74" s="639"/>
    </row>
    <row r="75" spans="1:14" ht="13.5" customHeight="1">
      <c r="A75" s="115" t="s">
        <v>60</v>
      </c>
      <c r="B75" s="113">
        <f>SUM(B76:B78)</f>
        <v>13803</v>
      </c>
      <c r="C75" s="113">
        <f t="shared" ref="C75:N75" si="11">SUM(C76:C78)</f>
        <v>1648</v>
      </c>
      <c r="D75" s="113">
        <f t="shared" si="11"/>
        <v>1204</v>
      </c>
      <c r="E75" s="113">
        <f t="shared" si="11"/>
        <v>1086</v>
      </c>
      <c r="F75" s="113">
        <f t="shared" si="11"/>
        <v>724</v>
      </c>
      <c r="G75" s="113">
        <f t="shared" si="11"/>
        <v>873</v>
      </c>
      <c r="H75" s="113">
        <f t="shared" si="11"/>
        <v>693</v>
      </c>
      <c r="I75" s="113">
        <f t="shared" si="11"/>
        <v>754</v>
      </c>
      <c r="J75" s="113">
        <f t="shared" si="11"/>
        <v>330</v>
      </c>
      <c r="K75" s="113">
        <f t="shared" si="11"/>
        <v>1172</v>
      </c>
      <c r="L75" s="113">
        <f t="shared" si="11"/>
        <v>4549</v>
      </c>
      <c r="M75" s="113">
        <f t="shared" si="11"/>
        <v>386</v>
      </c>
      <c r="N75" s="113">
        <f t="shared" si="11"/>
        <v>384</v>
      </c>
    </row>
    <row r="76" spans="1:14" ht="13.5" customHeight="1">
      <c r="A76" s="116" t="s">
        <v>39</v>
      </c>
      <c r="B76" s="114">
        <f>SUM(C76:N76)</f>
        <v>779</v>
      </c>
      <c r="C76" s="114">
        <v>19</v>
      </c>
      <c r="D76" s="114">
        <v>34</v>
      </c>
      <c r="E76" s="114">
        <v>45</v>
      </c>
      <c r="F76" s="114">
        <v>34</v>
      </c>
      <c r="G76" s="114">
        <v>5</v>
      </c>
      <c r="H76" s="114">
        <v>2</v>
      </c>
      <c r="I76" s="114">
        <v>10</v>
      </c>
      <c r="J76" s="114">
        <v>3</v>
      </c>
      <c r="K76" s="114">
        <v>9</v>
      </c>
      <c r="L76" s="114">
        <v>604</v>
      </c>
      <c r="M76" s="114">
        <v>7</v>
      </c>
      <c r="N76" s="114">
        <v>7</v>
      </c>
    </row>
    <row r="77" spans="1:14" ht="13.5" customHeight="1">
      <c r="A77" s="116" t="s">
        <v>392</v>
      </c>
      <c r="B77" s="114">
        <f>SUM(C77:N77)</f>
        <v>11993</v>
      </c>
      <c r="C77" s="114">
        <v>1591</v>
      </c>
      <c r="D77" s="114">
        <v>1129</v>
      </c>
      <c r="E77" s="114">
        <v>965</v>
      </c>
      <c r="F77" s="114">
        <v>663</v>
      </c>
      <c r="G77" s="114">
        <v>860</v>
      </c>
      <c r="H77" s="114">
        <v>685</v>
      </c>
      <c r="I77" s="114">
        <v>724</v>
      </c>
      <c r="J77" s="114">
        <v>319</v>
      </c>
      <c r="K77" s="114">
        <v>1141</v>
      </c>
      <c r="L77" s="114">
        <v>3186</v>
      </c>
      <c r="M77" s="114">
        <v>374</v>
      </c>
      <c r="N77" s="114">
        <v>356</v>
      </c>
    </row>
    <row r="78" spans="1:14" ht="13.5" customHeight="1">
      <c r="A78" s="116" t="s">
        <v>393</v>
      </c>
      <c r="B78" s="114">
        <f>SUM(C78:N78)</f>
        <v>1031</v>
      </c>
      <c r="C78" s="114">
        <v>38</v>
      </c>
      <c r="D78" s="114">
        <v>41</v>
      </c>
      <c r="E78" s="114">
        <v>76</v>
      </c>
      <c r="F78" s="114">
        <v>27</v>
      </c>
      <c r="G78" s="114">
        <v>8</v>
      </c>
      <c r="H78" s="114">
        <v>6</v>
      </c>
      <c r="I78" s="114">
        <v>20</v>
      </c>
      <c r="J78" s="114">
        <v>8</v>
      </c>
      <c r="K78" s="114">
        <v>22</v>
      </c>
      <c r="L78" s="114">
        <v>759</v>
      </c>
      <c r="M78" s="114">
        <v>5</v>
      </c>
      <c r="N78" s="114">
        <v>21</v>
      </c>
    </row>
    <row r="79" spans="1:14" ht="13.5" customHeight="1">
      <c r="A79" s="115">
        <v>2023</v>
      </c>
      <c r="B79" s="639"/>
      <c r="C79" s="639"/>
      <c r="D79" s="639"/>
      <c r="E79" s="639"/>
      <c r="F79" s="639"/>
      <c r="G79" s="639"/>
      <c r="H79" s="639"/>
      <c r="I79" s="639"/>
      <c r="J79" s="639"/>
      <c r="K79" s="639"/>
      <c r="L79" s="639"/>
      <c r="M79" s="639"/>
      <c r="N79" s="639"/>
    </row>
    <row r="80" spans="1:14" ht="13.5" customHeight="1">
      <c r="A80" s="115" t="s">
        <v>60</v>
      </c>
      <c r="B80" s="113">
        <f>SUM(B81:B83)</f>
        <v>14261</v>
      </c>
      <c r="C80" s="113">
        <f t="shared" ref="C80:N80" si="12">SUM(C81:C83)</f>
        <v>1661</v>
      </c>
      <c r="D80" s="113">
        <f t="shared" si="12"/>
        <v>935</v>
      </c>
      <c r="E80" s="113">
        <f t="shared" si="12"/>
        <v>994</v>
      </c>
      <c r="F80" s="113">
        <f t="shared" si="12"/>
        <v>640</v>
      </c>
      <c r="G80" s="113">
        <f t="shared" si="12"/>
        <v>746</v>
      </c>
      <c r="H80" s="113">
        <f t="shared" si="12"/>
        <v>591</v>
      </c>
      <c r="I80" s="113">
        <f t="shared" si="12"/>
        <v>684</v>
      </c>
      <c r="J80" s="113">
        <f t="shared" si="12"/>
        <v>252</v>
      </c>
      <c r="K80" s="113">
        <f t="shared" si="12"/>
        <v>1100</v>
      </c>
      <c r="L80" s="113">
        <f t="shared" si="12"/>
        <v>6025</v>
      </c>
      <c r="M80" s="113">
        <f t="shared" si="12"/>
        <v>333</v>
      </c>
      <c r="N80" s="113">
        <f t="shared" si="12"/>
        <v>300</v>
      </c>
    </row>
    <row r="81" spans="1:14" ht="13.5" customHeight="1">
      <c r="A81" s="116" t="s">
        <v>39</v>
      </c>
      <c r="B81" s="114">
        <f>SUM(C81:N81)</f>
        <v>803</v>
      </c>
      <c r="C81" s="114">
        <v>3</v>
      </c>
      <c r="D81" s="114">
        <v>22</v>
      </c>
      <c r="E81" s="114">
        <v>10</v>
      </c>
      <c r="F81" s="114">
        <v>37</v>
      </c>
      <c r="G81" s="114">
        <v>7</v>
      </c>
      <c r="H81" s="114">
        <v>3</v>
      </c>
      <c r="I81" s="114">
        <v>28</v>
      </c>
      <c r="J81" s="114">
        <v>6</v>
      </c>
      <c r="K81" s="114">
        <v>21</v>
      </c>
      <c r="L81" s="114">
        <v>657</v>
      </c>
      <c r="M81" s="114">
        <v>9</v>
      </c>
      <c r="N81" s="114" t="s">
        <v>13</v>
      </c>
    </row>
    <row r="82" spans="1:14" ht="13.5" customHeight="1">
      <c r="A82" s="116" t="s">
        <v>392</v>
      </c>
      <c r="B82" s="114">
        <f>SUM(C82:N82)</f>
        <v>12881</v>
      </c>
      <c r="C82" s="114">
        <v>1643</v>
      </c>
      <c r="D82" s="114">
        <v>890</v>
      </c>
      <c r="E82" s="114">
        <v>969</v>
      </c>
      <c r="F82" s="114">
        <v>595</v>
      </c>
      <c r="G82" s="114">
        <v>735</v>
      </c>
      <c r="H82" s="114">
        <v>585</v>
      </c>
      <c r="I82" s="114">
        <v>637</v>
      </c>
      <c r="J82" s="114">
        <v>243</v>
      </c>
      <c r="K82" s="114">
        <v>1072</v>
      </c>
      <c r="L82" s="114">
        <v>4892</v>
      </c>
      <c r="M82" s="114">
        <v>323</v>
      </c>
      <c r="N82" s="114">
        <v>297</v>
      </c>
    </row>
    <row r="83" spans="1:14" ht="13.5" customHeight="1">
      <c r="A83" s="116" t="s">
        <v>393</v>
      </c>
      <c r="B83" s="114">
        <f>SUM(C83:N83)</f>
        <v>577</v>
      </c>
      <c r="C83" s="114">
        <v>15</v>
      </c>
      <c r="D83" s="114">
        <v>23</v>
      </c>
      <c r="E83" s="114">
        <v>15</v>
      </c>
      <c r="F83" s="114">
        <v>8</v>
      </c>
      <c r="G83" s="114">
        <v>4</v>
      </c>
      <c r="H83" s="114">
        <v>3</v>
      </c>
      <c r="I83" s="114">
        <v>19</v>
      </c>
      <c r="J83" s="114">
        <v>3</v>
      </c>
      <c r="K83" s="114">
        <v>7</v>
      </c>
      <c r="L83" s="114">
        <v>476</v>
      </c>
      <c r="M83" s="114">
        <v>1</v>
      </c>
      <c r="N83" s="114">
        <v>3</v>
      </c>
    </row>
    <row r="84" spans="1:14" ht="13.5" customHeight="1">
      <c r="A84" s="115" t="s">
        <v>754</v>
      </c>
      <c r="B84" s="639"/>
      <c r="C84" s="639"/>
      <c r="D84" s="639"/>
      <c r="E84" s="639"/>
      <c r="F84" s="639"/>
      <c r="G84" s="639"/>
      <c r="H84" s="639"/>
      <c r="I84" s="639"/>
      <c r="J84" s="639"/>
      <c r="K84" s="639"/>
      <c r="L84" s="639"/>
      <c r="M84" s="639"/>
      <c r="N84" s="639"/>
    </row>
    <row r="85" spans="1:14" ht="13.5" customHeight="1">
      <c r="A85" s="115" t="s">
        <v>60</v>
      </c>
      <c r="B85" s="113">
        <f>SUM(B86:B88)</f>
        <v>8464</v>
      </c>
      <c r="C85" s="113">
        <f>SUM(C86:C88)</f>
        <v>1071</v>
      </c>
      <c r="D85" s="113">
        <f t="shared" ref="D85:N85" si="13">SUM(D86:D88)</f>
        <v>562</v>
      </c>
      <c r="E85" s="113">
        <f t="shared" si="13"/>
        <v>569</v>
      </c>
      <c r="F85" s="113">
        <f t="shared" si="13"/>
        <v>329</v>
      </c>
      <c r="G85" s="113">
        <f t="shared" si="13"/>
        <v>429</v>
      </c>
      <c r="H85" s="113">
        <f t="shared" si="13"/>
        <v>341</v>
      </c>
      <c r="I85" s="113">
        <f t="shared" si="13"/>
        <v>365</v>
      </c>
      <c r="J85" s="113">
        <f t="shared" si="13"/>
        <v>123</v>
      </c>
      <c r="K85" s="113">
        <f t="shared" si="13"/>
        <v>540</v>
      </c>
      <c r="L85" s="113">
        <f t="shared" si="13"/>
        <v>3749</v>
      </c>
      <c r="M85" s="113">
        <f t="shared" si="13"/>
        <v>199</v>
      </c>
      <c r="N85" s="113">
        <f t="shared" si="13"/>
        <v>187</v>
      </c>
    </row>
    <row r="86" spans="1:14" ht="13.5" customHeight="1">
      <c r="A86" s="116" t="s">
        <v>39</v>
      </c>
      <c r="B86" s="114">
        <f>SUM(C86:N86)</f>
        <v>221</v>
      </c>
      <c r="C86" s="114">
        <v>1</v>
      </c>
      <c r="D86" s="114">
        <v>5</v>
      </c>
      <c r="E86" s="114">
        <v>1</v>
      </c>
      <c r="F86" s="114">
        <v>1</v>
      </c>
      <c r="G86" s="114" t="s">
        <v>13</v>
      </c>
      <c r="H86" s="114">
        <v>2</v>
      </c>
      <c r="I86" s="114">
        <v>8</v>
      </c>
      <c r="J86" s="114" t="s">
        <v>13</v>
      </c>
      <c r="K86" s="114">
        <v>2</v>
      </c>
      <c r="L86" s="114">
        <v>195</v>
      </c>
      <c r="M86" s="114">
        <v>6</v>
      </c>
      <c r="N86" s="114" t="s">
        <v>13</v>
      </c>
    </row>
    <row r="87" spans="1:14" ht="13.5" customHeight="1">
      <c r="A87" s="116" t="s">
        <v>392</v>
      </c>
      <c r="B87" s="114">
        <f>SUM(C87:N87)</f>
        <v>7961</v>
      </c>
      <c r="C87" s="114">
        <v>1062</v>
      </c>
      <c r="D87" s="114">
        <v>547</v>
      </c>
      <c r="E87" s="114">
        <v>564</v>
      </c>
      <c r="F87" s="114">
        <v>326</v>
      </c>
      <c r="G87" s="114">
        <v>427</v>
      </c>
      <c r="H87" s="114">
        <v>338</v>
      </c>
      <c r="I87" s="114">
        <v>354</v>
      </c>
      <c r="J87" s="114">
        <v>121</v>
      </c>
      <c r="K87" s="114">
        <v>535</v>
      </c>
      <c r="L87" s="114">
        <v>3313</v>
      </c>
      <c r="M87" s="114">
        <v>188</v>
      </c>
      <c r="N87" s="114">
        <v>186</v>
      </c>
    </row>
    <row r="88" spans="1:14" ht="13.5" customHeight="1">
      <c r="A88" s="116" t="s">
        <v>393</v>
      </c>
      <c r="B88" s="114">
        <f>SUM(C88:N88)</f>
        <v>282</v>
      </c>
      <c r="C88" s="114">
        <v>8</v>
      </c>
      <c r="D88" s="114">
        <v>10</v>
      </c>
      <c r="E88" s="114">
        <v>4</v>
      </c>
      <c r="F88" s="114">
        <v>2</v>
      </c>
      <c r="G88" s="114">
        <v>2</v>
      </c>
      <c r="H88" s="114">
        <v>1</v>
      </c>
      <c r="I88" s="114">
        <v>3</v>
      </c>
      <c r="J88" s="114">
        <v>2</v>
      </c>
      <c r="K88" s="114">
        <v>3</v>
      </c>
      <c r="L88" s="114">
        <v>241</v>
      </c>
      <c r="M88" s="114">
        <v>5</v>
      </c>
      <c r="N88" s="114">
        <v>1</v>
      </c>
    </row>
    <row r="89" spans="1:14" ht="5.0999999999999996" customHeight="1">
      <c r="A89" s="121"/>
      <c r="B89" s="122"/>
      <c r="C89" s="122"/>
      <c r="D89" s="122"/>
      <c r="E89" s="122"/>
      <c r="F89" s="122"/>
      <c r="G89" s="122"/>
      <c r="H89" s="140"/>
      <c r="I89" s="122"/>
      <c r="J89" s="122"/>
      <c r="K89" s="122"/>
      <c r="L89" s="122"/>
      <c r="M89" s="122"/>
      <c r="N89" s="122"/>
    </row>
    <row r="90" spans="1:14" ht="11.1" customHeight="1">
      <c r="A90" s="294" t="s">
        <v>755</v>
      </c>
      <c r="B90" s="294"/>
      <c r="C90" s="294"/>
      <c r="D90" s="294"/>
      <c r="E90" s="294"/>
      <c r="F90" s="294"/>
      <c r="G90" s="294"/>
      <c r="H90" s="288"/>
      <c r="I90" s="288"/>
      <c r="J90" s="288"/>
      <c r="K90" s="288"/>
    </row>
    <row r="91" spans="1:14" s="4" customFormat="1" ht="11.1" customHeight="1">
      <c r="A91" s="469" t="s">
        <v>696</v>
      </c>
      <c r="B91" s="406"/>
      <c r="C91" s="406"/>
      <c r="D91" s="406"/>
      <c r="E91" s="406"/>
      <c r="F91" s="406"/>
      <c r="G91" s="406"/>
      <c r="H91" s="406"/>
      <c r="I91" s="406"/>
      <c r="J91" s="406"/>
      <c r="K91" s="406"/>
      <c r="L91" s="406"/>
      <c r="M91" s="406"/>
    </row>
    <row r="92" spans="1:14" ht="11.1" customHeight="1">
      <c r="A92" s="126" t="s">
        <v>63</v>
      </c>
      <c r="B92" s="127"/>
      <c r="C92" s="127"/>
      <c r="D92" s="127"/>
      <c r="E92" s="127"/>
      <c r="F92" s="127"/>
      <c r="G92" s="127"/>
      <c r="H92" s="127"/>
    </row>
    <row r="93" spans="1:14">
      <c r="A93" s="128"/>
      <c r="B93" s="127"/>
    </row>
    <row r="94" spans="1:14" ht="13.5">
      <c r="L94" s="12"/>
      <c r="M94" s="12"/>
      <c r="N94" s="12"/>
    </row>
    <row r="95" spans="1:14" ht="13.5">
      <c r="L95" s="12"/>
      <c r="M95" s="12"/>
      <c r="N95" s="12"/>
    </row>
    <row r="96" spans="1:14">
      <c r="L96" s="113"/>
      <c r="M96" s="113"/>
      <c r="N96" s="113"/>
    </row>
    <row r="97" spans="12:14" ht="13.5">
      <c r="L97" s="114"/>
      <c r="M97" s="131"/>
      <c r="N97" s="131"/>
    </row>
    <row r="98" spans="12:14">
      <c r="L98" s="114"/>
      <c r="M98" s="114"/>
      <c r="N98" s="114"/>
    </row>
  </sheetData>
  <mergeCells count="6">
    <mergeCell ref="A4:A5"/>
    <mergeCell ref="B4:B5"/>
    <mergeCell ref="D4:N4"/>
    <mergeCell ref="C4:C5"/>
    <mergeCell ref="A1:N1"/>
    <mergeCell ref="A2:N2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2"/>
  <sheetViews>
    <sheetView zoomScaleNormal="100" workbookViewId="0">
      <selection activeCell="A177" sqref="A177:N177"/>
    </sheetView>
  </sheetViews>
  <sheetFormatPr baseColWidth="10" defaultRowHeight="12.75"/>
  <cols>
    <col min="1" max="1" width="2.5703125" style="158" customWidth="1"/>
    <col min="2" max="2" width="46.7109375" style="158" customWidth="1"/>
    <col min="3" max="10" width="0" style="158" hidden="1" customWidth="1"/>
    <col min="11" max="14" width="8.7109375" style="158" customWidth="1"/>
    <col min="15" max="16384" width="11.42578125" style="158"/>
  </cols>
  <sheetData>
    <row r="1" spans="1:14" ht="13.5">
      <c r="A1" s="756" t="s">
        <v>813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</row>
    <row r="2" spans="1:14" ht="13.5">
      <c r="A2" s="641" t="s">
        <v>727</v>
      </c>
      <c r="B2" s="640"/>
      <c r="C2" s="298"/>
      <c r="D2" s="298"/>
      <c r="E2" s="298"/>
      <c r="F2" s="298"/>
      <c r="G2" s="298"/>
      <c r="H2" s="454"/>
      <c r="I2" s="298"/>
      <c r="J2" s="454"/>
      <c r="K2" s="454"/>
      <c r="L2" s="454"/>
      <c r="M2" s="454"/>
      <c r="N2" s="454"/>
    </row>
    <row r="3" spans="1:14" ht="14.1" hidden="1" customHeight="1">
      <c r="A3" s="358"/>
      <c r="B3" s="531"/>
      <c r="C3" s="531"/>
      <c r="D3" s="531"/>
      <c r="E3" s="531"/>
      <c r="F3" s="531"/>
      <c r="G3" s="531"/>
      <c r="H3" s="532"/>
      <c r="I3" s="531"/>
      <c r="J3" s="532"/>
      <c r="K3" s="752">
        <v>2020</v>
      </c>
      <c r="L3" s="753"/>
      <c r="M3" s="753"/>
      <c r="N3" s="753"/>
    </row>
    <row r="4" spans="1:14" ht="14.1" hidden="1" customHeight="1">
      <c r="B4" s="533" t="s">
        <v>724</v>
      </c>
      <c r="C4" s="302" t="s">
        <v>326</v>
      </c>
      <c r="D4" s="302" t="s">
        <v>59</v>
      </c>
      <c r="E4" s="302" t="s">
        <v>326</v>
      </c>
      <c r="F4" s="302" t="s">
        <v>59</v>
      </c>
      <c r="G4" s="302" t="s">
        <v>326</v>
      </c>
      <c r="H4" s="302" t="s">
        <v>59</v>
      </c>
      <c r="I4" s="302" t="s">
        <v>326</v>
      </c>
      <c r="J4" s="302" t="s">
        <v>59</v>
      </c>
      <c r="K4" s="534" t="s">
        <v>52</v>
      </c>
      <c r="L4" s="456" t="s">
        <v>67</v>
      </c>
      <c r="M4" s="456" t="s">
        <v>68</v>
      </c>
      <c r="N4" s="456" t="s">
        <v>59</v>
      </c>
    </row>
    <row r="5" spans="1:14" ht="8.1" hidden="1" customHeight="1">
      <c r="B5" s="457"/>
      <c r="C5" s="310"/>
      <c r="D5" s="310"/>
      <c r="E5" s="310"/>
      <c r="F5" s="310"/>
      <c r="G5" s="310"/>
      <c r="H5" s="310"/>
      <c r="I5" s="310"/>
      <c r="J5" s="310"/>
      <c r="K5" s="535"/>
      <c r="L5" s="458"/>
      <c r="M5" s="458"/>
      <c r="N5" s="458"/>
    </row>
    <row r="6" spans="1:14" ht="13.5" hidden="1" customHeight="1">
      <c r="B6" s="457" t="s">
        <v>60</v>
      </c>
      <c r="C6" s="459">
        <f>SUM(C7:C18)</f>
        <v>60072.299999999996</v>
      </c>
      <c r="D6" s="460">
        <f t="shared" ref="D6:I6" si="0">SUM(D7:D18)</f>
        <v>99.999999999999972</v>
      </c>
      <c r="E6" s="459">
        <f t="shared" si="0"/>
        <v>64273</v>
      </c>
      <c r="F6" s="460">
        <f t="shared" si="0"/>
        <v>100</v>
      </c>
      <c r="G6" s="459">
        <f t="shared" si="0"/>
        <v>61433.999999999993</v>
      </c>
      <c r="H6" s="460">
        <v>100</v>
      </c>
      <c r="I6" s="459">
        <f t="shared" si="0"/>
        <v>514970</v>
      </c>
      <c r="J6" s="460">
        <v>100</v>
      </c>
      <c r="K6" s="536">
        <f t="shared" ref="K6:N6" si="1">SUM(K7:K17)</f>
        <v>1570</v>
      </c>
      <c r="L6" s="459">
        <f t="shared" si="1"/>
        <v>826</v>
      </c>
      <c r="M6" s="459">
        <f t="shared" si="1"/>
        <v>744</v>
      </c>
      <c r="N6" s="537">
        <f t="shared" si="1"/>
        <v>1</v>
      </c>
    </row>
    <row r="7" spans="1:14" ht="13.5" hidden="1" customHeight="1">
      <c r="A7" s="470" t="s">
        <v>656</v>
      </c>
      <c r="B7" s="461" t="s">
        <v>655</v>
      </c>
      <c r="C7" s="462">
        <v>29617.199999999997</v>
      </c>
      <c r="D7" s="463">
        <f>C7/C6*100</f>
        <v>49.302590378593791</v>
      </c>
      <c r="E7" s="462">
        <v>34384</v>
      </c>
      <c r="F7" s="463">
        <v>53.5</v>
      </c>
      <c r="G7" s="464">
        <v>31176</v>
      </c>
      <c r="H7" s="465">
        <f>(G7*H6)/G6</f>
        <v>50.747143275710528</v>
      </c>
      <c r="I7" s="462">
        <v>107072</v>
      </c>
      <c r="J7" s="463">
        <f t="shared" ref="J7:J16" si="2">(I7*J6)/I6</f>
        <v>20.791890789754742</v>
      </c>
      <c r="K7" s="538">
        <v>150</v>
      </c>
      <c r="L7" s="462">
        <v>52</v>
      </c>
      <c r="M7" s="462">
        <v>98</v>
      </c>
      <c r="N7" s="539">
        <v>9.5541401273885357E-2</v>
      </c>
    </row>
    <row r="8" spans="1:14" ht="13.5" hidden="1" customHeight="1">
      <c r="A8" s="470" t="s">
        <v>659</v>
      </c>
      <c r="B8" s="461" t="s">
        <v>666</v>
      </c>
      <c r="C8" s="462">
        <v>7299.0399999999991</v>
      </c>
      <c r="D8" s="463">
        <f>C8/C6*100</f>
        <v>12.150425404054779</v>
      </c>
      <c r="E8" s="462">
        <v>7607</v>
      </c>
      <c r="F8" s="463">
        <v>11.84</v>
      </c>
      <c r="G8" s="464">
        <v>6883.2</v>
      </c>
      <c r="H8" s="465">
        <f t="shared" ref="H8:H16" si="3">(G8*H7)/G7</f>
        <v>11.204219162027544</v>
      </c>
      <c r="I8" s="462">
        <v>29572</v>
      </c>
      <c r="J8" s="463">
        <f t="shared" si="2"/>
        <v>5.742470435170981</v>
      </c>
      <c r="K8" s="538">
        <v>51</v>
      </c>
      <c r="L8" s="462">
        <v>29</v>
      </c>
      <c r="M8" s="462">
        <v>22</v>
      </c>
      <c r="N8" s="539">
        <v>3.2484076433121019E-2</v>
      </c>
    </row>
    <row r="9" spans="1:14" ht="13.5" hidden="1" customHeight="1">
      <c r="A9" s="470" t="s">
        <v>660</v>
      </c>
      <c r="B9" s="461" t="s">
        <v>667</v>
      </c>
      <c r="C9" s="462">
        <v>4880.3399999999992</v>
      </c>
      <c r="D9" s="463">
        <f>C9/C6*100</f>
        <v>8.1241104469114713</v>
      </c>
      <c r="E9" s="462">
        <v>4504</v>
      </c>
      <c r="F9" s="463">
        <v>7.01</v>
      </c>
      <c r="G9" s="464">
        <v>5137.2</v>
      </c>
      <c r="H9" s="465">
        <f t="shared" si="3"/>
        <v>8.3621447406973353</v>
      </c>
      <c r="I9" s="462">
        <v>15089</v>
      </c>
      <c r="J9" s="463">
        <f t="shared" si="2"/>
        <v>2.9300735965201854</v>
      </c>
      <c r="K9" s="538">
        <v>46</v>
      </c>
      <c r="L9" s="462">
        <v>26</v>
      </c>
      <c r="M9" s="462">
        <v>20</v>
      </c>
      <c r="N9" s="539">
        <v>2.9299363057324841E-2</v>
      </c>
    </row>
    <row r="10" spans="1:14" ht="13.5" hidden="1" customHeight="1">
      <c r="A10" s="470" t="s">
        <v>661</v>
      </c>
      <c r="B10" s="461" t="s">
        <v>668</v>
      </c>
      <c r="C10" s="462">
        <v>1244.8800000000001</v>
      </c>
      <c r="D10" s="463">
        <f>C10/C6*100</f>
        <v>2.0723028750355823</v>
      </c>
      <c r="E10" s="462">
        <v>1220</v>
      </c>
      <c r="F10" s="463">
        <v>1.9</v>
      </c>
      <c r="G10" s="464">
        <v>1310.4000000000001</v>
      </c>
      <c r="H10" s="465">
        <f t="shared" si="3"/>
        <v>2.1330208028127751</v>
      </c>
      <c r="I10" s="462">
        <v>2789</v>
      </c>
      <c r="J10" s="463">
        <f t="shared" si="2"/>
        <v>0.54158494669592394</v>
      </c>
      <c r="K10" s="538">
        <v>38</v>
      </c>
      <c r="L10" s="462">
        <v>22</v>
      </c>
      <c r="M10" s="462">
        <v>16</v>
      </c>
      <c r="N10" s="539">
        <v>2.4203821656050957E-2</v>
      </c>
    </row>
    <row r="11" spans="1:14" ht="13.5" hidden="1" customHeight="1">
      <c r="A11" s="470" t="s">
        <v>662</v>
      </c>
      <c r="B11" s="461" t="s">
        <v>669</v>
      </c>
      <c r="C11" s="462">
        <v>692.55</v>
      </c>
      <c r="D11" s="463">
        <f>C11/C6*100</f>
        <v>1.152860802732707</v>
      </c>
      <c r="E11" s="462">
        <v>749</v>
      </c>
      <c r="F11" s="463">
        <v>1.17</v>
      </c>
      <c r="G11" s="464">
        <v>729</v>
      </c>
      <c r="H11" s="465">
        <f t="shared" si="3"/>
        <v>1.1866393202461178</v>
      </c>
      <c r="I11" s="462">
        <v>13554</v>
      </c>
      <c r="J11" s="463">
        <f t="shared" si="2"/>
        <v>2.631997980464881</v>
      </c>
      <c r="K11" s="538">
        <v>28</v>
      </c>
      <c r="L11" s="462">
        <v>15</v>
      </c>
      <c r="M11" s="462">
        <v>13</v>
      </c>
      <c r="N11" s="539">
        <v>1.7834394904458598E-2</v>
      </c>
    </row>
    <row r="12" spans="1:14" ht="13.5" hidden="1" customHeight="1">
      <c r="A12" s="470" t="s">
        <v>658</v>
      </c>
      <c r="B12" s="461" t="s">
        <v>670</v>
      </c>
      <c r="C12" s="462">
        <v>2702.18</v>
      </c>
      <c r="D12" s="463">
        <f>C12/C6*100</f>
        <v>4.4982129866843783</v>
      </c>
      <c r="E12" s="462">
        <v>2673</v>
      </c>
      <c r="F12" s="463">
        <v>4.16</v>
      </c>
      <c r="G12" s="464">
        <v>2444.4</v>
      </c>
      <c r="H12" s="465">
        <f t="shared" si="3"/>
        <v>3.9789041898622912</v>
      </c>
      <c r="I12" s="462">
        <v>7955</v>
      </c>
      <c r="J12" s="463">
        <f t="shared" si="2"/>
        <v>1.5447501796221137</v>
      </c>
      <c r="K12" s="538">
        <v>28</v>
      </c>
      <c r="L12" s="462">
        <v>18</v>
      </c>
      <c r="M12" s="462">
        <v>10</v>
      </c>
      <c r="N12" s="539">
        <v>1.7834394904458598E-2</v>
      </c>
    </row>
    <row r="13" spans="1:14" ht="13.5" hidden="1" customHeight="1">
      <c r="A13" s="470" t="s">
        <v>663</v>
      </c>
      <c r="B13" s="461" t="s">
        <v>671</v>
      </c>
      <c r="C13" s="462">
        <v>383.03999999999996</v>
      </c>
      <c r="D13" s="463">
        <f>C13/C6*100</f>
        <v>0.63763165385710219</v>
      </c>
      <c r="E13" s="462" t="s">
        <v>13</v>
      </c>
      <c r="F13" s="466" t="s">
        <v>13</v>
      </c>
      <c r="G13" s="464">
        <v>403.2</v>
      </c>
      <c r="H13" s="465">
        <f t="shared" si="3"/>
        <v>0.65631409317316136</v>
      </c>
      <c r="I13" s="462">
        <v>56501</v>
      </c>
      <c r="J13" s="463">
        <f t="shared" si="2"/>
        <v>10.97170708973338</v>
      </c>
      <c r="K13" s="538">
        <v>28</v>
      </c>
      <c r="L13" s="462">
        <v>16</v>
      </c>
      <c r="M13" s="462">
        <v>12</v>
      </c>
      <c r="N13" s="539">
        <v>1.7834394904458598E-2</v>
      </c>
    </row>
    <row r="14" spans="1:14" ht="13.5" hidden="1" customHeight="1">
      <c r="A14" s="470" t="s">
        <v>664</v>
      </c>
      <c r="B14" s="461" t="s">
        <v>672</v>
      </c>
      <c r="C14" s="462">
        <v>1340.45</v>
      </c>
      <c r="D14" s="463">
        <f>C14/C6*100</f>
        <v>2.2313945029572699</v>
      </c>
      <c r="E14" s="462">
        <v>1783</v>
      </c>
      <c r="F14" s="463">
        <v>2.77</v>
      </c>
      <c r="G14" s="464">
        <v>1611</v>
      </c>
      <c r="H14" s="465">
        <f t="shared" si="3"/>
        <v>2.6223263990624082</v>
      </c>
      <c r="I14" s="462">
        <v>4423</v>
      </c>
      <c r="J14" s="463">
        <f t="shared" si="2"/>
        <v>0.85888498359127696</v>
      </c>
      <c r="K14" s="538">
        <v>27</v>
      </c>
      <c r="L14" s="462">
        <v>14</v>
      </c>
      <c r="M14" s="462">
        <v>13</v>
      </c>
      <c r="N14" s="539">
        <v>1.7197452229299363E-2</v>
      </c>
    </row>
    <row r="15" spans="1:14" ht="13.5" hidden="1" customHeight="1">
      <c r="A15" s="470" t="s">
        <v>665</v>
      </c>
      <c r="B15" s="461" t="s">
        <v>673</v>
      </c>
      <c r="C15" s="462">
        <v>413.82</v>
      </c>
      <c r="D15" s="463">
        <f>C15/C6*100</f>
        <v>0.68886991175633361</v>
      </c>
      <c r="E15" s="462" t="s">
        <v>13</v>
      </c>
      <c r="F15" s="466" t="s">
        <v>13</v>
      </c>
      <c r="G15" s="464">
        <v>435.6</v>
      </c>
      <c r="H15" s="465">
        <f t="shared" si="3"/>
        <v>0.7090536185174332</v>
      </c>
      <c r="I15" s="462">
        <v>14378</v>
      </c>
      <c r="J15" s="463">
        <f t="shared" si="2"/>
        <v>2.7920073013961972</v>
      </c>
      <c r="K15" s="538">
        <v>24</v>
      </c>
      <c r="L15" s="462">
        <v>13</v>
      </c>
      <c r="M15" s="462">
        <v>11</v>
      </c>
      <c r="N15" s="539">
        <v>1.5286624203821656E-2</v>
      </c>
    </row>
    <row r="16" spans="1:14" ht="13.5" hidden="1" customHeight="1">
      <c r="A16" s="470" t="s">
        <v>657</v>
      </c>
      <c r="B16" s="461" t="s">
        <v>674</v>
      </c>
      <c r="C16" s="462">
        <v>550.62</v>
      </c>
      <c r="D16" s="463">
        <f>C16/C6*100</f>
        <v>0.91659550241958454</v>
      </c>
      <c r="E16" s="462" t="s">
        <v>13</v>
      </c>
      <c r="F16" s="466" t="s">
        <v>13</v>
      </c>
      <c r="G16" s="464">
        <v>579.6</v>
      </c>
      <c r="H16" s="465">
        <f t="shared" si="3"/>
        <v>0.94345150893641938</v>
      </c>
      <c r="I16" s="462">
        <v>6152</v>
      </c>
      <c r="J16" s="463">
        <f t="shared" si="2"/>
        <v>1.1946326970503134</v>
      </c>
      <c r="K16" s="538">
        <v>23</v>
      </c>
      <c r="L16" s="462">
        <v>11</v>
      </c>
      <c r="M16" s="462">
        <v>12</v>
      </c>
      <c r="N16" s="539">
        <v>1.4649681528662421E-2</v>
      </c>
    </row>
    <row r="17" spans="1:14" ht="13.5" hidden="1" customHeight="1">
      <c r="A17" s="354" t="s">
        <v>330</v>
      </c>
      <c r="C17" s="462">
        <v>10948.179999999998</v>
      </c>
      <c r="D17" s="463">
        <f>C17/C6*100</f>
        <v>18.225005534996992</v>
      </c>
      <c r="E17" s="462">
        <v>11353</v>
      </c>
      <c r="F17" s="463">
        <v>17.649999999999999</v>
      </c>
      <c r="G17" s="464">
        <v>10724.4</v>
      </c>
      <c r="H17" s="465">
        <f>(G17*H15)/G15</f>
        <v>17.456782888953995</v>
      </c>
      <c r="I17" s="462">
        <v>257485</v>
      </c>
      <c r="J17" s="463">
        <f>(I17*J15)/I15</f>
        <v>49.999999999999993</v>
      </c>
      <c r="K17" s="538">
        <v>1127</v>
      </c>
      <c r="L17" s="462">
        <v>610</v>
      </c>
      <c r="M17" s="462">
        <v>517</v>
      </c>
      <c r="N17" s="539">
        <v>0.71783439490445855</v>
      </c>
    </row>
    <row r="18" spans="1:14" ht="8.1" hidden="1" customHeight="1">
      <c r="A18" s="415"/>
      <c r="B18" s="471"/>
      <c r="C18" s="462"/>
      <c r="D18" s="463"/>
      <c r="E18" s="462"/>
      <c r="F18" s="463"/>
      <c r="G18" s="462"/>
      <c r="H18" s="462"/>
      <c r="I18" s="462"/>
      <c r="J18" s="462"/>
      <c r="K18" s="538"/>
      <c r="L18" s="462"/>
      <c r="M18" s="462"/>
      <c r="N18" s="462"/>
    </row>
    <row r="19" spans="1:14" ht="14.1" hidden="1" customHeight="1">
      <c r="B19" s="531"/>
      <c r="C19" s="531"/>
      <c r="D19" s="531"/>
      <c r="E19" s="531"/>
      <c r="F19" s="531"/>
      <c r="G19" s="531"/>
      <c r="H19" s="532"/>
      <c r="I19" s="531"/>
      <c r="J19" s="532"/>
      <c r="K19" s="752">
        <v>2021</v>
      </c>
      <c r="L19" s="753"/>
      <c r="M19" s="753"/>
      <c r="N19" s="753"/>
    </row>
    <row r="20" spans="1:14" ht="14.1" hidden="1" customHeight="1">
      <c r="B20" s="533" t="s">
        <v>724</v>
      </c>
      <c r="C20" s="302" t="s">
        <v>326</v>
      </c>
      <c r="D20" s="302" t="s">
        <v>59</v>
      </c>
      <c r="E20" s="302" t="s">
        <v>326</v>
      </c>
      <c r="F20" s="302" t="s">
        <v>59</v>
      </c>
      <c r="G20" s="302" t="s">
        <v>326</v>
      </c>
      <c r="H20" s="302" t="s">
        <v>59</v>
      </c>
      <c r="I20" s="302" t="s">
        <v>326</v>
      </c>
      <c r="J20" s="302" t="s">
        <v>59</v>
      </c>
      <c r="K20" s="534" t="s">
        <v>52</v>
      </c>
      <c r="L20" s="456" t="s">
        <v>67</v>
      </c>
      <c r="M20" s="456" t="s">
        <v>68</v>
      </c>
      <c r="N20" s="456" t="s">
        <v>59</v>
      </c>
    </row>
    <row r="21" spans="1:14" ht="8.1" hidden="1" customHeight="1">
      <c r="B21" s="457"/>
      <c r="C21" s="310"/>
      <c r="D21" s="310"/>
      <c r="E21" s="310"/>
      <c r="F21" s="310"/>
      <c r="G21" s="310"/>
      <c r="H21" s="310"/>
      <c r="I21" s="310"/>
      <c r="J21" s="310"/>
      <c r="K21" s="535"/>
      <c r="L21" s="458"/>
      <c r="M21" s="458"/>
      <c r="N21" s="458"/>
    </row>
    <row r="22" spans="1:14" ht="13.5" hidden="1" customHeight="1">
      <c r="B22" s="457" t="s">
        <v>60</v>
      </c>
      <c r="C22" s="459">
        <v>60072.299999999996</v>
      </c>
      <c r="D22" s="460">
        <v>99.999999999999972</v>
      </c>
      <c r="E22" s="459">
        <v>64273</v>
      </c>
      <c r="F22" s="460">
        <v>100</v>
      </c>
      <c r="G22" s="459">
        <v>61433.999999999993</v>
      </c>
      <c r="H22" s="460">
        <v>100</v>
      </c>
      <c r="I22" s="459">
        <v>514970</v>
      </c>
      <c r="J22" s="460">
        <v>100</v>
      </c>
      <c r="K22" s="536">
        <v>777</v>
      </c>
      <c r="L22" s="459">
        <v>402</v>
      </c>
      <c r="M22" s="459">
        <v>375</v>
      </c>
      <c r="N22" s="537">
        <v>1</v>
      </c>
    </row>
    <row r="23" spans="1:14" ht="13.5" hidden="1" customHeight="1">
      <c r="A23" s="470" t="s">
        <v>656</v>
      </c>
      <c r="B23" s="461" t="s">
        <v>700</v>
      </c>
      <c r="C23" s="462">
        <v>29617.199999999997</v>
      </c>
      <c r="D23" s="463">
        <v>49.302590378593791</v>
      </c>
      <c r="E23" s="462">
        <v>34384</v>
      </c>
      <c r="F23" s="463">
        <v>53.5</v>
      </c>
      <c r="G23" s="464">
        <v>31176</v>
      </c>
      <c r="H23" s="465">
        <v>50.747143275710528</v>
      </c>
      <c r="I23" s="462">
        <v>107072</v>
      </c>
      <c r="J23" s="463">
        <v>20.791890789754742</v>
      </c>
      <c r="K23" s="538">
        <v>34</v>
      </c>
      <c r="L23" s="462">
        <v>33</v>
      </c>
      <c r="M23" s="462">
        <v>1</v>
      </c>
      <c r="N23" s="539">
        <v>4.3758043758043756E-2</v>
      </c>
    </row>
    <row r="24" spans="1:14" ht="13.5" hidden="1" customHeight="1">
      <c r="A24" s="470" t="s">
        <v>659</v>
      </c>
      <c r="B24" s="461" t="s">
        <v>701</v>
      </c>
      <c r="C24" s="462">
        <v>7299.0399999999991</v>
      </c>
      <c r="D24" s="463">
        <v>12.150425404054779</v>
      </c>
      <c r="E24" s="462">
        <v>7607</v>
      </c>
      <c r="F24" s="463">
        <v>11.84</v>
      </c>
      <c r="G24" s="464">
        <v>6883.2</v>
      </c>
      <c r="H24" s="465">
        <v>11.204219162027544</v>
      </c>
      <c r="I24" s="462">
        <v>29572</v>
      </c>
      <c r="J24" s="463">
        <v>5.742470435170981</v>
      </c>
      <c r="K24" s="538">
        <v>33</v>
      </c>
      <c r="L24" s="462">
        <v>15</v>
      </c>
      <c r="M24" s="462">
        <v>18</v>
      </c>
      <c r="N24" s="539">
        <v>4.2471042471042469E-2</v>
      </c>
    </row>
    <row r="25" spans="1:14" ht="13.5" hidden="1" customHeight="1">
      <c r="A25" s="470" t="s">
        <v>660</v>
      </c>
      <c r="B25" s="461" t="s">
        <v>702</v>
      </c>
      <c r="C25" s="462">
        <v>4880.3399999999992</v>
      </c>
      <c r="D25" s="463">
        <v>8.1241104469114713</v>
      </c>
      <c r="E25" s="462">
        <v>4504</v>
      </c>
      <c r="F25" s="463">
        <v>7.01</v>
      </c>
      <c r="G25" s="464">
        <v>5137.2</v>
      </c>
      <c r="H25" s="465">
        <v>8.3621447406973353</v>
      </c>
      <c r="I25" s="462">
        <v>15089</v>
      </c>
      <c r="J25" s="463">
        <v>2.9300735965201854</v>
      </c>
      <c r="K25" s="538">
        <v>28</v>
      </c>
      <c r="L25" s="462">
        <v>13</v>
      </c>
      <c r="M25" s="462">
        <v>15</v>
      </c>
      <c r="N25" s="539">
        <v>3.6036036036036036E-2</v>
      </c>
    </row>
    <row r="26" spans="1:14" ht="13.5" hidden="1" customHeight="1">
      <c r="A26" s="470" t="s">
        <v>661</v>
      </c>
      <c r="B26" s="461" t="s">
        <v>703</v>
      </c>
      <c r="C26" s="462">
        <v>1244.8800000000001</v>
      </c>
      <c r="D26" s="463">
        <v>2.0723028750355823</v>
      </c>
      <c r="E26" s="462">
        <v>1220</v>
      </c>
      <c r="F26" s="463">
        <v>1.9</v>
      </c>
      <c r="G26" s="464">
        <v>1310.4000000000001</v>
      </c>
      <c r="H26" s="465">
        <v>2.1330208028127751</v>
      </c>
      <c r="I26" s="462">
        <v>2789</v>
      </c>
      <c r="J26" s="463">
        <v>0.54158494669592394</v>
      </c>
      <c r="K26" s="538">
        <v>28</v>
      </c>
      <c r="L26" s="462">
        <v>10</v>
      </c>
      <c r="M26" s="462">
        <v>18</v>
      </c>
      <c r="N26" s="539">
        <v>3.6036036036036036E-2</v>
      </c>
    </row>
    <row r="27" spans="1:14" ht="13.5" hidden="1" customHeight="1">
      <c r="A27" s="470" t="s">
        <v>662</v>
      </c>
      <c r="B27" s="461" t="s">
        <v>666</v>
      </c>
      <c r="C27" s="462">
        <v>692.55</v>
      </c>
      <c r="D27" s="463">
        <v>1.152860802732707</v>
      </c>
      <c r="E27" s="462">
        <v>749</v>
      </c>
      <c r="F27" s="463">
        <v>1.17</v>
      </c>
      <c r="G27" s="464">
        <v>729</v>
      </c>
      <c r="H27" s="465">
        <v>1.1866393202461178</v>
      </c>
      <c r="I27" s="462">
        <v>13554</v>
      </c>
      <c r="J27" s="463">
        <v>2.631997980464881</v>
      </c>
      <c r="K27" s="538">
        <v>28</v>
      </c>
      <c r="L27" s="462">
        <v>13</v>
      </c>
      <c r="M27" s="462">
        <v>15</v>
      </c>
      <c r="N27" s="539">
        <v>3.6036036036036036E-2</v>
      </c>
    </row>
    <row r="28" spans="1:14" ht="13.5" hidden="1" customHeight="1">
      <c r="A28" s="470" t="s">
        <v>658</v>
      </c>
      <c r="B28" s="461" t="s">
        <v>704</v>
      </c>
      <c r="C28" s="462">
        <v>2702.18</v>
      </c>
      <c r="D28" s="463">
        <v>4.4982129866843783</v>
      </c>
      <c r="E28" s="462">
        <v>2673</v>
      </c>
      <c r="F28" s="463">
        <v>4.16</v>
      </c>
      <c r="G28" s="464">
        <v>2444.4</v>
      </c>
      <c r="H28" s="465">
        <v>3.9789041898622912</v>
      </c>
      <c r="I28" s="462">
        <v>7955</v>
      </c>
      <c r="J28" s="463">
        <v>1.5447501796221137</v>
      </c>
      <c r="K28" s="538">
        <v>22</v>
      </c>
      <c r="L28" s="462">
        <v>22</v>
      </c>
      <c r="M28" s="462" t="s">
        <v>65</v>
      </c>
      <c r="N28" s="539">
        <v>2.8314028314028315E-2</v>
      </c>
    </row>
    <row r="29" spans="1:14" ht="13.5" hidden="1" customHeight="1">
      <c r="A29" s="470" t="s">
        <v>663</v>
      </c>
      <c r="B29" s="461" t="s">
        <v>705</v>
      </c>
      <c r="C29" s="462">
        <v>383.03999999999996</v>
      </c>
      <c r="D29" s="463">
        <v>0.63763165385710219</v>
      </c>
      <c r="E29" s="462" t="s">
        <v>13</v>
      </c>
      <c r="F29" s="466" t="s">
        <v>13</v>
      </c>
      <c r="G29" s="464">
        <v>403.2</v>
      </c>
      <c r="H29" s="465">
        <v>0.65631409317316136</v>
      </c>
      <c r="I29" s="462">
        <v>56501</v>
      </c>
      <c r="J29" s="463">
        <v>10.97170708973338</v>
      </c>
      <c r="K29" s="538">
        <v>17</v>
      </c>
      <c r="L29" s="462" t="s">
        <v>65</v>
      </c>
      <c r="M29" s="462">
        <v>17</v>
      </c>
      <c r="N29" s="539">
        <v>2.1879021879021878E-2</v>
      </c>
    </row>
    <row r="30" spans="1:14" ht="13.5" hidden="1" customHeight="1">
      <c r="A30" s="472" t="s">
        <v>664</v>
      </c>
      <c r="B30" s="461" t="s">
        <v>706</v>
      </c>
      <c r="C30" s="462">
        <v>1340.45</v>
      </c>
      <c r="D30" s="463">
        <v>2.2313945029572699</v>
      </c>
      <c r="E30" s="462">
        <v>1783</v>
      </c>
      <c r="F30" s="463">
        <v>2.77</v>
      </c>
      <c r="G30" s="464">
        <v>1611</v>
      </c>
      <c r="H30" s="465">
        <v>2.6223263990624082</v>
      </c>
      <c r="I30" s="462">
        <v>4423</v>
      </c>
      <c r="J30" s="463">
        <v>0.85888498359127696</v>
      </c>
      <c r="K30" s="538">
        <v>16</v>
      </c>
      <c r="L30" s="462">
        <v>6</v>
      </c>
      <c r="M30" s="462">
        <v>10</v>
      </c>
      <c r="N30" s="539">
        <v>2.0592020592020591E-2</v>
      </c>
    </row>
    <row r="31" spans="1:14" ht="13.5" hidden="1" customHeight="1">
      <c r="A31" s="470" t="s">
        <v>665</v>
      </c>
      <c r="B31" s="461" t="s">
        <v>707</v>
      </c>
      <c r="C31" s="462">
        <v>413.82</v>
      </c>
      <c r="D31" s="463">
        <v>0.68886991175633361</v>
      </c>
      <c r="E31" s="462" t="s">
        <v>13</v>
      </c>
      <c r="F31" s="466" t="s">
        <v>13</v>
      </c>
      <c r="G31" s="464">
        <v>435.6</v>
      </c>
      <c r="H31" s="465">
        <v>0.7090536185174332</v>
      </c>
      <c r="I31" s="462">
        <v>14378</v>
      </c>
      <c r="J31" s="463">
        <v>2.7920073013961972</v>
      </c>
      <c r="K31" s="538">
        <v>14</v>
      </c>
      <c r="L31" s="462">
        <v>8</v>
      </c>
      <c r="M31" s="462">
        <v>6</v>
      </c>
      <c r="N31" s="539">
        <v>1.8018018018018018E-2</v>
      </c>
    </row>
    <row r="32" spans="1:14" ht="13.5" hidden="1" customHeight="1">
      <c r="A32" s="470" t="s">
        <v>657</v>
      </c>
      <c r="B32" s="461" t="s">
        <v>708</v>
      </c>
      <c r="C32" s="462">
        <v>550.62</v>
      </c>
      <c r="D32" s="463">
        <v>0.91659550241958454</v>
      </c>
      <c r="E32" s="462" t="s">
        <v>13</v>
      </c>
      <c r="F32" s="466" t="s">
        <v>13</v>
      </c>
      <c r="G32" s="464">
        <v>579.6</v>
      </c>
      <c r="H32" s="465">
        <v>0.94345150893641938</v>
      </c>
      <c r="I32" s="462">
        <v>6152</v>
      </c>
      <c r="J32" s="463">
        <v>1.1946326970503134</v>
      </c>
      <c r="K32" s="538">
        <v>14</v>
      </c>
      <c r="L32" s="462" t="s">
        <v>65</v>
      </c>
      <c r="M32" s="462">
        <v>14</v>
      </c>
      <c r="N32" s="539">
        <v>1.8018018018018018E-2</v>
      </c>
    </row>
    <row r="33" spans="1:14" hidden="1">
      <c r="A33" s="354" t="s">
        <v>330</v>
      </c>
      <c r="C33" s="462"/>
      <c r="D33" s="463"/>
      <c r="E33" s="462"/>
      <c r="F33" s="466"/>
      <c r="G33" s="464"/>
      <c r="H33" s="465"/>
      <c r="I33" s="462"/>
      <c r="J33" s="463"/>
      <c r="K33" s="538">
        <v>543</v>
      </c>
      <c r="L33" s="462">
        <v>282</v>
      </c>
      <c r="M33" s="462">
        <v>261</v>
      </c>
      <c r="N33" s="539">
        <v>0.69884169884169889</v>
      </c>
    </row>
    <row r="34" spans="1:14" ht="5.0999999999999996" customHeight="1">
      <c r="B34" s="643"/>
      <c r="C34" s="462"/>
      <c r="D34" s="463"/>
      <c r="E34" s="462"/>
      <c r="F34" s="463"/>
      <c r="G34" s="464"/>
      <c r="H34" s="465"/>
      <c r="I34" s="462"/>
      <c r="J34" s="463"/>
      <c r="K34" s="642"/>
      <c r="L34" s="462"/>
      <c r="M34" s="462"/>
      <c r="N34" s="539"/>
    </row>
    <row r="35" spans="1:14" ht="14.1" customHeight="1">
      <c r="A35" s="358"/>
      <c r="B35" s="531"/>
      <c r="C35" s="531"/>
      <c r="D35" s="531"/>
      <c r="E35" s="531"/>
      <c r="F35" s="531"/>
      <c r="G35" s="531"/>
      <c r="H35" s="532"/>
      <c r="I35" s="531"/>
      <c r="J35" s="532"/>
      <c r="K35" s="752">
        <v>2022</v>
      </c>
      <c r="L35" s="753"/>
      <c r="M35" s="753"/>
      <c r="N35" s="753"/>
    </row>
    <row r="36" spans="1:14" ht="14.1" customHeight="1">
      <c r="B36" s="533" t="s">
        <v>814</v>
      </c>
      <c r="C36" s="302" t="s">
        <v>326</v>
      </c>
      <c r="D36" s="302" t="s">
        <v>59</v>
      </c>
      <c r="E36" s="302" t="s">
        <v>326</v>
      </c>
      <c r="F36" s="302" t="s">
        <v>59</v>
      </c>
      <c r="G36" s="302" t="s">
        <v>326</v>
      </c>
      <c r="H36" s="302" t="s">
        <v>59</v>
      </c>
      <c r="I36" s="302" t="s">
        <v>326</v>
      </c>
      <c r="J36" s="302" t="s">
        <v>59</v>
      </c>
      <c r="K36" s="534" t="s">
        <v>52</v>
      </c>
      <c r="L36" s="456" t="s">
        <v>67</v>
      </c>
      <c r="M36" s="456" t="s">
        <v>68</v>
      </c>
      <c r="N36" s="456" t="s">
        <v>59</v>
      </c>
    </row>
    <row r="37" spans="1:14" ht="8.1" customHeight="1">
      <c r="B37" s="457"/>
      <c r="C37" s="310"/>
      <c r="D37" s="310"/>
      <c r="E37" s="310"/>
      <c r="F37" s="310"/>
      <c r="G37" s="310"/>
      <c r="H37" s="310"/>
      <c r="I37" s="310"/>
      <c r="J37" s="310"/>
      <c r="K37" s="535"/>
      <c r="L37" s="458"/>
      <c r="M37" s="458"/>
      <c r="N37" s="458"/>
    </row>
    <row r="38" spans="1:14" ht="14.45" customHeight="1">
      <c r="B38" s="457" t="s">
        <v>60</v>
      </c>
      <c r="C38" s="459">
        <v>60072.299999999996</v>
      </c>
      <c r="D38" s="460">
        <v>99.999999999999972</v>
      </c>
      <c r="E38" s="459">
        <v>64273</v>
      </c>
      <c r="F38" s="460">
        <v>100</v>
      </c>
      <c r="G38" s="459">
        <v>61433.999999999993</v>
      </c>
      <c r="H38" s="460">
        <v>100</v>
      </c>
      <c r="I38" s="459">
        <v>514970</v>
      </c>
      <c r="J38" s="460">
        <v>100</v>
      </c>
      <c r="K38" s="536">
        <f>SUM(K39:K49)</f>
        <v>1734</v>
      </c>
      <c r="L38" s="459">
        <f>SUM(L39:L49)</f>
        <v>928</v>
      </c>
      <c r="M38" s="459">
        <f t="shared" ref="M38" si="4">SUM(M39:M49)</f>
        <v>806</v>
      </c>
      <c r="N38" s="537">
        <v>1</v>
      </c>
    </row>
    <row r="39" spans="1:14" ht="14.45" customHeight="1">
      <c r="A39" s="470" t="s">
        <v>656</v>
      </c>
      <c r="B39" s="461" t="s">
        <v>655</v>
      </c>
      <c r="C39" s="462">
        <v>29617.199999999997</v>
      </c>
      <c r="D39" s="463">
        <v>49.302590378593791</v>
      </c>
      <c r="E39" s="462">
        <v>34384</v>
      </c>
      <c r="F39" s="463">
        <v>53.5</v>
      </c>
      <c r="G39" s="464">
        <v>31176</v>
      </c>
      <c r="H39" s="465">
        <v>50.747143275710528</v>
      </c>
      <c r="I39" s="462">
        <v>107072</v>
      </c>
      <c r="J39" s="463">
        <v>20.791890789754742</v>
      </c>
      <c r="K39" s="538">
        <v>199</v>
      </c>
      <c r="L39" s="462">
        <v>77</v>
      </c>
      <c r="M39" s="462">
        <v>122</v>
      </c>
      <c r="N39" s="539">
        <v>0.11476355247981546</v>
      </c>
    </row>
    <row r="40" spans="1:14" ht="14.45" customHeight="1">
      <c r="A40" s="470" t="s">
        <v>659</v>
      </c>
      <c r="B40" s="461" t="s">
        <v>669</v>
      </c>
      <c r="C40" s="462">
        <v>7299.0399999999991</v>
      </c>
      <c r="D40" s="463">
        <v>12.150425404054779</v>
      </c>
      <c r="E40" s="462">
        <v>7607</v>
      </c>
      <c r="F40" s="463">
        <v>11.84</v>
      </c>
      <c r="G40" s="464">
        <v>6883.2</v>
      </c>
      <c r="H40" s="465">
        <v>11.204219162027544</v>
      </c>
      <c r="I40" s="462">
        <v>29572</v>
      </c>
      <c r="J40" s="463">
        <v>5.742470435170981</v>
      </c>
      <c r="K40" s="538">
        <v>73</v>
      </c>
      <c r="L40" s="462">
        <v>42</v>
      </c>
      <c r="M40" s="462">
        <v>31</v>
      </c>
      <c r="N40" s="539">
        <v>4.2099192618223757E-2</v>
      </c>
    </row>
    <row r="41" spans="1:14" ht="14.45" customHeight="1">
      <c r="A41" s="470" t="s">
        <v>660</v>
      </c>
      <c r="B41" s="461" t="s">
        <v>704</v>
      </c>
      <c r="C41" s="462">
        <v>4880.3399999999992</v>
      </c>
      <c r="D41" s="463">
        <v>8.1241104469114713</v>
      </c>
      <c r="E41" s="462">
        <v>4504</v>
      </c>
      <c r="F41" s="463">
        <v>7.01</v>
      </c>
      <c r="G41" s="464">
        <v>5137.2</v>
      </c>
      <c r="H41" s="465">
        <v>8.3621447406973353</v>
      </c>
      <c r="I41" s="462">
        <v>15089</v>
      </c>
      <c r="J41" s="463">
        <v>2.9300735965201854</v>
      </c>
      <c r="K41" s="538">
        <v>66</v>
      </c>
      <c r="L41" s="462">
        <v>66</v>
      </c>
      <c r="M41" s="462" t="s">
        <v>13</v>
      </c>
      <c r="N41" s="539">
        <v>3.8062283737024201E-2</v>
      </c>
    </row>
    <row r="42" spans="1:14" ht="14.45" customHeight="1">
      <c r="A42" s="470" t="s">
        <v>661</v>
      </c>
      <c r="B42" s="461" t="s">
        <v>743</v>
      </c>
      <c r="C42" s="462">
        <v>1244.8800000000001</v>
      </c>
      <c r="D42" s="463">
        <v>2.0723028750355823</v>
      </c>
      <c r="E42" s="462">
        <v>1220</v>
      </c>
      <c r="F42" s="463">
        <v>1.9</v>
      </c>
      <c r="G42" s="464">
        <v>1310.4000000000001</v>
      </c>
      <c r="H42" s="465">
        <v>2.1330208028127751</v>
      </c>
      <c r="I42" s="462">
        <v>2789</v>
      </c>
      <c r="J42" s="463">
        <v>0.54158494669592394</v>
      </c>
      <c r="K42" s="538">
        <v>42</v>
      </c>
      <c r="L42" s="462">
        <v>14</v>
      </c>
      <c r="M42" s="462">
        <v>28</v>
      </c>
      <c r="N42" s="539">
        <v>2.4221453287197232E-2</v>
      </c>
    </row>
    <row r="43" spans="1:14" ht="14.45" customHeight="1">
      <c r="A43" s="470" t="s">
        <v>662</v>
      </c>
      <c r="B43" s="461" t="s">
        <v>670</v>
      </c>
      <c r="C43" s="462">
        <v>692.55</v>
      </c>
      <c r="D43" s="463">
        <v>1.152860802732707</v>
      </c>
      <c r="E43" s="462">
        <v>749</v>
      </c>
      <c r="F43" s="463">
        <v>1.17</v>
      </c>
      <c r="G43" s="464">
        <v>729</v>
      </c>
      <c r="H43" s="465">
        <v>1.1866393202461178</v>
      </c>
      <c r="I43" s="462">
        <v>13554</v>
      </c>
      <c r="J43" s="463">
        <v>2.631997980464881</v>
      </c>
      <c r="K43" s="538">
        <v>40</v>
      </c>
      <c r="L43" s="462">
        <v>24</v>
      </c>
      <c r="M43" s="462">
        <v>16</v>
      </c>
      <c r="N43" s="539">
        <v>2.306805074971165E-2</v>
      </c>
    </row>
    <row r="44" spans="1:14" ht="14.45" customHeight="1">
      <c r="A44" s="472" t="s">
        <v>658</v>
      </c>
      <c r="B44" s="461" t="s">
        <v>744</v>
      </c>
      <c r="C44" s="462">
        <v>2702.18</v>
      </c>
      <c r="D44" s="463">
        <v>4.4982129866843783</v>
      </c>
      <c r="E44" s="462">
        <v>2673</v>
      </c>
      <c r="F44" s="463">
        <v>4.16</v>
      </c>
      <c r="G44" s="464">
        <v>2444.4</v>
      </c>
      <c r="H44" s="465">
        <v>3.9789041898622912</v>
      </c>
      <c r="I44" s="462">
        <v>7955</v>
      </c>
      <c r="J44" s="463">
        <v>1.5447501796221137</v>
      </c>
      <c r="K44" s="538">
        <v>36</v>
      </c>
      <c r="L44" s="462">
        <v>20</v>
      </c>
      <c r="M44" s="462">
        <v>16</v>
      </c>
      <c r="N44" s="539">
        <v>2.0761245674740483E-2</v>
      </c>
    </row>
    <row r="45" spans="1:14" ht="14.45" customHeight="1">
      <c r="A45" s="470" t="s">
        <v>663</v>
      </c>
      <c r="B45" s="461" t="s">
        <v>709</v>
      </c>
      <c r="C45" s="462">
        <v>383.03999999999996</v>
      </c>
      <c r="D45" s="463">
        <v>0.63763165385710219</v>
      </c>
      <c r="E45" s="462" t="s">
        <v>13</v>
      </c>
      <c r="F45" s="466" t="s">
        <v>13</v>
      </c>
      <c r="G45" s="464">
        <v>403.2</v>
      </c>
      <c r="H45" s="465">
        <v>0.65631409317316136</v>
      </c>
      <c r="I45" s="462">
        <v>56501</v>
      </c>
      <c r="J45" s="463">
        <v>10.97170708973338</v>
      </c>
      <c r="K45" s="538">
        <v>30</v>
      </c>
      <c r="L45" s="462">
        <v>14</v>
      </c>
      <c r="M45" s="462">
        <v>16</v>
      </c>
      <c r="N45" s="539">
        <v>1.7301038062283738E-2</v>
      </c>
    </row>
    <row r="46" spans="1:14" ht="14.45" customHeight="1">
      <c r="A46" s="470" t="s">
        <v>664</v>
      </c>
      <c r="B46" s="461" t="s">
        <v>667</v>
      </c>
      <c r="C46" s="462">
        <v>1340.45</v>
      </c>
      <c r="D46" s="463">
        <v>2.2313945029572699</v>
      </c>
      <c r="E46" s="462">
        <v>1783</v>
      </c>
      <c r="F46" s="463">
        <v>2.77</v>
      </c>
      <c r="G46" s="464">
        <v>1611</v>
      </c>
      <c r="H46" s="465">
        <v>2.6223263990624082</v>
      </c>
      <c r="I46" s="462">
        <v>4423</v>
      </c>
      <c r="J46" s="463">
        <v>0.85888498359127696</v>
      </c>
      <c r="K46" s="538">
        <v>30</v>
      </c>
      <c r="L46" s="462">
        <v>17</v>
      </c>
      <c r="M46" s="462">
        <v>13</v>
      </c>
      <c r="N46" s="539">
        <v>1.7301038062283738E-2</v>
      </c>
    </row>
    <row r="47" spans="1:14" ht="14.45" customHeight="1">
      <c r="A47" s="470" t="s">
        <v>665</v>
      </c>
      <c r="B47" s="461" t="s">
        <v>745</v>
      </c>
      <c r="C47" s="462">
        <v>413.82</v>
      </c>
      <c r="D47" s="463">
        <v>0.68886991175633361</v>
      </c>
      <c r="E47" s="462" t="s">
        <v>13</v>
      </c>
      <c r="F47" s="466" t="s">
        <v>13</v>
      </c>
      <c r="G47" s="464">
        <v>435.6</v>
      </c>
      <c r="H47" s="465">
        <v>0.7090536185174332</v>
      </c>
      <c r="I47" s="462">
        <v>14378</v>
      </c>
      <c r="J47" s="463">
        <v>2.7920073013961972</v>
      </c>
      <c r="K47" s="538">
        <v>30</v>
      </c>
      <c r="L47" s="462">
        <v>21</v>
      </c>
      <c r="M47" s="462">
        <v>9</v>
      </c>
      <c r="N47" s="539">
        <v>1.7301038062283738E-2</v>
      </c>
    </row>
    <row r="48" spans="1:14" ht="14.45" customHeight="1">
      <c r="A48" s="470" t="s">
        <v>657</v>
      </c>
      <c r="B48" s="461" t="s">
        <v>710</v>
      </c>
      <c r="C48" s="462">
        <v>550.62</v>
      </c>
      <c r="D48" s="463">
        <v>0.91659550241958454</v>
      </c>
      <c r="E48" s="462" t="s">
        <v>13</v>
      </c>
      <c r="F48" s="466" t="s">
        <v>13</v>
      </c>
      <c r="G48" s="464">
        <v>579.6</v>
      </c>
      <c r="H48" s="465">
        <v>0.94345150893641938</v>
      </c>
      <c r="I48" s="462">
        <v>6152</v>
      </c>
      <c r="J48" s="463">
        <v>1.1946326970503134</v>
      </c>
      <c r="K48" s="538">
        <v>28</v>
      </c>
      <c r="L48" s="462">
        <v>19</v>
      </c>
      <c r="M48" s="462">
        <v>9</v>
      </c>
      <c r="N48" s="539">
        <v>1.6147635524798153E-2</v>
      </c>
    </row>
    <row r="49" spans="1:14" ht="14.45" customHeight="1">
      <c r="A49" s="354" t="s">
        <v>330</v>
      </c>
      <c r="C49" s="462">
        <v>10948.179999999998</v>
      </c>
      <c r="D49" s="463">
        <v>18.225005534996992</v>
      </c>
      <c r="E49" s="462">
        <v>11353</v>
      </c>
      <c r="F49" s="463">
        <v>17.649999999999999</v>
      </c>
      <c r="G49" s="464">
        <v>10724.4</v>
      </c>
      <c r="H49" s="465">
        <v>17.456782888953995</v>
      </c>
      <c r="I49" s="462">
        <v>257485</v>
      </c>
      <c r="J49" s="463">
        <v>49.999999999999993</v>
      </c>
      <c r="K49" s="538">
        <v>1160</v>
      </c>
      <c r="L49" s="462">
        <v>614</v>
      </c>
      <c r="M49" s="462">
        <v>546</v>
      </c>
      <c r="N49" s="539">
        <v>0.66897347174163779</v>
      </c>
    </row>
    <row r="50" spans="1:14" ht="5.0999999999999996" customHeight="1">
      <c r="B50" s="461"/>
      <c r="C50" s="462"/>
      <c r="D50" s="463"/>
      <c r="E50" s="462"/>
      <c r="F50" s="463"/>
      <c r="G50" s="464"/>
      <c r="H50" s="465"/>
      <c r="I50" s="462"/>
      <c r="J50" s="463"/>
      <c r="K50" s="538"/>
      <c r="L50" s="462"/>
      <c r="M50" s="462"/>
      <c r="N50" s="539"/>
    </row>
    <row r="51" spans="1:14" ht="14.1" customHeight="1">
      <c r="A51" s="358"/>
      <c r="B51" s="531"/>
      <c r="C51" s="531"/>
      <c r="D51" s="531"/>
      <c r="E51" s="531"/>
      <c r="F51" s="531"/>
      <c r="G51" s="531"/>
      <c r="H51" s="532"/>
      <c r="I51" s="531"/>
      <c r="J51" s="532"/>
      <c r="K51" s="752">
        <v>2023</v>
      </c>
      <c r="L51" s="753"/>
      <c r="M51" s="753"/>
      <c r="N51" s="753"/>
    </row>
    <row r="52" spans="1:14" ht="14.1" customHeight="1">
      <c r="B52" s="533" t="s">
        <v>814</v>
      </c>
      <c r="C52" s="302" t="s">
        <v>326</v>
      </c>
      <c r="D52" s="302" t="s">
        <v>59</v>
      </c>
      <c r="E52" s="302" t="s">
        <v>326</v>
      </c>
      <c r="F52" s="302" t="s">
        <v>59</v>
      </c>
      <c r="G52" s="302" t="s">
        <v>326</v>
      </c>
      <c r="H52" s="302" t="s">
        <v>59</v>
      </c>
      <c r="I52" s="302" t="s">
        <v>326</v>
      </c>
      <c r="J52" s="302" t="s">
        <v>59</v>
      </c>
      <c r="K52" s="534" t="s">
        <v>52</v>
      </c>
      <c r="L52" s="456" t="s">
        <v>67</v>
      </c>
      <c r="M52" s="456" t="s">
        <v>68</v>
      </c>
      <c r="N52" s="456" t="s">
        <v>59</v>
      </c>
    </row>
    <row r="53" spans="1:14" ht="8.1" customHeight="1">
      <c r="B53" s="457"/>
      <c r="C53" s="310"/>
      <c r="D53" s="310"/>
      <c r="E53" s="310"/>
      <c r="F53" s="310"/>
      <c r="G53" s="310"/>
      <c r="H53" s="310"/>
      <c r="I53" s="310"/>
      <c r="J53" s="310"/>
      <c r="K53" s="535"/>
      <c r="L53" s="458"/>
      <c r="M53" s="458"/>
      <c r="N53" s="458"/>
    </row>
    <row r="54" spans="1:14" ht="14.45" customHeight="1">
      <c r="B54" s="457" t="s">
        <v>60</v>
      </c>
      <c r="C54" s="459">
        <v>60072.299999999996</v>
      </c>
      <c r="D54" s="460">
        <v>99.999999999999972</v>
      </c>
      <c r="E54" s="459">
        <v>64273</v>
      </c>
      <c r="F54" s="460">
        <v>100</v>
      </c>
      <c r="G54" s="459">
        <v>61433.999999999993</v>
      </c>
      <c r="H54" s="460">
        <v>100</v>
      </c>
      <c r="I54" s="459">
        <v>514970</v>
      </c>
      <c r="J54" s="460">
        <v>100</v>
      </c>
      <c r="K54" s="536">
        <f>SUM(K55:K65)</f>
        <v>2633</v>
      </c>
      <c r="L54" s="459">
        <f t="shared" ref="L54:M54" si="5">SUM(L55:L65)</f>
        <v>1541</v>
      </c>
      <c r="M54" s="459">
        <f t="shared" si="5"/>
        <v>1092</v>
      </c>
      <c r="N54" s="537">
        <v>1</v>
      </c>
    </row>
    <row r="55" spans="1:14" ht="14.45" customHeight="1">
      <c r="A55" s="470" t="s">
        <v>656</v>
      </c>
      <c r="B55" s="461" t="s">
        <v>757</v>
      </c>
      <c r="C55" s="462">
        <v>29617.199999999997</v>
      </c>
      <c r="D55" s="463">
        <v>49.302590378593791</v>
      </c>
      <c r="E55" s="462">
        <v>34384</v>
      </c>
      <c r="F55" s="463">
        <v>53.5</v>
      </c>
      <c r="G55" s="464">
        <v>31176</v>
      </c>
      <c r="H55" s="465">
        <v>50.747143275710528</v>
      </c>
      <c r="I55" s="462">
        <v>107072</v>
      </c>
      <c r="J55" s="463">
        <v>20.791890789754742</v>
      </c>
      <c r="K55" s="538">
        <v>297</v>
      </c>
      <c r="L55" s="462">
        <v>119</v>
      </c>
      <c r="M55" s="462">
        <v>178</v>
      </c>
      <c r="N55" s="607">
        <v>0.11</v>
      </c>
    </row>
    <row r="56" spans="1:14" ht="14.45" customHeight="1">
      <c r="A56" s="470" t="s">
        <v>659</v>
      </c>
      <c r="B56" s="461" t="s">
        <v>758</v>
      </c>
      <c r="C56" s="462">
        <v>7299.0399999999991</v>
      </c>
      <c r="D56" s="463">
        <v>12.150425404054779</v>
      </c>
      <c r="E56" s="462">
        <v>7607</v>
      </c>
      <c r="F56" s="463">
        <v>11.84</v>
      </c>
      <c r="G56" s="464">
        <v>6883.2</v>
      </c>
      <c r="H56" s="465">
        <v>11.204219162027544</v>
      </c>
      <c r="I56" s="462">
        <v>29572</v>
      </c>
      <c r="J56" s="463">
        <v>5.742470435170981</v>
      </c>
      <c r="K56" s="538">
        <v>165</v>
      </c>
      <c r="L56" s="462">
        <v>165</v>
      </c>
      <c r="M56" s="462" t="s">
        <v>13</v>
      </c>
      <c r="N56" s="607">
        <v>0.06</v>
      </c>
    </row>
    <row r="57" spans="1:14" ht="14.45" customHeight="1">
      <c r="A57" s="470" t="s">
        <v>660</v>
      </c>
      <c r="B57" s="461" t="s">
        <v>759</v>
      </c>
      <c r="C57" s="462">
        <v>4880.3399999999992</v>
      </c>
      <c r="D57" s="463">
        <v>8.1241104469114713</v>
      </c>
      <c r="E57" s="462">
        <v>4504</v>
      </c>
      <c r="F57" s="463">
        <v>7.01</v>
      </c>
      <c r="G57" s="464">
        <v>5137.2</v>
      </c>
      <c r="H57" s="465">
        <v>8.3621447406973353</v>
      </c>
      <c r="I57" s="462">
        <v>15089</v>
      </c>
      <c r="J57" s="463">
        <v>2.9300735965201854</v>
      </c>
      <c r="K57" s="538">
        <v>74</v>
      </c>
      <c r="L57" s="462">
        <v>32</v>
      </c>
      <c r="M57" s="462">
        <v>42</v>
      </c>
      <c r="N57" s="607">
        <v>0.03</v>
      </c>
    </row>
    <row r="58" spans="1:14" ht="14.45" customHeight="1">
      <c r="A58" s="470" t="s">
        <v>661</v>
      </c>
      <c r="B58" s="461" t="s">
        <v>760</v>
      </c>
      <c r="C58" s="462">
        <v>1244.8800000000001</v>
      </c>
      <c r="D58" s="463">
        <v>2.0723028750355823</v>
      </c>
      <c r="E58" s="462">
        <v>1220</v>
      </c>
      <c r="F58" s="463">
        <v>1.9</v>
      </c>
      <c r="G58" s="464">
        <v>1310.4000000000001</v>
      </c>
      <c r="H58" s="465">
        <v>2.1330208028127751</v>
      </c>
      <c r="I58" s="462">
        <v>2789</v>
      </c>
      <c r="J58" s="463">
        <v>0.54158494669592394</v>
      </c>
      <c r="K58" s="538">
        <v>61</v>
      </c>
      <c r="L58" s="462">
        <v>40</v>
      </c>
      <c r="M58" s="462">
        <v>21</v>
      </c>
      <c r="N58" s="607">
        <v>0.02</v>
      </c>
    </row>
    <row r="59" spans="1:14" ht="14.45" customHeight="1">
      <c r="A59" s="470" t="s">
        <v>662</v>
      </c>
      <c r="B59" s="461" t="s">
        <v>761</v>
      </c>
      <c r="C59" s="462">
        <v>692.55</v>
      </c>
      <c r="D59" s="463">
        <v>1.152860802732707</v>
      </c>
      <c r="E59" s="462">
        <v>749</v>
      </c>
      <c r="F59" s="463">
        <v>1.17</v>
      </c>
      <c r="G59" s="464">
        <v>729</v>
      </c>
      <c r="H59" s="465">
        <v>1.1866393202461178</v>
      </c>
      <c r="I59" s="462">
        <v>13554</v>
      </c>
      <c r="J59" s="463">
        <v>2.631997980464881</v>
      </c>
      <c r="K59" s="538">
        <v>55</v>
      </c>
      <c r="L59" s="462">
        <v>43</v>
      </c>
      <c r="M59" s="462">
        <v>12</v>
      </c>
      <c r="N59" s="607">
        <v>0.02</v>
      </c>
    </row>
    <row r="60" spans="1:14" ht="14.45" customHeight="1">
      <c r="A60" s="472" t="s">
        <v>658</v>
      </c>
      <c r="B60" s="461" t="s">
        <v>762</v>
      </c>
      <c r="C60" s="462">
        <v>2702.18</v>
      </c>
      <c r="D60" s="463">
        <v>4.4982129866843783</v>
      </c>
      <c r="E60" s="462">
        <v>2673</v>
      </c>
      <c r="F60" s="463">
        <v>4.16</v>
      </c>
      <c r="G60" s="464">
        <v>2444.4</v>
      </c>
      <c r="H60" s="465">
        <v>3.9789041898622912</v>
      </c>
      <c r="I60" s="462">
        <v>7955</v>
      </c>
      <c r="J60" s="463">
        <v>1.5447501796221137</v>
      </c>
      <c r="K60" s="538">
        <v>49</v>
      </c>
      <c r="L60" s="462">
        <v>34</v>
      </c>
      <c r="M60" s="462">
        <v>15</v>
      </c>
      <c r="N60" s="607">
        <v>0.02</v>
      </c>
    </row>
    <row r="61" spans="1:14" ht="14.45" customHeight="1">
      <c r="A61" s="470" t="s">
        <v>663</v>
      </c>
      <c r="B61" s="461" t="s">
        <v>763</v>
      </c>
      <c r="C61" s="462">
        <v>383.03999999999996</v>
      </c>
      <c r="D61" s="463">
        <v>0.63763165385710219</v>
      </c>
      <c r="E61" s="462" t="s">
        <v>13</v>
      </c>
      <c r="F61" s="466" t="s">
        <v>13</v>
      </c>
      <c r="G61" s="464">
        <v>403.2</v>
      </c>
      <c r="H61" s="465">
        <v>0.65631409317316136</v>
      </c>
      <c r="I61" s="462">
        <v>56501</v>
      </c>
      <c r="J61" s="463">
        <v>10.97170708973338</v>
      </c>
      <c r="K61" s="538">
        <v>43</v>
      </c>
      <c r="L61" s="462">
        <v>43</v>
      </c>
      <c r="M61" s="462" t="s">
        <v>13</v>
      </c>
      <c r="N61" s="607">
        <v>0.02</v>
      </c>
    </row>
    <row r="62" spans="1:14" ht="14.45" customHeight="1">
      <c r="A62" s="470" t="s">
        <v>664</v>
      </c>
      <c r="B62" s="461" t="s">
        <v>764</v>
      </c>
      <c r="C62" s="462">
        <v>1340.45</v>
      </c>
      <c r="D62" s="463">
        <v>2.2313945029572699</v>
      </c>
      <c r="E62" s="462">
        <v>1783</v>
      </c>
      <c r="F62" s="463">
        <v>2.77</v>
      </c>
      <c r="G62" s="464">
        <v>1611</v>
      </c>
      <c r="H62" s="465">
        <v>2.6223263990624082</v>
      </c>
      <c r="I62" s="462">
        <v>4423</v>
      </c>
      <c r="J62" s="463">
        <v>0.85888498359127696</v>
      </c>
      <c r="K62" s="538">
        <v>42</v>
      </c>
      <c r="L62" s="462">
        <v>18</v>
      </c>
      <c r="M62" s="462">
        <v>24</v>
      </c>
      <c r="N62" s="607">
        <v>0.02</v>
      </c>
    </row>
    <row r="63" spans="1:14" ht="14.45" customHeight="1">
      <c r="A63" s="470" t="s">
        <v>665</v>
      </c>
      <c r="B63" s="461" t="s">
        <v>765</v>
      </c>
      <c r="C63" s="462">
        <v>413.82</v>
      </c>
      <c r="D63" s="463">
        <v>0.68886991175633361</v>
      </c>
      <c r="E63" s="462" t="s">
        <v>13</v>
      </c>
      <c r="F63" s="466" t="s">
        <v>13</v>
      </c>
      <c r="G63" s="464">
        <v>435.6</v>
      </c>
      <c r="H63" s="465">
        <v>0.7090536185174332</v>
      </c>
      <c r="I63" s="462">
        <v>14378</v>
      </c>
      <c r="J63" s="463">
        <v>2.7920073013961972</v>
      </c>
      <c r="K63" s="538">
        <v>38</v>
      </c>
      <c r="L63" s="462">
        <v>22</v>
      </c>
      <c r="M63" s="462">
        <v>16</v>
      </c>
      <c r="N63" s="607">
        <v>0.01</v>
      </c>
    </row>
    <row r="64" spans="1:14" ht="14.45" customHeight="1">
      <c r="A64" s="470" t="s">
        <v>657</v>
      </c>
      <c r="B64" s="461" t="s">
        <v>766</v>
      </c>
      <c r="C64" s="462">
        <v>550.62</v>
      </c>
      <c r="D64" s="463">
        <v>0.91659550241958454</v>
      </c>
      <c r="E64" s="462" t="s">
        <v>13</v>
      </c>
      <c r="F64" s="466" t="s">
        <v>13</v>
      </c>
      <c r="G64" s="464">
        <v>579.6</v>
      </c>
      <c r="H64" s="465">
        <v>0.94345150893641938</v>
      </c>
      <c r="I64" s="462">
        <v>6152</v>
      </c>
      <c r="J64" s="463">
        <v>1.1946326970503134</v>
      </c>
      <c r="K64" s="538">
        <v>38</v>
      </c>
      <c r="L64" s="462">
        <v>31</v>
      </c>
      <c r="M64" s="462">
        <v>7</v>
      </c>
      <c r="N64" s="607">
        <v>0.01</v>
      </c>
    </row>
    <row r="65" spans="1:14" ht="14.45" customHeight="1">
      <c r="A65" s="354" t="s">
        <v>330</v>
      </c>
      <c r="C65" s="462">
        <v>10948.179999999998</v>
      </c>
      <c r="D65" s="463">
        <v>18.225005534996992</v>
      </c>
      <c r="E65" s="462">
        <v>11353</v>
      </c>
      <c r="F65" s="463">
        <v>17.649999999999999</v>
      </c>
      <c r="G65" s="464">
        <v>10724.4</v>
      </c>
      <c r="H65" s="465">
        <v>17.456782888953995</v>
      </c>
      <c r="I65" s="462">
        <v>257485</v>
      </c>
      <c r="J65" s="463">
        <v>49.999999999999993</v>
      </c>
      <c r="K65" s="538">
        <v>1771</v>
      </c>
      <c r="L65" s="462">
        <v>994</v>
      </c>
      <c r="M65" s="462">
        <v>777</v>
      </c>
      <c r="N65" s="607">
        <v>0.67</v>
      </c>
    </row>
    <row r="66" spans="1:14" ht="5.0999999999999996" customHeight="1">
      <c r="B66" s="461"/>
      <c r="C66" s="462"/>
      <c r="D66" s="463"/>
      <c r="E66" s="462"/>
      <c r="F66" s="463"/>
      <c r="G66" s="464"/>
      <c r="H66" s="465"/>
      <c r="I66" s="462"/>
      <c r="J66" s="463"/>
      <c r="K66" s="538"/>
      <c r="L66" s="462"/>
      <c r="M66" s="462"/>
      <c r="N66" s="539"/>
    </row>
    <row r="67" spans="1:14" ht="14.1" customHeight="1">
      <c r="A67" s="358"/>
      <c r="B67" s="531"/>
      <c r="C67" s="531"/>
      <c r="D67" s="531"/>
      <c r="E67" s="531"/>
      <c r="F67" s="531"/>
      <c r="G67" s="531"/>
      <c r="H67" s="532"/>
      <c r="I67" s="531"/>
      <c r="J67" s="532"/>
      <c r="K67" s="752" t="s">
        <v>754</v>
      </c>
      <c r="L67" s="753"/>
      <c r="M67" s="753"/>
      <c r="N67" s="753"/>
    </row>
    <row r="68" spans="1:14" ht="14.1" customHeight="1">
      <c r="B68" s="533" t="s">
        <v>814</v>
      </c>
      <c r="C68" s="302" t="s">
        <v>326</v>
      </c>
      <c r="D68" s="302" t="s">
        <v>59</v>
      </c>
      <c r="E68" s="302" t="s">
        <v>326</v>
      </c>
      <c r="F68" s="302" t="s">
        <v>59</v>
      </c>
      <c r="G68" s="302" t="s">
        <v>326</v>
      </c>
      <c r="H68" s="302" t="s">
        <v>59</v>
      </c>
      <c r="I68" s="302" t="s">
        <v>326</v>
      </c>
      <c r="J68" s="302" t="s">
        <v>59</v>
      </c>
      <c r="K68" s="534" t="s">
        <v>52</v>
      </c>
      <c r="L68" s="456" t="s">
        <v>67</v>
      </c>
      <c r="M68" s="456" t="s">
        <v>68</v>
      </c>
      <c r="N68" s="456" t="s">
        <v>59</v>
      </c>
    </row>
    <row r="69" spans="1:14" ht="8.1" customHeight="1">
      <c r="B69" s="457"/>
      <c r="C69" s="310"/>
      <c r="D69" s="310"/>
      <c r="E69" s="310"/>
      <c r="F69" s="310"/>
      <c r="G69" s="310"/>
      <c r="H69" s="310"/>
      <c r="I69" s="310"/>
      <c r="J69" s="310"/>
      <c r="K69" s="535"/>
      <c r="L69" s="458"/>
      <c r="M69" s="458"/>
      <c r="N69" s="458"/>
    </row>
    <row r="70" spans="1:14" ht="14.45" customHeight="1">
      <c r="B70" s="457" t="s">
        <v>60</v>
      </c>
      <c r="C70" s="459">
        <v>60072.299999999996</v>
      </c>
      <c r="D70" s="460">
        <v>99.999999999999972</v>
      </c>
      <c r="E70" s="459">
        <v>64273</v>
      </c>
      <c r="F70" s="460">
        <v>100</v>
      </c>
      <c r="G70" s="459">
        <v>61433.999999999993</v>
      </c>
      <c r="H70" s="460">
        <v>100</v>
      </c>
      <c r="I70" s="459">
        <v>514970</v>
      </c>
      <c r="J70" s="460">
        <v>100</v>
      </c>
      <c r="K70" s="536">
        <f>SUM(K71:K81)</f>
        <v>1758</v>
      </c>
      <c r="L70" s="459">
        <f t="shared" ref="L70:M70" si="6">SUM(L71:L81)</f>
        <v>1006</v>
      </c>
      <c r="M70" s="459">
        <f t="shared" si="6"/>
        <v>752</v>
      </c>
      <c r="N70" s="537">
        <v>1</v>
      </c>
    </row>
    <row r="71" spans="1:14" ht="14.45" customHeight="1">
      <c r="A71" s="470" t="s">
        <v>656</v>
      </c>
      <c r="B71" s="461" t="s">
        <v>767</v>
      </c>
      <c r="C71" s="462">
        <v>29617.199999999997</v>
      </c>
      <c r="D71" s="463">
        <v>49.302590378593791</v>
      </c>
      <c r="E71" s="462">
        <v>34384</v>
      </c>
      <c r="F71" s="463">
        <v>53.5</v>
      </c>
      <c r="G71" s="464">
        <v>31176</v>
      </c>
      <c r="H71" s="465">
        <v>50.747143275710528</v>
      </c>
      <c r="I71" s="462">
        <v>107072</v>
      </c>
      <c r="J71" s="463">
        <v>20.791890789754742</v>
      </c>
      <c r="K71" s="538">
        <v>182</v>
      </c>
      <c r="L71" s="462">
        <v>69</v>
      </c>
      <c r="M71" s="462">
        <v>113</v>
      </c>
      <c r="N71" s="607">
        <v>0.1</v>
      </c>
    </row>
    <row r="72" spans="1:14" ht="14.45" customHeight="1">
      <c r="A72" s="470" t="s">
        <v>659</v>
      </c>
      <c r="B72" s="461" t="s">
        <v>768</v>
      </c>
      <c r="C72" s="462">
        <v>7299.0399999999991</v>
      </c>
      <c r="D72" s="463">
        <v>12.150425404054779</v>
      </c>
      <c r="E72" s="462">
        <v>7607</v>
      </c>
      <c r="F72" s="463">
        <v>11.84</v>
      </c>
      <c r="G72" s="464">
        <v>6883.2</v>
      </c>
      <c r="H72" s="465">
        <v>11.204219162027544</v>
      </c>
      <c r="I72" s="462">
        <v>29572</v>
      </c>
      <c r="J72" s="463">
        <v>5.742470435170981</v>
      </c>
      <c r="K72" s="538">
        <v>73</v>
      </c>
      <c r="L72" s="462">
        <v>33</v>
      </c>
      <c r="M72" s="462">
        <v>40</v>
      </c>
      <c r="N72" s="607">
        <v>0.04</v>
      </c>
    </row>
    <row r="73" spans="1:14" ht="14.45" customHeight="1">
      <c r="A73" s="470" t="s">
        <v>660</v>
      </c>
      <c r="B73" s="461" t="s">
        <v>769</v>
      </c>
      <c r="C73" s="462">
        <v>4880.3399999999992</v>
      </c>
      <c r="D73" s="463">
        <v>8.1241104469114713</v>
      </c>
      <c r="E73" s="462">
        <v>4504</v>
      </c>
      <c r="F73" s="463">
        <v>7.01</v>
      </c>
      <c r="G73" s="464">
        <v>5137.2</v>
      </c>
      <c r="H73" s="465">
        <v>8.3621447406973353</v>
      </c>
      <c r="I73" s="462">
        <v>15089</v>
      </c>
      <c r="J73" s="463">
        <v>2.9300735965201854</v>
      </c>
      <c r="K73" s="538">
        <v>54</v>
      </c>
      <c r="L73" s="462">
        <v>54</v>
      </c>
      <c r="M73" s="462" t="s">
        <v>13</v>
      </c>
      <c r="N73" s="607">
        <v>0.03</v>
      </c>
    </row>
    <row r="74" spans="1:14" ht="14.45" customHeight="1">
      <c r="A74" s="470" t="s">
        <v>661</v>
      </c>
      <c r="B74" s="461" t="s">
        <v>770</v>
      </c>
      <c r="C74" s="462">
        <v>1244.8800000000001</v>
      </c>
      <c r="D74" s="463">
        <v>2.0723028750355823</v>
      </c>
      <c r="E74" s="462">
        <v>1220</v>
      </c>
      <c r="F74" s="463">
        <v>1.9</v>
      </c>
      <c r="G74" s="464">
        <v>1310.4000000000001</v>
      </c>
      <c r="H74" s="465">
        <v>2.1330208028127751</v>
      </c>
      <c r="I74" s="462">
        <v>2789</v>
      </c>
      <c r="J74" s="463">
        <v>0.54158494669592394</v>
      </c>
      <c r="K74" s="538">
        <v>35</v>
      </c>
      <c r="L74" s="462">
        <v>24</v>
      </c>
      <c r="M74" s="462">
        <v>11</v>
      </c>
      <c r="N74" s="607">
        <v>0.02</v>
      </c>
    </row>
    <row r="75" spans="1:14" ht="14.45" customHeight="1">
      <c r="A75" s="470" t="s">
        <v>662</v>
      </c>
      <c r="B75" s="461" t="s">
        <v>771</v>
      </c>
      <c r="C75" s="462">
        <v>692.55</v>
      </c>
      <c r="D75" s="463">
        <v>1.152860802732707</v>
      </c>
      <c r="E75" s="462">
        <v>749</v>
      </c>
      <c r="F75" s="463">
        <v>1.17</v>
      </c>
      <c r="G75" s="464">
        <v>729</v>
      </c>
      <c r="H75" s="465">
        <v>1.1866393202461178</v>
      </c>
      <c r="I75" s="462">
        <v>13554</v>
      </c>
      <c r="J75" s="463">
        <v>2.631997980464881</v>
      </c>
      <c r="K75" s="538">
        <v>33</v>
      </c>
      <c r="L75" s="462">
        <v>22</v>
      </c>
      <c r="M75" s="462">
        <v>11</v>
      </c>
      <c r="N75" s="607">
        <v>0.02</v>
      </c>
    </row>
    <row r="76" spans="1:14" ht="14.45" customHeight="1">
      <c r="A76" s="472" t="s">
        <v>658</v>
      </c>
      <c r="B76" s="461" t="s">
        <v>772</v>
      </c>
      <c r="C76" s="462">
        <v>2702.18</v>
      </c>
      <c r="D76" s="463">
        <v>4.4982129866843783</v>
      </c>
      <c r="E76" s="462">
        <v>2673</v>
      </c>
      <c r="F76" s="463">
        <v>4.16</v>
      </c>
      <c r="G76" s="464">
        <v>2444.4</v>
      </c>
      <c r="H76" s="465">
        <v>3.9789041898622912</v>
      </c>
      <c r="I76" s="462">
        <v>7955</v>
      </c>
      <c r="J76" s="463">
        <v>1.5447501796221137</v>
      </c>
      <c r="K76" s="538">
        <v>28</v>
      </c>
      <c r="L76" s="462">
        <v>16</v>
      </c>
      <c r="M76" s="462">
        <v>12</v>
      </c>
      <c r="N76" s="607">
        <v>0.02</v>
      </c>
    </row>
    <row r="77" spans="1:14" ht="14.45" customHeight="1">
      <c r="A77" s="470" t="s">
        <v>663</v>
      </c>
      <c r="B77" s="461" t="s">
        <v>773</v>
      </c>
      <c r="C77" s="462">
        <v>383.03999999999996</v>
      </c>
      <c r="D77" s="463">
        <v>0.63763165385710219</v>
      </c>
      <c r="E77" s="462" t="s">
        <v>13</v>
      </c>
      <c r="F77" s="466" t="s">
        <v>13</v>
      </c>
      <c r="G77" s="464">
        <v>403.2</v>
      </c>
      <c r="H77" s="465">
        <v>0.65631409317316136</v>
      </c>
      <c r="I77" s="462">
        <v>56501</v>
      </c>
      <c r="J77" s="463">
        <v>10.97170708973338</v>
      </c>
      <c r="K77" s="538">
        <v>27</v>
      </c>
      <c r="L77" s="462">
        <v>18</v>
      </c>
      <c r="M77" s="462">
        <v>9</v>
      </c>
      <c r="N77" s="607">
        <v>0.02</v>
      </c>
    </row>
    <row r="78" spans="1:14" ht="14.45" customHeight="1">
      <c r="A78" s="470" t="s">
        <v>664</v>
      </c>
      <c r="B78" s="461" t="s">
        <v>774</v>
      </c>
      <c r="C78" s="462">
        <v>1340.45</v>
      </c>
      <c r="D78" s="463">
        <v>2.2313945029572699</v>
      </c>
      <c r="E78" s="462">
        <v>1783</v>
      </c>
      <c r="F78" s="463">
        <v>2.77</v>
      </c>
      <c r="G78" s="464">
        <v>1611</v>
      </c>
      <c r="H78" s="465">
        <v>2.6223263990624082</v>
      </c>
      <c r="I78" s="462">
        <v>4423</v>
      </c>
      <c r="J78" s="463">
        <v>0.85888498359127696</v>
      </c>
      <c r="K78" s="538">
        <v>27</v>
      </c>
      <c r="L78" s="462">
        <v>17</v>
      </c>
      <c r="M78" s="462">
        <v>10</v>
      </c>
      <c r="N78" s="607">
        <v>0.02</v>
      </c>
    </row>
    <row r="79" spans="1:14" ht="14.45" customHeight="1">
      <c r="A79" s="470" t="s">
        <v>665</v>
      </c>
      <c r="B79" s="461" t="s">
        <v>775</v>
      </c>
      <c r="C79" s="462">
        <v>413.82</v>
      </c>
      <c r="D79" s="463">
        <v>0.68886991175633361</v>
      </c>
      <c r="E79" s="462" t="s">
        <v>13</v>
      </c>
      <c r="F79" s="466" t="s">
        <v>13</v>
      </c>
      <c r="G79" s="464">
        <v>435.6</v>
      </c>
      <c r="H79" s="465">
        <v>0.7090536185174332</v>
      </c>
      <c r="I79" s="462">
        <v>14378</v>
      </c>
      <c r="J79" s="463">
        <v>2.7920073013961972</v>
      </c>
      <c r="K79" s="538">
        <v>23</v>
      </c>
      <c r="L79" s="462">
        <v>12</v>
      </c>
      <c r="M79" s="462">
        <v>11</v>
      </c>
      <c r="N79" s="607">
        <v>0.01</v>
      </c>
    </row>
    <row r="80" spans="1:14" ht="14.45" customHeight="1">
      <c r="A80" s="470" t="s">
        <v>657</v>
      </c>
      <c r="B80" s="461" t="s">
        <v>677</v>
      </c>
      <c r="C80" s="462">
        <v>550.62</v>
      </c>
      <c r="D80" s="463">
        <v>0.91659550241958454</v>
      </c>
      <c r="E80" s="462" t="s">
        <v>13</v>
      </c>
      <c r="F80" s="466" t="s">
        <v>13</v>
      </c>
      <c r="G80" s="464">
        <v>579.6</v>
      </c>
      <c r="H80" s="465">
        <v>0.94345150893641938</v>
      </c>
      <c r="I80" s="462">
        <v>6152</v>
      </c>
      <c r="J80" s="463">
        <v>1.1946326970503134</v>
      </c>
      <c r="K80" s="538">
        <v>23</v>
      </c>
      <c r="L80" s="462">
        <v>7</v>
      </c>
      <c r="M80" s="462">
        <v>16</v>
      </c>
      <c r="N80" s="607">
        <v>0.01</v>
      </c>
    </row>
    <row r="81" spans="1:14" ht="14.45" customHeight="1">
      <c r="A81" s="354" t="s">
        <v>330</v>
      </c>
      <c r="C81" s="462">
        <v>10948.179999999998</v>
      </c>
      <c r="D81" s="463">
        <v>18.225005534996992</v>
      </c>
      <c r="E81" s="462">
        <v>11353</v>
      </c>
      <c r="F81" s="463">
        <v>17.649999999999999</v>
      </c>
      <c r="G81" s="464">
        <v>10724.4</v>
      </c>
      <c r="H81" s="465">
        <v>17.456782888953995</v>
      </c>
      <c r="I81" s="462">
        <v>257485</v>
      </c>
      <c r="J81" s="463">
        <v>49.999999999999993</v>
      </c>
      <c r="K81" s="538">
        <v>1253</v>
      </c>
      <c r="L81" s="462">
        <v>734</v>
      </c>
      <c r="M81" s="462">
        <v>519</v>
      </c>
      <c r="N81" s="607">
        <v>0.71</v>
      </c>
    </row>
    <row r="82" spans="1:14" ht="5.0999999999999996" customHeight="1">
      <c r="A82" s="415"/>
      <c r="B82" s="540"/>
      <c r="C82" s="530"/>
      <c r="D82" s="541"/>
      <c r="E82" s="530"/>
      <c r="F82" s="541"/>
      <c r="G82" s="530"/>
      <c r="H82" s="530"/>
      <c r="I82" s="530"/>
      <c r="J82" s="530"/>
      <c r="K82" s="542"/>
      <c r="L82" s="530"/>
      <c r="M82" s="530"/>
      <c r="N82" s="530"/>
    </row>
    <row r="83" spans="1:14" ht="11.1" customHeight="1">
      <c r="A83" s="469" t="s">
        <v>698</v>
      </c>
      <c r="C83" s="468"/>
      <c r="D83" s="468"/>
      <c r="E83" s="468"/>
      <c r="F83" s="468"/>
      <c r="G83" s="468"/>
      <c r="H83" s="468"/>
      <c r="I83" s="468"/>
      <c r="J83" s="468"/>
      <c r="K83" s="468"/>
      <c r="L83" s="468"/>
      <c r="M83" s="468"/>
      <c r="N83" s="468"/>
    </row>
    <row r="84" spans="1:14" ht="11.1" customHeight="1">
      <c r="A84" s="468" t="s">
        <v>756</v>
      </c>
      <c r="C84" s="469"/>
      <c r="D84" s="469"/>
      <c r="E84" s="469"/>
      <c r="F84" s="469"/>
      <c r="G84" s="469"/>
      <c r="H84" s="469"/>
      <c r="I84" s="462"/>
      <c r="J84" s="462"/>
      <c r="K84" s="462"/>
      <c r="L84" s="462"/>
      <c r="M84" s="458"/>
      <c r="N84" s="458"/>
    </row>
    <row r="85" spans="1:14" ht="11.1" customHeight="1">
      <c r="A85" s="467" t="s">
        <v>389</v>
      </c>
      <c r="C85" s="467"/>
      <c r="D85" s="467"/>
      <c r="E85" s="467"/>
      <c r="F85" s="467"/>
      <c r="G85" s="467"/>
      <c r="H85" s="467"/>
      <c r="I85" s="467"/>
      <c r="J85" s="467"/>
      <c r="K85" s="467"/>
      <c r="L85" s="467"/>
      <c r="M85" s="458"/>
      <c r="N85" s="458"/>
    </row>
    <row r="88" spans="1:14" ht="13.5" customHeight="1">
      <c r="A88" s="756" t="s">
        <v>851</v>
      </c>
      <c r="B88" s="756"/>
      <c r="C88" s="756"/>
      <c r="D88" s="756"/>
      <c r="E88" s="756"/>
      <c r="F88" s="756"/>
      <c r="G88" s="756"/>
      <c r="H88" s="756"/>
      <c r="I88" s="756"/>
      <c r="J88" s="756"/>
      <c r="K88" s="756"/>
      <c r="L88" s="756"/>
      <c r="M88" s="756"/>
      <c r="N88" s="756"/>
    </row>
    <row r="89" spans="1:14" ht="13.5" customHeight="1">
      <c r="A89" s="455" t="s">
        <v>726</v>
      </c>
      <c r="C89" s="298"/>
      <c r="D89" s="298"/>
      <c r="E89" s="298"/>
      <c r="F89" s="298"/>
      <c r="G89" s="298"/>
      <c r="H89" s="454"/>
      <c r="I89" s="298"/>
      <c r="J89" s="454"/>
      <c r="K89" s="454"/>
      <c r="L89" s="454"/>
      <c r="M89" s="454"/>
      <c r="N89" s="454"/>
    </row>
    <row r="90" spans="1:14" ht="14.1" hidden="1" customHeight="1">
      <c r="A90" s="358"/>
      <c r="B90" s="531"/>
      <c r="C90" s="531"/>
      <c r="D90" s="531"/>
      <c r="E90" s="531"/>
      <c r="F90" s="531"/>
      <c r="G90" s="531"/>
      <c r="H90" s="532"/>
      <c r="I90" s="531"/>
      <c r="J90" s="532"/>
      <c r="K90" s="750">
        <v>2020</v>
      </c>
      <c r="L90" s="751"/>
      <c r="M90" s="751"/>
      <c r="N90" s="751"/>
    </row>
    <row r="91" spans="1:14" ht="14.1" hidden="1" customHeight="1">
      <c r="B91" s="533" t="s">
        <v>724</v>
      </c>
      <c r="C91" s="302" t="s">
        <v>326</v>
      </c>
      <c r="D91" s="302" t="s">
        <v>59</v>
      </c>
      <c r="E91" s="302" t="s">
        <v>326</v>
      </c>
      <c r="F91" s="302" t="s">
        <v>59</v>
      </c>
      <c r="G91" s="302" t="s">
        <v>326</v>
      </c>
      <c r="H91" s="302" t="s">
        <v>59</v>
      </c>
      <c r="I91" s="302" t="s">
        <v>326</v>
      </c>
      <c r="J91" s="302" t="s">
        <v>59</v>
      </c>
      <c r="K91" s="534" t="s">
        <v>52</v>
      </c>
      <c r="L91" s="456" t="s">
        <v>67</v>
      </c>
      <c r="M91" s="456" t="s">
        <v>68</v>
      </c>
      <c r="N91" s="456" t="s">
        <v>59</v>
      </c>
    </row>
    <row r="92" spans="1:14" ht="8.1" hidden="1" customHeight="1">
      <c r="B92" s="457"/>
      <c r="C92" s="310"/>
      <c r="D92" s="310"/>
      <c r="E92" s="310"/>
      <c r="F92" s="310"/>
      <c r="G92" s="310"/>
      <c r="H92" s="310"/>
      <c r="I92" s="310"/>
      <c r="J92" s="310"/>
      <c r="K92" s="535"/>
      <c r="L92" s="458"/>
      <c r="M92" s="458"/>
      <c r="N92" s="458"/>
    </row>
    <row r="93" spans="1:14" hidden="1">
      <c r="B93" s="457" t="s">
        <v>60</v>
      </c>
      <c r="C93" s="459">
        <v>60072.299999999996</v>
      </c>
      <c r="D93" s="460">
        <v>99.999999999999972</v>
      </c>
      <c r="E93" s="459">
        <v>64273</v>
      </c>
      <c r="F93" s="460">
        <v>100</v>
      </c>
      <c r="G93" s="459">
        <v>61433.999999999993</v>
      </c>
      <c r="H93" s="460">
        <v>100</v>
      </c>
      <c r="I93" s="459">
        <v>514970</v>
      </c>
      <c r="J93" s="460">
        <v>100</v>
      </c>
      <c r="K93" s="536">
        <v>2460</v>
      </c>
      <c r="L93" s="459">
        <v>1329</v>
      </c>
      <c r="M93" s="459">
        <v>1131</v>
      </c>
      <c r="N93" s="537">
        <v>1</v>
      </c>
    </row>
    <row r="94" spans="1:14" ht="24" hidden="1" customHeight="1">
      <c r="A94" s="472" t="s">
        <v>656</v>
      </c>
      <c r="B94" s="461" t="s">
        <v>694</v>
      </c>
      <c r="C94" s="462">
        <v>29617.199999999997</v>
      </c>
      <c r="D94" s="463">
        <v>49.302590378593791</v>
      </c>
      <c r="E94" s="462">
        <v>34384</v>
      </c>
      <c r="F94" s="463">
        <v>53.5</v>
      </c>
      <c r="G94" s="464">
        <v>31176</v>
      </c>
      <c r="H94" s="465">
        <v>50.747143275710528</v>
      </c>
      <c r="I94" s="462">
        <v>107072</v>
      </c>
      <c r="J94" s="463">
        <v>20.791890789754742</v>
      </c>
      <c r="K94" s="538">
        <v>397</v>
      </c>
      <c r="L94" s="462">
        <v>200</v>
      </c>
      <c r="M94" s="462">
        <v>197</v>
      </c>
      <c r="N94" s="543">
        <v>0.16138211382113821</v>
      </c>
    </row>
    <row r="95" spans="1:14" ht="13.5" hidden="1" customHeight="1">
      <c r="A95" s="472" t="s">
        <v>659</v>
      </c>
      <c r="B95" s="461" t="s">
        <v>693</v>
      </c>
      <c r="C95" s="462">
        <v>7299.0399999999991</v>
      </c>
      <c r="D95" s="463">
        <v>12.150425404054779</v>
      </c>
      <c r="E95" s="462">
        <v>7607</v>
      </c>
      <c r="F95" s="463">
        <v>11.84</v>
      </c>
      <c r="G95" s="464">
        <v>6883.2</v>
      </c>
      <c r="H95" s="465">
        <v>11.204219162027544</v>
      </c>
      <c r="I95" s="462">
        <v>29572</v>
      </c>
      <c r="J95" s="463">
        <v>5.742470435170981</v>
      </c>
      <c r="K95" s="538">
        <v>319</v>
      </c>
      <c r="L95" s="462">
        <v>177</v>
      </c>
      <c r="M95" s="462">
        <v>142</v>
      </c>
      <c r="N95" s="543">
        <v>0.12967479674796747</v>
      </c>
    </row>
    <row r="96" spans="1:14" ht="13.5" hidden="1" customHeight="1">
      <c r="A96" s="470" t="s">
        <v>660</v>
      </c>
      <c r="B96" s="461" t="s">
        <v>692</v>
      </c>
      <c r="C96" s="462">
        <v>4880.3399999999992</v>
      </c>
      <c r="D96" s="463">
        <v>8.1241104469114713</v>
      </c>
      <c r="E96" s="462">
        <v>4504</v>
      </c>
      <c r="F96" s="463">
        <v>7.01</v>
      </c>
      <c r="G96" s="464">
        <v>5137.2</v>
      </c>
      <c r="H96" s="465">
        <v>8.3621447406973353</v>
      </c>
      <c r="I96" s="462">
        <v>15089</v>
      </c>
      <c r="J96" s="463">
        <v>2.9300735965201854</v>
      </c>
      <c r="K96" s="538">
        <v>103</v>
      </c>
      <c r="L96" s="462">
        <v>54</v>
      </c>
      <c r="M96" s="462">
        <v>49</v>
      </c>
      <c r="N96" s="543">
        <v>4.1869918699186992E-2</v>
      </c>
    </row>
    <row r="97" spans="1:14" ht="13.5" hidden="1" customHeight="1">
      <c r="A97" s="470" t="s">
        <v>661</v>
      </c>
      <c r="B97" s="461" t="s">
        <v>691</v>
      </c>
      <c r="C97" s="462">
        <v>1244.8800000000001</v>
      </c>
      <c r="D97" s="463">
        <v>2.0723028750355823</v>
      </c>
      <c r="E97" s="462">
        <v>1220</v>
      </c>
      <c r="F97" s="463">
        <v>1.9</v>
      </c>
      <c r="G97" s="464">
        <v>1310.4000000000001</v>
      </c>
      <c r="H97" s="465">
        <v>2.1330208028127751</v>
      </c>
      <c r="I97" s="462">
        <v>2789</v>
      </c>
      <c r="J97" s="463">
        <v>0.54158494669592394</v>
      </c>
      <c r="K97" s="538">
        <v>103</v>
      </c>
      <c r="L97" s="462">
        <v>59</v>
      </c>
      <c r="M97" s="462">
        <v>44</v>
      </c>
      <c r="N97" s="543">
        <v>4.1869918699186992E-2</v>
      </c>
    </row>
    <row r="98" spans="1:14" ht="13.5" hidden="1" customHeight="1">
      <c r="A98" s="470" t="s">
        <v>662</v>
      </c>
      <c r="B98" s="461" t="s">
        <v>690</v>
      </c>
      <c r="C98" s="462">
        <v>692.55</v>
      </c>
      <c r="D98" s="463">
        <v>1.152860802732707</v>
      </c>
      <c r="E98" s="462">
        <v>749</v>
      </c>
      <c r="F98" s="463">
        <v>1.17</v>
      </c>
      <c r="G98" s="464">
        <v>729</v>
      </c>
      <c r="H98" s="465">
        <v>1.1866393202461178</v>
      </c>
      <c r="I98" s="462">
        <v>13554</v>
      </c>
      <c r="J98" s="463">
        <v>2.631997980464881</v>
      </c>
      <c r="K98" s="538">
        <v>84</v>
      </c>
      <c r="L98" s="462">
        <v>38</v>
      </c>
      <c r="M98" s="462">
        <v>46</v>
      </c>
      <c r="N98" s="543">
        <v>3.4146341463414637E-2</v>
      </c>
    </row>
    <row r="99" spans="1:14" ht="13.5" hidden="1" customHeight="1">
      <c r="A99" s="470" t="s">
        <v>658</v>
      </c>
      <c r="B99" s="461" t="s">
        <v>689</v>
      </c>
      <c r="C99" s="462">
        <v>2702.18</v>
      </c>
      <c r="D99" s="463">
        <v>4.4982129866843783</v>
      </c>
      <c r="E99" s="462">
        <v>2673</v>
      </c>
      <c r="F99" s="463">
        <v>4.16</v>
      </c>
      <c r="G99" s="464">
        <v>2444.4</v>
      </c>
      <c r="H99" s="465">
        <v>3.9789041898622912</v>
      </c>
      <c r="I99" s="462">
        <v>7955</v>
      </c>
      <c r="J99" s="463">
        <v>1.5447501796221137</v>
      </c>
      <c r="K99" s="538">
        <v>80</v>
      </c>
      <c r="L99" s="462">
        <v>36</v>
      </c>
      <c r="M99" s="462">
        <v>44</v>
      </c>
      <c r="N99" s="543">
        <v>3.2520325203252036E-2</v>
      </c>
    </row>
    <row r="100" spans="1:14" ht="13.5" hidden="1" customHeight="1">
      <c r="A100" s="470" t="s">
        <v>663</v>
      </c>
      <c r="B100" s="461" t="s">
        <v>688</v>
      </c>
      <c r="C100" s="462">
        <v>383.03999999999996</v>
      </c>
      <c r="D100" s="463">
        <v>0.63763165385710219</v>
      </c>
      <c r="E100" s="462" t="s">
        <v>13</v>
      </c>
      <c r="F100" s="466" t="s">
        <v>13</v>
      </c>
      <c r="G100" s="464">
        <v>403.2</v>
      </c>
      <c r="H100" s="465">
        <v>0.65631409317316136</v>
      </c>
      <c r="I100" s="462">
        <v>56501</v>
      </c>
      <c r="J100" s="463">
        <v>10.97170708973338</v>
      </c>
      <c r="K100" s="538">
        <v>76</v>
      </c>
      <c r="L100" s="462">
        <v>42</v>
      </c>
      <c r="M100" s="462">
        <v>34</v>
      </c>
      <c r="N100" s="539">
        <v>3.0894308943089432E-2</v>
      </c>
    </row>
    <row r="101" spans="1:14" ht="13.5" hidden="1" customHeight="1">
      <c r="A101" s="470" t="s">
        <v>664</v>
      </c>
      <c r="B101" s="461" t="s">
        <v>687</v>
      </c>
      <c r="C101" s="462">
        <v>1340.45</v>
      </c>
      <c r="D101" s="463">
        <v>2.2313945029572699</v>
      </c>
      <c r="E101" s="462">
        <v>1783</v>
      </c>
      <c r="F101" s="463">
        <v>2.77</v>
      </c>
      <c r="G101" s="464">
        <v>1611</v>
      </c>
      <c r="H101" s="465">
        <v>2.6223263990624082</v>
      </c>
      <c r="I101" s="462">
        <v>4423</v>
      </c>
      <c r="J101" s="463">
        <v>0.85888498359127696</v>
      </c>
      <c r="K101" s="538">
        <v>76</v>
      </c>
      <c r="L101" s="462">
        <v>47</v>
      </c>
      <c r="M101" s="462">
        <v>29</v>
      </c>
      <c r="N101" s="539">
        <v>3.0894308943089432E-2</v>
      </c>
    </row>
    <row r="102" spans="1:14" ht="13.5" hidden="1" customHeight="1">
      <c r="A102" s="470" t="s">
        <v>665</v>
      </c>
      <c r="B102" s="461" t="s">
        <v>686</v>
      </c>
      <c r="C102" s="462">
        <v>413.82</v>
      </c>
      <c r="D102" s="463">
        <v>0.68886991175633361</v>
      </c>
      <c r="E102" s="462" t="s">
        <v>13</v>
      </c>
      <c r="F102" s="466" t="s">
        <v>13</v>
      </c>
      <c r="G102" s="464">
        <v>435.6</v>
      </c>
      <c r="H102" s="465">
        <v>0.7090536185174332</v>
      </c>
      <c r="I102" s="462">
        <v>14378</v>
      </c>
      <c r="J102" s="463">
        <v>2.7920073013961972</v>
      </c>
      <c r="K102" s="538">
        <v>71</v>
      </c>
      <c r="L102" s="462">
        <v>34</v>
      </c>
      <c r="M102" s="462">
        <v>37</v>
      </c>
      <c r="N102" s="539">
        <v>2.8861788617886179E-2</v>
      </c>
    </row>
    <row r="103" spans="1:14" ht="13.5" hidden="1" customHeight="1">
      <c r="A103" s="470" t="s">
        <v>657</v>
      </c>
      <c r="B103" s="461" t="s">
        <v>685</v>
      </c>
      <c r="C103" s="462">
        <v>550.62</v>
      </c>
      <c r="D103" s="463">
        <v>0.91659550241958454</v>
      </c>
      <c r="E103" s="462" t="s">
        <v>13</v>
      </c>
      <c r="F103" s="466" t="s">
        <v>13</v>
      </c>
      <c r="G103" s="464">
        <v>579.6</v>
      </c>
      <c r="H103" s="465">
        <v>0.94345150893641938</v>
      </c>
      <c r="I103" s="462">
        <v>6152</v>
      </c>
      <c r="J103" s="463">
        <v>1.1946326970503134</v>
      </c>
      <c r="K103" s="538">
        <v>57</v>
      </c>
      <c r="L103" s="462">
        <v>28</v>
      </c>
      <c r="M103" s="462">
        <v>29</v>
      </c>
      <c r="N103" s="539">
        <v>2.3170731707317073E-2</v>
      </c>
    </row>
    <row r="104" spans="1:14" ht="13.5" hidden="1" customHeight="1">
      <c r="A104" s="471" t="s">
        <v>330</v>
      </c>
      <c r="B104" s="461"/>
      <c r="C104" s="462">
        <v>10948.179999999998</v>
      </c>
      <c r="D104" s="463">
        <v>18.225005534996992</v>
      </c>
      <c r="E104" s="462">
        <v>11353</v>
      </c>
      <c r="F104" s="463">
        <v>17.649999999999999</v>
      </c>
      <c r="G104" s="464">
        <v>10724.4</v>
      </c>
      <c r="H104" s="465">
        <v>17.456782888953995</v>
      </c>
      <c r="I104" s="462">
        <v>257485</v>
      </c>
      <c r="J104" s="463">
        <v>49.999999999999993</v>
      </c>
      <c r="K104" s="538">
        <v>1094</v>
      </c>
      <c r="L104" s="462">
        <v>614</v>
      </c>
      <c r="M104" s="462">
        <v>480</v>
      </c>
      <c r="N104" s="539">
        <v>0.44471544715447153</v>
      </c>
    </row>
    <row r="105" spans="1:14" hidden="1">
      <c r="B105" s="471"/>
      <c r="C105" s="462"/>
      <c r="D105" s="463"/>
      <c r="E105" s="462"/>
      <c r="F105" s="463"/>
      <c r="G105" s="462"/>
      <c r="H105" s="462"/>
      <c r="I105" s="530"/>
      <c r="J105" s="530"/>
      <c r="K105" s="542"/>
      <c r="L105" s="530"/>
      <c r="M105" s="530"/>
      <c r="N105" s="530"/>
    </row>
    <row r="106" spans="1:14" hidden="1">
      <c r="A106" s="358"/>
      <c r="B106" s="757"/>
      <c r="C106" s="757"/>
      <c r="D106" s="757"/>
      <c r="E106" s="757"/>
      <c r="F106" s="757"/>
      <c r="G106" s="757"/>
      <c r="H106" s="757"/>
      <c r="I106" s="462"/>
      <c r="J106" s="462"/>
      <c r="K106" s="754">
        <v>2021</v>
      </c>
      <c r="L106" s="755"/>
      <c r="M106" s="755"/>
      <c r="N106" s="755"/>
    </row>
    <row r="107" spans="1:14" hidden="1">
      <c r="B107" s="533" t="s">
        <v>724</v>
      </c>
      <c r="C107" s="302" t="s">
        <v>326</v>
      </c>
      <c r="D107" s="302" t="s">
        <v>59</v>
      </c>
      <c r="E107" s="302" t="s">
        <v>326</v>
      </c>
      <c r="F107" s="302" t="s">
        <v>59</v>
      </c>
      <c r="G107" s="302" t="s">
        <v>326</v>
      </c>
      <c r="H107" s="302" t="s">
        <v>59</v>
      </c>
      <c r="I107" s="302" t="s">
        <v>326</v>
      </c>
      <c r="J107" s="302" t="s">
        <v>59</v>
      </c>
      <c r="K107" s="534" t="s">
        <v>52</v>
      </c>
      <c r="L107" s="456" t="s">
        <v>67</v>
      </c>
      <c r="M107" s="456" t="s">
        <v>68</v>
      </c>
      <c r="N107" s="456" t="s">
        <v>59</v>
      </c>
    </row>
    <row r="108" spans="1:14" ht="8.1" hidden="1" customHeight="1">
      <c r="B108" s="457"/>
      <c r="C108" s="310"/>
      <c r="D108" s="310"/>
      <c r="E108" s="310"/>
      <c r="F108" s="310"/>
      <c r="G108" s="310"/>
      <c r="H108" s="310"/>
      <c r="I108" s="310"/>
      <c r="J108" s="310"/>
      <c r="K108" s="535"/>
      <c r="L108" s="458"/>
      <c r="M108" s="458"/>
      <c r="N108" s="458"/>
    </row>
    <row r="109" spans="1:14" ht="13.5" hidden="1" customHeight="1">
      <c r="B109" s="457" t="s">
        <v>60</v>
      </c>
      <c r="C109" s="459">
        <v>60072.299999999996</v>
      </c>
      <c r="D109" s="460">
        <v>99.999999999999972</v>
      </c>
      <c r="E109" s="459">
        <v>64273</v>
      </c>
      <c r="F109" s="460">
        <v>100</v>
      </c>
      <c r="G109" s="459">
        <v>61433.999999999993</v>
      </c>
      <c r="H109" s="460">
        <v>100</v>
      </c>
      <c r="I109" s="459">
        <v>514970</v>
      </c>
      <c r="J109" s="460">
        <v>100</v>
      </c>
      <c r="K109" s="536">
        <v>1961</v>
      </c>
      <c r="L109" s="459">
        <v>1035</v>
      </c>
      <c r="M109" s="459">
        <v>926</v>
      </c>
      <c r="N109" s="537">
        <v>0.99999999999999978</v>
      </c>
    </row>
    <row r="110" spans="1:14" ht="13.5" hidden="1" customHeight="1">
      <c r="A110" s="470" t="s">
        <v>656</v>
      </c>
      <c r="B110" s="461" t="s">
        <v>711</v>
      </c>
      <c r="C110" s="462">
        <v>29617.199999999997</v>
      </c>
      <c r="D110" s="463">
        <v>49.302590378593791</v>
      </c>
      <c r="E110" s="462">
        <v>34384</v>
      </c>
      <c r="F110" s="463">
        <v>53.5</v>
      </c>
      <c r="G110" s="464">
        <v>31176</v>
      </c>
      <c r="H110" s="465">
        <v>50.747143275710528</v>
      </c>
      <c r="I110" s="462">
        <v>107072</v>
      </c>
      <c r="J110" s="463">
        <v>20.791890789754742</v>
      </c>
      <c r="K110" s="538">
        <v>533</v>
      </c>
      <c r="L110" s="462">
        <v>283</v>
      </c>
      <c r="M110" s="462">
        <v>250</v>
      </c>
      <c r="N110" s="539">
        <v>0.27180010198878124</v>
      </c>
    </row>
    <row r="111" spans="1:14" ht="13.5" hidden="1" customHeight="1">
      <c r="A111" s="472" t="s">
        <v>659</v>
      </c>
      <c r="B111" s="461" t="s">
        <v>693</v>
      </c>
      <c r="C111" s="462">
        <v>7299.0399999999991</v>
      </c>
      <c r="D111" s="463">
        <v>12.150425404054779</v>
      </c>
      <c r="E111" s="462">
        <v>7607</v>
      </c>
      <c r="F111" s="463">
        <v>11.84</v>
      </c>
      <c r="G111" s="464">
        <v>6883.2</v>
      </c>
      <c r="H111" s="465">
        <v>11.204219162027544</v>
      </c>
      <c r="I111" s="462">
        <v>29572</v>
      </c>
      <c r="J111" s="463">
        <v>5.742470435170981</v>
      </c>
      <c r="K111" s="538">
        <v>194</v>
      </c>
      <c r="L111" s="462">
        <v>100</v>
      </c>
      <c r="M111" s="462">
        <v>94</v>
      </c>
      <c r="N111" s="539">
        <v>9.8929117797042332E-2</v>
      </c>
    </row>
    <row r="112" spans="1:14" ht="13.5" hidden="1" customHeight="1">
      <c r="A112" s="470" t="s">
        <v>660</v>
      </c>
      <c r="B112" s="461" t="s">
        <v>712</v>
      </c>
      <c r="C112" s="462">
        <v>4880.3399999999992</v>
      </c>
      <c r="D112" s="463">
        <v>8.1241104469114713</v>
      </c>
      <c r="E112" s="462">
        <v>4504</v>
      </c>
      <c r="F112" s="463">
        <v>7.01</v>
      </c>
      <c r="G112" s="464">
        <v>5137.2</v>
      </c>
      <c r="H112" s="465">
        <v>8.3621447406973353</v>
      </c>
      <c r="I112" s="462">
        <v>15089</v>
      </c>
      <c r="J112" s="463">
        <v>2.9300735965201854</v>
      </c>
      <c r="K112" s="538">
        <v>92</v>
      </c>
      <c r="L112" s="462">
        <v>51</v>
      </c>
      <c r="M112" s="462">
        <v>41</v>
      </c>
      <c r="N112" s="539">
        <v>4.6914839367669554E-2</v>
      </c>
    </row>
    <row r="113" spans="1:14" ht="13.5" hidden="1" customHeight="1">
      <c r="A113" s="470" t="s">
        <v>661</v>
      </c>
      <c r="B113" s="461" t="s">
        <v>690</v>
      </c>
      <c r="C113" s="462">
        <v>1244.8800000000001</v>
      </c>
      <c r="D113" s="463">
        <v>2.0723028750355823</v>
      </c>
      <c r="E113" s="462">
        <v>1220</v>
      </c>
      <c r="F113" s="463">
        <v>1.9</v>
      </c>
      <c r="G113" s="464">
        <v>1310.4000000000001</v>
      </c>
      <c r="H113" s="465">
        <v>2.1330208028127751</v>
      </c>
      <c r="I113" s="462">
        <v>2789</v>
      </c>
      <c r="J113" s="463">
        <v>0.54158494669592394</v>
      </c>
      <c r="K113" s="538">
        <v>79</v>
      </c>
      <c r="L113" s="462">
        <v>43</v>
      </c>
      <c r="M113" s="462">
        <v>36</v>
      </c>
      <c r="N113" s="539">
        <v>4.0285568587455377E-2</v>
      </c>
    </row>
    <row r="114" spans="1:14" ht="13.5" hidden="1" customHeight="1">
      <c r="A114" s="470" t="s">
        <v>662</v>
      </c>
      <c r="B114" s="461" t="s">
        <v>692</v>
      </c>
      <c r="C114" s="462">
        <v>692.55</v>
      </c>
      <c r="D114" s="463">
        <v>1.152860802732707</v>
      </c>
      <c r="E114" s="462">
        <v>749</v>
      </c>
      <c r="F114" s="463">
        <v>1.17</v>
      </c>
      <c r="G114" s="464">
        <v>729</v>
      </c>
      <c r="H114" s="465">
        <v>1.1866393202461178</v>
      </c>
      <c r="I114" s="462">
        <v>13554</v>
      </c>
      <c r="J114" s="463">
        <v>2.631997980464881</v>
      </c>
      <c r="K114" s="538">
        <v>65</v>
      </c>
      <c r="L114" s="462">
        <v>26</v>
      </c>
      <c r="M114" s="462">
        <v>39</v>
      </c>
      <c r="N114" s="539">
        <v>3.3146353901070881E-2</v>
      </c>
    </row>
    <row r="115" spans="1:14" ht="13.5" hidden="1" customHeight="1">
      <c r="A115" s="470" t="s">
        <v>658</v>
      </c>
      <c r="B115" s="461" t="s">
        <v>688</v>
      </c>
      <c r="C115" s="462">
        <v>2702.18</v>
      </c>
      <c r="D115" s="463">
        <v>4.4982129866843783</v>
      </c>
      <c r="E115" s="462">
        <v>2673</v>
      </c>
      <c r="F115" s="463">
        <v>4.16</v>
      </c>
      <c r="G115" s="464">
        <v>2444.4</v>
      </c>
      <c r="H115" s="465">
        <v>3.9789041898622912</v>
      </c>
      <c r="I115" s="462">
        <v>7955</v>
      </c>
      <c r="J115" s="463">
        <v>1.5447501796221137</v>
      </c>
      <c r="K115" s="538">
        <v>53</v>
      </c>
      <c r="L115" s="462">
        <v>31</v>
      </c>
      <c r="M115" s="462">
        <v>22</v>
      </c>
      <c r="N115" s="539">
        <v>2.7027027027027029E-2</v>
      </c>
    </row>
    <row r="116" spans="1:14" ht="13.5" hidden="1" customHeight="1">
      <c r="A116" s="470" t="s">
        <v>663</v>
      </c>
      <c r="B116" s="461" t="s">
        <v>685</v>
      </c>
      <c r="C116" s="462">
        <v>383.03999999999996</v>
      </c>
      <c r="D116" s="463">
        <v>0.63763165385710219</v>
      </c>
      <c r="E116" s="462" t="s">
        <v>13</v>
      </c>
      <c r="F116" s="466" t="s">
        <v>13</v>
      </c>
      <c r="G116" s="464">
        <v>403.2</v>
      </c>
      <c r="H116" s="465">
        <v>0.65631409317316136</v>
      </c>
      <c r="I116" s="462">
        <v>56501</v>
      </c>
      <c r="J116" s="463">
        <v>10.97170708973338</v>
      </c>
      <c r="K116" s="538">
        <v>50</v>
      </c>
      <c r="L116" s="462">
        <v>31</v>
      </c>
      <c r="M116" s="462">
        <v>19</v>
      </c>
      <c r="N116" s="539">
        <v>2.5497195308516064E-2</v>
      </c>
    </row>
    <row r="117" spans="1:14" ht="13.5" hidden="1" customHeight="1">
      <c r="A117" s="470" t="s">
        <v>664</v>
      </c>
      <c r="B117" s="461" t="s">
        <v>686</v>
      </c>
      <c r="C117" s="462">
        <v>1340.45</v>
      </c>
      <c r="D117" s="463">
        <v>2.2313945029572699</v>
      </c>
      <c r="E117" s="462">
        <v>1783</v>
      </c>
      <c r="F117" s="463">
        <v>2.77</v>
      </c>
      <c r="G117" s="464">
        <v>1611</v>
      </c>
      <c r="H117" s="465">
        <v>2.6223263990624082</v>
      </c>
      <c r="I117" s="462">
        <v>4423</v>
      </c>
      <c r="J117" s="463">
        <v>0.85888498359127696</v>
      </c>
      <c r="K117" s="538">
        <v>43</v>
      </c>
      <c r="L117" s="462">
        <v>27</v>
      </c>
      <c r="M117" s="462">
        <v>16</v>
      </c>
      <c r="N117" s="539">
        <v>2.1927587965323816E-2</v>
      </c>
    </row>
    <row r="118" spans="1:14" ht="13.5" hidden="1" customHeight="1">
      <c r="A118" s="470" t="s">
        <v>665</v>
      </c>
      <c r="B118" s="461" t="s">
        <v>687</v>
      </c>
      <c r="C118" s="462">
        <v>413.82</v>
      </c>
      <c r="D118" s="463">
        <v>0.68886991175633361</v>
      </c>
      <c r="E118" s="462" t="s">
        <v>13</v>
      </c>
      <c r="F118" s="466" t="s">
        <v>13</v>
      </c>
      <c r="G118" s="464">
        <v>435.6</v>
      </c>
      <c r="H118" s="465">
        <v>0.7090536185174332</v>
      </c>
      <c r="I118" s="462">
        <v>14378</v>
      </c>
      <c r="J118" s="463">
        <v>2.7920073013961972</v>
      </c>
      <c r="K118" s="538">
        <v>41</v>
      </c>
      <c r="L118" s="462">
        <v>24</v>
      </c>
      <c r="M118" s="462">
        <v>17</v>
      </c>
      <c r="N118" s="539">
        <v>2.0907700152983173E-2</v>
      </c>
    </row>
    <row r="119" spans="1:14" ht="13.5" hidden="1" customHeight="1">
      <c r="A119" s="470" t="s">
        <v>657</v>
      </c>
      <c r="B119" s="461" t="s">
        <v>713</v>
      </c>
      <c r="C119" s="462">
        <v>550.62</v>
      </c>
      <c r="D119" s="463">
        <v>0.91659550241958454</v>
      </c>
      <c r="E119" s="462" t="s">
        <v>13</v>
      </c>
      <c r="F119" s="466" t="s">
        <v>13</v>
      </c>
      <c r="G119" s="464">
        <v>579.6</v>
      </c>
      <c r="H119" s="465">
        <v>0.94345150893641938</v>
      </c>
      <c r="I119" s="462">
        <v>6152</v>
      </c>
      <c r="J119" s="463">
        <v>1.1946326970503134</v>
      </c>
      <c r="K119" s="538">
        <v>41</v>
      </c>
      <c r="L119" s="462">
        <v>22</v>
      </c>
      <c r="M119" s="462">
        <v>19</v>
      </c>
      <c r="N119" s="539">
        <v>2.0907700152983173E-2</v>
      </c>
    </row>
    <row r="120" spans="1:14" ht="13.5" hidden="1" customHeight="1">
      <c r="A120" s="471" t="s">
        <v>330</v>
      </c>
      <c r="B120" s="471"/>
      <c r="C120" s="462">
        <v>10948.179999999998</v>
      </c>
      <c r="D120" s="463">
        <v>18.225005534996992</v>
      </c>
      <c r="E120" s="462">
        <v>11353</v>
      </c>
      <c r="F120" s="463">
        <v>17.649999999999999</v>
      </c>
      <c r="G120" s="464">
        <v>10724.4</v>
      </c>
      <c r="H120" s="465">
        <v>17.456782888953995</v>
      </c>
      <c r="I120" s="462">
        <v>257485</v>
      </c>
      <c r="J120" s="463">
        <v>49.999999999999993</v>
      </c>
      <c r="K120" s="538">
        <v>770</v>
      </c>
      <c r="L120" s="462">
        <v>397</v>
      </c>
      <c r="M120" s="462">
        <v>373</v>
      </c>
      <c r="N120" s="539">
        <v>0.39265680775114736</v>
      </c>
    </row>
    <row r="121" spans="1:14" ht="8.1" hidden="1" customHeight="1">
      <c r="B121" s="471"/>
      <c r="C121" s="462"/>
      <c r="D121" s="463"/>
      <c r="E121" s="462"/>
      <c r="F121" s="463"/>
      <c r="G121" s="462"/>
      <c r="H121" s="462"/>
      <c r="I121" s="530"/>
      <c r="J121" s="530"/>
      <c r="K121" s="538"/>
      <c r="L121" s="530"/>
      <c r="M121" s="530"/>
      <c r="N121" s="530"/>
    </row>
    <row r="122" spans="1:14" ht="5.0999999999999996" customHeight="1">
      <c r="B122" s="354"/>
      <c r="C122" s="462"/>
      <c r="D122" s="463"/>
      <c r="E122" s="462"/>
      <c r="F122" s="463"/>
      <c r="G122" s="462"/>
      <c r="H122" s="462"/>
      <c r="I122" s="462"/>
      <c r="J122" s="462"/>
      <c r="K122" s="530"/>
      <c r="L122" s="530"/>
      <c r="M122" s="530"/>
      <c r="N122" s="530"/>
    </row>
    <row r="123" spans="1:14">
      <c r="A123" s="358"/>
      <c r="B123" s="757"/>
      <c r="C123" s="757"/>
      <c r="D123" s="757"/>
      <c r="E123" s="757"/>
      <c r="F123" s="757"/>
      <c r="G123" s="757"/>
      <c r="H123" s="757"/>
      <c r="I123" s="462"/>
      <c r="J123" s="462"/>
      <c r="K123" s="754">
        <v>2022</v>
      </c>
      <c r="L123" s="755"/>
      <c r="M123" s="755"/>
      <c r="N123" s="755"/>
    </row>
    <row r="124" spans="1:14">
      <c r="B124" s="533" t="s">
        <v>724</v>
      </c>
      <c r="C124" s="302" t="s">
        <v>326</v>
      </c>
      <c r="D124" s="302" t="s">
        <v>59</v>
      </c>
      <c r="E124" s="302" t="s">
        <v>326</v>
      </c>
      <c r="F124" s="302" t="s">
        <v>59</v>
      </c>
      <c r="G124" s="302" t="s">
        <v>326</v>
      </c>
      <c r="H124" s="302" t="s">
        <v>59</v>
      </c>
      <c r="I124" s="302" t="s">
        <v>326</v>
      </c>
      <c r="J124" s="302" t="s">
        <v>59</v>
      </c>
      <c r="K124" s="534" t="s">
        <v>52</v>
      </c>
      <c r="L124" s="456" t="s">
        <v>67</v>
      </c>
      <c r="M124" s="456" t="s">
        <v>68</v>
      </c>
      <c r="N124" s="456" t="s">
        <v>59</v>
      </c>
    </row>
    <row r="125" spans="1:14" ht="8.1" customHeight="1">
      <c r="B125" s="457"/>
      <c r="C125" s="310"/>
      <c r="D125" s="310"/>
      <c r="E125" s="310"/>
      <c r="F125" s="310"/>
      <c r="G125" s="310"/>
      <c r="H125" s="310"/>
      <c r="I125" s="310"/>
      <c r="J125" s="310"/>
      <c r="K125" s="535"/>
      <c r="L125" s="458"/>
      <c r="M125" s="458"/>
      <c r="N125" s="458"/>
    </row>
    <row r="126" spans="1:14" ht="14.45" customHeight="1">
      <c r="B126" s="457" t="s">
        <v>60</v>
      </c>
      <c r="C126" s="459">
        <v>60072.299999999996</v>
      </c>
      <c r="D126" s="460">
        <v>99.999999999999972</v>
      </c>
      <c r="E126" s="459">
        <v>64273</v>
      </c>
      <c r="F126" s="460">
        <v>100</v>
      </c>
      <c r="G126" s="459">
        <v>61433.999999999993</v>
      </c>
      <c r="H126" s="460">
        <v>100</v>
      </c>
      <c r="I126" s="459">
        <v>514970</v>
      </c>
      <c r="J126" s="460">
        <v>100</v>
      </c>
      <c r="K126" s="536">
        <f>SUM(K127:K137)</f>
        <v>1961</v>
      </c>
      <c r="L126" s="459">
        <f t="shared" ref="L126:M126" si="7">SUM(L127:L137)</f>
        <v>1035</v>
      </c>
      <c r="M126" s="459">
        <f t="shared" si="7"/>
        <v>926</v>
      </c>
      <c r="N126" s="537">
        <v>1</v>
      </c>
    </row>
    <row r="127" spans="1:14" ht="14.45" customHeight="1">
      <c r="A127" s="470" t="s">
        <v>656</v>
      </c>
      <c r="B127" s="461" t="s">
        <v>711</v>
      </c>
      <c r="C127" s="462">
        <v>29617.199999999997</v>
      </c>
      <c r="D127" s="463">
        <v>49.302590378593791</v>
      </c>
      <c r="E127" s="462">
        <v>34384</v>
      </c>
      <c r="F127" s="463">
        <v>53.5</v>
      </c>
      <c r="G127" s="464">
        <v>31176</v>
      </c>
      <c r="H127" s="465">
        <v>50.747143275710528</v>
      </c>
      <c r="I127" s="462">
        <v>107072</v>
      </c>
      <c r="J127" s="463">
        <v>20.791890789754742</v>
      </c>
      <c r="K127" s="538">
        <v>533</v>
      </c>
      <c r="L127" s="462">
        <v>283</v>
      </c>
      <c r="M127" s="462">
        <v>250</v>
      </c>
      <c r="N127" s="539">
        <v>0.27180010198878124</v>
      </c>
    </row>
    <row r="128" spans="1:14" ht="14.45" customHeight="1">
      <c r="A128" s="470" t="s">
        <v>659</v>
      </c>
      <c r="B128" s="461" t="s">
        <v>746</v>
      </c>
      <c r="C128" s="462">
        <v>7299.0399999999991</v>
      </c>
      <c r="D128" s="463">
        <v>12.150425404054779</v>
      </c>
      <c r="E128" s="462">
        <v>7607</v>
      </c>
      <c r="F128" s="463">
        <v>11.84</v>
      </c>
      <c r="G128" s="464">
        <v>6883.2</v>
      </c>
      <c r="H128" s="465">
        <v>11.204219162027544</v>
      </c>
      <c r="I128" s="462">
        <v>29572</v>
      </c>
      <c r="J128" s="463">
        <v>5.742470435170981</v>
      </c>
      <c r="K128" s="538">
        <v>194</v>
      </c>
      <c r="L128" s="462">
        <v>100</v>
      </c>
      <c r="M128" s="462">
        <v>94</v>
      </c>
      <c r="N128" s="539">
        <v>9.8929117797042332E-2</v>
      </c>
    </row>
    <row r="129" spans="1:14" ht="14.45" customHeight="1">
      <c r="A129" s="470" t="s">
        <v>660</v>
      </c>
      <c r="B129" s="461" t="s">
        <v>747</v>
      </c>
      <c r="C129" s="462">
        <v>4880.3399999999992</v>
      </c>
      <c r="D129" s="463">
        <v>8.1241104469114713</v>
      </c>
      <c r="E129" s="462">
        <v>4504</v>
      </c>
      <c r="F129" s="463">
        <v>7.01</v>
      </c>
      <c r="G129" s="464">
        <v>5137.2</v>
      </c>
      <c r="H129" s="465">
        <v>8.3621447406973353</v>
      </c>
      <c r="I129" s="462">
        <v>15089</v>
      </c>
      <c r="J129" s="463">
        <v>2.9300735965201854</v>
      </c>
      <c r="K129" s="538">
        <v>92</v>
      </c>
      <c r="L129" s="462">
        <v>51</v>
      </c>
      <c r="M129" s="462">
        <v>41</v>
      </c>
      <c r="N129" s="539">
        <v>4.6914839367669554E-2</v>
      </c>
    </row>
    <row r="130" spans="1:14" ht="14.45" customHeight="1">
      <c r="A130" s="470" t="s">
        <v>661</v>
      </c>
      <c r="B130" s="461" t="s">
        <v>690</v>
      </c>
      <c r="C130" s="462">
        <v>1244.8800000000001</v>
      </c>
      <c r="D130" s="463">
        <v>2.0723028750355823</v>
      </c>
      <c r="E130" s="462">
        <v>1220</v>
      </c>
      <c r="F130" s="463">
        <v>1.9</v>
      </c>
      <c r="G130" s="464">
        <v>1310.4000000000001</v>
      </c>
      <c r="H130" s="465">
        <v>2.1330208028127751</v>
      </c>
      <c r="I130" s="462">
        <v>2789</v>
      </c>
      <c r="J130" s="463">
        <v>0.54158494669592394</v>
      </c>
      <c r="K130" s="538">
        <v>79</v>
      </c>
      <c r="L130" s="462">
        <v>43</v>
      </c>
      <c r="M130" s="462">
        <v>36</v>
      </c>
      <c r="N130" s="539">
        <v>4.0285568587455377E-2</v>
      </c>
    </row>
    <row r="131" spans="1:14" ht="14.45" customHeight="1">
      <c r="A131" s="470" t="s">
        <v>662</v>
      </c>
      <c r="B131" s="461" t="s">
        <v>692</v>
      </c>
      <c r="C131" s="462">
        <v>692.55</v>
      </c>
      <c r="D131" s="463">
        <v>1.152860802732707</v>
      </c>
      <c r="E131" s="462">
        <v>749</v>
      </c>
      <c r="F131" s="463">
        <v>1.17</v>
      </c>
      <c r="G131" s="464">
        <v>729</v>
      </c>
      <c r="H131" s="465">
        <v>1.1866393202461178</v>
      </c>
      <c r="I131" s="462">
        <v>13554</v>
      </c>
      <c r="J131" s="463">
        <v>2.631997980464881</v>
      </c>
      <c r="K131" s="538">
        <v>65</v>
      </c>
      <c r="L131" s="462">
        <v>26</v>
      </c>
      <c r="M131" s="462">
        <v>39</v>
      </c>
      <c r="N131" s="539">
        <v>3.3146353901070881E-2</v>
      </c>
    </row>
    <row r="132" spans="1:14" ht="14.45" customHeight="1">
      <c r="A132" s="470" t="s">
        <v>658</v>
      </c>
      <c r="B132" s="461" t="s">
        <v>688</v>
      </c>
      <c r="C132" s="462">
        <v>2702.18</v>
      </c>
      <c r="D132" s="463">
        <v>4.4982129866843783</v>
      </c>
      <c r="E132" s="462">
        <v>2673</v>
      </c>
      <c r="F132" s="463">
        <v>4.16</v>
      </c>
      <c r="G132" s="464">
        <v>2444.4</v>
      </c>
      <c r="H132" s="465">
        <v>3.9789041898622912</v>
      </c>
      <c r="I132" s="462">
        <v>7955</v>
      </c>
      <c r="J132" s="463">
        <v>1.5447501796221137</v>
      </c>
      <c r="K132" s="538">
        <v>53</v>
      </c>
      <c r="L132" s="462">
        <v>31</v>
      </c>
      <c r="M132" s="462">
        <v>22</v>
      </c>
      <c r="N132" s="539">
        <v>2.7027027027027029E-2</v>
      </c>
    </row>
    <row r="133" spans="1:14" ht="14.45" customHeight="1">
      <c r="A133" s="470" t="s">
        <v>663</v>
      </c>
      <c r="B133" s="461" t="s">
        <v>685</v>
      </c>
      <c r="C133" s="462">
        <v>383.03999999999996</v>
      </c>
      <c r="D133" s="463">
        <v>0.63763165385710219</v>
      </c>
      <c r="E133" s="462" t="s">
        <v>13</v>
      </c>
      <c r="F133" s="466" t="s">
        <v>13</v>
      </c>
      <c r="G133" s="464">
        <v>403.2</v>
      </c>
      <c r="H133" s="465">
        <v>0.65631409317316136</v>
      </c>
      <c r="I133" s="462">
        <v>56501</v>
      </c>
      <c r="J133" s="463">
        <v>10.97170708973338</v>
      </c>
      <c r="K133" s="538">
        <v>50</v>
      </c>
      <c r="L133" s="462">
        <v>31</v>
      </c>
      <c r="M133" s="462">
        <v>19</v>
      </c>
      <c r="N133" s="539">
        <v>2.5497195308516064E-2</v>
      </c>
    </row>
    <row r="134" spans="1:14" ht="14.45" customHeight="1">
      <c r="A134" s="470" t="s">
        <v>664</v>
      </c>
      <c r="B134" s="461" t="s">
        <v>686</v>
      </c>
      <c r="C134" s="462">
        <v>1340.45</v>
      </c>
      <c r="D134" s="463">
        <v>2.2313945029572699</v>
      </c>
      <c r="E134" s="462">
        <v>1783</v>
      </c>
      <c r="F134" s="463">
        <v>2.77</v>
      </c>
      <c r="G134" s="464">
        <v>1611</v>
      </c>
      <c r="H134" s="465">
        <v>2.6223263990624082</v>
      </c>
      <c r="I134" s="462">
        <v>4423</v>
      </c>
      <c r="J134" s="463">
        <v>0.85888498359127696</v>
      </c>
      <c r="K134" s="538">
        <v>43</v>
      </c>
      <c r="L134" s="462">
        <v>27</v>
      </c>
      <c r="M134" s="462">
        <v>16</v>
      </c>
      <c r="N134" s="539">
        <v>2.1927587965323816E-2</v>
      </c>
    </row>
    <row r="135" spans="1:14" ht="14.45" customHeight="1">
      <c r="A135" s="470" t="s">
        <v>665</v>
      </c>
      <c r="B135" s="461" t="s">
        <v>687</v>
      </c>
      <c r="C135" s="462">
        <v>413.82</v>
      </c>
      <c r="D135" s="463">
        <v>0.68886991175633361</v>
      </c>
      <c r="E135" s="462" t="s">
        <v>13</v>
      </c>
      <c r="F135" s="466" t="s">
        <v>13</v>
      </c>
      <c r="G135" s="464">
        <v>435.6</v>
      </c>
      <c r="H135" s="465">
        <v>0.7090536185174332</v>
      </c>
      <c r="I135" s="462">
        <v>14378</v>
      </c>
      <c r="J135" s="463">
        <v>2.7920073013961972</v>
      </c>
      <c r="K135" s="538">
        <v>41</v>
      </c>
      <c r="L135" s="462">
        <v>24</v>
      </c>
      <c r="M135" s="462">
        <v>17</v>
      </c>
      <c r="N135" s="539">
        <v>2.0907700152983173E-2</v>
      </c>
    </row>
    <row r="136" spans="1:14" ht="14.45" customHeight="1">
      <c r="A136" s="470" t="s">
        <v>657</v>
      </c>
      <c r="B136" s="461" t="s">
        <v>748</v>
      </c>
      <c r="C136" s="462">
        <v>550.62</v>
      </c>
      <c r="D136" s="463">
        <v>0.91659550241958454</v>
      </c>
      <c r="E136" s="462" t="s">
        <v>13</v>
      </c>
      <c r="F136" s="466" t="s">
        <v>13</v>
      </c>
      <c r="G136" s="464">
        <v>579.6</v>
      </c>
      <c r="H136" s="465">
        <v>0.94345150893641938</v>
      </c>
      <c r="I136" s="462">
        <v>6152</v>
      </c>
      <c r="J136" s="463">
        <v>1.1946326970503134</v>
      </c>
      <c r="K136" s="538">
        <v>41</v>
      </c>
      <c r="L136" s="462">
        <v>22</v>
      </c>
      <c r="M136" s="462">
        <v>19</v>
      </c>
      <c r="N136" s="539">
        <v>2.0907700152983173E-2</v>
      </c>
    </row>
    <row r="137" spans="1:14" ht="14.25" customHeight="1">
      <c r="A137" s="471" t="s">
        <v>330</v>
      </c>
      <c r="B137" s="461"/>
      <c r="C137" s="462">
        <v>10948.179999999998</v>
      </c>
      <c r="D137" s="463">
        <v>18.225005534996992</v>
      </c>
      <c r="E137" s="462">
        <v>11353</v>
      </c>
      <c r="F137" s="463">
        <v>17.649999999999999</v>
      </c>
      <c r="G137" s="464">
        <v>10724.4</v>
      </c>
      <c r="H137" s="465">
        <v>17.456782888953995</v>
      </c>
      <c r="I137" s="462">
        <v>257485</v>
      </c>
      <c r="J137" s="463">
        <v>49.999999999999993</v>
      </c>
      <c r="K137" s="538">
        <v>770</v>
      </c>
      <c r="L137" s="462">
        <v>397</v>
      </c>
      <c r="M137" s="462">
        <v>373</v>
      </c>
      <c r="N137" s="539">
        <v>0.39265680775114736</v>
      </c>
    </row>
    <row r="138" spans="1:14" ht="5.0999999999999996" customHeight="1">
      <c r="B138" s="540"/>
      <c r="C138" s="530"/>
      <c r="D138" s="541"/>
      <c r="E138" s="530"/>
      <c r="F138" s="541"/>
      <c r="G138" s="530"/>
      <c r="H138" s="530"/>
      <c r="I138" s="530"/>
      <c r="J138" s="530"/>
      <c r="K138" s="542"/>
      <c r="L138" s="530"/>
      <c r="M138" s="530"/>
      <c r="N138" s="530"/>
    </row>
    <row r="139" spans="1:14">
      <c r="A139" s="358"/>
      <c r="B139" s="717"/>
      <c r="C139" s="717"/>
      <c r="D139" s="717"/>
      <c r="E139" s="717"/>
      <c r="F139" s="717"/>
      <c r="G139" s="717"/>
      <c r="H139" s="717"/>
      <c r="I139" s="462"/>
      <c r="J139" s="462"/>
      <c r="K139" s="754">
        <v>2023</v>
      </c>
      <c r="L139" s="755"/>
      <c r="M139" s="755"/>
      <c r="N139" s="755"/>
    </row>
    <row r="140" spans="1:14">
      <c r="B140" s="533" t="s">
        <v>724</v>
      </c>
      <c r="C140" s="302" t="s">
        <v>326</v>
      </c>
      <c r="D140" s="302" t="s">
        <v>59</v>
      </c>
      <c r="E140" s="302" t="s">
        <v>326</v>
      </c>
      <c r="F140" s="302" t="s">
        <v>59</v>
      </c>
      <c r="G140" s="302" t="s">
        <v>326</v>
      </c>
      <c r="H140" s="302" t="s">
        <v>59</v>
      </c>
      <c r="I140" s="302" t="s">
        <v>326</v>
      </c>
      <c r="J140" s="302" t="s">
        <v>59</v>
      </c>
      <c r="K140" s="534" t="s">
        <v>52</v>
      </c>
      <c r="L140" s="456" t="s">
        <v>67</v>
      </c>
      <c r="M140" s="456" t="s">
        <v>68</v>
      </c>
      <c r="N140" s="456" t="s">
        <v>59</v>
      </c>
    </row>
    <row r="141" spans="1:14" ht="8.1" customHeight="1">
      <c r="B141" s="457"/>
      <c r="C141" s="310"/>
      <c r="D141" s="310"/>
      <c r="E141" s="310"/>
      <c r="F141" s="310"/>
      <c r="G141" s="310"/>
      <c r="H141" s="310"/>
      <c r="I141" s="310"/>
      <c r="J141" s="310"/>
      <c r="K141" s="535"/>
      <c r="L141" s="458"/>
      <c r="M141" s="458"/>
      <c r="N141" s="458"/>
    </row>
    <row r="142" spans="1:14" ht="14.45" customHeight="1">
      <c r="B142" s="457" t="s">
        <v>60</v>
      </c>
      <c r="C142" s="459">
        <v>60072.299999999996</v>
      </c>
      <c r="D142" s="460">
        <v>99.999999999999972</v>
      </c>
      <c r="E142" s="459">
        <v>64273</v>
      </c>
      <c r="F142" s="460">
        <v>100</v>
      </c>
      <c r="G142" s="459">
        <v>61433.999999999993</v>
      </c>
      <c r="H142" s="460">
        <v>100</v>
      </c>
      <c r="I142" s="459">
        <v>514970</v>
      </c>
      <c r="J142" s="460">
        <v>100</v>
      </c>
      <c r="K142" s="536">
        <f>SUM(K143:K153)</f>
        <v>3036</v>
      </c>
      <c r="L142" s="459">
        <f t="shared" ref="L142:M142" si="8">SUM(L143:L153)</f>
        <v>1644</v>
      </c>
      <c r="M142" s="459">
        <f t="shared" si="8"/>
        <v>1392</v>
      </c>
      <c r="N142" s="537">
        <v>1</v>
      </c>
    </row>
    <row r="143" spans="1:14" ht="14.45" customHeight="1">
      <c r="A143" s="470" t="s">
        <v>656</v>
      </c>
      <c r="B143" s="461" t="s">
        <v>776</v>
      </c>
      <c r="C143" s="462">
        <v>29617.199999999997</v>
      </c>
      <c r="D143" s="463">
        <v>49.302590378593791</v>
      </c>
      <c r="E143" s="462">
        <v>34384</v>
      </c>
      <c r="F143" s="463">
        <v>53.5</v>
      </c>
      <c r="G143" s="464">
        <v>31176</v>
      </c>
      <c r="H143" s="465">
        <v>50.747143275710528</v>
      </c>
      <c r="I143" s="462">
        <v>107072</v>
      </c>
      <c r="J143" s="463">
        <v>20.791890789754742</v>
      </c>
      <c r="K143" s="538">
        <v>307</v>
      </c>
      <c r="L143" s="462">
        <v>159</v>
      </c>
      <c r="M143" s="462">
        <v>148</v>
      </c>
      <c r="N143" s="607">
        <v>0.1</v>
      </c>
    </row>
    <row r="144" spans="1:14" ht="14.45" customHeight="1">
      <c r="A144" s="470" t="s">
        <v>659</v>
      </c>
      <c r="B144" s="461" t="s">
        <v>777</v>
      </c>
      <c r="C144" s="462">
        <v>7299.0399999999991</v>
      </c>
      <c r="D144" s="463">
        <v>12.150425404054779</v>
      </c>
      <c r="E144" s="462">
        <v>7607</v>
      </c>
      <c r="F144" s="463">
        <v>11.84</v>
      </c>
      <c r="G144" s="464">
        <v>6883.2</v>
      </c>
      <c r="H144" s="465">
        <v>11.204219162027544</v>
      </c>
      <c r="I144" s="462">
        <v>29572</v>
      </c>
      <c r="J144" s="463">
        <v>5.742470435170981</v>
      </c>
      <c r="K144" s="538">
        <v>296</v>
      </c>
      <c r="L144" s="462">
        <v>159</v>
      </c>
      <c r="M144" s="462">
        <v>137</v>
      </c>
      <c r="N144" s="607">
        <v>0.1</v>
      </c>
    </row>
    <row r="145" spans="1:14" ht="14.45" customHeight="1">
      <c r="A145" s="470" t="s">
        <v>660</v>
      </c>
      <c r="B145" s="461" t="s">
        <v>778</v>
      </c>
      <c r="C145" s="462">
        <v>4880.3399999999992</v>
      </c>
      <c r="D145" s="463">
        <v>8.1241104469114713</v>
      </c>
      <c r="E145" s="462">
        <v>4504</v>
      </c>
      <c r="F145" s="463">
        <v>7.01</v>
      </c>
      <c r="G145" s="464">
        <v>5137.2</v>
      </c>
      <c r="H145" s="465">
        <v>8.3621447406973353</v>
      </c>
      <c r="I145" s="462">
        <v>15089</v>
      </c>
      <c r="J145" s="463">
        <v>2.9300735965201854</v>
      </c>
      <c r="K145" s="538">
        <v>259</v>
      </c>
      <c r="L145" s="462">
        <v>141</v>
      </c>
      <c r="M145" s="462">
        <v>118</v>
      </c>
      <c r="N145" s="607">
        <v>0.09</v>
      </c>
    </row>
    <row r="146" spans="1:14" ht="14.45" customHeight="1">
      <c r="A146" s="470" t="s">
        <v>661</v>
      </c>
      <c r="B146" s="461" t="s">
        <v>779</v>
      </c>
      <c r="C146" s="462">
        <v>1244.8800000000001</v>
      </c>
      <c r="D146" s="463">
        <v>2.0723028750355823</v>
      </c>
      <c r="E146" s="462">
        <v>1220</v>
      </c>
      <c r="F146" s="463">
        <v>1.9</v>
      </c>
      <c r="G146" s="464">
        <v>1310.4000000000001</v>
      </c>
      <c r="H146" s="465">
        <v>2.1330208028127751</v>
      </c>
      <c r="I146" s="462">
        <v>2789</v>
      </c>
      <c r="J146" s="463">
        <v>0.54158494669592394</v>
      </c>
      <c r="K146" s="538">
        <v>151</v>
      </c>
      <c r="L146" s="462">
        <v>77</v>
      </c>
      <c r="M146" s="462">
        <v>74</v>
      </c>
      <c r="N146" s="607">
        <v>0.05</v>
      </c>
    </row>
    <row r="147" spans="1:14" ht="14.45" customHeight="1">
      <c r="A147" s="470" t="s">
        <v>662</v>
      </c>
      <c r="B147" s="461" t="s">
        <v>780</v>
      </c>
      <c r="C147" s="462">
        <v>692.55</v>
      </c>
      <c r="D147" s="463">
        <v>1.152860802732707</v>
      </c>
      <c r="E147" s="462">
        <v>749</v>
      </c>
      <c r="F147" s="463">
        <v>1.17</v>
      </c>
      <c r="G147" s="464">
        <v>729</v>
      </c>
      <c r="H147" s="465">
        <v>1.1866393202461178</v>
      </c>
      <c r="I147" s="462">
        <v>13554</v>
      </c>
      <c r="J147" s="463">
        <v>2.631997980464881</v>
      </c>
      <c r="K147" s="538">
        <v>107</v>
      </c>
      <c r="L147" s="462">
        <v>56</v>
      </c>
      <c r="M147" s="462">
        <v>51</v>
      </c>
      <c r="N147" s="607">
        <v>0.04</v>
      </c>
    </row>
    <row r="148" spans="1:14" ht="14.45" customHeight="1">
      <c r="A148" s="470" t="s">
        <v>658</v>
      </c>
      <c r="B148" s="461" t="s">
        <v>781</v>
      </c>
      <c r="C148" s="462">
        <v>2702.18</v>
      </c>
      <c r="D148" s="463">
        <v>4.4982129866843783</v>
      </c>
      <c r="E148" s="462">
        <v>2673</v>
      </c>
      <c r="F148" s="463">
        <v>4.16</v>
      </c>
      <c r="G148" s="464">
        <v>2444.4</v>
      </c>
      <c r="H148" s="465">
        <v>3.9789041898622912</v>
      </c>
      <c r="I148" s="462">
        <v>7955</v>
      </c>
      <c r="J148" s="463">
        <v>1.5447501796221137</v>
      </c>
      <c r="K148" s="538">
        <v>105</v>
      </c>
      <c r="L148" s="462">
        <v>51</v>
      </c>
      <c r="M148" s="462">
        <v>54</v>
      </c>
      <c r="N148" s="607">
        <v>0.03</v>
      </c>
    </row>
    <row r="149" spans="1:14" ht="14.45" customHeight="1">
      <c r="A149" s="470" t="s">
        <v>663</v>
      </c>
      <c r="B149" s="461" t="s">
        <v>782</v>
      </c>
      <c r="C149" s="462">
        <v>383.03999999999996</v>
      </c>
      <c r="D149" s="463">
        <v>0.63763165385710219</v>
      </c>
      <c r="E149" s="462" t="s">
        <v>13</v>
      </c>
      <c r="F149" s="466" t="s">
        <v>13</v>
      </c>
      <c r="G149" s="464">
        <v>403.2</v>
      </c>
      <c r="H149" s="465">
        <v>0.65631409317316136</v>
      </c>
      <c r="I149" s="462">
        <v>56501</v>
      </c>
      <c r="J149" s="463">
        <v>10.97170708973338</v>
      </c>
      <c r="K149" s="538">
        <v>87</v>
      </c>
      <c r="L149" s="462">
        <v>30</v>
      </c>
      <c r="M149" s="462">
        <v>57</v>
      </c>
      <c r="N149" s="607">
        <v>0.03</v>
      </c>
    </row>
    <row r="150" spans="1:14" ht="14.45" customHeight="1">
      <c r="A150" s="470" t="s">
        <v>664</v>
      </c>
      <c r="B150" s="461" t="s">
        <v>783</v>
      </c>
      <c r="C150" s="462">
        <v>1340.45</v>
      </c>
      <c r="D150" s="463">
        <v>2.2313945029572699</v>
      </c>
      <c r="E150" s="462">
        <v>1783</v>
      </c>
      <c r="F150" s="463">
        <v>2.77</v>
      </c>
      <c r="G150" s="464">
        <v>1611</v>
      </c>
      <c r="H150" s="465">
        <v>2.6223263990624082</v>
      </c>
      <c r="I150" s="462">
        <v>4423</v>
      </c>
      <c r="J150" s="463">
        <v>0.85888498359127696</v>
      </c>
      <c r="K150" s="538">
        <v>70</v>
      </c>
      <c r="L150" s="462">
        <v>32</v>
      </c>
      <c r="M150" s="462">
        <v>38</v>
      </c>
      <c r="N150" s="607">
        <v>0.02</v>
      </c>
    </row>
    <row r="151" spans="1:14" ht="14.45" customHeight="1">
      <c r="A151" s="470" t="s">
        <v>665</v>
      </c>
      <c r="B151" s="461" t="s">
        <v>784</v>
      </c>
      <c r="C151" s="462">
        <v>413.82</v>
      </c>
      <c r="D151" s="463">
        <v>0.68886991175633361</v>
      </c>
      <c r="E151" s="462" t="s">
        <v>13</v>
      </c>
      <c r="F151" s="466" t="s">
        <v>13</v>
      </c>
      <c r="G151" s="464">
        <v>435.6</v>
      </c>
      <c r="H151" s="465">
        <v>0.7090536185174332</v>
      </c>
      <c r="I151" s="462">
        <v>14378</v>
      </c>
      <c r="J151" s="463">
        <v>2.7920073013961972</v>
      </c>
      <c r="K151" s="538">
        <v>68</v>
      </c>
      <c r="L151" s="462">
        <v>44</v>
      </c>
      <c r="M151" s="462">
        <v>24</v>
      </c>
      <c r="N151" s="607">
        <v>0.02</v>
      </c>
    </row>
    <row r="152" spans="1:14" ht="14.45" customHeight="1">
      <c r="A152" s="470" t="s">
        <v>657</v>
      </c>
      <c r="B152" s="461" t="s">
        <v>785</v>
      </c>
      <c r="C152" s="462">
        <v>550.62</v>
      </c>
      <c r="D152" s="463">
        <v>0.91659550241958454</v>
      </c>
      <c r="E152" s="462" t="s">
        <v>13</v>
      </c>
      <c r="F152" s="466" t="s">
        <v>13</v>
      </c>
      <c r="G152" s="464">
        <v>579.6</v>
      </c>
      <c r="H152" s="465">
        <v>0.94345150893641938</v>
      </c>
      <c r="I152" s="462">
        <v>6152</v>
      </c>
      <c r="J152" s="463">
        <v>1.1946326970503134</v>
      </c>
      <c r="K152" s="538">
        <v>59</v>
      </c>
      <c r="L152" s="462">
        <v>30</v>
      </c>
      <c r="M152" s="462">
        <v>29</v>
      </c>
      <c r="N152" s="607">
        <v>0.02</v>
      </c>
    </row>
    <row r="153" spans="1:14" ht="14.45" customHeight="1">
      <c r="A153" s="471" t="s">
        <v>330</v>
      </c>
      <c r="B153" s="461"/>
      <c r="C153" s="462">
        <v>10948.179999999998</v>
      </c>
      <c r="D153" s="463">
        <v>18.225005534996992</v>
      </c>
      <c r="E153" s="462">
        <v>11353</v>
      </c>
      <c r="F153" s="463">
        <v>17.649999999999999</v>
      </c>
      <c r="G153" s="464">
        <v>10724.4</v>
      </c>
      <c r="H153" s="465">
        <v>17.456782888953995</v>
      </c>
      <c r="I153" s="462">
        <v>257485</v>
      </c>
      <c r="J153" s="463">
        <v>49.999999999999993</v>
      </c>
      <c r="K153" s="538">
        <v>1527</v>
      </c>
      <c r="L153" s="462">
        <v>865</v>
      </c>
      <c r="M153" s="462">
        <v>662</v>
      </c>
      <c r="N153" s="607">
        <v>0.5</v>
      </c>
    </row>
    <row r="154" spans="1:14" ht="5.0999999999999996" customHeight="1">
      <c r="B154" s="540"/>
      <c r="C154" s="530"/>
      <c r="D154" s="541"/>
      <c r="E154" s="530"/>
      <c r="F154" s="541"/>
      <c r="G154" s="530"/>
      <c r="H154" s="530"/>
      <c r="I154" s="530"/>
      <c r="J154" s="530"/>
      <c r="K154" s="542"/>
      <c r="L154" s="530"/>
      <c r="M154" s="530"/>
      <c r="N154" s="530"/>
    </row>
    <row r="155" spans="1:14">
      <c r="A155" s="358"/>
      <c r="B155" s="717"/>
      <c r="C155" s="717"/>
      <c r="D155" s="717"/>
      <c r="E155" s="717"/>
      <c r="F155" s="717"/>
      <c r="G155" s="717"/>
      <c r="H155" s="717"/>
      <c r="I155" s="462"/>
      <c r="J155" s="462"/>
      <c r="K155" s="754" t="s">
        <v>754</v>
      </c>
      <c r="L155" s="755"/>
      <c r="M155" s="755"/>
      <c r="N155" s="755"/>
    </row>
    <row r="156" spans="1:14">
      <c r="B156" s="533" t="s">
        <v>724</v>
      </c>
      <c r="C156" s="302" t="s">
        <v>326</v>
      </c>
      <c r="D156" s="302" t="s">
        <v>59</v>
      </c>
      <c r="E156" s="302" t="s">
        <v>326</v>
      </c>
      <c r="F156" s="302" t="s">
        <v>59</v>
      </c>
      <c r="G156" s="302" t="s">
        <v>326</v>
      </c>
      <c r="H156" s="302" t="s">
        <v>59</v>
      </c>
      <c r="I156" s="302" t="s">
        <v>326</v>
      </c>
      <c r="J156" s="302" t="s">
        <v>59</v>
      </c>
      <c r="K156" s="534" t="s">
        <v>52</v>
      </c>
      <c r="L156" s="456" t="s">
        <v>67</v>
      </c>
      <c r="M156" s="456" t="s">
        <v>68</v>
      </c>
      <c r="N156" s="456" t="s">
        <v>59</v>
      </c>
    </row>
    <row r="157" spans="1:14" ht="8.1" customHeight="1">
      <c r="B157" s="457"/>
      <c r="C157" s="310"/>
      <c r="D157" s="310"/>
      <c r="E157" s="310"/>
      <c r="F157" s="310"/>
      <c r="G157" s="310"/>
      <c r="H157" s="310"/>
      <c r="I157" s="310"/>
      <c r="J157" s="310"/>
      <c r="K157" s="535"/>
      <c r="L157" s="458"/>
      <c r="M157" s="458"/>
      <c r="N157" s="458"/>
    </row>
    <row r="158" spans="1:14" ht="14.45" customHeight="1">
      <c r="B158" s="457" t="s">
        <v>60</v>
      </c>
      <c r="C158" s="459">
        <v>60072.299999999996</v>
      </c>
      <c r="D158" s="460">
        <v>99.999999999999972</v>
      </c>
      <c r="E158" s="459">
        <v>64273</v>
      </c>
      <c r="F158" s="460">
        <v>100</v>
      </c>
      <c r="G158" s="459">
        <v>61433.999999999993</v>
      </c>
      <c r="H158" s="460">
        <v>100</v>
      </c>
      <c r="I158" s="459">
        <v>514970</v>
      </c>
      <c r="J158" s="460">
        <v>100</v>
      </c>
      <c r="K158" s="536">
        <f>SUM(K159:K169)</f>
        <v>1834</v>
      </c>
      <c r="L158" s="459">
        <f t="shared" ref="L158:M158" si="9">SUM(L159:L169)</f>
        <v>1012</v>
      </c>
      <c r="M158" s="459">
        <f t="shared" si="9"/>
        <v>822</v>
      </c>
      <c r="N158" s="537">
        <v>1</v>
      </c>
    </row>
    <row r="159" spans="1:14" ht="14.45" customHeight="1">
      <c r="A159" s="470" t="s">
        <v>656</v>
      </c>
      <c r="B159" s="461" t="s">
        <v>686</v>
      </c>
      <c r="C159" s="462">
        <v>29617.199999999997</v>
      </c>
      <c r="D159" s="463">
        <v>49.302590378593791</v>
      </c>
      <c r="E159" s="462">
        <v>34384</v>
      </c>
      <c r="F159" s="463">
        <v>53.5</v>
      </c>
      <c r="G159" s="464">
        <v>31176</v>
      </c>
      <c r="H159" s="465">
        <v>50.747143275710528</v>
      </c>
      <c r="I159" s="462">
        <v>107072</v>
      </c>
      <c r="J159" s="463">
        <v>20.791890789754742</v>
      </c>
      <c r="K159" s="538">
        <v>205</v>
      </c>
      <c r="L159" s="462">
        <v>109</v>
      </c>
      <c r="M159" s="462">
        <v>96</v>
      </c>
      <c r="N159" s="607">
        <v>0.11</v>
      </c>
    </row>
    <row r="160" spans="1:14" ht="14.45" customHeight="1">
      <c r="A160" s="470" t="s">
        <v>659</v>
      </c>
      <c r="B160" s="461" t="s">
        <v>692</v>
      </c>
      <c r="C160" s="462">
        <v>7299.0399999999991</v>
      </c>
      <c r="D160" s="463">
        <v>12.150425404054779</v>
      </c>
      <c r="E160" s="462">
        <v>7607</v>
      </c>
      <c r="F160" s="463">
        <v>11.84</v>
      </c>
      <c r="G160" s="464">
        <v>6883.2</v>
      </c>
      <c r="H160" s="465">
        <v>11.204219162027544</v>
      </c>
      <c r="I160" s="462">
        <v>29572</v>
      </c>
      <c r="J160" s="463">
        <v>5.742470435170981</v>
      </c>
      <c r="K160" s="538">
        <v>204</v>
      </c>
      <c r="L160" s="462">
        <v>103</v>
      </c>
      <c r="M160" s="462">
        <v>101</v>
      </c>
      <c r="N160" s="607">
        <v>0.11</v>
      </c>
    </row>
    <row r="161" spans="1:14" ht="14.45" customHeight="1">
      <c r="A161" s="470" t="s">
        <v>660</v>
      </c>
      <c r="B161" s="461" t="s">
        <v>687</v>
      </c>
      <c r="C161" s="462">
        <v>4880.3399999999992</v>
      </c>
      <c r="D161" s="463">
        <v>8.1241104469114713</v>
      </c>
      <c r="E161" s="462">
        <v>4504</v>
      </c>
      <c r="F161" s="463">
        <v>7.01</v>
      </c>
      <c r="G161" s="464">
        <v>5137.2</v>
      </c>
      <c r="H161" s="465">
        <v>8.3621447406973353</v>
      </c>
      <c r="I161" s="462">
        <v>15089</v>
      </c>
      <c r="J161" s="463">
        <v>2.9300735965201854</v>
      </c>
      <c r="K161" s="538">
        <v>104</v>
      </c>
      <c r="L161" s="462">
        <v>59</v>
      </c>
      <c r="M161" s="462">
        <v>45</v>
      </c>
      <c r="N161" s="607">
        <v>0.06</v>
      </c>
    </row>
    <row r="162" spans="1:14" ht="14.45" customHeight="1">
      <c r="A162" s="470" t="s">
        <v>661</v>
      </c>
      <c r="B162" s="461" t="s">
        <v>786</v>
      </c>
      <c r="C162" s="462">
        <v>1244.8800000000001</v>
      </c>
      <c r="D162" s="463">
        <v>2.0723028750355823</v>
      </c>
      <c r="E162" s="462">
        <v>1220</v>
      </c>
      <c r="F162" s="463">
        <v>1.9</v>
      </c>
      <c r="G162" s="464">
        <v>1310.4000000000001</v>
      </c>
      <c r="H162" s="465">
        <v>2.1330208028127751</v>
      </c>
      <c r="I162" s="462">
        <v>2789</v>
      </c>
      <c r="J162" s="463">
        <v>0.54158494669592394</v>
      </c>
      <c r="K162" s="538">
        <v>77</v>
      </c>
      <c r="L162" s="462">
        <v>51</v>
      </c>
      <c r="M162" s="462">
        <v>26</v>
      </c>
      <c r="N162" s="607">
        <v>0.04</v>
      </c>
    </row>
    <row r="163" spans="1:14" ht="14.45" customHeight="1">
      <c r="A163" s="470" t="s">
        <v>662</v>
      </c>
      <c r="B163" s="461" t="s">
        <v>787</v>
      </c>
      <c r="C163" s="462">
        <v>692.55</v>
      </c>
      <c r="D163" s="463">
        <v>1.152860802732707</v>
      </c>
      <c r="E163" s="462">
        <v>749</v>
      </c>
      <c r="F163" s="463">
        <v>1.17</v>
      </c>
      <c r="G163" s="464">
        <v>729</v>
      </c>
      <c r="H163" s="465">
        <v>1.1866393202461178</v>
      </c>
      <c r="I163" s="462">
        <v>13554</v>
      </c>
      <c r="J163" s="463">
        <v>2.631997980464881</v>
      </c>
      <c r="K163" s="538">
        <v>71</v>
      </c>
      <c r="L163" s="462">
        <v>34</v>
      </c>
      <c r="M163" s="462">
        <v>37</v>
      </c>
      <c r="N163" s="607">
        <v>0.04</v>
      </c>
    </row>
    <row r="164" spans="1:14" ht="14.45" customHeight="1">
      <c r="A164" s="470" t="s">
        <v>658</v>
      </c>
      <c r="B164" s="461" t="s">
        <v>680</v>
      </c>
      <c r="C164" s="462">
        <v>2702.18</v>
      </c>
      <c r="D164" s="463">
        <v>4.4982129866843783</v>
      </c>
      <c r="E164" s="462">
        <v>2673</v>
      </c>
      <c r="F164" s="463">
        <v>4.16</v>
      </c>
      <c r="G164" s="464">
        <v>2444.4</v>
      </c>
      <c r="H164" s="465">
        <v>3.9789041898622912</v>
      </c>
      <c r="I164" s="462">
        <v>7955</v>
      </c>
      <c r="J164" s="463">
        <v>1.5447501796221137</v>
      </c>
      <c r="K164" s="538">
        <v>67</v>
      </c>
      <c r="L164" s="462">
        <v>44</v>
      </c>
      <c r="M164" s="462">
        <v>23</v>
      </c>
      <c r="N164" s="607">
        <v>0.04</v>
      </c>
    </row>
    <row r="165" spans="1:14" ht="14.45" customHeight="1">
      <c r="A165" s="470" t="s">
        <v>663</v>
      </c>
      <c r="B165" s="461" t="s">
        <v>788</v>
      </c>
      <c r="C165" s="462">
        <v>383.03999999999996</v>
      </c>
      <c r="D165" s="463">
        <v>0.63763165385710219</v>
      </c>
      <c r="E165" s="462" t="s">
        <v>13</v>
      </c>
      <c r="F165" s="466" t="s">
        <v>13</v>
      </c>
      <c r="G165" s="464">
        <v>403.2</v>
      </c>
      <c r="H165" s="465">
        <v>0.65631409317316136</v>
      </c>
      <c r="I165" s="462">
        <v>56501</v>
      </c>
      <c r="J165" s="463">
        <v>10.97170708973338</v>
      </c>
      <c r="K165" s="538">
        <v>54</v>
      </c>
      <c r="L165" s="462">
        <v>34</v>
      </c>
      <c r="M165" s="462">
        <v>20</v>
      </c>
      <c r="N165" s="607">
        <v>0.03</v>
      </c>
    </row>
    <row r="166" spans="1:14" ht="14.45" customHeight="1">
      <c r="A166" s="470" t="s">
        <v>664</v>
      </c>
      <c r="B166" s="461" t="s">
        <v>789</v>
      </c>
      <c r="C166" s="462">
        <v>1340.45</v>
      </c>
      <c r="D166" s="463">
        <v>2.2313945029572699</v>
      </c>
      <c r="E166" s="462">
        <v>1783</v>
      </c>
      <c r="F166" s="463">
        <v>2.77</v>
      </c>
      <c r="G166" s="464">
        <v>1611</v>
      </c>
      <c r="H166" s="465">
        <v>2.6223263990624082</v>
      </c>
      <c r="I166" s="462">
        <v>4423</v>
      </c>
      <c r="J166" s="463">
        <v>0.85888498359127696</v>
      </c>
      <c r="K166" s="538">
        <v>45</v>
      </c>
      <c r="L166" s="462">
        <v>25</v>
      </c>
      <c r="M166" s="462">
        <v>20</v>
      </c>
      <c r="N166" s="607">
        <v>0.02</v>
      </c>
    </row>
    <row r="167" spans="1:14" ht="14.45" customHeight="1">
      <c r="A167" s="470" t="s">
        <v>665</v>
      </c>
      <c r="B167" s="461" t="s">
        <v>715</v>
      </c>
      <c r="C167" s="462">
        <v>413.82</v>
      </c>
      <c r="D167" s="463">
        <v>0.68886991175633361</v>
      </c>
      <c r="E167" s="462" t="s">
        <v>13</v>
      </c>
      <c r="F167" s="466" t="s">
        <v>13</v>
      </c>
      <c r="G167" s="464">
        <v>435.6</v>
      </c>
      <c r="H167" s="465">
        <v>0.7090536185174332</v>
      </c>
      <c r="I167" s="462">
        <v>14378</v>
      </c>
      <c r="J167" s="463">
        <v>2.7920073013961972</v>
      </c>
      <c r="K167" s="538">
        <v>45</v>
      </c>
      <c r="L167" s="462">
        <v>14</v>
      </c>
      <c r="M167" s="462">
        <v>31</v>
      </c>
      <c r="N167" s="607">
        <v>0.02</v>
      </c>
    </row>
    <row r="168" spans="1:14" ht="14.45" customHeight="1">
      <c r="A168" s="470" t="s">
        <v>657</v>
      </c>
      <c r="B168" s="461" t="s">
        <v>790</v>
      </c>
      <c r="C168" s="462">
        <v>550.62</v>
      </c>
      <c r="D168" s="463">
        <v>0.91659550241958454</v>
      </c>
      <c r="E168" s="462" t="s">
        <v>13</v>
      </c>
      <c r="F168" s="466" t="s">
        <v>13</v>
      </c>
      <c r="G168" s="464">
        <v>579.6</v>
      </c>
      <c r="H168" s="465">
        <v>0.94345150893641938</v>
      </c>
      <c r="I168" s="462">
        <v>6152</v>
      </c>
      <c r="J168" s="463">
        <v>1.1946326970503134</v>
      </c>
      <c r="K168" s="538">
        <v>44</v>
      </c>
      <c r="L168" s="462">
        <v>24</v>
      </c>
      <c r="M168" s="462">
        <v>20</v>
      </c>
      <c r="N168" s="607">
        <v>0.02</v>
      </c>
    </row>
    <row r="169" spans="1:14" ht="14.45" customHeight="1">
      <c r="A169" s="471" t="s">
        <v>330</v>
      </c>
      <c r="B169" s="461"/>
      <c r="C169" s="462">
        <v>10948.179999999998</v>
      </c>
      <c r="D169" s="463">
        <v>18.225005534996992</v>
      </c>
      <c r="E169" s="462">
        <v>11353</v>
      </c>
      <c r="F169" s="463">
        <v>17.649999999999999</v>
      </c>
      <c r="G169" s="464">
        <v>10724.4</v>
      </c>
      <c r="H169" s="465">
        <v>17.456782888953995</v>
      </c>
      <c r="I169" s="462">
        <v>257485</v>
      </c>
      <c r="J169" s="463">
        <v>49.999999999999993</v>
      </c>
      <c r="K169" s="538">
        <v>918</v>
      </c>
      <c r="L169" s="462">
        <v>515</v>
      </c>
      <c r="M169" s="462">
        <v>403</v>
      </c>
      <c r="N169" s="607">
        <v>0.5</v>
      </c>
    </row>
    <row r="170" spans="1:14" ht="5.0999999999999996" customHeight="1">
      <c r="A170" s="415"/>
      <c r="B170" s="540"/>
      <c r="C170" s="530"/>
      <c r="D170" s="541"/>
      <c r="E170" s="530"/>
      <c r="F170" s="541"/>
      <c r="G170" s="530"/>
      <c r="H170" s="530"/>
      <c r="I170" s="530"/>
      <c r="J170" s="530"/>
      <c r="K170" s="542"/>
      <c r="L170" s="530"/>
      <c r="M170" s="530"/>
      <c r="N170" s="530"/>
    </row>
    <row r="171" spans="1:14" ht="11.1" customHeight="1">
      <c r="A171" s="469" t="s">
        <v>698</v>
      </c>
      <c r="C171" s="468"/>
      <c r="D171" s="468"/>
      <c r="E171" s="468"/>
      <c r="F171" s="468"/>
      <c r="G171" s="468"/>
      <c r="H171" s="468"/>
      <c r="I171" s="468"/>
      <c r="J171" s="468"/>
      <c r="K171" s="468"/>
      <c r="L171" s="468"/>
      <c r="M171" s="468"/>
      <c r="N171" s="468"/>
    </row>
    <row r="172" spans="1:14" ht="11.1" customHeight="1">
      <c r="A172" s="468" t="s">
        <v>756</v>
      </c>
      <c r="C172" s="469"/>
      <c r="D172" s="469"/>
      <c r="E172" s="469"/>
      <c r="F172" s="469"/>
      <c r="G172" s="469"/>
      <c r="H172" s="469"/>
      <c r="I172" s="462"/>
      <c r="J172" s="462"/>
      <c r="K172" s="462"/>
      <c r="L172" s="462"/>
      <c r="M172" s="458"/>
      <c r="N172" s="458"/>
    </row>
    <row r="173" spans="1:14" ht="11.1" customHeight="1">
      <c r="A173" s="467" t="s">
        <v>389</v>
      </c>
      <c r="C173" s="467"/>
      <c r="D173" s="467"/>
      <c r="E173" s="467"/>
      <c r="F173" s="467"/>
      <c r="G173" s="467"/>
      <c r="H173" s="467"/>
      <c r="I173" s="467"/>
      <c r="J173" s="467"/>
      <c r="K173" s="467"/>
      <c r="L173" s="467"/>
      <c r="M173" s="458"/>
      <c r="N173" s="458"/>
    </row>
    <row r="177" spans="1:14" ht="13.5" customHeight="1">
      <c r="A177" s="756" t="s">
        <v>852</v>
      </c>
      <c r="B177" s="756"/>
      <c r="C177" s="756"/>
      <c r="D177" s="756"/>
      <c r="E177" s="756"/>
      <c r="F177" s="756"/>
      <c r="G177" s="756"/>
      <c r="H177" s="756"/>
      <c r="I177" s="756"/>
      <c r="J177" s="756"/>
      <c r="K177" s="756"/>
      <c r="L177" s="756"/>
      <c r="M177" s="756"/>
      <c r="N177" s="756"/>
    </row>
    <row r="178" spans="1:14" ht="13.5" customHeight="1">
      <c r="A178" s="455" t="s">
        <v>853</v>
      </c>
      <c r="C178" s="298"/>
      <c r="D178" s="298"/>
      <c r="E178" s="298"/>
      <c r="F178" s="298"/>
      <c r="G178" s="298"/>
      <c r="H178" s="454"/>
      <c r="I178" s="298"/>
      <c r="J178" s="454"/>
      <c r="K178" s="454"/>
      <c r="L178" s="454"/>
      <c r="M178" s="454"/>
      <c r="N178" s="454"/>
    </row>
    <row r="179" spans="1:14" ht="13.5" hidden="1">
      <c r="A179" s="358"/>
      <c r="B179" s="531"/>
      <c r="C179" s="531"/>
      <c r="D179" s="531"/>
      <c r="E179" s="531"/>
      <c r="F179" s="531"/>
      <c r="G179" s="531"/>
      <c r="H179" s="532"/>
      <c r="I179" s="531"/>
      <c r="J179" s="532"/>
      <c r="K179" s="750">
        <v>2020</v>
      </c>
      <c r="L179" s="751"/>
      <c r="M179" s="751"/>
      <c r="N179" s="751"/>
    </row>
    <row r="180" spans="1:14" hidden="1">
      <c r="B180" s="533" t="s">
        <v>724</v>
      </c>
      <c r="C180" s="302" t="s">
        <v>326</v>
      </c>
      <c r="D180" s="302" t="s">
        <v>59</v>
      </c>
      <c r="E180" s="302" t="s">
        <v>326</v>
      </c>
      <c r="F180" s="302" t="s">
        <v>59</v>
      </c>
      <c r="G180" s="302" t="s">
        <v>326</v>
      </c>
      <c r="H180" s="302" t="s">
        <v>59</v>
      </c>
      <c r="I180" s="302" t="s">
        <v>326</v>
      </c>
      <c r="J180" s="302" t="s">
        <v>59</v>
      </c>
      <c r="K180" s="534" t="s">
        <v>52</v>
      </c>
      <c r="L180" s="456" t="s">
        <v>67</v>
      </c>
      <c r="M180" s="456" t="s">
        <v>68</v>
      </c>
      <c r="N180" s="456" t="s">
        <v>59</v>
      </c>
    </row>
    <row r="181" spans="1:14" ht="8.1" hidden="1" customHeight="1">
      <c r="B181" s="457"/>
      <c r="C181" s="310"/>
      <c r="D181" s="310"/>
      <c r="E181" s="310"/>
      <c r="F181" s="310"/>
      <c r="G181" s="310"/>
      <c r="H181" s="310"/>
      <c r="I181" s="310"/>
      <c r="J181" s="310"/>
      <c r="K181" s="535"/>
      <c r="L181" s="458"/>
      <c r="M181" s="458"/>
      <c r="N181" s="458"/>
    </row>
    <row r="182" spans="1:14" ht="13.5" hidden="1" customHeight="1">
      <c r="B182" s="457" t="s">
        <v>60</v>
      </c>
      <c r="C182" s="459">
        <v>60072.299999999996</v>
      </c>
      <c r="D182" s="460">
        <v>99.999999999999972</v>
      </c>
      <c r="E182" s="459">
        <v>64273</v>
      </c>
      <c r="F182" s="460">
        <v>100</v>
      </c>
      <c r="G182" s="459">
        <v>61433.999999999993</v>
      </c>
      <c r="H182" s="460">
        <v>100</v>
      </c>
      <c r="I182" s="459">
        <v>514970</v>
      </c>
      <c r="J182" s="460">
        <v>100</v>
      </c>
      <c r="K182" s="536">
        <v>2319</v>
      </c>
      <c r="L182" s="459">
        <v>1238</v>
      </c>
      <c r="M182" s="459">
        <v>1081</v>
      </c>
      <c r="N182" s="537">
        <v>1</v>
      </c>
    </row>
    <row r="183" spans="1:14" ht="13.5" hidden="1" customHeight="1">
      <c r="A183" s="470" t="s">
        <v>656</v>
      </c>
      <c r="B183" s="461" t="s">
        <v>675</v>
      </c>
      <c r="C183" s="462">
        <v>29617.199999999997</v>
      </c>
      <c r="D183" s="463">
        <v>49.302590378593791</v>
      </c>
      <c r="E183" s="462">
        <v>34384</v>
      </c>
      <c r="F183" s="463">
        <v>53.5</v>
      </c>
      <c r="G183" s="464">
        <v>31176</v>
      </c>
      <c r="H183" s="465">
        <v>50.747143275710528</v>
      </c>
      <c r="I183" s="462">
        <v>107072</v>
      </c>
      <c r="J183" s="463">
        <v>20.791890789754742</v>
      </c>
      <c r="K183" s="538">
        <v>467</v>
      </c>
      <c r="L183" s="462">
        <v>231</v>
      </c>
      <c r="M183" s="462">
        <v>236</v>
      </c>
      <c r="N183" s="543">
        <v>0.20137990513152221</v>
      </c>
    </row>
    <row r="184" spans="1:14" ht="13.5" hidden="1" customHeight="1">
      <c r="A184" s="470" t="s">
        <v>659</v>
      </c>
      <c r="B184" s="461" t="s">
        <v>676</v>
      </c>
      <c r="C184" s="462">
        <v>7299.0399999999991</v>
      </c>
      <c r="D184" s="463">
        <v>12.150425404054779</v>
      </c>
      <c r="E184" s="462">
        <v>7607</v>
      </c>
      <c r="F184" s="463">
        <v>11.84</v>
      </c>
      <c r="G184" s="464">
        <v>6883.2</v>
      </c>
      <c r="H184" s="465">
        <v>11.204219162027544</v>
      </c>
      <c r="I184" s="462">
        <v>29572</v>
      </c>
      <c r="J184" s="463">
        <v>5.742470435170981</v>
      </c>
      <c r="K184" s="538">
        <v>160</v>
      </c>
      <c r="L184" s="462">
        <v>88</v>
      </c>
      <c r="M184" s="462">
        <v>72</v>
      </c>
      <c r="N184" s="543">
        <v>6.8995256576110386E-2</v>
      </c>
    </row>
    <row r="185" spans="1:14" ht="13.5" hidden="1" customHeight="1">
      <c r="A185" s="470" t="s">
        <v>660</v>
      </c>
      <c r="B185" s="461" t="s">
        <v>677</v>
      </c>
      <c r="C185" s="462">
        <v>4880.3399999999992</v>
      </c>
      <c r="D185" s="463">
        <v>8.1241104469114713</v>
      </c>
      <c r="E185" s="462">
        <v>4504</v>
      </c>
      <c r="F185" s="463">
        <v>7.01</v>
      </c>
      <c r="G185" s="464">
        <v>5137.2</v>
      </c>
      <c r="H185" s="465">
        <v>8.3621447406973353</v>
      </c>
      <c r="I185" s="462">
        <v>15089</v>
      </c>
      <c r="J185" s="463">
        <v>2.9300735965201854</v>
      </c>
      <c r="K185" s="538">
        <v>139</v>
      </c>
      <c r="L185" s="462">
        <v>68</v>
      </c>
      <c r="M185" s="462">
        <v>71</v>
      </c>
      <c r="N185" s="543">
        <v>5.9939629150495902E-2</v>
      </c>
    </row>
    <row r="186" spans="1:14" ht="13.5" hidden="1" customHeight="1">
      <c r="A186" s="470" t="s">
        <v>661</v>
      </c>
      <c r="B186" s="461" t="s">
        <v>678</v>
      </c>
      <c r="C186" s="462">
        <v>1244.8800000000001</v>
      </c>
      <c r="D186" s="463">
        <v>2.0723028750355823</v>
      </c>
      <c r="E186" s="462">
        <v>1220</v>
      </c>
      <c r="F186" s="463">
        <v>1.9</v>
      </c>
      <c r="G186" s="464">
        <v>1310.4000000000001</v>
      </c>
      <c r="H186" s="465">
        <v>2.1330208028127751</v>
      </c>
      <c r="I186" s="462">
        <v>2789</v>
      </c>
      <c r="J186" s="463">
        <v>0.54158494669592394</v>
      </c>
      <c r="K186" s="538">
        <v>124</v>
      </c>
      <c r="L186" s="462">
        <v>65</v>
      </c>
      <c r="M186" s="462">
        <v>59</v>
      </c>
      <c r="N186" s="543">
        <v>5.3471323846485556E-2</v>
      </c>
    </row>
    <row r="187" spans="1:14" ht="13.5" hidden="1" customHeight="1">
      <c r="A187" s="470" t="s">
        <v>662</v>
      </c>
      <c r="B187" s="461" t="s">
        <v>679</v>
      </c>
      <c r="C187" s="462">
        <v>692.55</v>
      </c>
      <c r="D187" s="463">
        <v>1.152860802732707</v>
      </c>
      <c r="E187" s="462">
        <v>749</v>
      </c>
      <c r="F187" s="463">
        <v>1.17</v>
      </c>
      <c r="G187" s="464">
        <v>729</v>
      </c>
      <c r="H187" s="465">
        <v>1.1866393202461178</v>
      </c>
      <c r="I187" s="462">
        <v>13554</v>
      </c>
      <c r="J187" s="463">
        <v>2.631997980464881</v>
      </c>
      <c r="K187" s="538">
        <v>101</v>
      </c>
      <c r="L187" s="462">
        <v>51</v>
      </c>
      <c r="M187" s="462">
        <v>50</v>
      </c>
      <c r="N187" s="543">
        <v>4.3553255713669685E-2</v>
      </c>
    </row>
    <row r="188" spans="1:14" ht="13.5" hidden="1" customHeight="1">
      <c r="A188" s="470" t="s">
        <v>658</v>
      </c>
      <c r="B188" s="461" t="s">
        <v>680</v>
      </c>
      <c r="C188" s="462">
        <v>2702.18</v>
      </c>
      <c r="D188" s="463">
        <v>4.4982129866843783</v>
      </c>
      <c r="E188" s="462">
        <v>2673</v>
      </c>
      <c r="F188" s="463">
        <v>4.16</v>
      </c>
      <c r="G188" s="464">
        <v>2444.4</v>
      </c>
      <c r="H188" s="465">
        <v>3.9789041898622912</v>
      </c>
      <c r="I188" s="462">
        <v>7955</v>
      </c>
      <c r="J188" s="463">
        <v>1.5447501796221137</v>
      </c>
      <c r="K188" s="538">
        <v>81</v>
      </c>
      <c r="L188" s="462">
        <v>40</v>
      </c>
      <c r="M188" s="462">
        <v>41</v>
      </c>
      <c r="N188" s="543">
        <v>3.4928848641655887E-2</v>
      </c>
    </row>
    <row r="189" spans="1:14" ht="13.5" hidden="1" customHeight="1">
      <c r="A189" s="470" t="s">
        <v>663</v>
      </c>
      <c r="B189" s="461" t="s">
        <v>681</v>
      </c>
      <c r="C189" s="462">
        <v>383.03999999999996</v>
      </c>
      <c r="D189" s="463">
        <v>0.63763165385710219</v>
      </c>
      <c r="E189" s="462" t="s">
        <v>13</v>
      </c>
      <c r="F189" s="466" t="s">
        <v>13</v>
      </c>
      <c r="G189" s="464">
        <v>403.2</v>
      </c>
      <c r="H189" s="465">
        <v>0.65631409317316136</v>
      </c>
      <c r="I189" s="462">
        <v>56501</v>
      </c>
      <c r="J189" s="463">
        <v>10.97170708973338</v>
      </c>
      <c r="K189" s="538">
        <v>79</v>
      </c>
      <c r="L189" s="462">
        <v>38</v>
      </c>
      <c r="M189" s="462">
        <v>41</v>
      </c>
      <c r="N189" s="543">
        <v>3.4066407934454507E-2</v>
      </c>
    </row>
    <row r="190" spans="1:14" ht="13.5" hidden="1" customHeight="1">
      <c r="A190" s="470" t="s">
        <v>664</v>
      </c>
      <c r="B190" s="461" t="s">
        <v>682</v>
      </c>
      <c r="C190" s="462">
        <v>1340.45</v>
      </c>
      <c r="D190" s="463">
        <v>2.2313945029572699</v>
      </c>
      <c r="E190" s="462">
        <v>1783</v>
      </c>
      <c r="F190" s="463">
        <v>2.77</v>
      </c>
      <c r="G190" s="464">
        <v>1611</v>
      </c>
      <c r="H190" s="465">
        <v>2.6223263990624082</v>
      </c>
      <c r="I190" s="462">
        <v>4423</v>
      </c>
      <c r="J190" s="463">
        <v>0.85888498359127696</v>
      </c>
      <c r="K190" s="538">
        <v>67</v>
      </c>
      <c r="L190" s="462">
        <v>37</v>
      </c>
      <c r="M190" s="462">
        <v>30</v>
      </c>
      <c r="N190" s="543">
        <v>2.8891763691246228E-2</v>
      </c>
    </row>
    <row r="191" spans="1:14" ht="13.5" hidden="1" customHeight="1">
      <c r="A191" s="470" t="s">
        <v>665</v>
      </c>
      <c r="B191" s="461" t="s">
        <v>683</v>
      </c>
      <c r="C191" s="462">
        <v>413.82</v>
      </c>
      <c r="D191" s="463">
        <v>0.68886991175633361</v>
      </c>
      <c r="E191" s="462" t="s">
        <v>13</v>
      </c>
      <c r="F191" s="466" t="s">
        <v>13</v>
      </c>
      <c r="G191" s="464">
        <v>435.6</v>
      </c>
      <c r="H191" s="465">
        <v>0.7090536185174332</v>
      </c>
      <c r="I191" s="462">
        <v>14378</v>
      </c>
      <c r="J191" s="463">
        <v>2.7920073013961972</v>
      </c>
      <c r="K191" s="538">
        <v>64</v>
      </c>
      <c r="L191" s="462">
        <v>33</v>
      </c>
      <c r="M191" s="462">
        <v>31</v>
      </c>
      <c r="N191" s="543">
        <v>2.7598102630444158E-2</v>
      </c>
    </row>
    <row r="192" spans="1:14" ht="13.5" hidden="1" customHeight="1">
      <c r="A192" s="470" t="s">
        <v>657</v>
      </c>
      <c r="B192" s="461" t="s">
        <v>684</v>
      </c>
      <c r="C192" s="462">
        <v>550.62</v>
      </c>
      <c r="D192" s="463">
        <v>0.91659550241958454</v>
      </c>
      <c r="E192" s="462" t="s">
        <v>13</v>
      </c>
      <c r="F192" s="466" t="s">
        <v>13</v>
      </c>
      <c r="G192" s="464">
        <v>579.6</v>
      </c>
      <c r="H192" s="465">
        <v>0.94345150893641938</v>
      </c>
      <c r="I192" s="462">
        <v>6152</v>
      </c>
      <c r="J192" s="463">
        <v>1.1946326970503134</v>
      </c>
      <c r="K192" s="538">
        <v>45</v>
      </c>
      <c r="L192" s="462">
        <v>23</v>
      </c>
      <c r="M192" s="462">
        <v>22</v>
      </c>
      <c r="N192" s="543">
        <v>1.9404915912031046E-2</v>
      </c>
    </row>
    <row r="193" spans="1:14" ht="13.5" hidden="1" customHeight="1">
      <c r="A193" s="471" t="s">
        <v>330</v>
      </c>
      <c r="B193" s="461"/>
      <c r="C193" s="462">
        <v>10948.179999999998</v>
      </c>
      <c r="D193" s="463">
        <v>18.225005534996992</v>
      </c>
      <c r="E193" s="462">
        <v>11353</v>
      </c>
      <c r="F193" s="463">
        <v>17.649999999999999</v>
      </c>
      <c r="G193" s="464">
        <v>10724.4</v>
      </c>
      <c r="H193" s="465">
        <v>17.456782888953995</v>
      </c>
      <c r="I193" s="462">
        <v>257485</v>
      </c>
      <c r="J193" s="463">
        <v>49.999999999999993</v>
      </c>
      <c r="K193" s="538">
        <v>992</v>
      </c>
      <c r="L193" s="462">
        <v>564</v>
      </c>
      <c r="M193" s="462">
        <v>428</v>
      </c>
      <c r="N193" s="539">
        <v>0.42777059077188445</v>
      </c>
    </row>
    <row r="194" spans="1:14" ht="8.1" hidden="1" customHeight="1">
      <c r="A194" s="415"/>
      <c r="B194" s="471"/>
      <c r="C194" s="462"/>
      <c r="D194" s="463"/>
      <c r="E194" s="462"/>
      <c r="F194" s="463"/>
      <c r="G194" s="462"/>
      <c r="H194" s="462"/>
      <c r="I194" s="462"/>
      <c r="J194" s="462"/>
      <c r="K194" s="538"/>
      <c r="L194" s="530"/>
      <c r="M194" s="530"/>
      <c r="N194" s="530"/>
    </row>
    <row r="195" spans="1:14" ht="13.5" hidden="1">
      <c r="B195" s="531"/>
      <c r="C195" s="531"/>
      <c r="D195" s="531"/>
      <c r="E195" s="531"/>
      <c r="F195" s="531"/>
      <c r="G195" s="531"/>
      <c r="H195" s="532"/>
      <c r="I195" s="531"/>
      <c r="J195" s="532"/>
      <c r="K195" s="750">
        <v>2021</v>
      </c>
      <c r="L195" s="751"/>
      <c r="M195" s="751"/>
      <c r="N195" s="751"/>
    </row>
    <row r="196" spans="1:14" hidden="1">
      <c r="B196" s="533" t="s">
        <v>724</v>
      </c>
      <c r="C196" s="302" t="s">
        <v>326</v>
      </c>
      <c r="D196" s="302" t="s">
        <v>59</v>
      </c>
      <c r="E196" s="302" t="s">
        <v>326</v>
      </c>
      <c r="F196" s="302" t="s">
        <v>59</v>
      </c>
      <c r="G196" s="302" t="s">
        <v>326</v>
      </c>
      <c r="H196" s="302" t="s">
        <v>59</v>
      </c>
      <c r="I196" s="302" t="s">
        <v>326</v>
      </c>
      <c r="J196" s="302" t="s">
        <v>59</v>
      </c>
      <c r="K196" s="534" t="s">
        <v>52</v>
      </c>
      <c r="L196" s="456" t="s">
        <v>67</v>
      </c>
      <c r="M196" s="456" t="s">
        <v>68</v>
      </c>
      <c r="N196" s="456" t="s">
        <v>59</v>
      </c>
    </row>
    <row r="197" spans="1:14" ht="8.1" hidden="1" customHeight="1">
      <c r="B197" s="457"/>
      <c r="C197" s="310"/>
      <c r="D197" s="310"/>
      <c r="E197" s="310"/>
      <c r="F197" s="310"/>
      <c r="G197" s="310"/>
      <c r="H197" s="310"/>
      <c r="I197" s="310"/>
      <c r="J197" s="310"/>
      <c r="K197" s="535"/>
      <c r="L197" s="458"/>
      <c r="M197" s="458"/>
      <c r="N197" s="458"/>
    </row>
    <row r="198" spans="1:14" ht="13.5" hidden="1" customHeight="1">
      <c r="B198" s="457" t="s">
        <v>60</v>
      </c>
      <c r="C198" s="459">
        <v>60072.299999999996</v>
      </c>
      <c r="D198" s="460">
        <v>99.999999999999972</v>
      </c>
      <c r="E198" s="459">
        <v>64273</v>
      </c>
      <c r="F198" s="460">
        <v>100</v>
      </c>
      <c r="G198" s="459">
        <v>61433.999999999993</v>
      </c>
      <c r="H198" s="460">
        <v>100</v>
      </c>
      <c r="I198" s="459">
        <v>514970</v>
      </c>
      <c r="J198" s="460">
        <v>100</v>
      </c>
      <c r="K198" s="536">
        <v>1956</v>
      </c>
      <c r="L198" s="459">
        <v>1069</v>
      </c>
      <c r="M198" s="459">
        <v>887</v>
      </c>
      <c r="N198" s="537">
        <v>1</v>
      </c>
    </row>
    <row r="199" spans="1:14" ht="13.5" hidden="1" customHeight="1">
      <c r="A199" s="470" t="s">
        <v>656</v>
      </c>
      <c r="B199" s="461" t="s">
        <v>675</v>
      </c>
      <c r="C199" s="462">
        <v>29617.199999999997</v>
      </c>
      <c r="D199" s="463">
        <v>49.302590378593791</v>
      </c>
      <c r="E199" s="462">
        <v>34384</v>
      </c>
      <c r="F199" s="463">
        <v>53.5</v>
      </c>
      <c r="G199" s="464">
        <v>31176</v>
      </c>
      <c r="H199" s="465">
        <v>50.747143275710528</v>
      </c>
      <c r="I199" s="462">
        <v>107072</v>
      </c>
      <c r="J199" s="463">
        <v>20.791890789754742</v>
      </c>
      <c r="K199" s="538">
        <v>434</v>
      </c>
      <c r="L199" s="462">
        <v>234</v>
      </c>
      <c r="M199" s="462">
        <v>200</v>
      </c>
      <c r="N199" s="543">
        <v>0.22188139059304704</v>
      </c>
    </row>
    <row r="200" spans="1:14" ht="13.5" hidden="1" customHeight="1">
      <c r="A200" s="470" t="s">
        <v>659</v>
      </c>
      <c r="B200" s="461" t="s">
        <v>678</v>
      </c>
      <c r="C200" s="462">
        <v>7299.0399999999991</v>
      </c>
      <c r="D200" s="463">
        <v>12.150425404054779</v>
      </c>
      <c r="E200" s="462">
        <v>7607</v>
      </c>
      <c r="F200" s="463">
        <v>11.84</v>
      </c>
      <c r="G200" s="464">
        <v>6883.2</v>
      </c>
      <c r="H200" s="465">
        <v>11.204219162027544</v>
      </c>
      <c r="I200" s="462">
        <v>29572</v>
      </c>
      <c r="J200" s="463">
        <v>5.742470435170981</v>
      </c>
      <c r="K200" s="538">
        <v>100</v>
      </c>
      <c r="L200" s="462">
        <v>48</v>
      </c>
      <c r="M200" s="462">
        <v>52</v>
      </c>
      <c r="N200" s="543">
        <v>5.112474437627812E-2</v>
      </c>
    </row>
    <row r="201" spans="1:14" ht="13.5" hidden="1" customHeight="1">
      <c r="A201" s="470" t="s">
        <v>660</v>
      </c>
      <c r="B201" s="461" t="s">
        <v>676</v>
      </c>
      <c r="C201" s="462">
        <v>4880.3399999999992</v>
      </c>
      <c r="D201" s="463">
        <v>8.1241104469114713</v>
      </c>
      <c r="E201" s="462">
        <v>4504</v>
      </c>
      <c r="F201" s="463">
        <v>7.01</v>
      </c>
      <c r="G201" s="464">
        <v>5137.2</v>
      </c>
      <c r="H201" s="465">
        <v>8.3621447406973353</v>
      </c>
      <c r="I201" s="462">
        <v>15089</v>
      </c>
      <c r="J201" s="463">
        <v>2.9300735965201854</v>
      </c>
      <c r="K201" s="538">
        <v>94</v>
      </c>
      <c r="L201" s="462">
        <v>51</v>
      </c>
      <c r="M201" s="462">
        <v>43</v>
      </c>
      <c r="N201" s="543">
        <v>4.8057259713701429E-2</v>
      </c>
    </row>
    <row r="202" spans="1:14" ht="13.5" hidden="1" customHeight="1">
      <c r="A202" s="470" t="s">
        <v>661</v>
      </c>
      <c r="B202" s="461" t="s">
        <v>677</v>
      </c>
      <c r="C202" s="462">
        <v>1244.8800000000001</v>
      </c>
      <c r="D202" s="463">
        <v>2.0723028750355823</v>
      </c>
      <c r="E202" s="462">
        <v>1220</v>
      </c>
      <c r="F202" s="463">
        <v>1.9</v>
      </c>
      <c r="G202" s="464">
        <v>1310.4000000000001</v>
      </c>
      <c r="H202" s="465">
        <v>2.1330208028127751</v>
      </c>
      <c r="I202" s="462">
        <v>2789</v>
      </c>
      <c r="J202" s="463">
        <v>0.54158494669592394</v>
      </c>
      <c r="K202" s="538">
        <v>54</v>
      </c>
      <c r="L202" s="462">
        <v>32</v>
      </c>
      <c r="M202" s="462">
        <v>22</v>
      </c>
      <c r="N202" s="543">
        <v>2.7607361963190184E-2</v>
      </c>
    </row>
    <row r="203" spans="1:14" ht="13.5" hidden="1" customHeight="1">
      <c r="A203" s="470" t="s">
        <v>662</v>
      </c>
      <c r="B203" s="461" t="s">
        <v>680</v>
      </c>
      <c r="C203" s="462">
        <v>692.55</v>
      </c>
      <c r="D203" s="463">
        <v>1.152860802732707</v>
      </c>
      <c r="E203" s="462">
        <v>749</v>
      </c>
      <c r="F203" s="463">
        <v>1.17</v>
      </c>
      <c r="G203" s="464">
        <v>729</v>
      </c>
      <c r="H203" s="465">
        <v>1.1866393202461178</v>
      </c>
      <c r="I203" s="462">
        <v>13554</v>
      </c>
      <c r="J203" s="463">
        <v>2.631997980464881</v>
      </c>
      <c r="K203" s="538">
        <v>52</v>
      </c>
      <c r="L203" s="462">
        <v>26</v>
      </c>
      <c r="M203" s="462">
        <v>26</v>
      </c>
      <c r="N203" s="543">
        <v>2.6584867075664622E-2</v>
      </c>
    </row>
    <row r="204" spans="1:14" ht="13.5" hidden="1" customHeight="1">
      <c r="A204" s="470" t="s">
        <v>658</v>
      </c>
      <c r="B204" s="461" t="s">
        <v>681</v>
      </c>
      <c r="C204" s="462">
        <v>2702.18</v>
      </c>
      <c r="D204" s="463">
        <v>4.4982129866843783</v>
      </c>
      <c r="E204" s="462">
        <v>2673</v>
      </c>
      <c r="F204" s="463">
        <v>4.16</v>
      </c>
      <c r="G204" s="464">
        <v>2444.4</v>
      </c>
      <c r="H204" s="465">
        <v>3.9789041898622912</v>
      </c>
      <c r="I204" s="462">
        <v>7955</v>
      </c>
      <c r="J204" s="463">
        <v>1.5447501796221137</v>
      </c>
      <c r="K204" s="538">
        <v>44</v>
      </c>
      <c r="L204" s="462">
        <v>23</v>
      </c>
      <c r="M204" s="462">
        <v>21</v>
      </c>
      <c r="N204" s="543">
        <v>2.2494887525562373E-2</v>
      </c>
    </row>
    <row r="205" spans="1:14" ht="13.5" hidden="1" customHeight="1">
      <c r="A205" s="470" t="s">
        <v>663</v>
      </c>
      <c r="B205" s="461" t="s">
        <v>716</v>
      </c>
      <c r="C205" s="462">
        <v>383.03999999999996</v>
      </c>
      <c r="D205" s="463">
        <v>0.63763165385710219</v>
      </c>
      <c r="E205" s="462" t="s">
        <v>13</v>
      </c>
      <c r="F205" s="466" t="s">
        <v>13</v>
      </c>
      <c r="G205" s="464">
        <v>403.2</v>
      </c>
      <c r="H205" s="465">
        <v>0.65631409317316136</v>
      </c>
      <c r="I205" s="462">
        <v>56501</v>
      </c>
      <c r="J205" s="463">
        <v>10.97170708973338</v>
      </c>
      <c r="K205" s="538">
        <v>37</v>
      </c>
      <c r="L205" s="462">
        <v>20</v>
      </c>
      <c r="M205" s="462">
        <v>17</v>
      </c>
      <c r="N205" s="543">
        <v>1.8916155419222903E-2</v>
      </c>
    </row>
    <row r="206" spans="1:14" ht="13.5" hidden="1" customHeight="1">
      <c r="A206" s="470" t="s">
        <v>664</v>
      </c>
      <c r="B206" s="461" t="s">
        <v>717</v>
      </c>
      <c r="C206" s="462">
        <v>1340.45</v>
      </c>
      <c r="D206" s="463">
        <v>2.2313945029572699</v>
      </c>
      <c r="E206" s="462">
        <v>1783</v>
      </c>
      <c r="F206" s="463">
        <v>2.77</v>
      </c>
      <c r="G206" s="464">
        <v>1611</v>
      </c>
      <c r="H206" s="465">
        <v>2.6223263990624082</v>
      </c>
      <c r="I206" s="462">
        <v>4423</v>
      </c>
      <c r="J206" s="463">
        <v>0.85888498359127696</v>
      </c>
      <c r="K206" s="538">
        <v>36</v>
      </c>
      <c r="L206" s="462">
        <v>16</v>
      </c>
      <c r="M206" s="462">
        <v>20</v>
      </c>
      <c r="N206" s="543">
        <v>1.8404907975460124E-2</v>
      </c>
    </row>
    <row r="207" spans="1:14" ht="13.5" hidden="1" customHeight="1">
      <c r="A207" s="470" t="s">
        <v>665</v>
      </c>
      <c r="B207" s="461" t="s">
        <v>718</v>
      </c>
      <c r="C207" s="462">
        <v>413.82</v>
      </c>
      <c r="D207" s="463">
        <v>0.68886991175633361</v>
      </c>
      <c r="E207" s="462" t="s">
        <v>13</v>
      </c>
      <c r="F207" s="466" t="s">
        <v>13</v>
      </c>
      <c r="G207" s="464">
        <v>435.6</v>
      </c>
      <c r="H207" s="465">
        <v>0.7090536185174332</v>
      </c>
      <c r="I207" s="462">
        <v>14378</v>
      </c>
      <c r="J207" s="463">
        <v>2.7920073013961972</v>
      </c>
      <c r="K207" s="538">
        <v>35</v>
      </c>
      <c r="L207" s="462">
        <v>23</v>
      </c>
      <c r="M207" s="462">
        <v>12</v>
      </c>
      <c r="N207" s="543">
        <v>1.7893660531697341E-2</v>
      </c>
    </row>
    <row r="208" spans="1:14" ht="13.5" hidden="1" customHeight="1">
      <c r="A208" s="470" t="s">
        <v>657</v>
      </c>
      <c r="B208" s="461" t="s">
        <v>683</v>
      </c>
      <c r="C208" s="462">
        <v>550.62</v>
      </c>
      <c r="D208" s="463">
        <v>0.91659550241958454</v>
      </c>
      <c r="E208" s="462" t="s">
        <v>13</v>
      </c>
      <c r="F208" s="466" t="s">
        <v>13</v>
      </c>
      <c r="G208" s="464">
        <v>579.6</v>
      </c>
      <c r="H208" s="465">
        <v>0.94345150893641938</v>
      </c>
      <c r="I208" s="462">
        <v>6152</v>
      </c>
      <c r="J208" s="463">
        <v>1.1946326970503134</v>
      </c>
      <c r="K208" s="538">
        <v>33</v>
      </c>
      <c r="L208" s="462">
        <v>18</v>
      </c>
      <c r="M208" s="462">
        <v>15</v>
      </c>
      <c r="N208" s="543">
        <v>1.6871165644171779E-2</v>
      </c>
    </row>
    <row r="209" spans="1:14" ht="13.5" hidden="1" customHeight="1">
      <c r="A209" s="471" t="s">
        <v>330</v>
      </c>
      <c r="B209" s="461"/>
      <c r="C209" s="462">
        <v>10948.179999999998</v>
      </c>
      <c r="D209" s="463">
        <v>18.225005534996992</v>
      </c>
      <c r="E209" s="462">
        <v>11353</v>
      </c>
      <c r="F209" s="463">
        <v>17.649999999999999</v>
      </c>
      <c r="G209" s="464">
        <v>10724.4</v>
      </c>
      <c r="H209" s="465">
        <v>17.456782888953995</v>
      </c>
      <c r="I209" s="462">
        <v>257485</v>
      </c>
      <c r="J209" s="463">
        <v>49.999999999999993</v>
      </c>
      <c r="K209" s="538">
        <v>1037</v>
      </c>
      <c r="L209" s="462">
        <v>578</v>
      </c>
      <c r="M209" s="462">
        <v>459</v>
      </c>
      <c r="N209" s="539">
        <v>0.53016359918200406</v>
      </c>
    </row>
    <row r="210" spans="1:14" ht="8.1" hidden="1" customHeight="1">
      <c r="B210" s="471"/>
      <c r="C210" s="462"/>
      <c r="D210" s="463"/>
      <c r="E210" s="462"/>
      <c r="F210" s="463"/>
      <c r="G210" s="462"/>
      <c r="H210" s="462"/>
      <c r="I210" s="462"/>
      <c r="J210" s="462"/>
      <c r="K210" s="538"/>
      <c r="L210" s="530"/>
      <c r="M210" s="530"/>
      <c r="N210" s="530"/>
    </row>
    <row r="211" spans="1:14" ht="5.0999999999999996" customHeight="1">
      <c r="B211" s="354"/>
      <c r="C211" s="462"/>
      <c r="D211" s="463"/>
      <c r="E211" s="462"/>
      <c r="F211" s="463"/>
      <c r="G211" s="462"/>
      <c r="H211" s="462"/>
      <c r="I211" s="462"/>
      <c r="J211" s="462"/>
      <c r="K211" s="642"/>
      <c r="L211" s="530"/>
      <c r="M211" s="530"/>
      <c r="N211" s="530"/>
    </row>
    <row r="212" spans="1:14" ht="13.5">
      <c r="A212" s="358"/>
      <c r="B212" s="531"/>
      <c r="C212" s="531"/>
      <c r="D212" s="531"/>
      <c r="E212" s="531"/>
      <c r="F212" s="531"/>
      <c r="G212" s="531"/>
      <c r="H212" s="532"/>
      <c r="I212" s="531"/>
      <c r="J212" s="532"/>
      <c r="K212" s="750">
        <v>2022</v>
      </c>
      <c r="L212" s="751"/>
      <c r="M212" s="751"/>
      <c r="N212" s="751"/>
    </row>
    <row r="213" spans="1:14">
      <c r="B213" s="533" t="s">
        <v>724</v>
      </c>
      <c r="C213" s="302" t="s">
        <v>326</v>
      </c>
      <c r="D213" s="302" t="s">
        <v>59</v>
      </c>
      <c r="E213" s="302" t="s">
        <v>326</v>
      </c>
      <c r="F213" s="302" t="s">
        <v>59</v>
      </c>
      <c r="G213" s="302" t="s">
        <v>326</v>
      </c>
      <c r="H213" s="302" t="s">
        <v>59</v>
      </c>
      <c r="I213" s="302" t="s">
        <v>326</v>
      </c>
      <c r="J213" s="302" t="s">
        <v>59</v>
      </c>
      <c r="K213" s="534" t="s">
        <v>52</v>
      </c>
      <c r="L213" s="456" t="s">
        <v>67</v>
      </c>
      <c r="M213" s="456" t="s">
        <v>68</v>
      </c>
      <c r="N213" s="456" t="s">
        <v>59</v>
      </c>
    </row>
    <row r="214" spans="1:14" ht="8.1" customHeight="1">
      <c r="B214" s="457"/>
      <c r="C214" s="310"/>
      <c r="D214" s="310"/>
      <c r="E214" s="310"/>
      <c r="F214" s="310"/>
      <c r="G214" s="310"/>
      <c r="H214" s="310"/>
      <c r="I214" s="310"/>
      <c r="J214" s="310"/>
      <c r="K214" s="535"/>
      <c r="L214" s="458"/>
      <c r="M214" s="458"/>
      <c r="N214" s="458"/>
    </row>
    <row r="215" spans="1:14" ht="14.45" customHeight="1">
      <c r="B215" s="457" t="s">
        <v>60</v>
      </c>
      <c r="C215" s="459">
        <v>60072.299999999996</v>
      </c>
      <c r="D215" s="460">
        <v>99.999999999999972</v>
      </c>
      <c r="E215" s="459">
        <v>64273</v>
      </c>
      <c r="F215" s="460">
        <v>100</v>
      </c>
      <c r="G215" s="459">
        <v>61433.999999999993</v>
      </c>
      <c r="H215" s="460">
        <v>100</v>
      </c>
      <c r="I215" s="459">
        <v>514970</v>
      </c>
      <c r="J215" s="460">
        <v>100</v>
      </c>
      <c r="K215" s="536">
        <f>SUM(K216:K226)</f>
        <v>2154</v>
      </c>
      <c r="L215" s="459">
        <f t="shared" ref="L215:M215" si="10">SUM(L216:L226)</f>
        <v>1186</v>
      </c>
      <c r="M215" s="459">
        <f t="shared" si="10"/>
        <v>968</v>
      </c>
      <c r="N215" s="537">
        <v>1</v>
      </c>
    </row>
    <row r="216" spans="1:14" ht="14.45" customHeight="1">
      <c r="A216" s="470" t="s">
        <v>656</v>
      </c>
      <c r="B216" s="461" t="s">
        <v>675</v>
      </c>
      <c r="C216" s="462">
        <v>29617.199999999997</v>
      </c>
      <c r="D216" s="463">
        <v>49.302590378593791</v>
      </c>
      <c r="E216" s="462">
        <v>34384</v>
      </c>
      <c r="F216" s="463">
        <v>53.5</v>
      </c>
      <c r="G216" s="464">
        <v>31176</v>
      </c>
      <c r="H216" s="465">
        <v>50.747143275710528</v>
      </c>
      <c r="I216" s="462">
        <v>107072</v>
      </c>
      <c r="J216" s="463">
        <v>20.791890789754742</v>
      </c>
      <c r="K216" s="538">
        <v>429</v>
      </c>
      <c r="L216" s="462">
        <v>232</v>
      </c>
      <c r="M216" s="462">
        <v>197</v>
      </c>
      <c r="N216" s="543">
        <v>0.19916434540389971</v>
      </c>
    </row>
    <row r="217" spans="1:14" ht="14.45" customHeight="1">
      <c r="A217" s="470" t="s">
        <v>659</v>
      </c>
      <c r="B217" s="461" t="s">
        <v>676</v>
      </c>
      <c r="C217" s="462">
        <v>7299.0399999999991</v>
      </c>
      <c r="D217" s="463">
        <v>12.150425404054779</v>
      </c>
      <c r="E217" s="462">
        <v>7607</v>
      </c>
      <c r="F217" s="463">
        <v>11.84</v>
      </c>
      <c r="G217" s="464">
        <v>6883.2</v>
      </c>
      <c r="H217" s="465">
        <v>11.204219162027544</v>
      </c>
      <c r="I217" s="462">
        <v>29572</v>
      </c>
      <c r="J217" s="463">
        <v>5.742470435170981</v>
      </c>
      <c r="K217" s="538">
        <v>144</v>
      </c>
      <c r="L217" s="462">
        <v>76</v>
      </c>
      <c r="M217" s="462">
        <v>68</v>
      </c>
      <c r="N217" s="543">
        <v>6.6852367688022288E-2</v>
      </c>
    </row>
    <row r="218" spans="1:14" ht="14.45" customHeight="1">
      <c r="A218" s="470" t="s">
        <v>660</v>
      </c>
      <c r="B218" s="461" t="s">
        <v>678</v>
      </c>
      <c r="C218" s="462">
        <v>4880.3399999999992</v>
      </c>
      <c r="D218" s="463">
        <v>8.1241104469114713</v>
      </c>
      <c r="E218" s="462">
        <v>4504</v>
      </c>
      <c r="F218" s="463">
        <v>7.01</v>
      </c>
      <c r="G218" s="464">
        <v>5137.2</v>
      </c>
      <c r="H218" s="465">
        <v>8.3621447406973353</v>
      </c>
      <c r="I218" s="462">
        <v>15089</v>
      </c>
      <c r="J218" s="463">
        <v>2.9300735965201854</v>
      </c>
      <c r="K218" s="538">
        <v>102</v>
      </c>
      <c r="L218" s="462">
        <v>53</v>
      </c>
      <c r="M218" s="462">
        <v>49</v>
      </c>
      <c r="N218" s="543">
        <v>4.7353760445682451E-2</v>
      </c>
    </row>
    <row r="219" spans="1:14" ht="14.45" customHeight="1">
      <c r="A219" s="470" t="s">
        <v>661</v>
      </c>
      <c r="B219" s="461" t="s">
        <v>749</v>
      </c>
      <c r="C219" s="462">
        <v>1244.8800000000001</v>
      </c>
      <c r="D219" s="463">
        <v>2.0723028750355823</v>
      </c>
      <c r="E219" s="462">
        <v>1220</v>
      </c>
      <c r="F219" s="463">
        <v>1.9</v>
      </c>
      <c r="G219" s="464">
        <v>1310.4000000000001</v>
      </c>
      <c r="H219" s="465">
        <v>2.1330208028127751</v>
      </c>
      <c r="I219" s="462">
        <v>2789</v>
      </c>
      <c r="J219" s="463">
        <v>0.54158494669592394</v>
      </c>
      <c r="K219" s="538">
        <v>88</v>
      </c>
      <c r="L219" s="462">
        <v>53</v>
      </c>
      <c r="M219" s="462">
        <v>35</v>
      </c>
      <c r="N219" s="543">
        <v>4.0854224698235839E-2</v>
      </c>
    </row>
    <row r="220" spans="1:14" ht="14.45" customHeight="1">
      <c r="A220" s="470" t="s">
        <v>662</v>
      </c>
      <c r="B220" s="461" t="s">
        <v>721</v>
      </c>
      <c r="C220" s="462">
        <v>692.55</v>
      </c>
      <c r="D220" s="463">
        <v>1.152860802732707</v>
      </c>
      <c r="E220" s="462">
        <v>749</v>
      </c>
      <c r="F220" s="463">
        <v>1.17</v>
      </c>
      <c r="G220" s="464">
        <v>729</v>
      </c>
      <c r="H220" s="465">
        <v>1.1866393202461178</v>
      </c>
      <c r="I220" s="462">
        <v>13554</v>
      </c>
      <c r="J220" s="463">
        <v>2.631997980464881</v>
      </c>
      <c r="K220" s="538">
        <v>51</v>
      </c>
      <c r="L220" s="462">
        <v>29</v>
      </c>
      <c r="M220" s="462">
        <v>22</v>
      </c>
      <c r="N220" s="543">
        <v>2.3676880222841225E-2</v>
      </c>
    </row>
    <row r="221" spans="1:14" ht="14.45" customHeight="1">
      <c r="A221" s="470" t="s">
        <v>658</v>
      </c>
      <c r="B221" s="461" t="s">
        <v>677</v>
      </c>
      <c r="C221" s="462">
        <v>2702.18</v>
      </c>
      <c r="D221" s="463">
        <v>4.4982129866843783</v>
      </c>
      <c r="E221" s="462">
        <v>2673</v>
      </c>
      <c r="F221" s="463">
        <v>4.16</v>
      </c>
      <c r="G221" s="464">
        <v>2444.4</v>
      </c>
      <c r="H221" s="465">
        <v>3.9789041898622912</v>
      </c>
      <c r="I221" s="462">
        <v>7955</v>
      </c>
      <c r="J221" s="463">
        <v>1.5447501796221137</v>
      </c>
      <c r="K221" s="538">
        <v>49</v>
      </c>
      <c r="L221" s="462">
        <v>30</v>
      </c>
      <c r="M221" s="462">
        <v>19</v>
      </c>
      <c r="N221" s="543">
        <v>2.274837511606314E-2</v>
      </c>
    </row>
    <row r="222" spans="1:14" ht="14.45" customHeight="1">
      <c r="A222" s="470" t="s">
        <v>663</v>
      </c>
      <c r="B222" s="461" t="s">
        <v>680</v>
      </c>
      <c r="C222" s="462">
        <v>383.03999999999996</v>
      </c>
      <c r="D222" s="463">
        <v>0.63763165385710219</v>
      </c>
      <c r="E222" s="462" t="s">
        <v>13</v>
      </c>
      <c r="F222" s="466" t="s">
        <v>13</v>
      </c>
      <c r="G222" s="464">
        <v>403.2</v>
      </c>
      <c r="H222" s="465">
        <v>0.65631409317316136</v>
      </c>
      <c r="I222" s="462">
        <v>56501</v>
      </c>
      <c r="J222" s="463">
        <v>10.97170708973338</v>
      </c>
      <c r="K222" s="538">
        <v>44</v>
      </c>
      <c r="L222" s="462">
        <v>26</v>
      </c>
      <c r="M222" s="462">
        <v>18</v>
      </c>
      <c r="N222" s="543">
        <v>2.0427112349117919E-2</v>
      </c>
    </row>
    <row r="223" spans="1:14" ht="14.45" customHeight="1">
      <c r="A223" s="470" t="s">
        <v>664</v>
      </c>
      <c r="B223" s="461" t="s">
        <v>719</v>
      </c>
      <c r="C223" s="462">
        <v>1340.45</v>
      </c>
      <c r="D223" s="463">
        <v>2.2313945029572699</v>
      </c>
      <c r="E223" s="462">
        <v>1783</v>
      </c>
      <c r="F223" s="463">
        <v>2.77</v>
      </c>
      <c r="G223" s="464">
        <v>1611</v>
      </c>
      <c r="H223" s="465">
        <v>2.6223263990624082</v>
      </c>
      <c r="I223" s="462">
        <v>4423</v>
      </c>
      <c r="J223" s="463">
        <v>0.85888498359127696</v>
      </c>
      <c r="K223" s="538">
        <v>42</v>
      </c>
      <c r="L223" s="462">
        <v>20</v>
      </c>
      <c r="M223" s="462">
        <v>22</v>
      </c>
      <c r="N223" s="543">
        <v>1.9498607242339833E-2</v>
      </c>
    </row>
    <row r="224" spans="1:14" ht="14.45" customHeight="1">
      <c r="A224" s="472" t="s">
        <v>665</v>
      </c>
      <c r="B224" s="461" t="s">
        <v>720</v>
      </c>
      <c r="C224" s="462">
        <v>413.82</v>
      </c>
      <c r="D224" s="463">
        <v>0.68886991175633361</v>
      </c>
      <c r="E224" s="462" t="s">
        <v>13</v>
      </c>
      <c r="F224" s="466" t="s">
        <v>13</v>
      </c>
      <c r="G224" s="464">
        <v>435.6</v>
      </c>
      <c r="H224" s="465">
        <v>0.7090536185174332</v>
      </c>
      <c r="I224" s="462">
        <v>14378</v>
      </c>
      <c r="J224" s="463">
        <v>2.7920073013961972</v>
      </c>
      <c r="K224" s="538">
        <v>39</v>
      </c>
      <c r="L224" s="462">
        <v>21</v>
      </c>
      <c r="M224" s="462">
        <v>18</v>
      </c>
      <c r="N224" s="543">
        <v>1.8105849582172703E-2</v>
      </c>
    </row>
    <row r="225" spans="1:14" ht="14.45" customHeight="1">
      <c r="A225" s="470" t="s">
        <v>657</v>
      </c>
      <c r="B225" s="461" t="s">
        <v>714</v>
      </c>
      <c r="C225" s="462">
        <v>550.62</v>
      </c>
      <c r="D225" s="463">
        <v>0.91659550241958454</v>
      </c>
      <c r="E225" s="462" t="s">
        <v>13</v>
      </c>
      <c r="F225" s="466" t="s">
        <v>13</v>
      </c>
      <c r="G225" s="464">
        <v>579.6</v>
      </c>
      <c r="H225" s="465">
        <v>0.94345150893641938</v>
      </c>
      <c r="I225" s="462">
        <v>6152</v>
      </c>
      <c r="J225" s="463">
        <v>1.1946326970503134</v>
      </c>
      <c r="K225" s="538">
        <v>37</v>
      </c>
      <c r="L225" s="462">
        <v>16</v>
      </c>
      <c r="M225" s="462">
        <v>21</v>
      </c>
      <c r="N225" s="543">
        <v>1.7177344475394613E-2</v>
      </c>
    </row>
    <row r="226" spans="1:14" ht="14.45" customHeight="1">
      <c r="A226" s="471" t="s">
        <v>330</v>
      </c>
      <c r="B226" s="461"/>
      <c r="C226" s="462">
        <v>10948.179999999998</v>
      </c>
      <c r="D226" s="463">
        <v>18.225005534996992</v>
      </c>
      <c r="E226" s="462">
        <v>11353</v>
      </c>
      <c r="F226" s="463">
        <v>17.649999999999999</v>
      </c>
      <c r="G226" s="464">
        <v>10724.4</v>
      </c>
      <c r="H226" s="465">
        <v>17.456782888953995</v>
      </c>
      <c r="I226" s="462">
        <v>257485</v>
      </c>
      <c r="J226" s="463">
        <v>49.999999999999993</v>
      </c>
      <c r="K226" s="538">
        <v>1129</v>
      </c>
      <c r="L226" s="462">
        <v>630</v>
      </c>
      <c r="M226" s="462">
        <v>499</v>
      </c>
      <c r="N226" s="539">
        <v>0.52414113277623031</v>
      </c>
    </row>
    <row r="227" spans="1:14" ht="5.0999999999999996" customHeight="1">
      <c r="B227" s="471"/>
      <c r="C227" s="462"/>
      <c r="D227" s="463"/>
      <c r="E227" s="462"/>
      <c r="F227" s="463"/>
      <c r="G227" s="462"/>
      <c r="H227" s="462"/>
      <c r="I227" s="462"/>
      <c r="J227" s="462"/>
      <c r="K227" s="538"/>
      <c r="L227" s="530"/>
      <c r="M227" s="530"/>
      <c r="N227" s="530"/>
    </row>
    <row r="228" spans="1:14" ht="13.5">
      <c r="A228" s="358"/>
      <c r="B228" s="531"/>
      <c r="C228" s="531"/>
      <c r="D228" s="531"/>
      <c r="E228" s="531"/>
      <c r="F228" s="531"/>
      <c r="G228" s="531"/>
      <c r="H228" s="532"/>
      <c r="I228" s="531"/>
      <c r="J228" s="532"/>
      <c r="K228" s="750">
        <v>2023</v>
      </c>
      <c r="L228" s="751"/>
      <c r="M228" s="751"/>
      <c r="N228" s="751"/>
    </row>
    <row r="229" spans="1:14">
      <c r="B229" s="533" t="s">
        <v>724</v>
      </c>
      <c r="C229" s="302" t="s">
        <v>326</v>
      </c>
      <c r="D229" s="302" t="s">
        <v>59</v>
      </c>
      <c r="E229" s="302" t="s">
        <v>326</v>
      </c>
      <c r="F229" s="302" t="s">
        <v>59</v>
      </c>
      <c r="G229" s="302" t="s">
        <v>326</v>
      </c>
      <c r="H229" s="302" t="s">
        <v>59</v>
      </c>
      <c r="I229" s="302" t="s">
        <v>326</v>
      </c>
      <c r="J229" s="302" t="s">
        <v>59</v>
      </c>
      <c r="K229" s="534" t="s">
        <v>52</v>
      </c>
      <c r="L229" s="456" t="s">
        <v>67</v>
      </c>
      <c r="M229" s="456" t="s">
        <v>68</v>
      </c>
      <c r="N229" s="456" t="s">
        <v>59</v>
      </c>
    </row>
    <row r="230" spans="1:14" ht="8.1" customHeight="1">
      <c r="B230" s="457"/>
      <c r="C230" s="310"/>
      <c r="D230" s="310"/>
      <c r="E230" s="310"/>
      <c r="F230" s="310"/>
      <c r="G230" s="310"/>
      <c r="H230" s="310"/>
      <c r="I230" s="310"/>
      <c r="J230" s="310"/>
      <c r="K230" s="535"/>
      <c r="L230" s="458"/>
      <c r="M230" s="458"/>
      <c r="N230" s="458"/>
    </row>
    <row r="231" spans="1:14" ht="14.45" customHeight="1">
      <c r="B231" s="457" t="s">
        <v>60</v>
      </c>
      <c r="C231" s="459">
        <v>60072.299999999996</v>
      </c>
      <c r="D231" s="460">
        <v>99.999999999999972</v>
      </c>
      <c r="E231" s="459">
        <v>64273</v>
      </c>
      <c r="F231" s="460">
        <v>100</v>
      </c>
      <c r="G231" s="459">
        <v>61433.999999999993</v>
      </c>
      <c r="H231" s="460">
        <v>100</v>
      </c>
      <c r="I231" s="459">
        <v>514970</v>
      </c>
      <c r="J231" s="460">
        <v>100</v>
      </c>
      <c r="K231" s="536">
        <f>SUM(K232:K242)</f>
        <v>2455</v>
      </c>
      <c r="L231" s="459">
        <f>SUM(L232:L242)</f>
        <v>1320</v>
      </c>
      <c r="M231" s="459">
        <f t="shared" ref="M231" si="11">SUM(M232:M242)</f>
        <v>1135</v>
      </c>
      <c r="N231" s="537">
        <v>1</v>
      </c>
    </row>
    <row r="232" spans="1:14" ht="14.45" customHeight="1">
      <c r="A232" s="470" t="s">
        <v>656</v>
      </c>
      <c r="B232" s="461" t="s">
        <v>675</v>
      </c>
      <c r="C232" s="462">
        <v>29617.199999999997</v>
      </c>
      <c r="D232" s="463">
        <v>49.302590378593791</v>
      </c>
      <c r="E232" s="462">
        <v>34384</v>
      </c>
      <c r="F232" s="463">
        <v>53.5</v>
      </c>
      <c r="G232" s="464">
        <v>31176</v>
      </c>
      <c r="H232" s="465">
        <v>50.747143275710528</v>
      </c>
      <c r="I232" s="462">
        <v>107072</v>
      </c>
      <c r="J232" s="463">
        <v>20.791890789754742</v>
      </c>
      <c r="K232" s="538">
        <v>363</v>
      </c>
      <c r="L232" s="462">
        <v>202</v>
      </c>
      <c r="M232" s="462">
        <v>161</v>
      </c>
      <c r="N232" s="608">
        <v>0.15</v>
      </c>
    </row>
    <row r="233" spans="1:14" ht="14.45" customHeight="1">
      <c r="A233" s="470" t="s">
        <v>659</v>
      </c>
      <c r="B233" s="461" t="s">
        <v>721</v>
      </c>
      <c r="C233" s="462">
        <v>7299.0399999999991</v>
      </c>
      <c r="D233" s="463">
        <v>12.150425404054779</v>
      </c>
      <c r="E233" s="462">
        <v>7607</v>
      </c>
      <c r="F233" s="463">
        <v>11.84</v>
      </c>
      <c r="G233" s="464">
        <v>6883.2</v>
      </c>
      <c r="H233" s="465">
        <v>11.204219162027544</v>
      </c>
      <c r="I233" s="462">
        <v>29572</v>
      </c>
      <c r="J233" s="463">
        <v>5.742470435170981</v>
      </c>
      <c r="K233" s="538">
        <v>255</v>
      </c>
      <c r="L233" s="462">
        <v>148</v>
      </c>
      <c r="M233" s="462">
        <v>107</v>
      </c>
      <c r="N233" s="608">
        <v>0.1</v>
      </c>
    </row>
    <row r="234" spans="1:14" ht="14.45" customHeight="1">
      <c r="A234" s="470" t="s">
        <v>660</v>
      </c>
      <c r="B234" s="461" t="s">
        <v>676</v>
      </c>
      <c r="C234" s="462">
        <v>4880.3399999999992</v>
      </c>
      <c r="D234" s="463">
        <v>8.1241104469114713</v>
      </c>
      <c r="E234" s="462">
        <v>4504</v>
      </c>
      <c r="F234" s="463">
        <v>7.01</v>
      </c>
      <c r="G234" s="464">
        <v>5137.2</v>
      </c>
      <c r="H234" s="465">
        <v>8.3621447406973353</v>
      </c>
      <c r="I234" s="462">
        <v>15089</v>
      </c>
      <c r="J234" s="463">
        <v>2.9300735965201854</v>
      </c>
      <c r="K234" s="538">
        <v>157</v>
      </c>
      <c r="L234" s="462">
        <v>79</v>
      </c>
      <c r="M234" s="462">
        <v>78</v>
      </c>
      <c r="N234" s="608">
        <v>0.06</v>
      </c>
    </row>
    <row r="235" spans="1:14" ht="14.45" customHeight="1">
      <c r="A235" s="470" t="s">
        <v>661</v>
      </c>
      <c r="B235" s="461" t="s">
        <v>678</v>
      </c>
      <c r="C235" s="462">
        <v>1244.8800000000001</v>
      </c>
      <c r="D235" s="463">
        <v>2.0723028750355823</v>
      </c>
      <c r="E235" s="462">
        <v>1220</v>
      </c>
      <c r="F235" s="463">
        <v>1.9</v>
      </c>
      <c r="G235" s="464">
        <v>1310.4000000000001</v>
      </c>
      <c r="H235" s="465">
        <v>2.1330208028127751</v>
      </c>
      <c r="I235" s="462">
        <v>2789</v>
      </c>
      <c r="J235" s="463">
        <v>0.54158494669592394</v>
      </c>
      <c r="K235" s="538">
        <v>125</v>
      </c>
      <c r="L235" s="462">
        <v>67</v>
      </c>
      <c r="M235" s="462">
        <v>58</v>
      </c>
      <c r="N235" s="608">
        <v>0.05</v>
      </c>
    </row>
    <row r="236" spans="1:14" ht="14.45" customHeight="1">
      <c r="A236" s="470" t="s">
        <v>662</v>
      </c>
      <c r="B236" s="461" t="s">
        <v>751</v>
      </c>
      <c r="C236" s="462">
        <v>692.55</v>
      </c>
      <c r="D236" s="463">
        <v>1.152860802732707</v>
      </c>
      <c r="E236" s="462">
        <v>749</v>
      </c>
      <c r="F236" s="463">
        <v>1.17</v>
      </c>
      <c r="G236" s="464">
        <v>729</v>
      </c>
      <c r="H236" s="465">
        <v>1.1866393202461178</v>
      </c>
      <c r="I236" s="462">
        <v>13554</v>
      </c>
      <c r="J236" s="463">
        <v>2.631997980464881</v>
      </c>
      <c r="K236" s="538">
        <v>59</v>
      </c>
      <c r="L236" s="462">
        <v>28</v>
      </c>
      <c r="M236" s="462">
        <v>31</v>
      </c>
      <c r="N236" s="608">
        <v>0.02</v>
      </c>
    </row>
    <row r="237" spans="1:14" ht="14.45" customHeight="1">
      <c r="A237" s="470" t="s">
        <v>658</v>
      </c>
      <c r="B237" s="461" t="s">
        <v>750</v>
      </c>
      <c r="C237" s="462">
        <v>2702.18</v>
      </c>
      <c r="D237" s="463">
        <v>4.4982129866843783</v>
      </c>
      <c r="E237" s="462">
        <v>2673</v>
      </c>
      <c r="F237" s="463">
        <v>4.16</v>
      </c>
      <c r="G237" s="464">
        <v>2444.4</v>
      </c>
      <c r="H237" s="465">
        <v>3.9789041898622912</v>
      </c>
      <c r="I237" s="462">
        <v>7955</v>
      </c>
      <c r="J237" s="463">
        <v>1.5447501796221137</v>
      </c>
      <c r="K237" s="538">
        <v>57</v>
      </c>
      <c r="L237" s="462">
        <v>38</v>
      </c>
      <c r="M237" s="462">
        <v>19</v>
      </c>
      <c r="N237" s="608">
        <v>0.02</v>
      </c>
    </row>
    <row r="238" spans="1:14" ht="14.45" customHeight="1">
      <c r="A238" s="470" t="s">
        <v>663</v>
      </c>
      <c r="B238" s="461" t="s">
        <v>717</v>
      </c>
      <c r="C238" s="462">
        <v>383.03999999999996</v>
      </c>
      <c r="D238" s="463">
        <v>0.63763165385710219</v>
      </c>
      <c r="E238" s="462" t="s">
        <v>13</v>
      </c>
      <c r="F238" s="466" t="s">
        <v>13</v>
      </c>
      <c r="G238" s="464">
        <v>403.2</v>
      </c>
      <c r="H238" s="465">
        <v>0.65631409317316136</v>
      </c>
      <c r="I238" s="462">
        <v>56501</v>
      </c>
      <c r="J238" s="463">
        <v>10.97170708973338</v>
      </c>
      <c r="K238" s="538">
        <v>44</v>
      </c>
      <c r="L238" s="462">
        <v>24</v>
      </c>
      <c r="M238" s="462">
        <v>20</v>
      </c>
      <c r="N238" s="608">
        <v>0.02</v>
      </c>
    </row>
    <row r="239" spans="1:14" ht="14.45" customHeight="1">
      <c r="A239" s="470" t="s">
        <v>664</v>
      </c>
      <c r="B239" s="461" t="s">
        <v>752</v>
      </c>
      <c r="C239" s="462">
        <v>1340.45</v>
      </c>
      <c r="D239" s="463">
        <v>2.2313945029572699</v>
      </c>
      <c r="E239" s="462">
        <v>1783</v>
      </c>
      <c r="F239" s="463">
        <v>2.77</v>
      </c>
      <c r="G239" s="464">
        <v>1611</v>
      </c>
      <c r="H239" s="465">
        <v>2.6223263990624082</v>
      </c>
      <c r="I239" s="462">
        <v>4423</v>
      </c>
      <c r="J239" s="463">
        <v>0.85888498359127696</v>
      </c>
      <c r="K239" s="538">
        <v>43</v>
      </c>
      <c r="L239" s="462">
        <v>21</v>
      </c>
      <c r="M239" s="462">
        <v>22</v>
      </c>
      <c r="N239" s="608">
        <v>0.02</v>
      </c>
    </row>
    <row r="240" spans="1:14" ht="14.45" customHeight="1">
      <c r="A240" s="472" t="s">
        <v>665</v>
      </c>
      <c r="B240" s="461" t="s">
        <v>719</v>
      </c>
      <c r="C240" s="462">
        <v>413.82</v>
      </c>
      <c r="D240" s="463">
        <v>0.68886991175633361</v>
      </c>
      <c r="E240" s="462" t="s">
        <v>13</v>
      </c>
      <c r="F240" s="466" t="s">
        <v>13</v>
      </c>
      <c r="G240" s="464">
        <v>435.6</v>
      </c>
      <c r="H240" s="465">
        <v>0.7090536185174332</v>
      </c>
      <c r="I240" s="462">
        <v>14378</v>
      </c>
      <c r="J240" s="463">
        <v>2.7920073013961972</v>
      </c>
      <c r="K240" s="538">
        <v>38</v>
      </c>
      <c r="L240" s="462">
        <v>16</v>
      </c>
      <c r="M240" s="462">
        <v>22</v>
      </c>
      <c r="N240" s="608">
        <v>0.02</v>
      </c>
    </row>
    <row r="241" spans="1:14" ht="14.45" customHeight="1">
      <c r="A241" s="470" t="s">
        <v>657</v>
      </c>
      <c r="B241" s="461" t="s">
        <v>677</v>
      </c>
      <c r="C241" s="462">
        <v>550.62</v>
      </c>
      <c r="D241" s="463">
        <v>0.91659550241958454</v>
      </c>
      <c r="E241" s="462" t="s">
        <v>13</v>
      </c>
      <c r="F241" s="466" t="s">
        <v>13</v>
      </c>
      <c r="G241" s="464">
        <v>579.6</v>
      </c>
      <c r="H241" s="465">
        <v>0.94345150893641938</v>
      </c>
      <c r="I241" s="462">
        <v>6152</v>
      </c>
      <c r="J241" s="463">
        <v>1.1946326970503134</v>
      </c>
      <c r="K241" s="538">
        <v>38</v>
      </c>
      <c r="L241" s="462">
        <v>21</v>
      </c>
      <c r="M241" s="462">
        <v>17</v>
      </c>
      <c r="N241" s="608">
        <v>0.02</v>
      </c>
    </row>
    <row r="242" spans="1:14" ht="14.45" customHeight="1">
      <c r="A242" s="471" t="s">
        <v>330</v>
      </c>
      <c r="B242" s="461"/>
      <c r="C242" s="462">
        <v>10948.179999999998</v>
      </c>
      <c r="D242" s="463">
        <v>18.225005534996992</v>
      </c>
      <c r="E242" s="462">
        <v>11353</v>
      </c>
      <c r="F242" s="463">
        <v>17.649999999999999</v>
      </c>
      <c r="G242" s="464">
        <v>10724.4</v>
      </c>
      <c r="H242" s="465">
        <v>17.456782888953995</v>
      </c>
      <c r="I242" s="462">
        <v>257485</v>
      </c>
      <c r="J242" s="463">
        <v>49.999999999999993</v>
      </c>
      <c r="K242" s="538">
        <v>1276</v>
      </c>
      <c r="L242" s="462">
        <v>676</v>
      </c>
      <c r="M242" s="462">
        <v>600</v>
      </c>
      <c r="N242" s="607">
        <v>0.52</v>
      </c>
    </row>
    <row r="243" spans="1:14" ht="5.0999999999999996" customHeight="1">
      <c r="B243" s="471"/>
      <c r="C243" s="462"/>
      <c r="D243" s="463"/>
      <c r="E243" s="462"/>
      <c r="F243" s="463"/>
      <c r="G243" s="462"/>
      <c r="H243" s="462"/>
      <c r="I243" s="462"/>
      <c r="J243" s="462"/>
      <c r="K243" s="538"/>
      <c r="L243" s="530"/>
      <c r="M243" s="530"/>
      <c r="N243" s="530"/>
    </row>
    <row r="244" spans="1:14" ht="13.5">
      <c r="A244" s="358"/>
      <c r="B244" s="531"/>
      <c r="C244" s="531"/>
      <c r="D244" s="531"/>
      <c r="E244" s="531"/>
      <c r="F244" s="531"/>
      <c r="G244" s="531"/>
      <c r="H244" s="532"/>
      <c r="I244" s="531"/>
      <c r="J244" s="532"/>
      <c r="K244" s="750" t="s">
        <v>754</v>
      </c>
      <c r="L244" s="751"/>
      <c r="M244" s="751"/>
      <c r="N244" s="751"/>
    </row>
    <row r="245" spans="1:14">
      <c r="B245" s="533" t="s">
        <v>724</v>
      </c>
      <c r="C245" s="302" t="s">
        <v>326</v>
      </c>
      <c r="D245" s="302" t="s">
        <v>59</v>
      </c>
      <c r="E245" s="302" t="s">
        <v>326</v>
      </c>
      <c r="F245" s="302" t="s">
        <v>59</v>
      </c>
      <c r="G245" s="302" t="s">
        <v>326</v>
      </c>
      <c r="H245" s="302" t="s">
        <v>59</v>
      </c>
      <c r="I245" s="302" t="s">
        <v>326</v>
      </c>
      <c r="J245" s="302" t="s">
        <v>59</v>
      </c>
      <c r="K245" s="534" t="s">
        <v>52</v>
      </c>
      <c r="L245" s="456" t="s">
        <v>67</v>
      </c>
      <c r="M245" s="456" t="s">
        <v>68</v>
      </c>
      <c r="N245" s="456" t="s">
        <v>59</v>
      </c>
    </row>
    <row r="246" spans="1:14" ht="8.1" customHeight="1">
      <c r="B246" s="457"/>
      <c r="C246" s="310"/>
      <c r="D246" s="310"/>
      <c r="E246" s="310"/>
      <c r="F246" s="310"/>
      <c r="G246" s="310"/>
      <c r="H246" s="310"/>
      <c r="I246" s="310"/>
      <c r="J246" s="310"/>
      <c r="K246" s="535"/>
      <c r="L246" s="458"/>
      <c r="M246" s="458"/>
      <c r="N246" s="458"/>
    </row>
    <row r="247" spans="1:14" ht="14.45" customHeight="1">
      <c r="B247" s="457" t="s">
        <v>60</v>
      </c>
      <c r="C247" s="459">
        <v>60072.299999999996</v>
      </c>
      <c r="D247" s="460">
        <v>99.999999999999972</v>
      </c>
      <c r="E247" s="459">
        <v>64273</v>
      </c>
      <c r="F247" s="460">
        <v>100</v>
      </c>
      <c r="G247" s="459">
        <v>61433.999999999993</v>
      </c>
      <c r="H247" s="460">
        <v>100</v>
      </c>
      <c r="I247" s="459">
        <v>514970</v>
      </c>
      <c r="J247" s="460">
        <v>100</v>
      </c>
      <c r="K247" s="536">
        <f>SUM(K248:K258)</f>
        <v>1412</v>
      </c>
      <c r="L247" s="459">
        <f>SUM(L248:L258)</f>
        <v>691</v>
      </c>
      <c r="M247" s="459">
        <f t="shared" ref="M247" si="12">SUM(M248:M258)</f>
        <v>721</v>
      </c>
      <c r="N247" s="537">
        <v>1</v>
      </c>
    </row>
    <row r="248" spans="1:14" ht="14.45" customHeight="1">
      <c r="A248" s="470" t="s">
        <v>656</v>
      </c>
      <c r="B248" s="461" t="s">
        <v>675</v>
      </c>
      <c r="C248" s="462">
        <v>29617.199999999997</v>
      </c>
      <c r="D248" s="463">
        <v>49.302590378593791</v>
      </c>
      <c r="E248" s="462">
        <v>34384</v>
      </c>
      <c r="F248" s="463">
        <v>53.5</v>
      </c>
      <c r="G248" s="464">
        <v>31176</v>
      </c>
      <c r="H248" s="465">
        <v>50.747143275710528</v>
      </c>
      <c r="I248" s="462">
        <v>107072</v>
      </c>
      <c r="J248" s="463">
        <v>20.791890789754742</v>
      </c>
      <c r="K248" s="538">
        <v>189</v>
      </c>
      <c r="L248" s="462">
        <v>83</v>
      </c>
      <c r="M248" s="462">
        <v>106</v>
      </c>
      <c r="N248" s="608">
        <v>0.13</v>
      </c>
    </row>
    <row r="249" spans="1:14" ht="14.45" customHeight="1">
      <c r="A249" s="470" t="s">
        <v>659</v>
      </c>
      <c r="B249" s="461" t="s">
        <v>676</v>
      </c>
      <c r="C249" s="462">
        <v>7299.0399999999991</v>
      </c>
      <c r="D249" s="463">
        <v>12.150425404054779</v>
      </c>
      <c r="E249" s="462">
        <v>7607</v>
      </c>
      <c r="F249" s="463">
        <v>11.84</v>
      </c>
      <c r="G249" s="464">
        <v>6883.2</v>
      </c>
      <c r="H249" s="465">
        <v>11.204219162027544</v>
      </c>
      <c r="I249" s="462">
        <v>29572</v>
      </c>
      <c r="J249" s="463">
        <v>5.742470435170981</v>
      </c>
      <c r="K249" s="538">
        <v>93</v>
      </c>
      <c r="L249" s="462">
        <v>50</v>
      </c>
      <c r="M249" s="462">
        <v>43</v>
      </c>
      <c r="N249" s="608">
        <v>7.0000000000000007E-2</v>
      </c>
    </row>
    <row r="250" spans="1:14" ht="14.45" customHeight="1">
      <c r="A250" s="470" t="s">
        <v>660</v>
      </c>
      <c r="B250" s="461" t="s">
        <v>752</v>
      </c>
      <c r="C250" s="462">
        <v>4880.3399999999992</v>
      </c>
      <c r="D250" s="463">
        <v>8.1241104469114713</v>
      </c>
      <c r="E250" s="462">
        <v>4504</v>
      </c>
      <c r="F250" s="463">
        <v>7.01</v>
      </c>
      <c r="G250" s="464">
        <v>5137.2</v>
      </c>
      <c r="H250" s="465">
        <v>8.3621447406973353</v>
      </c>
      <c r="I250" s="462">
        <v>15089</v>
      </c>
      <c r="J250" s="463">
        <v>2.9300735965201854</v>
      </c>
      <c r="K250" s="538">
        <v>61</v>
      </c>
      <c r="L250" s="462">
        <v>31</v>
      </c>
      <c r="M250" s="462">
        <v>30</v>
      </c>
      <c r="N250" s="608">
        <v>0.04</v>
      </c>
    </row>
    <row r="251" spans="1:14" ht="14.45" customHeight="1">
      <c r="A251" s="470" t="s">
        <v>661</v>
      </c>
      <c r="B251" s="461" t="s">
        <v>678</v>
      </c>
      <c r="C251" s="462">
        <v>1244.8800000000001</v>
      </c>
      <c r="D251" s="463">
        <v>2.0723028750355823</v>
      </c>
      <c r="E251" s="462">
        <v>1220</v>
      </c>
      <c r="F251" s="463">
        <v>1.9</v>
      </c>
      <c r="G251" s="464">
        <v>1310.4000000000001</v>
      </c>
      <c r="H251" s="465">
        <v>2.1330208028127751</v>
      </c>
      <c r="I251" s="462">
        <v>2789</v>
      </c>
      <c r="J251" s="463">
        <v>0.54158494669592394</v>
      </c>
      <c r="K251" s="538">
        <v>61</v>
      </c>
      <c r="L251" s="462">
        <v>26</v>
      </c>
      <c r="M251" s="462">
        <v>35</v>
      </c>
      <c r="N251" s="608">
        <v>0.04</v>
      </c>
    </row>
    <row r="252" spans="1:14" ht="14.45" customHeight="1">
      <c r="A252" s="470" t="s">
        <v>662</v>
      </c>
      <c r="B252" s="461" t="s">
        <v>791</v>
      </c>
      <c r="C252" s="462">
        <v>692.55</v>
      </c>
      <c r="D252" s="463">
        <v>1.152860802732707</v>
      </c>
      <c r="E252" s="462">
        <v>749</v>
      </c>
      <c r="F252" s="463">
        <v>1.17</v>
      </c>
      <c r="G252" s="464">
        <v>729</v>
      </c>
      <c r="H252" s="465">
        <v>1.1866393202461178</v>
      </c>
      <c r="I252" s="462">
        <v>13554</v>
      </c>
      <c r="J252" s="463">
        <v>2.631997980464881</v>
      </c>
      <c r="K252" s="538">
        <v>57</v>
      </c>
      <c r="L252" s="462">
        <v>28</v>
      </c>
      <c r="M252" s="462">
        <v>29</v>
      </c>
      <c r="N252" s="608">
        <v>0.04</v>
      </c>
    </row>
    <row r="253" spans="1:14" ht="14.45" customHeight="1">
      <c r="A253" s="470" t="s">
        <v>658</v>
      </c>
      <c r="B253" s="461" t="s">
        <v>770</v>
      </c>
      <c r="C253" s="462">
        <v>2702.18</v>
      </c>
      <c r="D253" s="463">
        <v>4.4982129866843783</v>
      </c>
      <c r="E253" s="462">
        <v>2673</v>
      </c>
      <c r="F253" s="463">
        <v>4.16</v>
      </c>
      <c r="G253" s="464">
        <v>2444.4</v>
      </c>
      <c r="H253" s="465">
        <v>3.9789041898622912</v>
      </c>
      <c r="I253" s="462">
        <v>7955</v>
      </c>
      <c r="J253" s="463">
        <v>1.5447501796221137</v>
      </c>
      <c r="K253" s="538">
        <v>38</v>
      </c>
      <c r="L253" s="462">
        <v>17</v>
      </c>
      <c r="M253" s="462">
        <v>21</v>
      </c>
      <c r="N253" s="608">
        <v>0.03</v>
      </c>
    </row>
    <row r="254" spans="1:14" ht="14.45" customHeight="1">
      <c r="A254" s="470" t="s">
        <v>663</v>
      </c>
      <c r="B254" s="461" t="s">
        <v>750</v>
      </c>
      <c r="C254" s="462">
        <v>383.03999999999996</v>
      </c>
      <c r="D254" s="463">
        <v>0.63763165385710219</v>
      </c>
      <c r="E254" s="462" t="s">
        <v>13</v>
      </c>
      <c r="F254" s="466" t="s">
        <v>13</v>
      </c>
      <c r="G254" s="464">
        <v>403.2</v>
      </c>
      <c r="H254" s="465">
        <v>0.65631409317316136</v>
      </c>
      <c r="I254" s="462">
        <v>56501</v>
      </c>
      <c r="J254" s="463">
        <v>10.97170708973338</v>
      </c>
      <c r="K254" s="538">
        <v>35</v>
      </c>
      <c r="L254" s="462">
        <v>15</v>
      </c>
      <c r="M254" s="462">
        <v>20</v>
      </c>
      <c r="N254" s="608">
        <v>0.02</v>
      </c>
    </row>
    <row r="255" spans="1:14" ht="14.45" customHeight="1">
      <c r="A255" s="470" t="s">
        <v>664</v>
      </c>
      <c r="B255" s="461" t="s">
        <v>680</v>
      </c>
      <c r="C255" s="462">
        <v>1340.45</v>
      </c>
      <c r="D255" s="463">
        <v>2.2313945029572699</v>
      </c>
      <c r="E255" s="462">
        <v>1783</v>
      </c>
      <c r="F255" s="463">
        <v>2.77</v>
      </c>
      <c r="G255" s="464">
        <v>1611</v>
      </c>
      <c r="H255" s="465">
        <v>2.6223263990624082</v>
      </c>
      <c r="I255" s="462">
        <v>4423</v>
      </c>
      <c r="J255" s="463">
        <v>0.85888498359127696</v>
      </c>
      <c r="K255" s="538">
        <v>33</v>
      </c>
      <c r="L255" s="462">
        <v>18</v>
      </c>
      <c r="M255" s="462">
        <v>15</v>
      </c>
      <c r="N255" s="608">
        <v>0.02</v>
      </c>
    </row>
    <row r="256" spans="1:14" ht="14.45" customHeight="1">
      <c r="A256" s="472" t="s">
        <v>665</v>
      </c>
      <c r="B256" s="461" t="s">
        <v>721</v>
      </c>
      <c r="C256" s="462">
        <v>413.82</v>
      </c>
      <c r="D256" s="463">
        <v>0.68886991175633361</v>
      </c>
      <c r="E256" s="462" t="s">
        <v>13</v>
      </c>
      <c r="F256" s="466" t="s">
        <v>13</v>
      </c>
      <c r="G256" s="464">
        <v>435.6</v>
      </c>
      <c r="H256" s="465">
        <v>0.7090536185174332</v>
      </c>
      <c r="I256" s="462">
        <v>14378</v>
      </c>
      <c r="J256" s="463">
        <v>2.7920073013961972</v>
      </c>
      <c r="K256" s="538">
        <v>32</v>
      </c>
      <c r="L256" s="462">
        <v>14</v>
      </c>
      <c r="M256" s="462">
        <v>18</v>
      </c>
      <c r="N256" s="608">
        <v>0.02</v>
      </c>
    </row>
    <row r="257" spans="1:14" ht="14.45" customHeight="1">
      <c r="A257" s="470" t="s">
        <v>657</v>
      </c>
      <c r="B257" s="461" t="s">
        <v>677</v>
      </c>
      <c r="C257" s="462">
        <v>550.62</v>
      </c>
      <c r="D257" s="463">
        <v>0.91659550241958454</v>
      </c>
      <c r="E257" s="462" t="s">
        <v>13</v>
      </c>
      <c r="F257" s="466" t="s">
        <v>13</v>
      </c>
      <c r="G257" s="464">
        <v>579.6</v>
      </c>
      <c r="H257" s="465">
        <v>0.94345150893641938</v>
      </c>
      <c r="I257" s="462">
        <v>6152</v>
      </c>
      <c r="J257" s="463">
        <v>1.1946326970503134</v>
      </c>
      <c r="K257" s="538">
        <v>31</v>
      </c>
      <c r="L257" s="462">
        <v>16</v>
      </c>
      <c r="M257" s="462">
        <v>15</v>
      </c>
      <c r="N257" s="608">
        <v>0.02</v>
      </c>
    </row>
    <row r="258" spans="1:14" ht="14.45" customHeight="1">
      <c r="A258" s="471" t="s">
        <v>330</v>
      </c>
      <c r="B258" s="461"/>
      <c r="C258" s="462">
        <v>10948.179999999998</v>
      </c>
      <c r="D258" s="463">
        <v>18.225005534996992</v>
      </c>
      <c r="E258" s="462">
        <v>11353</v>
      </c>
      <c r="F258" s="463">
        <v>17.649999999999999</v>
      </c>
      <c r="G258" s="464">
        <v>10724.4</v>
      </c>
      <c r="H258" s="465">
        <v>17.456782888953995</v>
      </c>
      <c r="I258" s="462">
        <v>257485</v>
      </c>
      <c r="J258" s="463">
        <v>49.999999999999993</v>
      </c>
      <c r="K258" s="538">
        <v>782</v>
      </c>
      <c r="L258" s="462">
        <v>393</v>
      </c>
      <c r="M258" s="462">
        <v>389</v>
      </c>
      <c r="N258" s="607">
        <v>0.55000000000000004</v>
      </c>
    </row>
    <row r="259" spans="1:14" ht="5.0999999999999996" customHeight="1">
      <c r="A259" s="415"/>
      <c r="B259" s="540"/>
      <c r="C259" s="530"/>
      <c r="D259" s="541"/>
      <c r="E259" s="530"/>
      <c r="F259" s="541"/>
      <c r="G259" s="530"/>
      <c r="H259" s="530"/>
      <c r="I259" s="530"/>
      <c r="J259" s="530"/>
      <c r="K259" s="542"/>
      <c r="L259" s="530"/>
      <c r="M259" s="530"/>
      <c r="N259" s="530"/>
    </row>
    <row r="260" spans="1:14" ht="11.1" customHeight="1">
      <c r="A260" s="469" t="s">
        <v>698</v>
      </c>
      <c r="C260" s="468"/>
      <c r="D260" s="468"/>
      <c r="E260" s="468"/>
      <c r="F260" s="468"/>
      <c r="G260" s="468"/>
      <c r="H260" s="468"/>
      <c r="I260" s="468"/>
      <c r="J260" s="468"/>
      <c r="K260" s="468"/>
      <c r="L260" s="468"/>
      <c r="M260" s="468"/>
      <c r="N260" s="468"/>
    </row>
    <row r="261" spans="1:14" ht="11.1" customHeight="1">
      <c r="A261" s="468" t="s">
        <v>756</v>
      </c>
      <c r="C261" s="469"/>
      <c r="D261" s="469"/>
      <c r="E261" s="469"/>
      <c r="F261" s="469"/>
      <c r="G261" s="469"/>
      <c r="H261" s="469"/>
      <c r="I261" s="462"/>
      <c r="J261" s="462"/>
      <c r="K261" s="462"/>
      <c r="L261" s="462"/>
      <c r="M261" s="458"/>
      <c r="N261" s="458"/>
    </row>
    <row r="262" spans="1:14" ht="11.1" customHeight="1">
      <c r="A262" s="467" t="s">
        <v>389</v>
      </c>
      <c r="C262" s="467"/>
      <c r="D262" s="467"/>
      <c r="E262" s="467"/>
      <c r="F262" s="467"/>
      <c r="G262" s="467"/>
      <c r="H262" s="467"/>
      <c r="I262" s="467"/>
      <c r="J262" s="467"/>
      <c r="K262" s="467"/>
      <c r="L262" s="467"/>
      <c r="M262" s="458"/>
      <c r="N262" s="458"/>
    </row>
  </sheetData>
  <mergeCells count="22">
    <mergeCell ref="K51:N51"/>
    <mergeCell ref="B139:H139"/>
    <mergeCell ref="K139:N139"/>
    <mergeCell ref="K228:N228"/>
    <mergeCell ref="A1:N1"/>
    <mergeCell ref="A88:N88"/>
    <mergeCell ref="A177:N177"/>
    <mergeCell ref="K212:N212"/>
    <mergeCell ref="K90:N90"/>
    <mergeCell ref="B106:H106"/>
    <mergeCell ref="K106:N106"/>
    <mergeCell ref="B123:H123"/>
    <mergeCell ref="K123:N123"/>
    <mergeCell ref="K3:N3"/>
    <mergeCell ref="K19:N19"/>
    <mergeCell ref="K35:N35"/>
    <mergeCell ref="K244:N244"/>
    <mergeCell ref="K179:N179"/>
    <mergeCell ref="K195:N195"/>
    <mergeCell ref="K67:N67"/>
    <mergeCell ref="B155:H155"/>
    <mergeCell ref="K155:N1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5</vt:i4>
      </vt:variant>
    </vt:vector>
  </HeadingPairs>
  <TitlesOfParts>
    <vt:vector size="28" baseType="lpstr">
      <vt:lpstr>SALUD</vt:lpstr>
      <vt:lpstr>6.1</vt:lpstr>
      <vt:lpstr>6.2</vt:lpstr>
      <vt:lpstr>6.3</vt:lpstr>
      <vt:lpstr>6.4</vt:lpstr>
      <vt:lpstr>6.5</vt:lpstr>
      <vt:lpstr>6.6</vt:lpstr>
      <vt:lpstr>6.7</vt:lpstr>
      <vt:lpstr>6.8 - 6.10</vt:lpstr>
      <vt:lpstr>6.11</vt:lpstr>
      <vt:lpstr>6.12</vt:lpstr>
      <vt:lpstr>6.11 Oculto</vt:lpstr>
      <vt:lpstr>6.13</vt:lpstr>
      <vt:lpstr>6.14</vt:lpstr>
      <vt:lpstr>6.15</vt:lpstr>
      <vt:lpstr>6.16</vt:lpstr>
      <vt:lpstr>6.17</vt:lpstr>
      <vt:lpstr>6.18</vt:lpstr>
      <vt:lpstr>6.19</vt:lpstr>
      <vt:lpstr>6.20</vt:lpstr>
      <vt:lpstr>6.19-6.25</vt:lpstr>
      <vt:lpstr>6.19-6.24-2015</vt:lpstr>
      <vt:lpstr>6.17_2012</vt:lpstr>
      <vt:lpstr>'6.17_2012'!Área_de_impresión</vt:lpstr>
      <vt:lpstr>'6.19-6.25'!Área_de_impresión</vt:lpstr>
      <vt:lpstr>'6.6'!Área_de_impresión</vt:lpstr>
      <vt:lpstr>'6.17_2012'!OLE_LINK4</vt:lpstr>
      <vt:lpstr>'6.6'!Títulos_a_imprimir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</dc:creator>
  <cp:lastModifiedBy>Usuario</cp:lastModifiedBy>
  <cp:lastPrinted>2024-11-08T15:18:33Z</cp:lastPrinted>
  <dcterms:created xsi:type="dcterms:W3CDTF">2001-03-01T19:55:55Z</dcterms:created>
  <dcterms:modified xsi:type="dcterms:W3CDTF">2025-01-27T21:19:53Z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