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Wgquispe\waldir 2024\COMPENDIOS PUNO\COMPENDIO_PUNO_2024\EXCEL INEI LIMA\"/>
    </mc:Choice>
  </mc:AlternateContent>
  <bookViews>
    <workbookView xWindow="-120" yWindow="-120" windowWidth="29040" windowHeight="15720" tabRatio="886"/>
  </bookViews>
  <sheets>
    <sheet name="Seguridad" sheetId="37" r:id="rId1"/>
    <sheet name="8.1" sheetId="41" r:id="rId2"/>
    <sheet name="8.2" sheetId="3" r:id="rId3"/>
    <sheet name="8.3" sheetId="1" r:id="rId4"/>
    <sheet name="8.4" sheetId="2" r:id="rId5"/>
    <sheet name="8,4-8,5" sheetId="39" state="hidden" r:id="rId6"/>
    <sheet name="8.5" sheetId="5" r:id="rId7"/>
    <sheet name="8.6" sheetId="44" r:id="rId8"/>
    <sheet name="8.7" sheetId="45" r:id="rId9"/>
    <sheet name="8.8" sheetId="43" r:id="rId10"/>
    <sheet name="8.9" sheetId="46" r:id="rId11"/>
    <sheet name="8.10" sheetId="48" r:id="rId12"/>
    <sheet name="8.11-8.13" sheetId="47" r:id="rId13"/>
    <sheet name="8.14-8.15" sheetId="42" r:id="rId14"/>
    <sheet name="8.16" sheetId="7" r:id="rId15"/>
    <sheet name="8.17" sheetId="8" r:id="rId16"/>
    <sheet name="8.18 - 8.19" sheetId="50" r:id="rId17"/>
    <sheet name="8.20" sheetId="12" r:id="rId18"/>
    <sheet name="8.21" sheetId="52" r:id="rId19"/>
    <sheet name="8.22" sheetId="49" r:id="rId20"/>
    <sheet name="8.23" sheetId="13" r:id="rId21"/>
    <sheet name="8.24" sheetId="14" r:id="rId22"/>
    <sheet name="8.25" sheetId="15" r:id="rId23"/>
    <sheet name="8.26" sheetId="40" r:id="rId24"/>
    <sheet name="8.27" sheetId="20" r:id="rId25"/>
    <sheet name="8.28" sheetId="34" r:id="rId26"/>
    <sheet name="8.29" sheetId="22" r:id="rId27"/>
    <sheet name="8.30" sheetId="31" r:id="rId28"/>
    <sheet name="8.31" sheetId="26" r:id="rId29"/>
    <sheet name="8.32" sheetId="27" r:id="rId30"/>
    <sheet name="8.33" sheetId="28" r:id="rId31"/>
    <sheet name="8.34" sheetId="30" r:id="rId32"/>
    <sheet name="8.35" sheetId="29" r:id="rId33"/>
  </sheets>
  <definedNames>
    <definedName name="\a" localSheetId="11">#REF!</definedName>
    <definedName name="\a" localSheetId="7">#REF!</definedName>
    <definedName name="\a" localSheetId="8">#REF!</definedName>
    <definedName name="\a">#REF!</definedName>
    <definedName name="\p" localSheetId="11">#REF!</definedName>
    <definedName name="\p" localSheetId="7">#REF!</definedName>
    <definedName name="\p" localSheetId="8">#REF!</definedName>
    <definedName name="\p">#REF!</definedName>
    <definedName name="_P" localSheetId="11">#REF!</definedName>
    <definedName name="_P" localSheetId="7">#REF!</definedName>
    <definedName name="_P" localSheetId="8">#REF!</definedName>
    <definedName name="_P">#REF!</definedName>
    <definedName name="_S" localSheetId="11">#REF!</definedName>
    <definedName name="_S" localSheetId="7">#REF!</definedName>
    <definedName name="_S" localSheetId="8">#REF!</definedName>
    <definedName name="_S">#REF!</definedName>
    <definedName name="A_impresión_IM" localSheetId="11">#REF!</definedName>
    <definedName name="A_impresión_IM" localSheetId="7">#REF!</definedName>
    <definedName name="A_impresión_IM" localSheetId="8">#REF!</definedName>
    <definedName name="A_impresión_IM">#REF!</definedName>
    <definedName name="_xlnm.Print_Area" localSheetId="11">'8.10'!$A$1:$L$17</definedName>
    <definedName name="_xlnm.Print_Area" localSheetId="12">'8.11-8.13'!$A$1:$M$48</definedName>
    <definedName name="_xlnm.Print_Area" localSheetId="13">'8.14-8.15'!$A$1:$AF$22</definedName>
    <definedName name="_xlnm.Print_Area" localSheetId="17">'8.20'!$A$1:$J$61</definedName>
    <definedName name="_xlnm.Print_Area" localSheetId="18">'8.21'!#REF!</definedName>
    <definedName name="_xlnm.Print_Area" localSheetId="23">'8.26'!#REF!</definedName>
    <definedName name="_xlnm.Print_Area" localSheetId="3">'8.3'!$A$1:$F$64</definedName>
    <definedName name="_xlnm.Print_Area" localSheetId="4">'8.4'!$A$1:$X$57</definedName>
    <definedName name="_xlnm.Print_Area" localSheetId="6">'8.5'!$A$1:$AC$37</definedName>
    <definedName name="_xlnm.Print_Area" localSheetId="7">'8.6'!$A$1:$P$11</definedName>
    <definedName name="_xlnm.Print_Area" localSheetId="8">'8.7'!$A$1:$M$13</definedName>
    <definedName name="_xlnm.Print_Area" localSheetId="9">'8.8'!$A$1:$O$11</definedName>
    <definedName name="FUENTE">#N/A</definedName>
  </definedNames>
  <calcPr calcId="152511"/>
</workbook>
</file>

<file path=xl/calcChain.xml><?xml version="1.0" encoding="utf-8"?>
<calcChain xmlns="http://schemas.openxmlformats.org/spreadsheetml/2006/main">
  <c r="A132" i="28" l="1"/>
  <c r="A111" i="28"/>
  <c r="A544" i="31"/>
  <c r="A543" i="31"/>
  <c r="A497" i="31"/>
  <c r="A496" i="31"/>
  <c r="A449" i="31"/>
  <c r="A448" i="31"/>
  <c r="A404" i="31"/>
  <c r="A403" i="31"/>
  <c r="A61" i="22"/>
  <c r="A30" i="22"/>
  <c r="L28" i="34"/>
  <c r="A45" i="40"/>
  <c r="AJ7" i="22" l="1"/>
  <c r="A8" i="37"/>
  <c r="H56" i="29" l="1"/>
  <c r="G25" i="13"/>
  <c r="A29" i="37"/>
  <c r="AJ38" i="22" l="1"/>
  <c r="J9" i="49"/>
  <c r="Y5" i="27"/>
  <c r="E528" i="31"/>
  <c r="D528" i="31"/>
  <c r="C528" i="31"/>
  <c r="E527" i="31"/>
  <c r="D527" i="31"/>
  <c r="C527" i="31"/>
  <c r="C81" i="29"/>
  <c r="J79" i="29"/>
  <c r="F79" i="29"/>
  <c r="B79" i="29"/>
  <c r="J78" i="29"/>
  <c r="F78" i="29"/>
  <c r="B78" i="29"/>
  <c r="J77" i="29"/>
  <c r="F77" i="29"/>
  <c r="B77" i="29"/>
  <c r="M76" i="29"/>
  <c r="L76" i="29"/>
  <c r="K76" i="29"/>
  <c r="H76" i="29"/>
  <c r="G76" i="29"/>
  <c r="D76" i="29"/>
  <c r="C76" i="29"/>
  <c r="D33" i="30"/>
  <c r="Z5" i="27"/>
  <c r="E578" i="31"/>
  <c r="D578" i="31"/>
  <c r="B578" i="31" s="1"/>
  <c r="C578" i="31"/>
  <c r="B576" i="31"/>
  <c r="B575" i="31"/>
  <c r="B574" i="31"/>
  <c r="B573" i="31"/>
  <c r="E572" i="31"/>
  <c r="D572" i="31"/>
  <c r="C572" i="31"/>
  <c r="B571" i="31"/>
  <c r="B570" i="31"/>
  <c r="E569" i="31"/>
  <c r="D569" i="31"/>
  <c r="C569" i="31"/>
  <c r="B569" i="31" s="1"/>
  <c r="B568" i="31"/>
  <c r="B567" i="31"/>
  <c r="E566" i="31"/>
  <c r="E550" i="31" s="1"/>
  <c r="D566" i="31"/>
  <c r="D550" i="31" s="1"/>
  <c r="C566" i="31"/>
  <c r="E551" i="31"/>
  <c r="D551" i="31"/>
  <c r="C551" i="31"/>
  <c r="B551" i="31"/>
  <c r="AA7" i="7"/>
  <c r="Z21" i="7"/>
  <c r="Q8" i="43"/>
  <c r="Q7" i="43"/>
  <c r="B76" i="29" l="1"/>
  <c r="F76" i="29"/>
  <c r="J76" i="29"/>
  <c r="B550" i="31"/>
  <c r="B572" i="31"/>
  <c r="B566" i="31"/>
  <c r="O43" i="47"/>
  <c r="E37" i="12"/>
  <c r="E36" i="12"/>
  <c r="I36" i="12"/>
  <c r="X33" i="50"/>
  <c r="K6" i="52"/>
  <c r="X6" i="50"/>
  <c r="AA6" i="7"/>
  <c r="Y20" i="42"/>
  <c r="Y6" i="42"/>
  <c r="Y8" i="42" s="1"/>
  <c r="O11" i="47"/>
  <c r="O10" i="47"/>
  <c r="O8" i="47"/>
  <c r="O14" i="47" s="1"/>
  <c r="O7" i="47"/>
  <c r="O6" i="47" s="1"/>
  <c r="N11" i="48"/>
  <c r="N10" i="48"/>
  <c r="N13" i="48" s="1"/>
  <c r="N8" i="48"/>
  <c r="N7" i="48"/>
  <c r="N6" i="48" s="1"/>
  <c r="O9" i="47"/>
  <c r="S28" i="46"/>
  <c r="S24" i="46"/>
  <c r="S20" i="46"/>
  <c r="S16" i="46"/>
  <c r="S12" i="46"/>
  <c r="S8" i="46"/>
  <c r="Q9" i="43"/>
  <c r="O9" i="45"/>
  <c r="Q8" i="44"/>
  <c r="AE5" i="5"/>
  <c r="Y12" i="2"/>
  <c r="Y5" i="2"/>
  <c r="D38" i="1"/>
  <c r="Q35" i="41"/>
  <c r="Q30" i="41"/>
  <c r="Q25" i="41"/>
  <c r="Q16" i="41"/>
  <c r="Q7" i="41"/>
  <c r="B529" i="31"/>
  <c r="B526" i="31"/>
  <c r="O12" i="47" l="1"/>
  <c r="N14" i="48"/>
  <c r="O13" i="47"/>
  <c r="N9" i="48"/>
  <c r="N12" i="48" s="1"/>
  <c r="Q58" i="34"/>
  <c r="N58" i="34"/>
  <c r="M58" i="34"/>
  <c r="I58" i="34"/>
  <c r="H58" i="34"/>
  <c r="E58" i="34"/>
  <c r="B58" i="34"/>
  <c r="U41" i="20"/>
  <c r="U36" i="40"/>
  <c r="U15" i="40" l="1"/>
  <c r="D33" i="40"/>
  <c r="U8" i="40"/>
  <c r="U5" i="40" s="1"/>
  <c r="G70" i="14"/>
  <c r="K70" i="14"/>
  <c r="J70" i="14"/>
  <c r="K74" i="14"/>
  <c r="J74" i="14"/>
  <c r="H74" i="14"/>
  <c r="G74" i="14"/>
  <c r="I73" i="14"/>
  <c r="Z6" i="7" l="1"/>
  <c r="N43" i="47" l="1"/>
  <c r="H70" i="14" l="1"/>
  <c r="I69" i="14"/>
  <c r="I68" i="14"/>
  <c r="F68" i="14"/>
  <c r="F70" i="14" s="1"/>
  <c r="G29" i="13"/>
  <c r="L71" i="29"/>
  <c r="F74" i="29"/>
  <c r="B74" i="29"/>
  <c r="J73" i="29"/>
  <c r="F73" i="29"/>
  <c r="B73" i="29"/>
  <c r="F72" i="29"/>
  <c r="B72" i="29"/>
  <c r="M71" i="29"/>
  <c r="H71" i="29"/>
  <c r="G71" i="29"/>
  <c r="D71" i="29"/>
  <c r="C71" i="29"/>
  <c r="D32" i="30"/>
  <c r="E481" i="31"/>
  <c r="D481" i="31"/>
  <c r="C481" i="31"/>
  <c r="E480" i="31"/>
  <c r="D480" i="31"/>
  <c r="C480" i="31"/>
  <c r="E479" i="31"/>
  <c r="D479" i="31"/>
  <c r="C479" i="31"/>
  <c r="I70" i="14" l="1"/>
  <c r="K71" i="29"/>
  <c r="B71" i="29"/>
  <c r="J74" i="29"/>
  <c r="J72" i="29"/>
  <c r="F71" i="29"/>
  <c r="J71" i="29" l="1"/>
  <c r="E531" i="31" l="1"/>
  <c r="D531" i="31"/>
  <c r="C531" i="31"/>
  <c r="B531" i="31" s="1"/>
  <c r="B528" i="31"/>
  <c r="D525" i="31"/>
  <c r="C525" i="31"/>
  <c r="E525" i="31"/>
  <c r="B524" i="31"/>
  <c r="B523" i="31"/>
  <c r="E522" i="31"/>
  <c r="D522" i="31"/>
  <c r="C522" i="31"/>
  <c r="B521" i="31"/>
  <c r="B520" i="31"/>
  <c r="E519" i="31"/>
  <c r="E503" i="31" s="1"/>
  <c r="D519" i="31"/>
  <c r="D503" i="31" s="1"/>
  <c r="C519" i="31"/>
  <c r="E504" i="31"/>
  <c r="D504" i="31"/>
  <c r="C504" i="31"/>
  <c r="B504" i="31" s="1"/>
  <c r="B522" i="31" l="1"/>
  <c r="B519" i="31"/>
  <c r="B503" i="31"/>
  <c r="B525" i="31"/>
  <c r="B527" i="31"/>
  <c r="T36" i="40" l="1"/>
  <c r="T15" i="40"/>
  <c r="AJ86" i="22"/>
  <c r="AG86" i="22"/>
  <c r="AJ85" i="22"/>
  <c r="AG85" i="22"/>
  <c r="AJ84" i="22"/>
  <c r="AG84" i="22"/>
  <c r="AJ83" i="22"/>
  <c r="AG83" i="22"/>
  <c r="AJ82" i="22"/>
  <c r="AG82" i="22"/>
  <c r="AJ81" i="22"/>
  <c r="AG81" i="22"/>
  <c r="AJ80" i="22"/>
  <c r="AG80" i="22"/>
  <c r="AJ79" i="22"/>
  <c r="AG79" i="22"/>
  <c r="AJ78" i="22"/>
  <c r="AG78" i="22"/>
  <c r="AJ77" i="22"/>
  <c r="AG77" i="22"/>
  <c r="AJ76" i="22"/>
  <c r="AG76" i="22"/>
  <c r="AJ75" i="22"/>
  <c r="AJ74" i="22"/>
  <c r="AG74" i="22"/>
  <c r="AJ73" i="22"/>
  <c r="AG73" i="22"/>
  <c r="AJ72" i="22"/>
  <c r="AG72" i="22"/>
  <c r="AJ71" i="22"/>
  <c r="AG71" i="22"/>
  <c r="AJ70" i="22"/>
  <c r="AG70" i="22"/>
  <c r="AJ69" i="22"/>
  <c r="AG69" i="22"/>
  <c r="AJ68" i="22"/>
  <c r="AG68" i="22"/>
  <c r="AI67" i="22"/>
  <c r="AH67" i="22"/>
  <c r="AF67" i="22"/>
  <c r="AE67" i="22"/>
  <c r="AC67" i="22"/>
  <c r="AB67" i="22"/>
  <c r="AA67" i="22"/>
  <c r="Z67" i="22"/>
  <c r="Y67" i="22"/>
  <c r="X67" i="22"/>
  <c r="V67" i="22"/>
  <c r="T67" i="22"/>
  <c r="S67" i="22"/>
  <c r="Q67" i="22"/>
  <c r="O67" i="22"/>
  <c r="N67" i="22"/>
  <c r="M67" i="22"/>
  <c r="L67" i="22"/>
  <c r="K67" i="22"/>
  <c r="J67" i="22"/>
  <c r="I67" i="22"/>
  <c r="G67" i="22"/>
  <c r="F67" i="22"/>
  <c r="E67" i="22"/>
  <c r="D67" i="22"/>
  <c r="B67" i="22"/>
  <c r="AG48" i="22"/>
  <c r="AJ55" i="22"/>
  <c r="AJ54" i="22"/>
  <c r="AJ53" i="22"/>
  <c r="AJ52" i="22"/>
  <c r="AJ51" i="22"/>
  <c r="AJ50" i="22"/>
  <c r="AJ49" i="22"/>
  <c r="AJ48" i="22"/>
  <c r="AJ47" i="22"/>
  <c r="AJ46" i="22"/>
  <c r="AJ45" i="22"/>
  <c r="AJ44" i="22"/>
  <c r="AJ43" i="22"/>
  <c r="AJ42" i="22"/>
  <c r="AJ41" i="22"/>
  <c r="AJ40" i="22"/>
  <c r="AJ39" i="22"/>
  <c r="AJ37" i="22"/>
  <c r="AG55" i="22"/>
  <c r="AG54" i="22"/>
  <c r="AG53" i="22"/>
  <c r="AG52" i="22"/>
  <c r="AG51" i="22"/>
  <c r="AG50" i="22"/>
  <c r="AG49" i="22"/>
  <c r="AG47" i="22"/>
  <c r="AG46" i="22"/>
  <c r="AG45" i="22"/>
  <c r="AG43" i="22"/>
  <c r="AG42" i="22"/>
  <c r="AG41" i="22"/>
  <c r="AG40" i="22"/>
  <c r="AG39" i="22"/>
  <c r="AG38" i="22"/>
  <c r="AG37" i="22"/>
  <c r="T41" i="20"/>
  <c r="B80" i="15"/>
  <c r="B76" i="15"/>
  <c r="B75" i="15"/>
  <c r="B79" i="15"/>
  <c r="F81" i="15"/>
  <c r="E81" i="15"/>
  <c r="F77" i="15"/>
  <c r="B77" i="15" s="1"/>
  <c r="E77" i="15"/>
  <c r="I72" i="14"/>
  <c r="I74" i="14" s="1"/>
  <c r="F72" i="14"/>
  <c r="F74" i="14" s="1"/>
  <c r="B81" i="15" l="1"/>
  <c r="T5" i="40"/>
  <c r="AJ67" i="22"/>
  <c r="AG67" i="22"/>
  <c r="AE7" i="22"/>
  <c r="AF7" i="22"/>
  <c r="AG7" i="22"/>
  <c r="AH7" i="22"/>
  <c r="AI7" i="22"/>
  <c r="B36" i="22"/>
  <c r="D36" i="22"/>
  <c r="E36" i="22"/>
  <c r="F36" i="22"/>
  <c r="G36" i="22"/>
  <c r="I36" i="22"/>
  <c r="J36" i="22"/>
  <c r="K36" i="22"/>
  <c r="L36" i="22"/>
  <c r="M36" i="22"/>
  <c r="N36" i="22"/>
  <c r="O36" i="22"/>
  <c r="Q36" i="22"/>
  <c r="S36" i="22"/>
  <c r="T36" i="22"/>
  <c r="V36" i="22"/>
  <c r="X36" i="22"/>
  <c r="Y36" i="22"/>
  <c r="Z36" i="22"/>
  <c r="AA36" i="22"/>
  <c r="AB36" i="22"/>
  <c r="AC36" i="22"/>
  <c r="AE36" i="22"/>
  <c r="AF36" i="22"/>
  <c r="AG36" i="22"/>
  <c r="AH36" i="22"/>
  <c r="AI36" i="22"/>
  <c r="AJ36" i="22"/>
  <c r="L29" i="49"/>
  <c r="L25" i="49"/>
  <c r="L21" i="49"/>
  <c r="L17" i="49"/>
  <c r="L13" i="49"/>
  <c r="L9" i="49"/>
  <c r="P9" i="43"/>
  <c r="J6" i="52"/>
  <c r="I35" i="12"/>
  <c r="E35" i="12"/>
  <c r="W33" i="50"/>
  <c r="W6" i="50"/>
  <c r="X20" i="42" l="1"/>
  <c r="X8" i="42"/>
  <c r="N7" i="47"/>
  <c r="N13" i="47" s="1"/>
  <c r="N9" i="47"/>
  <c r="N11" i="47" s="1"/>
  <c r="N6" i="47"/>
  <c r="N12" i="47" s="1"/>
  <c r="M10" i="48"/>
  <c r="M9" i="48"/>
  <c r="M11" i="48" s="1"/>
  <c r="M7" i="48"/>
  <c r="M13" i="48" s="1"/>
  <c r="M6" i="48"/>
  <c r="R22" i="46"/>
  <c r="R23" i="46"/>
  <c r="R18" i="46"/>
  <c r="R19" i="46"/>
  <c r="R28" i="46"/>
  <c r="R16" i="46"/>
  <c r="R12" i="46"/>
  <c r="R8" i="46"/>
  <c r="N9" i="45"/>
  <c r="P8" i="44"/>
  <c r="AD5" i="5"/>
  <c r="X12" i="2"/>
  <c r="X5" i="2" s="1"/>
  <c r="D37" i="1"/>
  <c r="P7" i="41"/>
  <c r="P16" i="41"/>
  <c r="P35" i="41"/>
  <c r="P30" i="41"/>
  <c r="P25" i="41"/>
  <c r="R20" i="46" l="1"/>
  <c r="M12" i="48"/>
  <c r="R24" i="46"/>
  <c r="M8" i="48"/>
  <c r="M14" i="48" s="1"/>
  <c r="N8" i="47"/>
  <c r="N14" i="47" s="1"/>
  <c r="A25" i="37" l="1"/>
  <c r="A14" i="37"/>
  <c r="A13" i="37"/>
  <c r="A20" i="37"/>
  <c r="A35" i="37"/>
  <c r="A33" i="37"/>
  <c r="A32" i="37"/>
  <c r="A31" i="37"/>
  <c r="A30" i="37"/>
  <c r="A28" i="37"/>
  <c r="A27" i="37"/>
  <c r="A26" i="37"/>
  <c r="A24" i="37"/>
  <c r="A23" i="37"/>
  <c r="A22" i="37"/>
  <c r="A21" i="37"/>
  <c r="A19" i="37"/>
  <c r="A18" i="37"/>
  <c r="A17" i="37"/>
  <c r="A16" i="37"/>
  <c r="A15" i="37"/>
  <c r="A10" i="37"/>
  <c r="A9" i="37"/>
  <c r="A7" i="37"/>
  <c r="A2" i="37"/>
  <c r="A3" i="37"/>
  <c r="D468" i="31"/>
  <c r="C468" i="31" s="1"/>
  <c r="M23" i="26"/>
  <c r="N23" i="26"/>
  <c r="O23" i="26"/>
  <c r="P23" i="26"/>
  <c r="Q23" i="26"/>
  <c r="R23" i="26"/>
  <c r="S23" i="26"/>
  <c r="M29" i="26"/>
  <c r="N29" i="26"/>
  <c r="O29" i="26"/>
  <c r="P29" i="26"/>
  <c r="Q29" i="26"/>
  <c r="R29" i="26"/>
  <c r="S29" i="26"/>
  <c r="L35" i="26"/>
  <c r="M35" i="26"/>
  <c r="N35" i="26"/>
  <c r="O35" i="26"/>
  <c r="P35" i="26"/>
  <c r="Q35" i="26"/>
  <c r="R35" i="26"/>
  <c r="S35" i="26"/>
  <c r="S26" i="26"/>
  <c r="R26" i="26"/>
  <c r="Q26" i="26"/>
  <c r="P26" i="26"/>
  <c r="O26" i="26"/>
  <c r="N26" i="26"/>
  <c r="M26" i="26"/>
  <c r="G30" i="13"/>
  <c r="G27" i="13"/>
  <c r="G26" i="13"/>
  <c r="G28" i="13"/>
  <c r="D423" i="31" l="1"/>
  <c r="C423" i="31" s="1"/>
  <c r="R12" i="2"/>
  <c r="E28" i="12" l="1"/>
  <c r="K9" i="43"/>
  <c r="L9" i="43"/>
  <c r="M9" i="43"/>
  <c r="N9" i="43"/>
  <c r="O9" i="43"/>
  <c r="R6" i="50"/>
  <c r="V6" i="50"/>
  <c r="R33" i="50"/>
  <c r="G6" i="52"/>
  <c r="C6" i="52"/>
  <c r="D6" i="52"/>
  <c r="E6" i="52"/>
  <c r="F6" i="52"/>
  <c r="H6" i="52"/>
  <c r="I6" i="52"/>
  <c r="O36" i="40"/>
  <c r="P36" i="40"/>
  <c r="Q36" i="40"/>
  <c r="R36" i="40"/>
  <c r="S36" i="40"/>
  <c r="N36" i="40"/>
  <c r="O15" i="40"/>
  <c r="P15" i="40"/>
  <c r="Q15" i="40"/>
  <c r="R15" i="40"/>
  <c r="S15" i="40"/>
  <c r="N15" i="40"/>
  <c r="D35" i="40"/>
  <c r="N41" i="20"/>
  <c r="O41" i="20"/>
  <c r="P41" i="20"/>
  <c r="Q41" i="20"/>
  <c r="R41" i="20"/>
  <c r="S41" i="20"/>
  <c r="H43" i="47"/>
  <c r="I43" i="47"/>
  <c r="J43" i="47"/>
  <c r="K43" i="47"/>
  <c r="H14" i="47"/>
  <c r="I14" i="47"/>
  <c r="J14" i="47"/>
  <c r="L14" i="47"/>
  <c r="I13" i="47"/>
  <c r="J13" i="47"/>
  <c r="H13" i="47"/>
  <c r="I12" i="47"/>
  <c r="L12" i="47"/>
  <c r="F14" i="48"/>
  <c r="G14" i="48"/>
  <c r="H14" i="48"/>
  <c r="I14" i="48"/>
  <c r="K14" i="48"/>
  <c r="F13" i="48"/>
  <c r="G13" i="48"/>
  <c r="H13" i="48"/>
  <c r="I13" i="48"/>
  <c r="K13" i="48"/>
  <c r="F12" i="48"/>
  <c r="K12" i="48"/>
  <c r="H9" i="45"/>
  <c r="I9" i="45"/>
  <c r="J9" i="45"/>
  <c r="K9" i="45"/>
  <c r="L9" i="45"/>
  <c r="M9" i="45"/>
  <c r="K8" i="44"/>
  <c r="L8" i="44"/>
  <c r="N8" i="44"/>
  <c r="O8" i="44"/>
  <c r="X11" i="5"/>
  <c r="X9" i="5"/>
  <c r="X7" i="5"/>
  <c r="X6" i="5"/>
  <c r="AA10" i="5"/>
  <c r="Y8" i="5"/>
  <c r="Y10" i="5"/>
  <c r="Y7" i="5"/>
  <c r="R19" i="2"/>
  <c r="R18" i="2"/>
  <c r="R17" i="2"/>
  <c r="R16" i="2"/>
  <c r="R15" i="2"/>
  <c r="R14" i="2"/>
  <c r="R13" i="2"/>
  <c r="R11" i="2"/>
  <c r="R10" i="2"/>
  <c r="R9" i="2"/>
  <c r="R8" i="2"/>
  <c r="R7" i="2"/>
  <c r="V10" i="2"/>
  <c r="V15" i="2"/>
  <c r="D27" i="1"/>
  <c r="D28" i="1"/>
  <c r="D29" i="1"/>
  <c r="D30" i="1"/>
  <c r="D31" i="1"/>
  <c r="D32" i="1"/>
  <c r="D33" i="1"/>
  <c r="D34" i="1"/>
  <c r="D35" i="1"/>
  <c r="D36" i="1"/>
  <c r="K7" i="41"/>
  <c r="L7" i="41"/>
  <c r="M7" i="41"/>
  <c r="N7" i="41"/>
  <c r="O7" i="41"/>
  <c r="D31" i="30"/>
  <c r="A12" i="37"/>
  <c r="A11" i="37"/>
  <c r="N5" i="40" l="1"/>
  <c r="X5" i="5"/>
  <c r="R5" i="2"/>
  <c r="P5" i="40"/>
  <c r="O5" i="40"/>
  <c r="S5" i="40"/>
  <c r="R5" i="40"/>
  <c r="Q5" i="40"/>
  <c r="J84" i="29"/>
  <c r="F84" i="29"/>
  <c r="F83" i="29"/>
  <c r="F82" i="29"/>
  <c r="B82" i="29"/>
  <c r="M81" i="29"/>
  <c r="L81" i="29"/>
  <c r="H81" i="29"/>
  <c r="G81" i="29"/>
  <c r="D81" i="29"/>
  <c r="B84" i="29"/>
  <c r="B83" i="29"/>
  <c r="J49" i="29"/>
  <c r="J48" i="29"/>
  <c r="J47" i="29"/>
  <c r="F49" i="29"/>
  <c r="F48" i="29"/>
  <c r="F47" i="29"/>
  <c r="B49" i="29"/>
  <c r="B48" i="29"/>
  <c r="B47" i="29"/>
  <c r="J83" i="29"/>
  <c r="L68" i="29"/>
  <c r="K68" i="29"/>
  <c r="K67" i="29"/>
  <c r="K63" i="29"/>
  <c r="J63" i="29" s="1"/>
  <c r="K58" i="29"/>
  <c r="K53" i="29"/>
  <c r="K52" i="29"/>
  <c r="C52" i="29" s="1"/>
  <c r="F57" i="29"/>
  <c r="L137" i="28"/>
  <c r="K137" i="28"/>
  <c r="I137" i="28"/>
  <c r="H137" i="28"/>
  <c r="AQ145" i="28"/>
  <c r="AR144" i="28"/>
  <c r="AQ144" i="28"/>
  <c r="AP144" i="28"/>
  <c r="AT144" i="28" s="1"/>
  <c r="AQ141" i="28"/>
  <c r="AP141" i="28"/>
  <c r="AQ140" i="28"/>
  <c r="AP140" i="28"/>
  <c r="AQ138" i="28"/>
  <c r="AP138" i="28"/>
  <c r="AT138" i="28" s="1"/>
  <c r="AN144" i="28"/>
  <c r="AN137" i="28" s="1"/>
  <c r="AI146" i="28"/>
  <c r="AU146" i="28" s="1"/>
  <c r="AI145" i="28"/>
  <c r="AI144" i="28"/>
  <c r="AI141" i="28"/>
  <c r="AI140" i="28"/>
  <c r="AI138" i="28"/>
  <c r="AV150" i="28"/>
  <c r="AU150" i="28"/>
  <c r="AT150" i="28"/>
  <c r="AS150" i="28"/>
  <c r="AV149" i="28"/>
  <c r="AU149" i="28"/>
  <c r="AT149" i="28"/>
  <c r="AS149" i="28"/>
  <c r="AV148" i="28"/>
  <c r="AU148" i="28"/>
  <c r="AT148" i="28"/>
  <c r="AS148" i="28"/>
  <c r="AV147" i="28"/>
  <c r="AU147" i="28"/>
  <c r="AT147" i="28"/>
  <c r="AS147" i="28"/>
  <c r="AV146" i="28"/>
  <c r="AT146" i="28"/>
  <c r="AS146" i="28"/>
  <c r="AV145" i="28"/>
  <c r="AT145" i="28"/>
  <c r="AS145" i="28"/>
  <c r="AS144" i="28"/>
  <c r="AV143" i="28"/>
  <c r="AU143" i="28"/>
  <c r="AT143" i="28"/>
  <c r="AS143" i="28"/>
  <c r="AV142" i="28"/>
  <c r="AU142" i="28"/>
  <c r="AT142" i="28"/>
  <c r="AS142" i="28"/>
  <c r="AV141" i="28"/>
  <c r="AS141" i="28"/>
  <c r="AV140" i="28"/>
  <c r="AS140" i="28"/>
  <c r="AV139" i="28"/>
  <c r="AU139" i="28"/>
  <c r="AT139" i="28"/>
  <c r="AS139" i="28"/>
  <c r="AV138" i="28"/>
  <c r="AS138" i="28"/>
  <c r="AO137" i="28"/>
  <c r="AM137" i="28"/>
  <c r="AL137" i="28"/>
  <c r="AK137" i="28"/>
  <c r="AJ137" i="28"/>
  <c r="AH137" i="28"/>
  <c r="AG137" i="28"/>
  <c r="F137" i="28"/>
  <c r="E137" i="28"/>
  <c r="C137" i="28"/>
  <c r="B137" i="28"/>
  <c r="AA144" i="28"/>
  <c r="AA137" i="28" s="1"/>
  <c r="Z144" i="28"/>
  <c r="Y144" i="28"/>
  <c r="AC144" i="28" s="1"/>
  <c r="Z141" i="28"/>
  <c r="Z140" i="28"/>
  <c r="AD140" i="28" s="1"/>
  <c r="Y140" i="28"/>
  <c r="AC140" i="28" s="1"/>
  <c r="Z138" i="28"/>
  <c r="Y138" i="28"/>
  <c r="AC138" i="28" s="1"/>
  <c r="R145" i="28"/>
  <c r="AD145" i="28" s="1"/>
  <c r="R144" i="28"/>
  <c r="R141" i="28"/>
  <c r="AE150" i="28"/>
  <c r="AD150" i="28"/>
  <c r="AC150" i="28"/>
  <c r="AB150" i="28"/>
  <c r="AE149" i="28"/>
  <c r="AD149" i="28"/>
  <c r="AC149" i="28"/>
  <c r="AB149" i="28"/>
  <c r="AE148" i="28"/>
  <c r="AD148" i="28"/>
  <c r="AC148" i="28"/>
  <c r="AB148" i="28"/>
  <c r="AE147" i="28"/>
  <c r="AD147" i="28"/>
  <c r="AC147" i="28"/>
  <c r="AB147" i="28"/>
  <c r="AE146" i="28"/>
  <c r="AC146" i="28"/>
  <c r="AB146" i="28"/>
  <c r="AD146" i="28"/>
  <c r="AE145" i="28"/>
  <c r="AC145" i="28"/>
  <c r="AB145" i="28"/>
  <c r="AB144" i="28"/>
  <c r="W137" i="28"/>
  <c r="AE143" i="28"/>
  <c r="AD143" i="28"/>
  <c r="AC143" i="28"/>
  <c r="AB143" i="28"/>
  <c r="AE142" i="28"/>
  <c r="AD142" i="28"/>
  <c r="AC142" i="28"/>
  <c r="AB142" i="28"/>
  <c r="AB141" i="28"/>
  <c r="AE141" i="28"/>
  <c r="AC141" i="28"/>
  <c r="AE140" i="28"/>
  <c r="AB140" i="28"/>
  <c r="AE139" i="28"/>
  <c r="AC139" i="28"/>
  <c r="AB139" i="28"/>
  <c r="AD139" i="28"/>
  <c r="AE138" i="28"/>
  <c r="AB138" i="28"/>
  <c r="X137" i="28"/>
  <c r="V137" i="28"/>
  <c r="U137" i="28"/>
  <c r="T137" i="28"/>
  <c r="S137" i="28"/>
  <c r="P137" i="28"/>
  <c r="I116" i="28"/>
  <c r="H116" i="28"/>
  <c r="K116" i="28"/>
  <c r="L116" i="28"/>
  <c r="AR123" i="28"/>
  <c r="AQ123" i="28"/>
  <c r="AP123" i="28"/>
  <c r="AT123" i="28" s="1"/>
  <c r="AO123" i="28"/>
  <c r="AS123" i="28" s="1"/>
  <c r="AN123" i="28"/>
  <c r="AV123" i="28" s="1"/>
  <c r="AI123" i="28"/>
  <c r="AV129" i="28"/>
  <c r="AU129" i="28"/>
  <c r="AT129" i="28"/>
  <c r="AS129" i="28"/>
  <c r="AV128" i="28"/>
  <c r="AU128" i="28"/>
  <c r="AT128" i="28"/>
  <c r="AS128" i="28"/>
  <c r="AV127" i="28"/>
  <c r="AU127" i="28"/>
  <c r="AT127" i="28"/>
  <c r="AS127" i="28"/>
  <c r="AV126" i="28"/>
  <c r="AU126" i="28"/>
  <c r="AT126" i="28"/>
  <c r="AS126" i="28"/>
  <c r="AV125" i="28"/>
  <c r="AT125" i="28"/>
  <c r="AS125" i="28"/>
  <c r="AU125" i="28"/>
  <c r="AV124" i="28"/>
  <c r="AT124" i="28"/>
  <c r="AS124" i="28"/>
  <c r="AU124" i="28"/>
  <c r="Z128" i="28"/>
  <c r="Z125" i="28"/>
  <c r="Z124" i="28"/>
  <c r="AA123" i="28"/>
  <c r="Z123" i="28"/>
  <c r="Y123" i="28"/>
  <c r="AE129" i="28"/>
  <c r="AD129" i="28"/>
  <c r="AC129" i="28"/>
  <c r="AB129" i="28"/>
  <c r="AE128" i="28"/>
  <c r="AC128" i="28"/>
  <c r="AB128" i="28"/>
  <c r="AE127" i="28"/>
  <c r="AD127" i="28"/>
  <c r="AC127" i="28"/>
  <c r="AB127" i="28"/>
  <c r="AE126" i="28"/>
  <c r="AD126" i="28"/>
  <c r="AC126" i="28"/>
  <c r="AB126" i="28"/>
  <c r="AE125" i="28"/>
  <c r="AC125" i="28"/>
  <c r="AB125" i="28"/>
  <c r="AE124" i="28"/>
  <c r="AC124" i="28"/>
  <c r="AB124" i="28"/>
  <c r="AB123" i="28"/>
  <c r="W123" i="28"/>
  <c r="R128" i="28"/>
  <c r="R125" i="28"/>
  <c r="R124" i="28"/>
  <c r="Q123" i="28"/>
  <c r="R123" i="28" s="1"/>
  <c r="AU123" i="28" l="1"/>
  <c r="AE123" i="28"/>
  <c r="AD125" i="28"/>
  <c r="AU138" i="28"/>
  <c r="J52" i="29"/>
  <c r="AD123" i="28"/>
  <c r="AD141" i="28"/>
  <c r="K81" i="29"/>
  <c r="AV144" i="28"/>
  <c r="AC123" i="28"/>
  <c r="AD124" i="28"/>
  <c r="F81" i="29"/>
  <c r="AD128" i="28"/>
  <c r="AU141" i="28"/>
  <c r="AU140" i="28"/>
  <c r="J82" i="29"/>
  <c r="J81" i="29" s="1"/>
  <c r="AP137" i="28"/>
  <c r="AT137" i="28" s="1"/>
  <c r="B81" i="29"/>
  <c r="AU145" i="28"/>
  <c r="AR137" i="28"/>
  <c r="AV137" i="28" s="1"/>
  <c r="AU144" i="28"/>
  <c r="AT141" i="28"/>
  <c r="AQ137" i="28"/>
  <c r="AS137" i="28"/>
  <c r="AI137" i="28"/>
  <c r="AT140" i="28"/>
  <c r="Y137" i="28"/>
  <c r="AB137" i="28"/>
  <c r="AE137" i="28"/>
  <c r="R137" i="28"/>
  <c r="AD138" i="28"/>
  <c r="AD144" i="28"/>
  <c r="AE144" i="28"/>
  <c r="Q137" i="28"/>
  <c r="Z137" i="28"/>
  <c r="L95" i="28"/>
  <c r="K95" i="28"/>
  <c r="I95" i="28"/>
  <c r="H95" i="28"/>
  <c r="Z102" i="28"/>
  <c r="AD102" i="28" s="1"/>
  <c r="AA102" i="28"/>
  <c r="AE102" i="28" s="1"/>
  <c r="Y102" i="28"/>
  <c r="X102" i="28"/>
  <c r="X95" i="28" s="1"/>
  <c r="Y99" i="28"/>
  <c r="Z99" i="28"/>
  <c r="Z98" i="28"/>
  <c r="Y98" i="28"/>
  <c r="Z97" i="28"/>
  <c r="AD97" i="28" s="1"/>
  <c r="Y97" i="28"/>
  <c r="AC97" i="28" s="1"/>
  <c r="Z96" i="28"/>
  <c r="AD96" i="28" s="1"/>
  <c r="Y96" i="28"/>
  <c r="U102" i="28"/>
  <c r="U98" i="28"/>
  <c r="Q102" i="28"/>
  <c r="Q99" i="28"/>
  <c r="Q98" i="28"/>
  <c r="Q96" i="28"/>
  <c r="AB96" i="28"/>
  <c r="AE101" i="28"/>
  <c r="AD101" i="28"/>
  <c r="AC101" i="28"/>
  <c r="AB101" i="28"/>
  <c r="AE100" i="28"/>
  <c r="AD100" i="28"/>
  <c r="AC100" i="28"/>
  <c r="AB100" i="28"/>
  <c r="AE99" i="28"/>
  <c r="AB99" i="28"/>
  <c r="AE98" i="28"/>
  <c r="AD98" i="28"/>
  <c r="AB98" i="28"/>
  <c r="AE97" i="28"/>
  <c r="AB97" i="28"/>
  <c r="AE96" i="28"/>
  <c r="W95" i="28"/>
  <c r="T95" i="28"/>
  <c r="V95" i="28"/>
  <c r="S95" i="28"/>
  <c r="X5" i="27"/>
  <c r="H43" i="34"/>
  <c r="I43" i="34"/>
  <c r="E43" i="34"/>
  <c r="B43" i="34"/>
  <c r="B38" i="34"/>
  <c r="B33" i="34"/>
  <c r="Y15" i="7"/>
  <c r="Y25" i="7"/>
  <c r="Y22" i="7"/>
  <c r="Y18" i="7"/>
  <c r="Y11" i="7"/>
  <c r="Y8" i="7"/>
  <c r="W12" i="2"/>
  <c r="V12" i="2"/>
  <c r="U12" i="2"/>
  <c r="T12" i="2"/>
  <c r="S12" i="2"/>
  <c r="Y21" i="7" l="1"/>
  <c r="Y14" i="7"/>
  <c r="AC96" i="28"/>
  <c r="AA95" i="28"/>
  <c r="AE95" i="28" s="1"/>
  <c r="AC98" i="28"/>
  <c r="Z95" i="28"/>
  <c r="U95" i="28"/>
  <c r="AD99" i="28"/>
  <c r="AB102" i="28"/>
  <c r="Y95" i="28"/>
  <c r="Q95" i="28"/>
  <c r="AU137" i="28"/>
  <c r="AC137" i="28"/>
  <c r="AD137" i="28"/>
  <c r="AC102" i="28"/>
  <c r="AC99" i="28"/>
  <c r="R95" i="28"/>
  <c r="P95" i="28"/>
  <c r="AB95" i="28" s="1"/>
  <c r="Y7" i="7"/>
  <c r="AD95" i="28" l="1"/>
  <c r="AC95" i="28"/>
  <c r="J69" i="29"/>
  <c r="F69" i="29"/>
  <c r="B69" i="29"/>
  <c r="J68" i="29"/>
  <c r="F68" i="29"/>
  <c r="B68" i="29"/>
  <c r="J67" i="29"/>
  <c r="F67" i="29"/>
  <c r="B67" i="29"/>
  <c r="M66" i="29"/>
  <c r="L66" i="29"/>
  <c r="K66" i="29"/>
  <c r="H66" i="29"/>
  <c r="G66" i="29"/>
  <c r="D66" i="29"/>
  <c r="C66" i="29"/>
  <c r="J64" i="29"/>
  <c r="F64" i="29"/>
  <c r="F63" i="29"/>
  <c r="J62" i="29"/>
  <c r="F62" i="29"/>
  <c r="M61" i="29"/>
  <c r="L61" i="29"/>
  <c r="K61" i="29"/>
  <c r="H61" i="29"/>
  <c r="G61" i="29"/>
  <c r="D61" i="29"/>
  <c r="C61" i="29"/>
  <c r="B61" i="29"/>
  <c r="J59" i="29"/>
  <c r="B59" i="29"/>
  <c r="J58" i="29"/>
  <c r="F58" i="29"/>
  <c r="B58" i="29"/>
  <c r="J57" i="29"/>
  <c r="B57" i="29"/>
  <c r="M56" i="29"/>
  <c r="L56" i="29"/>
  <c r="K56" i="29"/>
  <c r="G56" i="29"/>
  <c r="D56" i="29"/>
  <c r="C56" i="29"/>
  <c r="M51" i="29"/>
  <c r="L51" i="29"/>
  <c r="K51" i="29"/>
  <c r="J51" i="29"/>
  <c r="H51" i="29"/>
  <c r="G51" i="29"/>
  <c r="F51" i="29"/>
  <c r="D51" i="29"/>
  <c r="C51" i="29"/>
  <c r="B51" i="29"/>
  <c r="F66" i="29" l="1"/>
  <c r="B56" i="29"/>
  <c r="J66" i="29"/>
  <c r="F56" i="29"/>
  <c r="F61" i="29"/>
  <c r="B66" i="29"/>
  <c r="J61" i="29"/>
  <c r="J56" i="29"/>
  <c r="E295" i="31" l="1"/>
  <c r="E294" i="31"/>
  <c r="E349" i="31"/>
  <c r="D349" i="31"/>
  <c r="C349" i="31"/>
  <c r="B356" i="31"/>
  <c r="B350" i="31"/>
  <c r="B355" i="31"/>
  <c r="B354" i="31"/>
  <c r="B353" i="31"/>
  <c r="B352" i="31"/>
  <c r="B351" i="31"/>
  <c r="B469" i="31"/>
  <c r="B470" i="31"/>
  <c r="B468" i="31"/>
  <c r="E462" i="31"/>
  <c r="C462" i="31"/>
  <c r="B413" i="31"/>
  <c r="B412" i="31"/>
  <c r="B425" i="31"/>
  <c r="B424" i="31"/>
  <c r="B423" i="31"/>
  <c r="B422" i="31"/>
  <c r="E417" i="31"/>
  <c r="B378" i="31"/>
  <c r="B349" i="31" l="1"/>
  <c r="B279" i="31"/>
  <c r="B292" i="31"/>
  <c r="B291" i="31"/>
  <c r="B290" i="31"/>
  <c r="B289" i="31"/>
  <c r="B288" i="31"/>
  <c r="B287" i="31"/>
  <c r="B286" i="31"/>
  <c r="B285" i="31"/>
  <c r="B283" i="31"/>
  <c r="B282" i="31"/>
  <c r="H66" i="14"/>
  <c r="G66" i="14"/>
  <c r="F64" i="14"/>
  <c r="I65" i="14"/>
  <c r="I64" i="14"/>
  <c r="B380" i="31" l="1"/>
  <c r="B379" i="31"/>
  <c r="B377" i="31"/>
  <c r="B376" i="31"/>
  <c r="B375" i="31"/>
  <c r="B374" i="31"/>
  <c r="B373" i="31"/>
  <c r="B371" i="31"/>
  <c r="B370" i="31"/>
  <c r="B369" i="31"/>
  <c r="B368" i="31"/>
  <c r="B367" i="31"/>
  <c r="B382" i="31"/>
  <c r="B392" i="31"/>
  <c r="B388" i="31"/>
  <c r="B399" i="31"/>
  <c r="B398" i="31"/>
  <c r="B397" i="31"/>
  <c r="B396" i="31"/>
  <c r="B395" i="31"/>
  <c r="B394" i="31"/>
  <c r="C393" i="31"/>
  <c r="C391" i="31"/>
  <c r="C390" i="31"/>
  <c r="C389" i="31"/>
  <c r="D393" i="31"/>
  <c r="E393" i="31"/>
  <c r="D390" i="31"/>
  <c r="D391" i="31"/>
  <c r="D389" i="31"/>
  <c r="E372" i="31"/>
  <c r="B372" i="31" s="1"/>
  <c r="B444" i="31"/>
  <c r="B443" i="31"/>
  <c r="B442" i="31"/>
  <c r="B441" i="31"/>
  <c r="B440" i="31"/>
  <c r="B439" i="31"/>
  <c r="B437" i="31"/>
  <c r="B433" i="31"/>
  <c r="B431" i="31"/>
  <c r="B430" i="31"/>
  <c r="B428" i="31"/>
  <c r="B427" i="31"/>
  <c r="B421" i="31"/>
  <c r="B420" i="31"/>
  <c r="B419" i="31"/>
  <c r="B418" i="31"/>
  <c r="B417" i="31"/>
  <c r="B416" i="31"/>
  <c r="B415" i="31"/>
  <c r="B414" i="31"/>
  <c r="B457" i="31"/>
  <c r="B490" i="31"/>
  <c r="B489" i="31"/>
  <c r="B488" i="31"/>
  <c r="B487" i="31"/>
  <c r="B486" i="31"/>
  <c r="B485" i="31"/>
  <c r="B484" i="31"/>
  <c r="B478" i="31"/>
  <c r="B476" i="31"/>
  <c r="B475" i="31"/>
  <c r="B473" i="31"/>
  <c r="B472" i="31"/>
  <c r="B467" i="31"/>
  <c r="B466" i="31"/>
  <c r="B465" i="31"/>
  <c r="B464" i="31"/>
  <c r="B463" i="31"/>
  <c r="B462" i="31"/>
  <c r="B461" i="31"/>
  <c r="B460" i="31"/>
  <c r="B459" i="31"/>
  <c r="B458" i="31"/>
  <c r="C438" i="31"/>
  <c r="C436" i="31"/>
  <c r="C435" i="31"/>
  <c r="C434" i="31"/>
  <c r="D438" i="31"/>
  <c r="E438" i="31"/>
  <c r="D436" i="31"/>
  <c r="D435" i="31"/>
  <c r="D434" i="31"/>
  <c r="E436" i="31"/>
  <c r="E435" i="31"/>
  <c r="E434" i="31"/>
  <c r="B435" i="31" l="1"/>
  <c r="D387" i="31"/>
  <c r="B393" i="31"/>
  <c r="B434" i="31"/>
  <c r="B436" i="31"/>
  <c r="B438" i="31"/>
  <c r="E483" i="31"/>
  <c r="D483" i="31"/>
  <c r="C483" i="31"/>
  <c r="B480" i="31" l="1"/>
  <c r="B432" i="31"/>
  <c r="D477" i="31"/>
  <c r="B479" i="31"/>
  <c r="B481" i="31"/>
  <c r="B483" i="31"/>
  <c r="B336" i="31"/>
  <c r="B335" i="31"/>
  <c r="B334" i="31"/>
  <c r="B333" i="31"/>
  <c r="B332" i="31"/>
  <c r="B331" i="31"/>
  <c r="B330" i="31"/>
  <c r="B329" i="31"/>
  <c r="B327" i="31"/>
  <c r="B326" i="31"/>
  <c r="B325" i="31"/>
  <c r="B324" i="31"/>
  <c r="B323" i="31"/>
  <c r="E347" i="31"/>
  <c r="E346" i="31"/>
  <c r="E345" i="31"/>
  <c r="E339" i="31"/>
  <c r="E338" i="31"/>
  <c r="E328" i="31"/>
  <c r="B328" i="31" s="1"/>
  <c r="D347" i="31"/>
  <c r="D346" i="31"/>
  <c r="D345" i="31"/>
  <c r="C347" i="31"/>
  <c r="C346" i="31"/>
  <c r="C345" i="31"/>
  <c r="C322" i="31" l="1"/>
  <c r="Q53" i="34" l="1"/>
  <c r="P53" i="34"/>
  <c r="N53" i="34"/>
  <c r="P48" i="34"/>
  <c r="N48" i="34"/>
  <c r="Q43" i="34"/>
  <c r="P43" i="34"/>
  <c r="N43" i="34"/>
  <c r="M43" i="34"/>
  <c r="Q38" i="34"/>
  <c r="N38" i="34"/>
  <c r="M38" i="34"/>
  <c r="Q33" i="34"/>
  <c r="N33" i="34"/>
  <c r="M33" i="34"/>
  <c r="I53" i="34"/>
  <c r="H53" i="34"/>
  <c r="E53" i="34"/>
  <c r="I48" i="34"/>
  <c r="H48" i="34"/>
  <c r="E48" i="34"/>
  <c r="I38" i="34"/>
  <c r="H38" i="34"/>
  <c r="E38" i="34"/>
  <c r="B53" i="34"/>
  <c r="B48" i="34"/>
  <c r="I33" i="34"/>
  <c r="H33" i="34"/>
  <c r="F33" i="34"/>
  <c r="K29" i="49" l="1"/>
  <c r="K25" i="49"/>
  <c r="K21" i="49"/>
  <c r="K17" i="49"/>
  <c r="K13" i="49"/>
  <c r="K9" i="49"/>
  <c r="C339" i="31"/>
  <c r="E322" i="31" l="1"/>
  <c r="D322" i="31"/>
  <c r="B311" i="31"/>
  <c r="B310" i="31"/>
  <c r="B309" i="31"/>
  <c r="B308" i="31"/>
  <c r="B307" i="31"/>
  <c r="B306" i="31"/>
  <c r="E305" i="31"/>
  <c r="D305" i="31"/>
  <c r="C305" i="31"/>
  <c r="E303" i="31"/>
  <c r="D303" i="31"/>
  <c r="C303" i="31"/>
  <c r="E302" i="31"/>
  <c r="D302" i="31"/>
  <c r="C302" i="31"/>
  <c r="E301" i="31"/>
  <c r="D301" i="31"/>
  <c r="C301" i="31"/>
  <c r="E298" i="31"/>
  <c r="E297" i="31"/>
  <c r="C295" i="31"/>
  <c r="B295" i="31" s="1"/>
  <c r="D294" i="31"/>
  <c r="B294" i="31" s="1"/>
  <c r="E284" i="31"/>
  <c r="E278" i="31" s="1"/>
  <c r="D284" i="31"/>
  <c r="D277" i="31" s="1"/>
  <c r="C284" i="31"/>
  <c r="B284" i="31" l="1"/>
  <c r="C278" i="31"/>
  <c r="D278" i="31"/>
  <c r="C277" i="31"/>
  <c r="E277" i="31"/>
  <c r="B305" i="31"/>
  <c r="B278" i="31" l="1"/>
  <c r="B277" i="31"/>
  <c r="E477" i="31" l="1"/>
  <c r="C477" i="31"/>
  <c r="E474" i="31"/>
  <c r="D474" i="31"/>
  <c r="C474" i="31"/>
  <c r="E471" i="31"/>
  <c r="E455" i="31" s="1"/>
  <c r="D471" i="31"/>
  <c r="D455" i="31" s="1"/>
  <c r="C471" i="31"/>
  <c r="E456" i="31"/>
  <c r="D456" i="31"/>
  <c r="C456" i="31"/>
  <c r="B477" i="31" l="1"/>
  <c r="B474" i="31"/>
  <c r="B456" i="31"/>
  <c r="B455" i="31"/>
  <c r="B471" i="31"/>
  <c r="C62" i="14" l="1"/>
  <c r="I60" i="14"/>
  <c r="F60" i="14"/>
  <c r="C60" i="14"/>
  <c r="K58" i="14"/>
  <c r="J58" i="14"/>
  <c r="H58" i="14"/>
  <c r="G58" i="14"/>
  <c r="C58" i="14"/>
  <c r="I57" i="14"/>
  <c r="F57" i="14"/>
  <c r="I56" i="14"/>
  <c r="F56" i="14"/>
  <c r="C56" i="14"/>
  <c r="I58" i="14" l="1"/>
  <c r="F58" i="14"/>
  <c r="L43" i="47"/>
  <c r="AB7" i="5"/>
  <c r="AB10" i="5"/>
  <c r="AB9" i="5"/>
  <c r="AB8" i="5"/>
  <c r="AB6" i="5"/>
  <c r="U20" i="2"/>
  <c r="W18" i="2"/>
  <c r="W9" i="2"/>
  <c r="W11" i="2"/>
  <c r="V18" i="2"/>
  <c r="V13" i="2"/>
  <c r="V17" i="2"/>
  <c r="V9" i="2"/>
  <c r="V11" i="2"/>
  <c r="V7" i="2"/>
  <c r="AB5" i="5" l="1"/>
  <c r="I37" i="12"/>
  <c r="E34" i="12"/>
  <c r="V33" i="50"/>
  <c r="U33" i="50"/>
  <c r="W20" i="42"/>
  <c r="V20" i="42"/>
  <c r="U20" i="42"/>
  <c r="W8" i="42"/>
  <c r="V8" i="42"/>
  <c r="U8" i="42"/>
  <c r="M43" i="47" l="1"/>
  <c r="M11" i="47"/>
  <c r="M7" i="47"/>
  <c r="M13" i="47" s="1"/>
  <c r="M8" i="47"/>
  <c r="M14" i="47" s="1"/>
  <c r="M6" i="47"/>
  <c r="M12" i="47" s="1"/>
  <c r="L11" i="48" l="1"/>
  <c r="L6" i="48"/>
  <c r="L12" i="48" s="1"/>
  <c r="L8" i="48"/>
  <c r="L10" i="48"/>
  <c r="L7" i="48"/>
  <c r="Q18" i="46"/>
  <c r="Q19" i="46"/>
  <c r="Q28" i="46"/>
  <c r="Q24" i="46"/>
  <c r="Q16" i="46"/>
  <c r="Q12" i="46"/>
  <c r="Q8" i="46"/>
  <c r="AC7" i="5"/>
  <c r="AC10" i="5"/>
  <c r="AC8" i="5"/>
  <c r="AC6" i="5"/>
  <c r="AC5" i="5" l="1"/>
  <c r="L14" i="48"/>
  <c r="L13" i="48"/>
  <c r="Q20" i="46"/>
  <c r="J30" i="41"/>
  <c r="K30" i="41"/>
  <c r="L30" i="41"/>
  <c r="M30" i="41"/>
  <c r="N30" i="41"/>
  <c r="O30" i="41"/>
  <c r="W13" i="2" l="1"/>
  <c r="W17" i="2"/>
  <c r="W7" i="2"/>
  <c r="V5" i="2"/>
  <c r="O35" i="41"/>
  <c r="O25" i="41"/>
  <c r="O16" i="41"/>
  <c r="W5" i="2" l="1"/>
  <c r="A36" i="37"/>
  <c r="B43" i="47"/>
  <c r="C43" i="47"/>
  <c r="D43" i="47"/>
  <c r="E43" i="47"/>
  <c r="F43" i="47"/>
  <c r="G43" i="47"/>
  <c r="B6" i="50" l="1"/>
  <c r="C6" i="50"/>
  <c r="D6" i="50"/>
  <c r="E6" i="50"/>
  <c r="F6" i="50"/>
  <c r="G6" i="50"/>
  <c r="H6" i="50"/>
  <c r="J6" i="50"/>
  <c r="K6" i="50"/>
  <c r="L6" i="50"/>
  <c r="M6" i="50"/>
  <c r="N6" i="50"/>
  <c r="O6" i="50"/>
  <c r="P6" i="50"/>
  <c r="Q6" i="50"/>
  <c r="S6" i="50"/>
  <c r="U6" i="50"/>
  <c r="T7" i="50"/>
  <c r="T9" i="50"/>
  <c r="T8" i="50"/>
  <c r="T10" i="50"/>
  <c r="T15" i="50"/>
  <c r="T16" i="50"/>
  <c r="T17" i="50"/>
  <c r="T18" i="50"/>
  <c r="T21" i="50"/>
  <c r="T22" i="50"/>
  <c r="T23" i="50"/>
  <c r="T24" i="50"/>
  <c r="T25" i="50"/>
  <c r="T33" i="50"/>
  <c r="A34" i="37"/>
  <c r="A6" i="37"/>
  <c r="A5" i="37"/>
  <c r="A4" i="37"/>
  <c r="T6" i="50" l="1"/>
  <c r="I9" i="49"/>
  <c r="H9" i="49"/>
  <c r="G9" i="49"/>
  <c r="F9" i="49"/>
  <c r="E9" i="49"/>
  <c r="J13" i="49"/>
  <c r="I13" i="49"/>
  <c r="H13" i="49"/>
  <c r="G13" i="49"/>
  <c r="F13" i="49"/>
  <c r="E13" i="49"/>
  <c r="J17" i="49"/>
  <c r="I17" i="49"/>
  <c r="H17" i="49"/>
  <c r="G17" i="49"/>
  <c r="F17" i="49"/>
  <c r="E17" i="49"/>
  <c r="J21" i="49"/>
  <c r="I21" i="49"/>
  <c r="H21" i="49"/>
  <c r="G21" i="49"/>
  <c r="F21" i="49"/>
  <c r="E21" i="49"/>
  <c r="J25" i="49"/>
  <c r="I25" i="49"/>
  <c r="H25" i="49"/>
  <c r="G25" i="49"/>
  <c r="F25" i="49"/>
  <c r="E25" i="49"/>
  <c r="F29" i="49"/>
  <c r="G29" i="49"/>
  <c r="H29" i="49"/>
  <c r="I29" i="49"/>
  <c r="J29" i="49"/>
  <c r="E29" i="49"/>
  <c r="B303" i="31" l="1"/>
  <c r="B302" i="31"/>
  <c r="B301" i="31"/>
  <c r="B300" i="31"/>
  <c r="C299" i="31"/>
  <c r="E299" i="31"/>
  <c r="D299" i="31"/>
  <c r="B363" i="31"/>
  <c r="B319" i="31"/>
  <c r="B299" i="31" l="1"/>
  <c r="B192" i="31"/>
  <c r="S7" i="7" l="1"/>
  <c r="T7" i="7"/>
  <c r="U7" i="7"/>
  <c r="V7" i="7"/>
  <c r="X7" i="7"/>
  <c r="W7" i="7"/>
  <c r="U5" i="2" l="1"/>
  <c r="B7" i="15"/>
  <c r="B8" i="15"/>
  <c r="B9" i="15"/>
  <c r="B11" i="15"/>
  <c r="B12" i="15"/>
  <c r="B13" i="15"/>
  <c r="B15" i="15"/>
  <c r="B16" i="15"/>
  <c r="B17" i="15"/>
  <c r="B19" i="15"/>
  <c r="B20" i="15"/>
  <c r="B21" i="15"/>
  <c r="B23" i="15"/>
  <c r="B24" i="15"/>
  <c r="B25" i="15"/>
  <c r="B27" i="15"/>
  <c r="B28" i="15"/>
  <c r="B29" i="15"/>
  <c r="B31" i="15"/>
  <c r="B32" i="15"/>
  <c r="B33" i="15"/>
  <c r="B35" i="15"/>
  <c r="B36" i="15"/>
  <c r="B37" i="15"/>
  <c r="B39" i="15"/>
  <c r="B40" i="15"/>
  <c r="B41" i="15"/>
  <c r="B43" i="15"/>
  <c r="B44" i="15"/>
  <c r="B45" i="15"/>
  <c r="B47" i="15"/>
  <c r="B48" i="15"/>
  <c r="F49" i="15"/>
  <c r="B49" i="15" s="1"/>
  <c r="B52" i="15"/>
  <c r="E53" i="15"/>
  <c r="F53" i="15"/>
  <c r="B55" i="15"/>
  <c r="B56" i="15"/>
  <c r="E57" i="15"/>
  <c r="F57" i="15"/>
  <c r="B59" i="15"/>
  <c r="B53" i="15" l="1"/>
  <c r="B57" i="15"/>
  <c r="E33" i="12"/>
  <c r="P28" i="46" l="1"/>
  <c r="P24" i="46"/>
  <c r="P20" i="46"/>
  <c r="P16" i="46"/>
  <c r="P12" i="46"/>
  <c r="P8" i="46"/>
  <c r="N35" i="41" l="1"/>
  <c r="N25" i="41"/>
  <c r="N16" i="41"/>
  <c r="M25" i="41" l="1"/>
  <c r="V14" i="7"/>
  <c r="U14" i="7"/>
  <c r="K14" i="7"/>
  <c r="D39" i="1"/>
  <c r="K11" i="47" l="1"/>
  <c r="K10" i="47"/>
  <c r="K9" i="47"/>
  <c r="K8" i="47"/>
  <c r="K7" i="47"/>
  <c r="K13" i="47" s="1"/>
  <c r="K6" i="47"/>
  <c r="K12" i="47" s="1"/>
  <c r="J11" i="48"/>
  <c r="J10" i="48"/>
  <c r="J9" i="48"/>
  <c r="J8" i="48"/>
  <c r="J7" i="48"/>
  <c r="J6" i="48"/>
  <c r="J12" i="48" s="1"/>
  <c r="O28" i="46"/>
  <c r="O23" i="46"/>
  <c r="O22" i="46"/>
  <c r="O19" i="46"/>
  <c r="O18" i="46"/>
  <c r="O16" i="46"/>
  <c r="O12" i="46"/>
  <c r="M6" i="44"/>
  <c r="M8" i="44" s="1"/>
  <c r="AA5" i="5"/>
  <c r="J13" i="48" l="1"/>
  <c r="J14" i="48"/>
  <c r="K14" i="47"/>
  <c r="O24" i="46"/>
  <c r="O20" i="46"/>
  <c r="F65" i="15" l="1"/>
  <c r="E65" i="15"/>
  <c r="B64" i="15"/>
  <c r="B63" i="15"/>
  <c r="B65" i="15" l="1"/>
  <c r="B391" i="31"/>
  <c r="B390" i="31"/>
  <c r="B389" i="31"/>
  <c r="D30" i="30"/>
  <c r="B387" i="31" l="1"/>
  <c r="B385" i="31"/>
  <c r="E432" i="31"/>
  <c r="D432" i="31"/>
  <c r="C432" i="31"/>
  <c r="E429" i="31"/>
  <c r="D429" i="31"/>
  <c r="C429" i="31"/>
  <c r="E426" i="31"/>
  <c r="E410" i="31" s="1"/>
  <c r="D426" i="31"/>
  <c r="D410" i="31" s="1"/>
  <c r="C426" i="31"/>
  <c r="E411" i="31"/>
  <c r="D411" i="31"/>
  <c r="C411" i="31"/>
  <c r="B411" i="31" s="1"/>
  <c r="B429" i="31" l="1"/>
  <c r="C410" i="31"/>
  <c r="B410" i="31" s="1"/>
  <c r="B426" i="31"/>
  <c r="E387" i="31" l="1"/>
  <c r="C387" i="31"/>
  <c r="B386" i="31"/>
  <c r="E384" i="31"/>
  <c r="D384" i="31"/>
  <c r="C384" i="31"/>
  <c r="C381" i="31"/>
  <c r="C365" i="31" s="1"/>
  <c r="B383" i="31"/>
  <c r="E381" i="31"/>
  <c r="E365" i="31" s="1"/>
  <c r="D381" i="31"/>
  <c r="D365" i="31" s="1"/>
  <c r="E366" i="31"/>
  <c r="D366" i="31"/>
  <c r="C366" i="31"/>
  <c r="E343" i="31"/>
  <c r="D343" i="31"/>
  <c r="C343" i="31"/>
  <c r="B347" i="31"/>
  <c r="B346" i="31"/>
  <c r="B345" i="31"/>
  <c r="B344" i="31"/>
  <c r="B341" i="31"/>
  <c r="B339" i="31"/>
  <c r="B338" i="31"/>
  <c r="B342" i="31"/>
  <c r="E340" i="31"/>
  <c r="D340" i="31"/>
  <c r="C340" i="31"/>
  <c r="E337" i="31"/>
  <c r="E321" i="31" s="1"/>
  <c r="D337" i="31"/>
  <c r="D321" i="31" s="1"/>
  <c r="C337" i="31" l="1"/>
  <c r="B384" i="31"/>
  <c r="B366" i="31"/>
  <c r="B381" i="31"/>
  <c r="B365" i="31" s="1"/>
  <c r="B343" i="31"/>
  <c r="B340" i="31"/>
  <c r="B322" i="31"/>
  <c r="B337" i="31" l="1"/>
  <c r="B321" i="31" s="1"/>
  <c r="C321" i="31"/>
  <c r="D34" i="30"/>
  <c r="D29" i="30"/>
  <c r="O8" i="46" l="1"/>
  <c r="N8" i="46"/>
  <c r="N12" i="46"/>
  <c r="N16" i="46"/>
  <c r="N20" i="46"/>
  <c r="N24" i="46"/>
  <c r="N28" i="46"/>
  <c r="M35" i="41"/>
  <c r="M16" i="41"/>
  <c r="L35" i="41" l="1"/>
  <c r="S5" i="5" l="1"/>
  <c r="T5" i="5"/>
  <c r="R5" i="5"/>
  <c r="L16" i="41" l="1"/>
  <c r="G54" i="14" l="1"/>
  <c r="H54" i="14"/>
  <c r="J54" i="14"/>
  <c r="K54" i="14"/>
  <c r="I53" i="14"/>
  <c r="I52" i="14"/>
  <c r="F53" i="14"/>
  <c r="F52" i="14"/>
  <c r="C54" i="14"/>
  <c r="C52" i="14"/>
  <c r="G50" i="14"/>
  <c r="H50" i="14"/>
  <c r="J50" i="14"/>
  <c r="K50" i="14"/>
  <c r="I49" i="14"/>
  <c r="I48" i="14"/>
  <c r="F49" i="14"/>
  <c r="F48" i="14"/>
  <c r="E48" i="14"/>
  <c r="C48" i="14" s="1"/>
  <c r="E36" i="14"/>
  <c r="E32" i="14"/>
  <c r="E28" i="14"/>
  <c r="E24" i="14"/>
  <c r="E20" i="14"/>
  <c r="E16" i="14"/>
  <c r="C40" i="14"/>
  <c r="C44" i="14"/>
  <c r="C14" i="14"/>
  <c r="C18" i="14"/>
  <c r="C22" i="14"/>
  <c r="C26" i="14"/>
  <c r="C30" i="14"/>
  <c r="C34" i="14"/>
  <c r="C38" i="14"/>
  <c r="C42" i="14"/>
  <c r="C46" i="14"/>
  <c r="C50" i="14"/>
  <c r="I40" i="14"/>
  <c r="B72" i="15"/>
  <c r="B71" i="15"/>
  <c r="F73" i="15"/>
  <c r="E73" i="15"/>
  <c r="B60" i="15"/>
  <c r="F61" i="15"/>
  <c r="E61" i="15"/>
  <c r="F50" i="14" l="1"/>
  <c r="I54" i="14"/>
  <c r="F54" i="14"/>
  <c r="I50" i="14"/>
  <c r="B73" i="15"/>
  <c r="B61" i="15"/>
  <c r="T20" i="42" l="1"/>
  <c r="T8" i="42"/>
  <c r="D14" i="47" l="1"/>
  <c r="C14" i="47"/>
  <c r="G13" i="47"/>
  <c r="D13" i="47"/>
  <c r="E13" i="47"/>
  <c r="F13" i="47"/>
  <c r="C13" i="47"/>
  <c r="E14" i="47"/>
  <c r="F14" i="47"/>
  <c r="G14" i="47"/>
  <c r="B13" i="47"/>
  <c r="B14" i="47"/>
  <c r="C12" i="47"/>
  <c r="D12" i="47"/>
  <c r="E12" i="47"/>
  <c r="F12" i="47"/>
  <c r="G12" i="47"/>
  <c r="B12" i="47"/>
  <c r="J9" i="47"/>
  <c r="J6" i="47"/>
  <c r="B12" i="48"/>
  <c r="C12" i="48"/>
  <c r="D12" i="48"/>
  <c r="E12" i="48"/>
  <c r="B13" i="48"/>
  <c r="C13" i="48"/>
  <c r="D13" i="48"/>
  <c r="E13" i="48"/>
  <c r="B14" i="48"/>
  <c r="C14" i="48"/>
  <c r="D14" i="48"/>
  <c r="E14" i="48"/>
  <c r="I6" i="48"/>
  <c r="I12" i="48" s="1"/>
  <c r="H16" i="46"/>
  <c r="I16" i="46"/>
  <c r="J16" i="46"/>
  <c r="K16" i="46"/>
  <c r="L16" i="46"/>
  <c r="M16" i="46"/>
  <c r="G16" i="46"/>
  <c r="J12" i="47" l="1"/>
  <c r="B9" i="43"/>
  <c r="C9" i="43"/>
  <c r="D9" i="43"/>
  <c r="E9" i="43"/>
  <c r="F9" i="43"/>
  <c r="G9" i="43"/>
  <c r="H9" i="43"/>
  <c r="I9" i="43"/>
  <c r="J9" i="43"/>
  <c r="A67" i="28" l="1"/>
  <c r="N8" i="26"/>
  <c r="N7" i="26" s="1"/>
  <c r="B298" i="31" l="1"/>
  <c r="B297" i="31"/>
  <c r="E296" i="31"/>
  <c r="D296" i="31"/>
  <c r="C296" i="31"/>
  <c r="E293" i="31"/>
  <c r="D293" i="31"/>
  <c r="C293" i="31"/>
  <c r="B280" i="31"/>
  <c r="B260" i="31"/>
  <c r="B258" i="31"/>
  <c r="B257" i="31"/>
  <c r="B256" i="31"/>
  <c r="B253" i="31"/>
  <c r="B252" i="31"/>
  <c r="E241" i="31"/>
  <c r="D241" i="31"/>
  <c r="C241" i="31"/>
  <c r="E239" i="31"/>
  <c r="D239" i="31"/>
  <c r="C239" i="31"/>
  <c r="E238" i="31"/>
  <c r="C238" i="31"/>
  <c r="E236" i="31"/>
  <c r="D236" i="31"/>
  <c r="C236" i="31"/>
  <c r="I32" i="12"/>
  <c r="E32" i="12"/>
  <c r="B293" i="31" l="1"/>
  <c r="B281" i="31"/>
  <c r="B296" i="31"/>
  <c r="C234" i="31"/>
  <c r="B239" i="31"/>
  <c r="B254" i="31"/>
  <c r="B238" i="31"/>
  <c r="Z10" i="5"/>
  <c r="Z8" i="5"/>
  <c r="Z7" i="5"/>
  <c r="Z6" i="5"/>
  <c r="T20" i="2"/>
  <c r="T18" i="2"/>
  <c r="T17" i="2"/>
  <c r="T16" i="2"/>
  <c r="T13" i="2"/>
  <c r="T11" i="2"/>
  <c r="T10" i="2"/>
  <c r="T9" i="2"/>
  <c r="T8" i="2"/>
  <c r="T7" i="2"/>
  <c r="L25" i="41"/>
  <c r="Z5" i="5" l="1"/>
  <c r="T5" i="2"/>
  <c r="F30" i="14" l="1"/>
  <c r="D29" i="49" l="1"/>
  <c r="C29" i="49"/>
  <c r="B29" i="49"/>
  <c r="D25" i="49"/>
  <c r="C25" i="49"/>
  <c r="B25" i="49"/>
  <c r="D21" i="49"/>
  <c r="C21" i="49"/>
  <c r="B21" i="49"/>
  <c r="D17" i="49"/>
  <c r="C17" i="49"/>
  <c r="B17" i="49"/>
  <c r="D13" i="49"/>
  <c r="C13" i="49"/>
  <c r="B13" i="49"/>
  <c r="D9" i="49"/>
  <c r="C9" i="49"/>
  <c r="B9" i="49"/>
  <c r="G9" i="48"/>
  <c r="H6" i="48"/>
  <c r="H12" i="48" s="1"/>
  <c r="G6" i="48"/>
  <c r="H9" i="47"/>
  <c r="H12" i="47" s="1"/>
  <c r="G8" i="46"/>
  <c r="H8" i="46"/>
  <c r="I8" i="46"/>
  <c r="J8" i="46"/>
  <c r="K8" i="46"/>
  <c r="L8" i="46"/>
  <c r="M8" i="46"/>
  <c r="G12" i="46"/>
  <c r="H12" i="46"/>
  <c r="I12" i="46"/>
  <c r="J12" i="46"/>
  <c r="K12" i="46"/>
  <c r="L12" i="46"/>
  <c r="M12" i="46"/>
  <c r="G20" i="46"/>
  <c r="H20" i="46"/>
  <c r="I20" i="46"/>
  <c r="J20" i="46"/>
  <c r="K20" i="46"/>
  <c r="L20" i="46"/>
  <c r="M20" i="46"/>
  <c r="I24" i="46"/>
  <c r="J24" i="46"/>
  <c r="K24" i="46"/>
  <c r="L24" i="46"/>
  <c r="M24" i="46"/>
  <c r="I28" i="46"/>
  <c r="J28" i="46"/>
  <c r="K28" i="46"/>
  <c r="L28" i="46"/>
  <c r="M28" i="46"/>
  <c r="G9" i="45"/>
  <c r="F9" i="45"/>
  <c r="E9" i="45"/>
  <c r="D9" i="45"/>
  <c r="C9" i="45"/>
  <c r="B9" i="45"/>
  <c r="J8" i="44"/>
  <c r="I8" i="44"/>
  <c r="H8" i="44"/>
  <c r="G8" i="44"/>
  <c r="F8" i="44"/>
  <c r="E8" i="44"/>
  <c r="D8" i="44"/>
  <c r="C8" i="44"/>
  <c r="B8" i="44"/>
  <c r="S20" i="42"/>
  <c r="R20" i="42"/>
  <c r="Q20" i="42"/>
  <c r="P20" i="42"/>
  <c r="O20" i="42"/>
  <c r="N20" i="42"/>
  <c r="M20" i="42"/>
  <c r="L20" i="42"/>
  <c r="K20" i="42"/>
  <c r="J20" i="42"/>
  <c r="I20" i="42"/>
  <c r="H20" i="42"/>
  <c r="G20" i="42"/>
  <c r="B20" i="42"/>
  <c r="S8" i="42"/>
  <c r="R8" i="42"/>
  <c r="Q8" i="42"/>
  <c r="P8" i="42"/>
  <c r="O8" i="42"/>
  <c r="N8" i="42"/>
  <c r="M8" i="42"/>
  <c r="L8" i="42"/>
  <c r="K8" i="42"/>
  <c r="J8" i="42"/>
  <c r="I8" i="42"/>
  <c r="H8" i="42"/>
  <c r="G8" i="42"/>
  <c r="F8" i="42"/>
  <c r="E8" i="42"/>
  <c r="D8" i="42"/>
  <c r="C8" i="42"/>
  <c r="B8" i="42"/>
  <c r="B7" i="41"/>
  <c r="C7" i="41"/>
  <c r="D7" i="41"/>
  <c r="E7" i="41"/>
  <c r="F7" i="41"/>
  <c r="G7" i="41"/>
  <c r="H7" i="41"/>
  <c r="I7" i="41"/>
  <c r="J7" i="41"/>
  <c r="B16" i="41"/>
  <c r="C16" i="41"/>
  <c r="D16" i="41"/>
  <c r="E16" i="41"/>
  <c r="F16" i="41"/>
  <c r="G16" i="41"/>
  <c r="H16" i="41"/>
  <c r="I16" i="41"/>
  <c r="J16" i="41"/>
  <c r="K16" i="41"/>
  <c r="B25" i="41"/>
  <c r="C25" i="41"/>
  <c r="D25" i="41"/>
  <c r="E25" i="41"/>
  <c r="F25" i="41"/>
  <c r="G25" i="41"/>
  <c r="H25" i="41"/>
  <c r="I25" i="41"/>
  <c r="J25" i="41"/>
  <c r="K25" i="41"/>
  <c r="G12" i="48" l="1"/>
  <c r="I31" i="12"/>
  <c r="I30" i="12"/>
  <c r="I29" i="12"/>
  <c r="I28" i="12"/>
  <c r="I27" i="12"/>
  <c r="I26" i="12"/>
  <c r="I25" i="12"/>
  <c r="I24" i="12"/>
  <c r="E31" i="12"/>
  <c r="Y11" i="5" l="1"/>
  <c r="Y9" i="5"/>
  <c r="Y6" i="5"/>
  <c r="Y5" i="5" l="1"/>
  <c r="S17" i="2"/>
  <c r="S20" i="2"/>
  <c r="S7" i="2"/>
  <c r="S18" i="2"/>
  <c r="S8" i="2"/>
  <c r="S13" i="2"/>
  <c r="S14" i="2"/>
  <c r="S9" i="2"/>
  <c r="S11" i="2"/>
  <c r="S10" i="2"/>
  <c r="Q5" i="2"/>
  <c r="P5" i="2"/>
  <c r="S5" i="2" l="1"/>
  <c r="B5" i="5"/>
  <c r="C5" i="5"/>
  <c r="D5" i="5"/>
  <c r="E5" i="5"/>
  <c r="F5" i="5"/>
  <c r="G5" i="5"/>
  <c r="H5" i="5"/>
  <c r="I5" i="5"/>
  <c r="J5" i="5"/>
  <c r="K5" i="5"/>
  <c r="L5" i="5"/>
  <c r="M5" i="5"/>
  <c r="N5" i="5"/>
  <c r="O5" i="5"/>
  <c r="P5" i="5"/>
  <c r="U5" i="5"/>
  <c r="V5" i="5"/>
  <c r="W5" i="5"/>
  <c r="D54" i="39"/>
  <c r="D51" i="39"/>
  <c r="O50" i="39"/>
  <c r="R47" i="39"/>
  <c r="Q47" i="39"/>
  <c r="J47" i="39"/>
  <c r="G47" i="39"/>
  <c r="R44" i="39"/>
  <c r="Q44" i="39"/>
  <c r="L44" i="39"/>
  <c r="K44" i="39"/>
  <c r="K43" i="39" s="1"/>
  <c r="K42" i="39" s="1"/>
  <c r="J44" i="39"/>
  <c r="D44" i="39"/>
  <c r="D43" i="39" s="1"/>
  <c r="W43" i="39"/>
  <c r="U43" i="39"/>
  <c r="U42" i="39" s="1"/>
  <c r="T43" i="39"/>
  <c r="T42" i="39" s="1"/>
  <c r="S43" i="39"/>
  <c r="S42" i="39" s="1"/>
  <c r="P43" i="39"/>
  <c r="P42" i="39" s="1"/>
  <c r="O43" i="39"/>
  <c r="N43" i="39"/>
  <c r="N42" i="39" s="1"/>
  <c r="M43" i="39"/>
  <c r="M42" i="39" s="1"/>
  <c r="I43" i="39"/>
  <c r="I42" i="39" s="1"/>
  <c r="H43" i="39"/>
  <c r="H42" i="39" s="1"/>
  <c r="F43" i="39"/>
  <c r="F42" i="39" s="1"/>
  <c r="E43" i="39"/>
  <c r="E42" i="39" s="1"/>
  <c r="C43" i="39"/>
  <c r="V42" i="39"/>
  <c r="L42" i="39"/>
  <c r="G42" i="39"/>
  <c r="B42" i="39"/>
  <c r="D50" i="39" l="1"/>
  <c r="D42" i="39" s="1"/>
  <c r="Q43" i="39"/>
  <c r="Q42" i="39" s="1"/>
  <c r="J43" i="39"/>
  <c r="J42" i="39" s="1"/>
  <c r="R43" i="39"/>
  <c r="R42" i="39" s="1"/>
  <c r="O42" i="39"/>
  <c r="F74" i="28" l="1"/>
  <c r="E74" i="28"/>
  <c r="C74" i="28"/>
  <c r="B74" i="28"/>
  <c r="L50" i="28"/>
  <c r="K50" i="28"/>
  <c r="I50" i="28"/>
  <c r="H50" i="28"/>
  <c r="F50" i="28"/>
  <c r="E50" i="28"/>
  <c r="C50" i="28"/>
  <c r="B50" i="28"/>
  <c r="L29" i="28"/>
  <c r="K29" i="28"/>
  <c r="I29" i="28"/>
  <c r="H29" i="28"/>
  <c r="F29" i="28"/>
  <c r="E29" i="28"/>
  <c r="C29" i="28"/>
  <c r="B29" i="28"/>
  <c r="L9" i="28"/>
  <c r="K9" i="28"/>
  <c r="I9" i="28"/>
  <c r="H9" i="28"/>
  <c r="F9" i="28"/>
  <c r="E9" i="28"/>
  <c r="C9" i="28"/>
  <c r="B9" i="28"/>
  <c r="M31" i="29"/>
  <c r="L31" i="29"/>
  <c r="K31" i="29"/>
  <c r="J31" i="29"/>
  <c r="H31" i="29"/>
  <c r="G31" i="29"/>
  <c r="F31" i="29"/>
  <c r="D31" i="29"/>
  <c r="C31" i="29"/>
  <c r="B31" i="29"/>
  <c r="M25" i="29"/>
  <c r="L25" i="29"/>
  <c r="K25" i="29"/>
  <c r="J25" i="29"/>
  <c r="H25" i="29"/>
  <c r="G25" i="29"/>
  <c r="F25" i="29"/>
  <c r="D25" i="29"/>
  <c r="C25" i="29"/>
  <c r="B25" i="29"/>
  <c r="M19" i="29"/>
  <c r="L19" i="29"/>
  <c r="K19" i="29"/>
  <c r="J19" i="29"/>
  <c r="H19" i="29"/>
  <c r="G19" i="29"/>
  <c r="F19" i="29"/>
  <c r="D19" i="29"/>
  <c r="C19" i="29"/>
  <c r="B19" i="29"/>
  <c r="M13" i="29"/>
  <c r="L13" i="29"/>
  <c r="K13" i="29"/>
  <c r="J13" i="29"/>
  <c r="H13" i="29"/>
  <c r="G13" i="29"/>
  <c r="F13" i="29"/>
  <c r="D13" i="29"/>
  <c r="C13" i="29"/>
  <c r="B13" i="29"/>
  <c r="M7" i="29"/>
  <c r="L7" i="29"/>
  <c r="K7" i="29"/>
  <c r="J7" i="29"/>
  <c r="H7" i="29"/>
  <c r="G7" i="29"/>
  <c r="F7" i="29"/>
  <c r="D7" i="29"/>
  <c r="C7" i="29"/>
  <c r="B7" i="29"/>
  <c r="Q5" i="27"/>
  <c r="P5" i="27"/>
  <c r="O5" i="27"/>
  <c r="N5" i="27"/>
  <c r="M5" i="27"/>
  <c r="L5" i="27"/>
  <c r="K5" i="27"/>
  <c r="J5" i="27"/>
  <c r="I5" i="27"/>
  <c r="H5" i="27"/>
  <c r="G5" i="27"/>
  <c r="F5" i="27"/>
  <c r="E5" i="27"/>
  <c r="D5" i="27"/>
  <c r="C5" i="27"/>
  <c r="K35" i="26"/>
  <c r="J35" i="26"/>
  <c r="I35" i="26"/>
  <c r="H35" i="26"/>
  <c r="G35" i="26"/>
  <c r="F35" i="26"/>
  <c r="E35" i="26"/>
  <c r="D35" i="26"/>
  <c r="C35" i="26"/>
  <c r="L29" i="26"/>
  <c r="K29" i="26"/>
  <c r="J29" i="26"/>
  <c r="I29" i="26"/>
  <c r="H29" i="26"/>
  <c r="G29" i="26"/>
  <c r="F29" i="26"/>
  <c r="E29" i="26"/>
  <c r="D29" i="26"/>
  <c r="C29" i="26"/>
  <c r="L26" i="26"/>
  <c r="K26" i="26"/>
  <c r="J26" i="26"/>
  <c r="I26" i="26"/>
  <c r="H26" i="26"/>
  <c r="G26" i="26"/>
  <c r="F26" i="26"/>
  <c r="E26" i="26"/>
  <c r="D26" i="26"/>
  <c r="C26" i="26"/>
  <c r="L23" i="26"/>
  <c r="K23" i="26"/>
  <c r="J23" i="26"/>
  <c r="I23" i="26"/>
  <c r="H23" i="26"/>
  <c r="G23" i="26"/>
  <c r="F23" i="26"/>
  <c r="E23" i="26"/>
  <c r="D23" i="26"/>
  <c r="C23" i="26"/>
  <c r="G44" i="14"/>
  <c r="H44" i="14"/>
  <c r="J44" i="14"/>
  <c r="K44" i="14"/>
  <c r="B44" i="14"/>
  <c r="I46" i="14"/>
  <c r="F46" i="14"/>
  <c r="F44" i="14" s="1"/>
  <c r="I45" i="14"/>
  <c r="F40" i="14"/>
  <c r="K36" i="14"/>
  <c r="I36" i="14"/>
  <c r="G36" i="14"/>
  <c r="F36" i="14"/>
  <c r="D36" i="14"/>
  <c r="B36" i="14"/>
  <c r="I33" i="14"/>
  <c r="I32" i="14" s="1"/>
  <c r="F33" i="14"/>
  <c r="F32" i="14" s="1"/>
  <c r="K32" i="14"/>
  <c r="J32" i="14"/>
  <c r="H32" i="14"/>
  <c r="G32" i="14"/>
  <c r="D32" i="14"/>
  <c r="B32" i="14"/>
  <c r="F28" i="14"/>
  <c r="I29" i="14"/>
  <c r="I28" i="14" s="1"/>
  <c r="K28" i="14"/>
  <c r="J28" i="14"/>
  <c r="H28" i="14"/>
  <c r="G28" i="14"/>
  <c r="D28" i="14"/>
  <c r="C28" i="14" s="1"/>
  <c r="B28" i="14"/>
  <c r="I26" i="14"/>
  <c r="I24" i="14" s="1"/>
  <c r="K24" i="14"/>
  <c r="J24" i="14"/>
  <c r="H24" i="14"/>
  <c r="G24" i="14"/>
  <c r="F24" i="14"/>
  <c r="D24" i="14"/>
  <c r="B24" i="14"/>
  <c r="K20" i="14"/>
  <c r="J20" i="14"/>
  <c r="I20" i="14"/>
  <c r="H20" i="14"/>
  <c r="G20" i="14"/>
  <c r="F20" i="14"/>
  <c r="D20" i="14"/>
  <c r="C20" i="14" s="1"/>
  <c r="B20" i="14"/>
  <c r="K16" i="14"/>
  <c r="J16" i="14"/>
  <c r="I16" i="14"/>
  <c r="H16" i="14"/>
  <c r="G16" i="14"/>
  <c r="F16" i="14"/>
  <c r="D16" i="14"/>
  <c r="C16" i="14" s="1"/>
  <c r="B16" i="14"/>
  <c r="I14" i="14"/>
  <c r="F14" i="14"/>
  <c r="I13" i="14"/>
  <c r="K12" i="14"/>
  <c r="J12" i="14"/>
  <c r="H12" i="14"/>
  <c r="G12" i="14"/>
  <c r="E12" i="14"/>
  <c r="D12" i="14"/>
  <c r="C12" i="14" l="1"/>
  <c r="F12" i="14"/>
  <c r="I12" i="14"/>
  <c r="C24" i="14"/>
  <c r="C32" i="14"/>
  <c r="C36" i="14"/>
  <c r="I44" i="14"/>
  <c r="G23" i="13" l="1"/>
  <c r="AB7" i="22" l="1"/>
  <c r="Y7" i="22"/>
  <c r="Z7" i="22"/>
  <c r="AA7" i="22"/>
  <c r="AC7" i="22"/>
  <c r="X7" i="22"/>
  <c r="V7" i="22"/>
  <c r="T7" i="22"/>
  <c r="S7" i="22"/>
  <c r="Q7" i="22"/>
  <c r="B242" i="31" l="1"/>
  <c r="B247" i="31"/>
  <c r="B241" i="31" l="1"/>
  <c r="B237" i="31"/>
  <c r="B236" i="31"/>
  <c r="E251" i="31"/>
  <c r="D251" i="31"/>
  <c r="C251" i="31"/>
  <c r="B250" i="31"/>
  <c r="B249" i="31"/>
  <c r="E248" i="31"/>
  <c r="D248" i="31"/>
  <c r="C248" i="31"/>
  <c r="E235" i="31"/>
  <c r="D235" i="31"/>
  <c r="E234" i="31"/>
  <c r="D234" i="31"/>
  <c r="B234" i="31" l="1"/>
  <c r="C235" i="31"/>
  <c r="B235" i="31" s="1"/>
  <c r="B251" i="31"/>
  <c r="B248" i="31"/>
  <c r="M6" i="20" l="1"/>
  <c r="M41" i="20" s="1"/>
  <c r="L6" i="20"/>
  <c r="E29" i="12" l="1"/>
  <c r="E30" i="12"/>
  <c r="B206" i="31" l="1"/>
  <c r="B207" i="31"/>
  <c r="B209" i="31"/>
  <c r="B210" i="31"/>
  <c r="B212" i="31"/>
  <c r="B213" i="31"/>
  <c r="B214" i="31"/>
  <c r="B215" i="31"/>
  <c r="B216" i="31"/>
  <c r="B218" i="31"/>
  <c r="B219" i="31"/>
  <c r="B220" i="31"/>
  <c r="B221" i="31"/>
  <c r="B222" i="31"/>
  <c r="B223" i="31"/>
  <c r="B224" i="31"/>
  <c r="D217" i="31"/>
  <c r="E217" i="31"/>
  <c r="C217" i="31"/>
  <c r="D211" i="31"/>
  <c r="E211" i="31"/>
  <c r="C211" i="31"/>
  <c r="D208" i="31"/>
  <c r="E208" i="31"/>
  <c r="D205" i="31"/>
  <c r="E205" i="31"/>
  <c r="C208" i="31"/>
  <c r="C205" i="31"/>
  <c r="B193" i="31"/>
  <c r="B194" i="31"/>
  <c r="B195" i="31"/>
  <c r="B196" i="31"/>
  <c r="B197" i="31"/>
  <c r="B198" i="31"/>
  <c r="B199" i="31"/>
  <c r="B200" i="31"/>
  <c r="B201" i="31"/>
  <c r="B202" i="31"/>
  <c r="B203" i="31"/>
  <c r="D191" i="31"/>
  <c r="E191" i="31"/>
  <c r="B205" i="31" l="1"/>
  <c r="B211" i="31"/>
  <c r="B208" i="31"/>
  <c r="B217" i="31"/>
  <c r="D190" i="31"/>
  <c r="E190" i="31"/>
  <c r="C190" i="31"/>
  <c r="C191" i="31"/>
  <c r="B191" i="31" s="1"/>
  <c r="B190" i="31" l="1"/>
  <c r="I8" i="14"/>
  <c r="F8" i="14"/>
  <c r="C41" i="20" l="1"/>
  <c r="D41" i="20"/>
  <c r="E41" i="20"/>
  <c r="F41" i="20"/>
  <c r="G41" i="20"/>
  <c r="H41" i="20"/>
  <c r="I41" i="20"/>
  <c r="J41" i="20"/>
  <c r="K41" i="20"/>
  <c r="L41" i="20"/>
  <c r="B41" i="20"/>
  <c r="J7" i="22" l="1"/>
  <c r="K7" i="22"/>
  <c r="L7" i="22"/>
  <c r="M7" i="22"/>
  <c r="N7" i="22"/>
  <c r="O7" i="22"/>
  <c r="I7" i="22"/>
  <c r="D7" i="22"/>
  <c r="E7" i="22"/>
  <c r="F7" i="22"/>
  <c r="G7" i="22"/>
  <c r="B7" i="22"/>
  <c r="E171" i="31" l="1"/>
  <c r="E165" i="31"/>
  <c r="E162" i="31"/>
  <c r="E159" i="31"/>
  <c r="E145" i="31"/>
  <c r="D171" i="31"/>
  <c r="D165" i="31"/>
  <c r="D162" i="31"/>
  <c r="D159" i="31"/>
  <c r="D145" i="31"/>
  <c r="B99" i="31"/>
  <c r="E126" i="31"/>
  <c r="E120" i="31"/>
  <c r="E117" i="31"/>
  <c r="E114" i="31"/>
  <c r="E100" i="31"/>
  <c r="D126" i="31"/>
  <c r="D120" i="31"/>
  <c r="D117" i="31"/>
  <c r="D114" i="31"/>
  <c r="D100" i="31"/>
  <c r="C126" i="31"/>
  <c r="C120" i="31"/>
  <c r="C117" i="31"/>
  <c r="C114" i="31"/>
  <c r="C100" i="31"/>
  <c r="R7" i="7" l="1"/>
  <c r="R6" i="7" s="1"/>
  <c r="E24" i="31" l="1"/>
  <c r="B59" i="31"/>
  <c r="B60" i="31"/>
  <c r="B61" i="31"/>
  <c r="B62" i="31"/>
  <c r="B63" i="31"/>
  <c r="B64" i="31"/>
  <c r="B65" i="31"/>
  <c r="B66" i="31"/>
  <c r="B67" i="31"/>
  <c r="B68" i="31"/>
  <c r="B69" i="31"/>
  <c r="F7" i="26" l="1"/>
  <c r="B25" i="31"/>
  <c r="B26" i="31"/>
  <c r="B28" i="31"/>
  <c r="J8" i="26" l="1"/>
  <c r="J7" i="26"/>
  <c r="H7" i="26"/>
  <c r="I7" i="26"/>
  <c r="C58" i="31"/>
  <c r="E7" i="26"/>
  <c r="B83" i="31"/>
  <c r="B84" i="31"/>
  <c r="B85" i="31"/>
  <c r="B86" i="31"/>
  <c r="B87" i="31"/>
  <c r="B88" i="31"/>
  <c r="B89" i="31"/>
  <c r="B77" i="31"/>
  <c r="B74" i="31"/>
  <c r="B75" i="31"/>
  <c r="B71" i="31"/>
  <c r="B72" i="31"/>
  <c r="B34" i="31"/>
  <c r="B35" i="31"/>
  <c r="B36" i="31"/>
  <c r="B37" i="31"/>
  <c r="B38" i="31"/>
  <c r="B39" i="31"/>
  <c r="B10" i="31"/>
  <c r="B11" i="31"/>
  <c r="B12" i="31"/>
  <c r="B13" i="31"/>
  <c r="B15" i="31"/>
  <c r="B16" i="31"/>
  <c r="B17" i="31"/>
  <c r="B19" i="31"/>
  <c r="D9" i="31"/>
  <c r="D7" i="7" l="1"/>
  <c r="E7" i="7"/>
  <c r="I7" i="7"/>
  <c r="J7" i="7"/>
  <c r="K7" i="7"/>
  <c r="L7" i="7"/>
  <c r="O7" i="7"/>
  <c r="O6" i="7" s="1"/>
  <c r="P7" i="7"/>
  <c r="P6" i="7" s="1"/>
  <c r="Q7" i="7"/>
  <c r="Q6" i="7" s="1"/>
  <c r="E73" i="31" l="1"/>
  <c r="G20" i="13" l="1"/>
  <c r="E82" i="31" l="1"/>
  <c r="D82" i="31"/>
  <c r="C82" i="31"/>
  <c r="E80" i="31"/>
  <c r="D80" i="31"/>
  <c r="C80" i="31"/>
  <c r="D79" i="31"/>
  <c r="C79" i="31"/>
  <c r="E78" i="31"/>
  <c r="D78" i="31"/>
  <c r="C78" i="31"/>
  <c r="D73" i="31"/>
  <c r="C73" i="31"/>
  <c r="E70" i="31"/>
  <c r="D70" i="31"/>
  <c r="C70" i="31"/>
  <c r="E58" i="31"/>
  <c r="D58" i="31"/>
  <c r="E33" i="31"/>
  <c r="D33" i="31"/>
  <c r="C33" i="31"/>
  <c r="C31" i="31"/>
  <c r="B31" i="31" s="1"/>
  <c r="C30" i="31"/>
  <c r="B30" i="31" s="1"/>
  <c r="E29" i="31"/>
  <c r="C29" i="31"/>
  <c r="D24" i="31"/>
  <c r="C24" i="31"/>
  <c r="E21" i="31"/>
  <c r="D21" i="31"/>
  <c r="C21" i="31"/>
  <c r="E9" i="31"/>
  <c r="C9" i="31"/>
  <c r="B35" i="26"/>
  <c r="B29" i="26"/>
  <c r="B26" i="26"/>
  <c r="B80" i="31" l="1"/>
  <c r="B70" i="31"/>
  <c r="D76" i="31"/>
  <c r="C76" i="31"/>
  <c r="B78" i="31"/>
  <c r="B24" i="31"/>
  <c r="B33" i="31"/>
  <c r="E76" i="31"/>
  <c r="B82" i="31"/>
  <c r="B79" i="31"/>
  <c r="B73" i="31"/>
  <c r="B29" i="31"/>
  <c r="B58" i="31"/>
  <c r="B9" i="31"/>
  <c r="B21" i="31"/>
  <c r="D27" i="31"/>
  <c r="C27" i="31"/>
  <c r="E27" i="31"/>
  <c r="B27" i="31" l="1"/>
  <c r="B76" i="31"/>
  <c r="O5" i="2"/>
  <c r="I8" i="26" l="1"/>
  <c r="N5" i="2" l="1"/>
  <c r="B23" i="26" l="1"/>
  <c r="E8" i="26"/>
  <c r="F8" i="26"/>
  <c r="B8" i="26"/>
  <c r="C8" i="26"/>
  <c r="D8" i="26"/>
  <c r="G8" i="26"/>
  <c r="G7" i="26"/>
  <c r="H8" i="26"/>
  <c r="M5" i="2"/>
  <c r="D7" i="26"/>
  <c r="B7" i="26"/>
  <c r="G8" i="7"/>
  <c r="G7" i="7" s="1"/>
  <c r="G6" i="7" s="1"/>
  <c r="F8" i="7"/>
  <c r="H6" i="7"/>
  <c r="N11" i="7"/>
  <c r="M11" i="7"/>
  <c r="N8" i="7"/>
  <c r="M8" i="7"/>
  <c r="L5" i="2"/>
  <c r="K5" i="2"/>
  <c r="L6" i="7"/>
  <c r="E5" i="12"/>
  <c r="A6" i="12"/>
  <c r="A7" i="12" s="1"/>
  <c r="A8" i="12" s="1"/>
  <c r="A9" i="12" s="1"/>
  <c r="A10" i="12" s="1"/>
  <c r="A11" i="12" s="1"/>
  <c r="A12" i="12" s="1"/>
  <c r="A13" i="12" s="1"/>
  <c r="A14" i="12" s="1"/>
  <c r="A15" i="12" s="1"/>
  <c r="A16" i="12" s="1"/>
  <c r="A17" i="12" s="1"/>
  <c r="A18" i="12" s="1"/>
  <c r="A19" i="12" s="1"/>
  <c r="E6" i="12"/>
  <c r="E7" i="12"/>
  <c r="E8" i="12"/>
  <c r="E9" i="12"/>
  <c r="E10" i="12"/>
  <c r="E11" i="12"/>
  <c r="E12" i="12"/>
  <c r="E13" i="12"/>
  <c r="E14" i="12"/>
  <c r="E15" i="12"/>
  <c r="E16" i="12"/>
  <c r="E17" i="12"/>
  <c r="F9" i="14"/>
  <c r="I9" i="14"/>
  <c r="B5" i="2"/>
  <c r="C5" i="2"/>
  <c r="D5" i="2"/>
  <c r="E5" i="2"/>
  <c r="F5" i="2"/>
  <c r="G5" i="2"/>
  <c r="H5" i="2"/>
  <c r="I5" i="2"/>
  <c r="J5" i="2"/>
  <c r="C4" i="27"/>
  <c r="D4" i="27" s="1"/>
  <c r="B5" i="27"/>
  <c r="D12" i="30"/>
  <c r="D15" i="30"/>
  <c r="B7" i="7"/>
  <c r="B6" i="7" s="1"/>
  <c r="D6" i="7"/>
  <c r="E6" i="7"/>
  <c r="I6" i="7"/>
  <c r="J6" i="7"/>
  <c r="H8" i="7"/>
  <c r="C11" i="7"/>
  <c r="C6" i="7" s="1"/>
  <c r="F11" i="7"/>
  <c r="K21" i="7"/>
  <c r="A7" i="13"/>
  <c r="A8" i="13" s="1"/>
  <c r="A9" i="13" s="1"/>
  <c r="A10" i="13" s="1"/>
  <c r="A11" i="13" s="1"/>
  <c r="G12" i="13"/>
  <c r="G14" i="13"/>
  <c r="D16" i="1"/>
  <c r="D17" i="1"/>
  <c r="D18" i="1"/>
  <c r="D19" i="1"/>
  <c r="E4" i="27" l="1"/>
  <c r="F4" i="27" s="1"/>
  <c r="G4" i="27" s="1"/>
  <c r="M7" i="7"/>
  <c r="M6" i="7" s="1"/>
  <c r="N7" i="7"/>
  <c r="N6" i="7" s="1"/>
  <c r="F7" i="7"/>
  <c r="F6" i="7" s="1"/>
  <c r="K6" i="7"/>
  <c r="B12" i="14" l="1"/>
  <c r="D28" i="30" l="1"/>
</calcChain>
</file>

<file path=xl/sharedStrings.xml><?xml version="1.0" encoding="utf-8"?>
<sst xmlns="http://schemas.openxmlformats.org/spreadsheetml/2006/main" count="4626" uniqueCount="587">
  <si>
    <t>-</t>
  </si>
  <si>
    <t>Año</t>
  </si>
  <si>
    <t>Total</t>
  </si>
  <si>
    <t>Otros</t>
  </si>
  <si>
    <t>Puno</t>
  </si>
  <si>
    <t>Exceso de velocidad</t>
  </si>
  <si>
    <t>Ebriedad del conductor</t>
  </si>
  <si>
    <t>Exceso de carga</t>
  </si>
  <si>
    <t xml:space="preserve">Falta de luces </t>
  </si>
  <si>
    <t>Pista mal estado</t>
  </si>
  <si>
    <t>Contra el patrimonio</t>
  </si>
  <si>
    <t>Contra la seguridad pública</t>
  </si>
  <si>
    <t>Falla mecánica</t>
  </si>
  <si>
    <t>Contra la vida el cuerpo y la salud</t>
  </si>
  <si>
    <t>Contra la familia</t>
  </si>
  <si>
    <t>Contra la libertad</t>
  </si>
  <si>
    <t>Contra el orden económico</t>
  </si>
  <si>
    <t>Delito tributario</t>
  </si>
  <si>
    <t>Contra la administración pública</t>
  </si>
  <si>
    <t>Traficantes</t>
  </si>
  <si>
    <t xml:space="preserve">  Hombres</t>
  </si>
  <si>
    <t xml:space="preserve">  Mujeres</t>
  </si>
  <si>
    <t>Consumidores</t>
  </si>
  <si>
    <t>Especificación</t>
  </si>
  <si>
    <t xml:space="preserve">    Menores de 18 Años</t>
  </si>
  <si>
    <t xml:space="preserve">    Mayores de 18 Años</t>
  </si>
  <si>
    <t>Resto del país</t>
  </si>
  <si>
    <t>Contra el Terrorismo</t>
  </si>
  <si>
    <t>Contra la fe pública</t>
  </si>
  <si>
    <t xml:space="preserve">Especificación </t>
  </si>
  <si>
    <t xml:space="preserve">Señalización defectuosa </t>
  </si>
  <si>
    <t>Accidentes de Tránsito</t>
  </si>
  <si>
    <t>Tipo de Delito</t>
  </si>
  <si>
    <t>Juzgado de Paz Letrados</t>
  </si>
  <si>
    <t xml:space="preserve">  Población Penal </t>
  </si>
  <si>
    <t>Fiscalías del Ministerio Público</t>
  </si>
  <si>
    <t>Fiscalías de la Nación Suprema</t>
  </si>
  <si>
    <t>Superiores</t>
  </si>
  <si>
    <t>Provinciales</t>
  </si>
  <si>
    <t>Fiscal de la Nación</t>
  </si>
  <si>
    <t>Fiscal Supremo</t>
  </si>
  <si>
    <t>Fiscal Superior</t>
  </si>
  <si>
    <t>Fiscal Adjunto Superior</t>
  </si>
  <si>
    <t>Fiscal Provincial</t>
  </si>
  <si>
    <t>Fiscal Adjunto Provincial</t>
  </si>
  <si>
    <t xml:space="preserve"> </t>
  </si>
  <si>
    <t xml:space="preserve">Fiscalías del Ministerio Público </t>
  </si>
  <si>
    <t>Categoría</t>
  </si>
  <si>
    <t xml:space="preserve">Fiscalía de la Nación </t>
  </si>
  <si>
    <t>Fiscalía de la Nación</t>
  </si>
  <si>
    <t>Civil</t>
  </si>
  <si>
    <t>Fiscalía Provincial</t>
  </si>
  <si>
    <t xml:space="preserve">    -</t>
  </si>
  <si>
    <t xml:space="preserve">Fiscalías </t>
  </si>
  <si>
    <t xml:space="preserve">      -</t>
  </si>
  <si>
    <t xml:space="preserve">     -</t>
  </si>
  <si>
    <t xml:space="preserve">       -</t>
  </si>
  <si>
    <t xml:space="preserve">        -</t>
  </si>
  <si>
    <t>Denuncias</t>
  </si>
  <si>
    <t>Total de población penal</t>
  </si>
  <si>
    <t>Por tipo de delito</t>
  </si>
  <si>
    <t xml:space="preserve">       - Contra la vida, el cuerpo y la salud</t>
  </si>
  <si>
    <t xml:space="preserve">       - Contra la libertad </t>
  </si>
  <si>
    <t xml:space="preserve">       - Contra el patrimonio</t>
  </si>
  <si>
    <t xml:space="preserve">       - Contra el orden económico</t>
  </si>
  <si>
    <t xml:space="preserve">          -</t>
  </si>
  <si>
    <t xml:space="preserve">       - Contra el orden financiero</t>
  </si>
  <si>
    <t xml:space="preserve">       - Otros</t>
  </si>
  <si>
    <t>Situación jurídica</t>
  </si>
  <si>
    <t xml:space="preserve">       - Inculpados</t>
  </si>
  <si>
    <t xml:space="preserve">      - Sentenciados</t>
  </si>
  <si>
    <t>Sexo</t>
  </si>
  <si>
    <t xml:space="preserve">      - Masculino</t>
  </si>
  <si>
    <t xml:space="preserve">      - Femenino</t>
  </si>
  <si>
    <t>Nivel de instrucción</t>
  </si>
  <si>
    <t xml:space="preserve">      - Primaria</t>
  </si>
  <si>
    <t xml:space="preserve">      - Secundaria</t>
  </si>
  <si>
    <t xml:space="preserve">      - Superior</t>
  </si>
  <si>
    <t>Estado civil</t>
  </si>
  <si>
    <t xml:space="preserve">      - Soltero</t>
  </si>
  <si>
    <t xml:space="preserve">      - Casado</t>
  </si>
  <si>
    <t xml:space="preserve">      - Conviviente</t>
  </si>
  <si>
    <t xml:space="preserve">      - Viudo</t>
  </si>
  <si>
    <t xml:space="preserve">      - Divorciado</t>
  </si>
  <si>
    <t xml:space="preserve">      - Separado</t>
  </si>
  <si>
    <t>Nivel de Instrucción</t>
  </si>
  <si>
    <t>Analfabeto</t>
  </si>
  <si>
    <t>Primaria</t>
  </si>
  <si>
    <t>Secundaria</t>
  </si>
  <si>
    <t>Superior</t>
  </si>
  <si>
    <t>Situación Jurídica</t>
  </si>
  <si>
    <t>Hombre</t>
  </si>
  <si>
    <t>Mujer</t>
  </si>
  <si>
    <t xml:space="preserve">   -</t>
  </si>
  <si>
    <t>Departamento Puno</t>
  </si>
  <si>
    <t>No Especificado</t>
  </si>
  <si>
    <t xml:space="preserve">  -</t>
  </si>
  <si>
    <t xml:space="preserve"> -</t>
  </si>
  <si>
    <t xml:space="preserve">          </t>
  </si>
  <si>
    <t>Delitos aduaneros</t>
  </si>
  <si>
    <t>Yanamayo</t>
  </si>
  <si>
    <t>Lampa</t>
  </si>
  <si>
    <t>Expediente</t>
  </si>
  <si>
    <t>Familia Tutelar</t>
  </si>
  <si>
    <t>Violencia Familiar</t>
  </si>
  <si>
    <t>Familia Civil</t>
  </si>
  <si>
    <t>Familia Penal</t>
  </si>
  <si>
    <t>Fiscalía Suprema</t>
  </si>
  <si>
    <t>Fiscalía  Superior</t>
  </si>
  <si>
    <t xml:space="preserve">                          </t>
  </si>
  <si>
    <t>Juliaca</t>
  </si>
  <si>
    <t xml:space="preserve">       - Contra la tranquilidad pública</t>
  </si>
  <si>
    <t xml:space="preserve">       - Contra la Familia</t>
  </si>
  <si>
    <t>Infracciones muy graves</t>
  </si>
  <si>
    <t>Infracciones graves</t>
  </si>
  <si>
    <t>Infracciones Leves</t>
  </si>
  <si>
    <t xml:space="preserve">Contra la tranquilidad pública   </t>
  </si>
  <si>
    <t>…</t>
  </si>
  <si>
    <t xml:space="preserve">       -Contra la Seguridad pública</t>
  </si>
  <si>
    <t>Juzgado de Primera Instancia</t>
  </si>
  <si>
    <t>Inculpados</t>
  </si>
  <si>
    <t xml:space="preserve">   Continúa…</t>
  </si>
  <si>
    <t>Amazonas</t>
  </si>
  <si>
    <t>Áncash</t>
  </si>
  <si>
    <t>Apurímac</t>
  </si>
  <si>
    <t>Arequipa</t>
  </si>
  <si>
    <t>Ayacucho</t>
  </si>
  <si>
    <t>Cajamarca</t>
  </si>
  <si>
    <t>Cusco</t>
  </si>
  <si>
    <t>Huánuco</t>
  </si>
  <si>
    <t>Huancavelica</t>
  </si>
  <si>
    <t>Ica</t>
  </si>
  <si>
    <t>Junín</t>
  </si>
  <si>
    <t>La Libertad</t>
  </si>
  <si>
    <t>Lambayeque</t>
  </si>
  <si>
    <t>Loreto</t>
  </si>
  <si>
    <t>Madre de Dios</t>
  </si>
  <si>
    <t>Moquegua</t>
  </si>
  <si>
    <t>Pasco</t>
  </si>
  <si>
    <t>Piura</t>
  </si>
  <si>
    <t>San Martín</t>
  </si>
  <si>
    <t>Tacna</t>
  </si>
  <si>
    <t>Tumbes</t>
  </si>
  <si>
    <t>Ucayali</t>
  </si>
  <si>
    <t>Callao</t>
  </si>
  <si>
    <t>Lima</t>
  </si>
  <si>
    <t>Atropello</t>
  </si>
  <si>
    <t>Choque</t>
  </si>
  <si>
    <t>Choque y fuga</t>
  </si>
  <si>
    <t>Volcadura</t>
  </si>
  <si>
    <t>Atropello y Fuga</t>
  </si>
  <si>
    <t>Caída de pasajero</t>
  </si>
  <si>
    <t>Despiste</t>
  </si>
  <si>
    <t>Cañete</t>
  </si>
  <si>
    <t>Lima Este (Chosica)</t>
  </si>
  <si>
    <t>Lima Norte (Cono)</t>
  </si>
  <si>
    <t>Huaura</t>
  </si>
  <si>
    <t>Lima Sur</t>
  </si>
  <si>
    <t xml:space="preserve">Santa Anita </t>
  </si>
  <si>
    <t>Santa</t>
  </si>
  <si>
    <t>Sullana 1/</t>
  </si>
  <si>
    <t xml:space="preserve">      Continúa...</t>
  </si>
  <si>
    <t>Nº de establecimiento penal</t>
  </si>
  <si>
    <t xml:space="preserve">                  -</t>
  </si>
  <si>
    <t>Fuente: Ministerio del Interior  - MININTER - Dirección en Gestión en Tecnología de la Información y Comunicaciones.</t>
  </si>
  <si>
    <t>1/  Los Fiscales del Distrito Judicial de Sullana durante los años 2007 al 2010 están considerados dentro del Distrito Judicial de Piura.</t>
  </si>
  <si>
    <t>Nº de Establecimiento Penal</t>
  </si>
  <si>
    <t>Total de Población Penal</t>
  </si>
  <si>
    <t xml:space="preserve"> - Contra la vida, el Cuerpo y la Salud</t>
  </si>
  <si>
    <t xml:space="preserve"> - Contra la familia</t>
  </si>
  <si>
    <t xml:space="preserve"> - Contra la Libertad </t>
  </si>
  <si>
    <t xml:space="preserve"> - Contra el Patrimonio</t>
  </si>
  <si>
    <t xml:space="preserve"> - Contra el Orden Económico</t>
  </si>
  <si>
    <t xml:space="preserve"> - Contra el Orden Financiero</t>
  </si>
  <si>
    <t xml:space="preserve"> - Contra la tranquilidad</t>
  </si>
  <si>
    <t xml:space="preserve"> - Delito de lavado de activos</t>
  </si>
  <si>
    <t xml:space="preserve"> - Delitos aduaneros</t>
  </si>
  <si>
    <t xml:space="preserve"> - Otros</t>
  </si>
  <si>
    <t xml:space="preserve"> - Inculpados</t>
  </si>
  <si>
    <t xml:space="preserve"> - Sentenciados</t>
  </si>
  <si>
    <t xml:space="preserve"> - Masculino</t>
  </si>
  <si>
    <t xml:space="preserve"> - Femenino</t>
  </si>
  <si>
    <t xml:space="preserve"> - Sin instrucción</t>
  </si>
  <si>
    <t xml:space="preserve"> - Primaria</t>
  </si>
  <si>
    <t xml:space="preserve"> - Secundaria</t>
  </si>
  <si>
    <t xml:space="preserve"> - Superior</t>
  </si>
  <si>
    <t xml:space="preserve"> - Soltero</t>
  </si>
  <si>
    <t xml:space="preserve"> - Casado</t>
  </si>
  <si>
    <t xml:space="preserve"> - Conviviente</t>
  </si>
  <si>
    <t xml:space="preserve"> - Viudo</t>
  </si>
  <si>
    <t xml:space="preserve"> - Divorciado</t>
  </si>
  <si>
    <t xml:space="preserve"> - Separado</t>
  </si>
  <si>
    <t xml:space="preserve">         POR LA POLICIA NACIONAL, 2012 - 2015</t>
  </si>
  <si>
    <t>Fiscalía Superior Civil de Familia Puno</t>
  </si>
  <si>
    <t>Fiscalía Superior Civil de Familia San Román</t>
  </si>
  <si>
    <t>Fiscalía Superior Mixta - Huancané</t>
  </si>
  <si>
    <t>Total General</t>
  </si>
  <si>
    <t>Expedientes</t>
  </si>
  <si>
    <t>Incidentes</t>
  </si>
  <si>
    <t>expedientes</t>
  </si>
  <si>
    <t>1 Fiscalía Provincial Civil de Familia Puno</t>
  </si>
  <si>
    <t>2 Fiscalía Provincial Civil de Familia Puno</t>
  </si>
  <si>
    <t>1 Fiscalía Provincial Civil de Familia San Román</t>
  </si>
  <si>
    <t>2 Fiscalía Provincial Civil de Familia San Román</t>
  </si>
  <si>
    <t>3 Fiscalía Provincial Civil de Familia Puno</t>
  </si>
  <si>
    <t>Fiscalía Provincial Mixta Acora</t>
  </si>
  <si>
    <t>Fiscalía Provincial Mixta Ananea</t>
  </si>
  <si>
    <t>Fiscalía Provincial Mixta Desaguadero</t>
  </si>
  <si>
    <t>Fiscalía Provincial Mixta Moho</t>
  </si>
  <si>
    <t>Fiscalía Provincial Mixta Putina</t>
  </si>
  <si>
    <t>Ingre-sados</t>
  </si>
  <si>
    <t>Pen-dientes</t>
  </si>
  <si>
    <t>Resu-eltos</t>
  </si>
  <si>
    <t xml:space="preserve"> - No especificado</t>
  </si>
  <si>
    <t xml:space="preserve">     - No especificado</t>
  </si>
  <si>
    <t xml:space="preserve">      - No especificado</t>
  </si>
  <si>
    <t>- Contra la vida, el cuerpo y la salud</t>
  </si>
  <si>
    <t>- Contra la Familia</t>
  </si>
  <si>
    <t xml:space="preserve">- Contra la libertad </t>
  </si>
  <si>
    <t>- Contra el patrimonio</t>
  </si>
  <si>
    <t>- Contra el orden económico</t>
  </si>
  <si>
    <t>- Contra el orden financiero</t>
  </si>
  <si>
    <t>- Contra la tranquilidad pública</t>
  </si>
  <si>
    <t>- Contra la Seguridad pública</t>
  </si>
  <si>
    <t>- Otros</t>
  </si>
  <si>
    <t xml:space="preserve">  - Primaria</t>
  </si>
  <si>
    <t xml:space="preserve">  - Secundaria</t>
  </si>
  <si>
    <t xml:space="preserve">  - Superior</t>
  </si>
  <si>
    <t xml:space="preserve">  - No especificado</t>
  </si>
  <si>
    <t xml:space="preserve">  - Soltero</t>
  </si>
  <si>
    <t xml:space="preserve">  - Casado</t>
  </si>
  <si>
    <t xml:space="preserve">  - Conviviente</t>
  </si>
  <si>
    <t xml:space="preserve">  - Viudo</t>
  </si>
  <si>
    <t xml:space="preserve">  - Divorciado</t>
  </si>
  <si>
    <t xml:space="preserve">  - Separado</t>
  </si>
  <si>
    <t>Establecimiento penitenciario de procesador primarios Lampa</t>
  </si>
  <si>
    <t xml:space="preserve">a/ Información al primer semestre </t>
  </si>
  <si>
    <t>Salas Especializadas    Mixtas</t>
  </si>
  <si>
    <t>Número de Centros Penitenciarios</t>
  </si>
  <si>
    <t>Faltas</t>
  </si>
  <si>
    <t>Fiscalía Provincial Civil de Familia Azángaro</t>
  </si>
  <si>
    <t>Fiscalía Provincial Civil de Familia Carabaya</t>
  </si>
  <si>
    <t>Fiscalía Provincial Civil de Familia Chucuito</t>
  </si>
  <si>
    <t>Fiscalía Provincial Civil de Familia El Collao</t>
  </si>
  <si>
    <t>Fiscalía Provincial Civil de Familia Huancané</t>
  </si>
  <si>
    <t>Fiscalía Provincial Civil de Familia Lampa</t>
  </si>
  <si>
    <t>Fiscalía Provincial Civil de Familia Melgar</t>
  </si>
  <si>
    <t>Fiscalía Provincial Civil de Familia Sandia</t>
  </si>
  <si>
    <t>Fiscalía Provincial Civil de Familia  Yunguyo</t>
  </si>
  <si>
    <t>- Contra la Administración pública</t>
  </si>
  <si>
    <t>- Contra la fe pública</t>
  </si>
  <si>
    <t xml:space="preserve"> - Contra la seguridad pública</t>
  </si>
  <si>
    <t xml:space="preserve"> - Contra la administración</t>
  </si>
  <si>
    <t xml:space="preserve"> - Contra la fe pública</t>
  </si>
  <si>
    <t xml:space="preserve">      - Contra la Administración pública</t>
  </si>
  <si>
    <t xml:space="preserve">      - Contra la fe pública</t>
  </si>
  <si>
    <t xml:space="preserve">      - Sin instrucción</t>
  </si>
  <si>
    <t>Población Penal</t>
  </si>
  <si>
    <t>Categoría / Especialidad</t>
  </si>
  <si>
    <t>Tipo de delito</t>
  </si>
  <si>
    <t>Salas Especializadas Mixtas</t>
  </si>
  <si>
    <t xml:space="preserve">8.21   PUNO: POBLACIÓN PENAL REGISTRADA EN LA POLICÍA NACIONAL, POR LOCAL PENITENCIARIO,      </t>
  </si>
  <si>
    <t>8.18  PUNO:  EXPEDIENTES INGRESADOS EN LAS FISCALÍAS SUPERIORES PENALES, 2013 - 2015</t>
  </si>
  <si>
    <t>8. SEGURIDAD Y ORDEN PÚBLICO</t>
  </si>
  <si>
    <t>Ventanilla 2/</t>
  </si>
  <si>
    <t>2/. Información al 31 de diciembre de 2015.</t>
  </si>
  <si>
    <t>Distrito Fiscal</t>
  </si>
  <si>
    <t xml:space="preserve">         SEGÚN TIPO DE DELITO, 2014 - 2017</t>
  </si>
  <si>
    <t>8.18  PUNO:  EXPEDIENTES INGRESADOS EN LAS FISCALÍAS SUPERIORES PENALES, 2014 - 2017</t>
  </si>
  <si>
    <t>2015 a/</t>
  </si>
  <si>
    <t>Posesión de armas de guerra</t>
  </si>
  <si>
    <t>Invasión de carril</t>
  </si>
  <si>
    <t>Vehículo  mal estacionado</t>
  </si>
  <si>
    <t>Factor Ambiental</t>
  </si>
  <si>
    <t>Estado  ebriedad del peatón</t>
  </si>
  <si>
    <t>No identifica la causa</t>
  </si>
  <si>
    <t>Imprudencia del peatón</t>
  </si>
  <si>
    <t>Imprudencias de conductor</t>
  </si>
  <si>
    <t>Inprudencia pasajero</t>
  </si>
  <si>
    <t>1 259</t>
  </si>
  <si>
    <t>1 256</t>
  </si>
  <si>
    <t xml:space="preserve">               -</t>
  </si>
  <si>
    <t>Establecimiento Penitenciario</t>
  </si>
  <si>
    <t>Población penal</t>
  </si>
  <si>
    <t>Procesado</t>
  </si>
  <si>
    <t>Sentenciado</t>
  </si>
  <si>
    <t>Capacidad de albergue</t>
  </si>
  <si>
    <t>Estableciemiento penitenciario sentencados de Yanamayo - Puno</t>
  </si>
  <si>
    <t>Establecimiento penitenciario  Tacna III (challapalca) 2/</t>
  </si>
  <si>
    <t xml:space="preserve">    Continua…</t>
  </si>
  <si>
    <t xml:space="preserve">                     -</t>
  </si>
  <si>
    <t>Situacion juridica</t>
  </si>
  <si>
    <t>sexo</t>
  </si>
  <si>
    <t>Contra ei orden financiero y monetario</t>
  </si>
  <si>
    <t>Delitos Tributarios</t>
  </si>
  <si>
    <t>Contra la Seguridad publica</t>
  </si>
  <si>
    <t>Contra la Tranquilidad publica</t>
  </si>
  <si>
    <t>Contra la Administracion publica</t>
  </si>
  <si>
    <t xml:space="preserve">Contra la Fe publica </t>
  </si>
  <si>
    <t xml:space="preserve">Delito de lavado de activos </t>
  </si>
  <si>
    <t>--</t>
  </si>
  <si>
    <t>Delitos Aduaneros</t>
  </si>
  <si>
    <t>Contra el Estado y la Nacion</t>
  </si>
  <si>
    <t>8S</t>
  </si>
  <si>
    <t>Contra el Orden Economico</t>
  </si>
  <si>
    <t>Contra la Seguridad Pública</t>
  </si>
  <si>
    <t>Contra la Tranquiliad Publica</t>
  </si>
  <si>
    <t>1S</t>
  </si>
  <si>
    <t>Contra la Fe Publica</t>
  </si>
  <si>
    <t>Contra la Administracion Publica</t>
  </si>
  <si>
    <t>Pendientes</t>
  </si>
  <si>
    <t>Resueltos</t>
  </si>
  <si>
    <t>Ingresados</t>
  </si>
  <si>
    <t xml:space="preserve">2012 a/ </t>
  </si>
  <si>
    <t xml:space="preserve">2013 a/ </t>
  </si>
  <si>
    <t xml:space="preserve">2014 a/ </t>
  </si>
  <si>
    <t>Contra la Persona</t>
  </si>
  <si>
    <t>Contra el Patrimonio</t>
  </si>
  <si>
    <t>Contra las Buenas Costumbres</t>
  </si>
  <si>
    <t>Contra la Tranquilidad Pública</t>
  </si>
  <si>
    <t>8.5   PUNO: DETENIDOS POR TRÁFICO Y CONSUMO ILÍCITO DE  DROGAS REGISTRADOS POR LA POLICÍA NACIONAL, 1993, 1995 - 2015</t>
  </si>
  <si>
    <t>Detenidos  por  Tráfico  y  Consumo  Ilícito  de  Droga</t>
  </si>
  <si>
    <t>2017a/</t>
  </si>
  <si>
    <t>8.24   PUNO:  POBLACIÓN PENAL EN LOS ESTABLECIMIENTOS PENITENCIARIOS,  POR SITUACIÓN JURÍDICA Y SEXO, SEGÚN TIPO DE DELITO,  2011 - 2017</t>
  </si>
  <si>
    <t>Vehículos Recuperados</t>
  </si>
  <si>
    <t>Abandonado</t>
  </si>
  <si>
    <t>Capturado</t>
  </si>
  <si>
    <t xml:space="preserve">Vehículos Robados </t>
  </si>
  <si>
    <t>Tipo</t>
  </si>
  <si>
    <t>Sentenciados</t>
  </si>
  <si>
    <t xml:space="preserve"> Fiscalía Superior</t>
  </si>
  <si>
    <t xml:space="preserve"> Fiscalía Provincial</t>
  </si>
  <si>
    <t>8.23   PUNO:  POBLACIÓN PENAL EN LOS ESTABLECIMIENTOS PENITENCIARIOS,  POR SITUACIÓN JURÍDICA Y SEXO, SEGÚN TIPO DE DELITO,  2011 - 2017</t>
  </si>
  <si>
    <t xml:space="preserve">8.21 PUNO:  POBLACIÓN PENAL POR LOCAL PENITENCIARIO, SEGÚN TIPO DE DELITO, REGISTRADO     </t>
  </si>
  <si>
    <t>Resto del País</t>
  </si>
  <si>
    <t>Perú</t>
  </si>
  <si>
    <t>Niñas/os y adolescentes retenidos  2/</t>
  </si>
  <si>
    <t>Niñas/os y adolescentes implicados en actos contra el patrimonio</t>
  </si>
  <si>
    <t xml:space="preserve">Personas detenidas por cometer delito </t>
  </si>
  <si>
    <t>Tasa de denuncias por comisión de delitos (Por cada 10 000 habitantes)</t>
  </si>
  <si>
    <t>Denuncias por comisión de delitos 1/</t>
  </si>
  <si>
    <t>Tasa de denuncias de faltas (Por cada 10 000 habitantes)</t>
  </si>
  <si>
    <t>Denuncias de faltas</t>
  </si>
  <si>
    <t xml:space="preserve"> (Casos registrados)</t>
  </si>
  <si>
    <t>Problemas de incompatibilidad de caracteres</t>
  </si>
  <si>
    <t>Problemas económicos y de trabajo</t>
  </si>
  <si>
    <t>Problemas conyugales y familiares</t>
  </si>
  <si>
    <t>Agresión física</t>
  </si>
  <si>
    <t>Denuncias de violencia familiar 1/</t>
  </si>
  <si>
    <t>Ámbito Geográfico</t>
  </si>
  <si>
    <r>
      <rPr>
        <b/>
        <sz val="7"/>
        <color indexed="8"/>
        <rFont val="Arial Narrow"/>
        <family val="2"/>
      </rPr>
      <t xml:space="preserve">Nota: </t>
    </r>
    <r>
      <rPr>
        <sz val="7"/>
        <color indexed="8"/>
        <rFont val="Arial Narrow"/>
        <family val="2"/>
      </rPr>
      <t>Se refiere a las mujeres alguna vez unidas: casadas, convivientes, separadas, viudas y divorciadas.</t>
    </r>
  </si>
  <si>
    <t>Rural</t>
  </si>
  <si>
    <t>Urbana</t>
  </si>
  <si>
    <t xml:space="preserve"> (Porcentaje)</t>
  </si>
  <si>
    <t>Daños</t>
  </si>
  <si>
    <t xml:space="preserve">Daños </t>
  </si>
  <si>
    <t>Resto de Distritos fiscales</t>
  </si>
  <si>
    <t>Hurtos</t>
  </si>
  <si>
    <t>Robos</t>
  </si>
  <si>
    <t>Usurpaciones</t>
  </si>
  <si>
    <t>Turismo</t>
  </si>
  <si>
    <t>8.35 PUNO: POBLACIÓN PENAL, SITUACIÓN JURÍDICA POR SEXO Y CAPACIDAD DE ALBERGUE SEGÚN ESTABLECIMIENTO, 2011 - 2017</t>
  </si>
  <si>
    <t>8.34 PUNO: POBLACION PENAL POR SITUACION JURIDICA Y SEXO, SEGÚN TIPO DE DELITO, 2010 - 2017</t>
  </si>
  <si>
    <t>No tiene la certeza de determinar la causa</t>
  </si>
  <si>
    <t xml:space="preserve">         DELITO, 2014 - 2018</t>
  </si>
  <si>
    <t>1/ Incluye las agresiones físicas, maltrato psicológico, sexual y otros.</t>
  </si>
  <si>
    <t>Maltrato psicológico</t>
  </si>
  <si>
    <t xml:space="preserve">8.30 PUNO: POBLACIÓN PENAL REGISTRADA EN LA POLICÍA NACIONAL POR LOCAL PENITENCIARIO, SEGÚN TIPO DE </t>
  </si>
  <si>
    <t>8.30   PUNO: POBLACIÓN PENAL REGISTRADA EN LA POLICÍA NACIONAL POR LOCAL PENITENCIARIO, SEGÚN TIPO DE</t>
  </si>
  <si>
    <t>Estableciemiento penitenciario sentenciados de Yanamayo - Puno</t>
  </si>
  <si>
    <t>Microcomercialización</t>
  </si>
  <si>
    <t>Accidentes de Transito</t>
  </si>
  <si>
    <t>Establecimiento penitenciario maxima seguridad la Capilla juliaca</t>
  </si>
  <si>
    <t xml:space="preserve"> Total</t>
  </si>
  <si>
    <r>
      <rPr>
        <b/>
        <sz val="8"/>
        <color indexed="8"/>
        <rFont val="Arial Narrow"/>
        <family val="2"/>
      </rPr>
      <t xml:space="preserve">Nota: </t>
    </r>
    <r>
      <rPr>
        <sz val="8"/>
        <color indexed="8"/>
        <rFont val="Arial Narrow"/>
        <family val="2"/>
      </rPr>
      <t>Se refiere a las mujeres alguna vez unidas: casadas, convivientes, separadas, viudas y divorciadas.</t>
    </r>
  </si>
  <si>
    <t>Otras Faltas  1/</t>
  </si>
  <si>
    <t>Estafas</t>
  </si>
  <si>
    <t>Otros  delitos contra el patrimonio</t>
  </si>
  <si>
    <t xml:space="preserve">         DELITO, SITUACIÓN JURÍDICA, SEXO, NIVEL DE INSTRUCCIÓN Y ESTADO CIVIL, 2016 - 2021</t>
  </si>
  <si>
    <t>Desacato señal tránsito / Conductor</t>
  </si>
  <si>
    <t xml:space="preserve">Desacato señal tránsito / Peaton </t>
  </si>
  <si>
    <t>Contra el orden financiero</t>
  </si>
  <si>
    <t>Choque y atropello</t>
  </si>
  <si>
    <t>Despiste y volcadura</t>
  </si>
  <si>
    <t>Colisión</t>
  </si>
  <si>
    <t>Colisión y fuga</t>
  </si>
  <si>
    <t>Ciberdelincuencia</t>
  </si>
  <si>
    <t>Establecimiento penitenciario maxima seguridad la Capilla Juliaca</t>
  </si>
  <si>
    <t>Fuente: Oficina de Registro Penitenciarios - SIEP - Instituto Nacional Penitenciario - Puno.</t>
  </si>
  <si>
    <t>PUNO</t>
  </si>
  <si>
    <t>LAMPA</t>
  </si>
  <si>
    <t>JULIACA</t>
  </si>
  <si>
    <t xml:space="preserve">TOTAL </t>
  </si>
  <si>
    <t>Familia</t>
  </si>
  <si>
    <t>Contencioso Administratico</t>
  </si>
  <si>
    <t>Especializada anticorrupción</t>
  </si>
  <si>
    <t>Terrorismo-Derechos Humanos</t>
  </si>
  <si>
    <t>Especializada de delitos de Lavado de Activos y pérdida de dominio</t>
  </si>
  <si>
    <t>Civil y Familia</t>
  </si>
  <si>
    <t>Incendio de vehiculos</t>
  </si>
  <si>
    <t>Contra el orden financiero y monetario</t>
  </si>
  <si>
    <t>Nacional Especializada en delitos de Lavado de Activos</t>
  </si>
  <si>
    <t>Especializada en Delitos de Corrupción de Funcionarios</t>
  </si>
  <si>
    <t>Nacional Especializada en delitos de Corrupción de funcionarios</t>
  </si>
  <si>
    <t>Penal</t>
  </si>
  <si>
    <t>Contencioso administrativo</t>
  </si>
  <si>
    <t>Control interno</t>
  </si>
  <si>
    <t>Oficinas desconcentradas de Control Interno</t>
  </si>
  <si>
    <t>Criminalidad organizada</t>
  </si>
  <si>
    <t>Mixta</t>
  </si>
  <si>
    <t>Penal Nacional</t>
  </si>
  <si>
    <t>Especialidad en delitos de Corrupción de funcionarios</t>
  </si>
  <si>
    <t>Delitos de trata de personas</t>
  </si>
  <si>
    <t>Extinción de dominio</t>
  </si>
  <si>
    <t xml:space="preserve">Prevenciòn del delito </t>
  </si>
  <si>
    <t>Violencia contra la mujer y los integrantes del grupo familiar</t>
  </si>
  <si>
    <t>Especializada en Delitos de trafico ilicito de drogas</t>
  </si>
  <si>
    <t>Especialida en delitos Tributarios</t>
  </si>
  <si>
    <t>Especialida en Materia Ambiental</t>
  </si>
  <si>
    <t>Penal Supraprovincial</t>
  </si>
  <si>
    <t xml:space="preserve">Provincial Corporativa Lavado de activos
</t>
  </si>
  <si>
    <t>SupraProvincial Especializada en delitos de Lavado de activos y Perdida de diminio</t>
  </si>
  <si>
    <t>SupraProvincial Especializada contra la Criminalidad Organizada</t>
  </si>
  <si>
    <t>Delitos de tratas de personas</t>
  </si>
  <si>
    <t>Transito y Seguridad Vial</t>
  </si>
  <si>
    <t>Aduaneros y Propieedad Intelectal</t>
  </si>
  <si>
    <t>Aduaneros y de Contrabando</t>
  </si>
  <si>
    <t>SupraPovincial anticoruupción</t>
  </si>
  <si>
    <t xml:space="preserve">Familia y prevencion de la violencia de genero </t>
  </si>
  <si>
    <t>Extincion de dominio</t>
  </si>
  <si>
    <t>Terrorismo - Derechos Humanos</t>
  </si>
  <si>
    <t>Delito de terrorismo</t>
  </si>
  <si>
    <t>Delitos de lavado de activos</t>
  </si>
  <si>
    <t>Tráfico ilícito de drogas</t>
  </si>
  <si>
    <t>Contra la vida, el cuerpo y la salud</t>
  </si>
  <si>
    <t xml:space="preserve">Contra la libertad </t>
  </si>
  <si>
    <t>Contra el Orden Financiero y monetario</t>
  </si>
  <si>
    <t xml:space="preserve">Contra la seguridad pública </t>
  </si>
  <si>
    <t>Contra la tranquilidad pública</t>
  </si>
  <si>
    <t>Contra la Administración pública</t>
  </si>
  <si>
    <t>Procesados</t>
  </si>
  <si>
    <t>Masculino</t>
  </si>
  <si>
    <t>Femenino</t>
  </si>
  <si>
    <t>Sin instrucción</t>
  </si>
  <si>
    <t>No especificado</t>
  </si>
  <si>
    <t>Soltero</t>
  </si>
  <si>
    <t>Casado</t>
  </si>
  <si>
    <t>Conviviente</t>
  </si>
  <si>
    <t>Viudo</t>
  </si>
  <si>
    <t>Divorciado</t>
  </si>
  <si>
    <t>Separado</t>
  </si>
  <si>
    <t>Contra la vida, el Cuerpo y la Salud</t>
  </si>
  <si>
    <t xml:space="preserve">Contra la Libertad </t>
  </si>
  <si>
    <t>Contra la tranquilidad</t>
  </si>
  <si>
    <t>Contra la administración</t>
  </si>
  <si>
    <t>Delito de lavado de activos</t>
  </si>
  <si>
    <t>Fuente: Ministerio Público - Sistema de Información de Apoyo al Trabajo Fiscal (SIATF) y Sistema de Gestión Fiscal (SGF).</t>
  </si>
  <si>
    <t>Fuente : Ministerio Público - Oficina de Registro y Evaluación de Fiscalías, INPE Sistema de Información Estadistica Penitenciaria.</t>
  </si>
  <si>
    <t>1/ Información a Setiembre del 2022.</t>
  </si>
  <si>
    <t>Fuente: Instituto Nacional Penitenciario - Sistema de Información Estadistica Penitenciaria.</t>
  </si>
  <si>
    <t xml:space="preserve">Fuente: Sistema de Información Estadística - Sistema Integrado de Administración Financiera y Transparencia - </t>
  </si>
  <si>
    <t>Total de Población Penal 1/</t>
  </si>
  <si>
    <t>Total País</t>
  </si>
  <si>
    <t>Ámbito Geográfico / Tipo</t>
  </si>
  <si>
    <t>Ámbito Geográfico / Sexo</t>
  </si>
  <si>
    <t>Área de Residencia</t>
  </si>
  <si>
    <t>Intervención</t>
  </si>
  <si>
    <t xml:space="preserve">       (Casos  registrados)</t>
  </si>
  <si>
    <t xml:space="preserve">       (Casos registrados)  </t>
  </si>
  <si>
    <t xml:space="preserve">   (Casos registrados)</t>
  </si>
  <si>
    <r>
      <t xml:space="preserve">        </t>
    </r>
    <r>
      <rPr>
        <sz val="8"/>
        <rFont val="Arial Narrow"/>
        <family val="2"/>
      </rPr>
      <t xml:space="preserve"> (Casos registrados)</t>
    </r>
  </si>
  <si>
    <t xml:space="preserve">         (Casos Registrados)</t>
  </si>
  <si>
    <t>2022 P/</t>
  </si>
  <si>
    <t>2021 P/</t>
  </si>
  <si>
    <t>2020 P/</t>
  </si>
  <si>
    <t>2019 P/</t>
  </si>
  <si>
    <t>2018 P/</t>
  </si>
  <si>
    <t xml:space="preserve">8.12   PUNO: MUJERES DE 15 A 49 AÑOS DE EDAD QUE SUFRIERON VIOLENCIA FÍSICA Y/O SEXUAL POR PARTE DEL </t>
  </si>
  <si>
    <t>Ámbito 
Geográfico</t>
  </si>
  <si>
    <t xml:space="preserve">Fiscalía Superior Mixta - Huancané E Itinerante en la provincia de Azàngaro </t>
  </si>
  <si>
    <t xml:space="preserve">          ESPOSO O COMPAÑERO, EN LOS ÚLTIMOS 12 MESES, SEGÚN ÁMBITO GEOGRÁFICO Y ÁREA DE RESIDENCIA,</t>
  </si>
  <si>
    <t>1/ Solo estan consideradas las acciones terroristas de Sendero Luminoso</t>
  </si>
  <si>
    <t>Fuente: Ministerio del Interior  - MININTER - Dirección en Gestión en Tecnología de la Información, Anuario Estadistico Policial 2022.</t>
  </si>
  <si>
    <t>Nacional Especializada en derechos humanos e interculturalidad</t>
  </si>
  <si>
    <t>Nacional Especializada en terrorismo y delitos conexos</t>
  </si>
  <si>
    <t xml:space="preserve">SupraProvincial especializada en Derechos Humanos e Interculturalidad </t>
  </si>
  <si>
    <t>SupraProvincial especializada en Terrorismo y Delitos Conexos</t>
  </si>
  <si>
    <t>SupraProvincial Materia Ambiental</t>
  </si>
  <si>
    <r>
      <t xml:space="preserve">2023 </t>
    </r>
    <r>
      <rPr>
        <b/>
        <vertAlign val="superscript"/>
        <sz val="8"/>
        <rFont val="Arial Narrow"/>
        <family val="2"/>
      </rPr>
      <t>1/</t>
    </r>
  </si>
  <si>
    <t>1/ Información al tercer trimestre.</t>
  </si>
  <si>
    <t>Prevencion del delito</t>
  </si>
  <si>
    <t>8.28   PUNO: EXPEDIENTES INGRESADOS EN LAS FISCALÍAS SUPERIORES PENALES, 2018 - 2023</t>
  </si>
  <si>
    <t>1/ Información al tercer tirmestre.</t>
  </si>
  <si>
    <t>Fuente: Compendio Estadístico Sector Interior 2023</t>
  </si>
  <si>
    <t>Fuente: Compendio Estadistico Sector Interior 2023.</t>
  </si>
  <si>
    <t>Fuente: Compendio estadistico Sector Interior 2023.</t>
  </si>
  <si>
    <t>8.8   PUNO: PERSONAS DESAPARECIDAS, SEGÚN ÁMBITO GEOGRÁFICO, 2016 - 2023</t>
  </si>
  <si>
    <t>Fuente: Compendio Estadistico Sector Interior 2023</t>
  </si>
  <si>
    <t>Fuente: Compendio Estadistico Sector Interior 2023, Anuario Estadistico Policial 2023</t>
  </si>
  <si>
    <t>Fuente: INEI Comprendio estadistico 2024</t>
  </si>
  <si>
    <t>Fuente: Observatorio de Criminalidad del Ministerio Público, INEI Compendio estadistico 2024</t>
  </si>
  <si>
    <t>8.13   PUNO: VÍCTIMAS DE FEMINICIDIO, SEGÚN ÁMBITO GEOGRÁFICO, 2018 - 2023</t>
  </si>
  <si>
    <t xml:space="preserve">          2018 - 2023</t>
  </si>
  <si>
    <t>Fuente: Anuario Estadistico Policial 2023.</t>
  </si>
  <si>
    <t xml:space="preserve">         DELITO, SITUACIÓN JURÍDICA, SEXO, NIVEL DE INSTRUCCIÓN Y ESTADO CIVIL, 2017 - 2024</t>
  </si>
  <si>
    <t>1/ Información a Setiembre del 2024.</t>
  </si>
  <si>
    <t>2024  a/</t>
  </si>
  <si>
    <t>a/ Información a Setiembre del 2024.</t>
  </si>
  <si>
    <t>2024 a/</t>
  </si>
  <si>
    <t>a/ Información a Setiembre del 2024</t>
  </si>
  <si>
    <t>8.2   PUNO: DETENIDOS POR DELITOS Y  FALTAS REGISTRADAS EN LA POLICÍA NACIONAL, 1994 - 2023</t>
  </si>
  <si>
    <t xml:space="preserve">       1994 - 2023</t>
  </si>
  <si>
    <t>2023 a/</t>
  </si>
  <si>
    <t>8.14   PUNO: ACCIONES TERRORISTAS, SEGÚN ÁMBITO GEOGRÁFICO,  2018 - 2023</t>
  </si>
  <si>
    <t>8.17   PUNO: ACCIDENTES DE TRÁNSITO REGISTRADOS, 1998 - 2023</t>
  </si>
  <si>
    <t>8.24   PUNO: FISCALÍAS OPERATIVAS DEL MINISTERIO PÚBLICO POR CATEGORÍA Y PERSONAL A CARGO, SEGÚN 
         ÁMBITO GEOGRÁFICO, 2018 - 2023</t>
  </si>
  <si>
    <t>Conclusión.</t>
  </si>
  <si>
    <t>Fuente: Oficina de Registro Penitenciarios - SIEP - Instituto Nacional Penitenciario - Puno al año 2024</t>
  </si>
  <si>
    <t xml:space="preserve">         DELITO, SITUACIÓN JURÍDICA, SEXO, NIVEL DE INSTRUCCIÓN Y ESTADO CIVIL, 2020 - 2024</t>
  </si>
  <si>
    <t>8.31   PUNO: POBLACIÓN PENAL REGISTRADA EN LA POLICÍA  NACIONAL, SEGÚN TIPO DE DELITO, 2018 - 2024</t>
  </si>
  <si>
    <t>8.32   PUNO: POBLACIÓN PENAL, SEGÚN NIVEL DE INSTRUCCIÓN, 2018 - 2024</t>
  </si>
  <si>
    <t>8.1  PUNO: FALTAS Y DELITOS, SEGÚN ÁMBITO GEOGRÁFICO, 2018 - 2023</t>
  </si>
  <si>
    <t>1/ El total comprende a las denuncias por comisión de delitos registrados en Comisarías y Unidades Especializadas en Investigación Criminal.</t>
  </si>
  <si>
    <t>2/ Se refiere a niños, niñas y adolescentes retenidos en los Juzgados de Familia, de Fiscalía de Familia, Establecimiento
    Tutelar,  Centros Preventivos, Padres tutores,Pendientes (fuga).</t>
  </si>
  <si>
    <t>Detenidos por Delitos</t>
  </si>
  <si>
    <t xml:space="preserve"> Resto del País</t>
  </si>
  <si>
    <t>8.3  PUNO: DENUNCIAS POR DELITOS REGISTRADOS EN LA POLICÍA NACIONAL, EN EL PAÍS Y DEPARTAMENTO,</t>
  </si>
  <si>
    <t>8.4  PUNO: DENUNCIAS REGISTRADAS EN LA POLICÍA  NACIONAL, SEGÚN TIPO DE DELITO, 2018 - 2023</t>
  </si>
  <si>
    <t>Tipo de Falta</t>
  </si>
  <si>
    <t>8.5  PUNO: FALTAS REGISTRADAS POR LA POLICÍA  NACIONAL, SEGÚN TIPO DE FALTA, 2019 - 2023</t>
  </si>
  <si>
    <t>8.6  PUNO: BANDAS DELICTIVAS DESARTICULADAS, SEGÚN ÁMBITO GEOGRÁFICO, 2018 - 2023</t>
  </si>
  <si>
    <t>8.7   PUNO: DENUNCIAS REGISTRADAS POR DELITO DE TRATA DE PERSONAS, SEGÚN DISTRITO
        FISCAL, 2018 - 2023</t>
  </si>
  <si>
    <t xml:space="preserve">        (Casos registrados)</t>
  </si>
  <si>
    <t>8.9  PUNO: DENUNCIAS DE VIOLENCIA FAMILIAR, SEGÚN ÁMBITO GEOGRÁFICO Y TIPO, 2019 - 2023</t>
  </si>
  <si>
    <t>8.10  PUNO: DENUNCIAS POR VIOLENCIA SEXUAL A PERSONAS MENORES DE 18 AÑOS DE EDAD, SEGÚN ÁMBITO
         GEOGRÁFICO Y SEXO DE LA VÍCTIMA, 2018 - 2023</t>
  </si>
  <si>
    <t>(Casos registrados)</t>
  </si>
  <si>
    <t xml:space="preserve">8.11   PUNO: DENUNCIAS POR VIOLENCIA SEXUAL A PERSONAS DE 18 Y MÁS AÑOS DE EDAD, SEGÚN
          ÁMBITO GEOGRÁFICO Y SEXO DE LA VÍCTIMA, 2018 - 2023                                                                                                                                                                                                                                         </t>
  </si>
  <si>
    <t>Ámbito Geográfico / Área de Residencia</t>
  </si>
  <si>
    <t>8.15  PUNO: PERSONAS DETENIDAS POR TERRORISMO, SEGÚN ÁMBITO GEOGRÁFICO, 2018 - 2023</t>
  </si>
  <si>
    <t>8.16  PUNO: PERSONAS INTERVENIDAS, SEGÚN TRÁFICO, CONSUMO ILÍCITO Y MICROCOMERCIALIZACIÓN
         DE DROGAS, REGISTRADAS EN LA POLICÍA NACIONAL, 2019 - 2023</t>
  </si>
  <si>
    <t>8.18  PUNO: ACCIDENTES DE TRÁNSITO REGISTRADOS, SEGÚN ESPECIFICACIÓN, 2018 - 2023</t>
  </si>
  <si>
    <t>8.19  PUNO: INFRACCIONES DE TRÁNSITO REGISTRADAS EN LA POLICÍA NACIONAL, SEGÚN
         ESPECIFICACIÓN,  2018 - 2023</t>
  </si>
  <si>
    <t xml:space="preserve">              Total País</t>
  </si>
  <si>
    <t>Resto País</t>
  </si>
  <si>
    <t>8.20  PUNO: VEHÍCULOS ROBADOS Y RECUPERADOS, 2001 - 2023</t>
  </si>
  <si>
    <t>8.21  PUNO: DENUNCIAS DE ACCIDENTES DE TRÁNSITO NO FATALES, SEGÚN TIPO, 2018 - 2023</t>
  </si>
  <si>
    <t>8.23  PUNO: SALAS DE JUZGADOS DE PRIMERA INSTANCIA Y DE PAZ LETRADO, CENTROS PENITENCIARIOS Y
          POBLACIÓN PENAL, 2011  - 2023</t>
  </si>
  <si>
    <t>Personal a Cargo</t>
  </si>
  <si>
    <t>Fuente : Ministerio Público - Boletin Sistema Nacional de fiscales Noviembre 2023, Ministerio Público - Sistema de 
              Información de Apoyo al Trabajo Fiscal (SIATF) y Sistema de Gestión Fiscal (SGF).</t>
  </si>
  <si>
    <t>8.25  PUNO: FISCALÍAS DEL MINISTERIO PÚBLICO POR CATEGORÍA, SEGÚN ÁMBITO GEOGRÁFICO,  2013 - 2023</t>
  </si>
  <si>
    <t>8.26  PERÚ: NÚMERO DE FISCALÍAS DEL MINISTERIO PÚBLICO, SEGÚN CATEGORÍA Y ESPECIALIDAD, 2018 - 2023</t>
  </si>
  <si>
    <t>8.27  PUNO: FISCALES DEL MINISTERIO PÚBLICO, SEGÚN DISTRITO FISCAL, 2017 - 2023</t>
  </si>
  <si>
    <t xml:space="preserve">          (Personas)</t>
  </si>
  <si>
    <t>8.29   PUNO: DENUNCIAS Y EXPEDIENTES INGRESADOS EN LAS FISCALÍAS CIVIL, DE FAMILIA Y MIXTAS, SOBRE 
            INFRACCIONES COMETIDAS POR ADOLESCENTES, 2021-2023</t>
  </si>
  <si>
    <t>8.33  PUNO:  POBLACIÓN PENAL EN LOS ESTABLECIMIENTOS PENITENCIARIOS POR SITUACIÓN JURÍDICA Y SEXO,
         SEGÚN TIPO DE DELITO,  2017 - 2022</t>
  </si>
  <si>
    <t>Situacion Juridica</t>
  </si>
  <si>
    <t xml:space="preserve">      Conclusión.</t>
  </si>
  <si>
    <t>8.34  PUNO: POBLACIÓN  PENITENCIARÍA EN EL TERRITORIO, 2013 - 2024</t>
  </si>
  <si>
    <t xml:space="preserve"> Total País</t>
  </si>
  <si>
    <t>Capacidad de Albergue</t>
  </si>
  <si>
    <t>8.35  PUNO: POBLACIÓN PENAL, SITUACIÓN JURÍDICA POR SEXO Y CAPACIDAD DE ALBERGUE SEGÚN 
         ESTABLECIMIENTO PENITENCIARIO,  2019 - 2024</t>
  </si>
  <si>
    <t>Fuentes: Instituto Nacional de Estadística e Informática - Compendio Estadistico Nacional 2024 - Anuario Estadistico Policial 2023.</t>
  </si>
  <si>
    <t>Continúa…</t>
  </si>
  <si>
    <t>Fuente: Anuario Estadístico Policial 2023</t>
  </si>
  <si>
    <t>8.22  PUNO: DELITOS INGRESADOS EN LAS FISCALÍAS PROVINCIALES PENALES Y MIXTAS,  SEGÚN DISTRITO 
         FISCAL, 2018 - 2023</t>
  </si>
  <si>
    <t>Exspecializada contra la Criminalidad Organizada</t>
  </si>
  <si>
    <t xml:space="preserve">1/ Incluye: Violencia familiar, mordedura canina, omisión a la asistencia familiar, abandono o retiro del hogar, contra el 
                    código de contravenciones, el que organiza y participa en juegos prohibidos por la ley,introducir o dejar 
                </t>
  </si>
  <si>
    <t>Fuente: Compendio estadístico Sector Interior 2023</t>
  </si>
  <si>
    <t xml:space="preserve">                         entrar animales domésticos a inmueble ajeno, etc.</t>
  </si>
  <si>
    <t xml:space="preserve">Fuente: Ministerio del Interior - MININTER - Oficina de Planeamiento y Estadistica - Compendio Estadistico Sector Interior 2023 - INEI Compendio </t>
  </si>
  <si>
    <t xml:space="preserve">             Estadístico Nacional 2024.</t>
  </si>
  <si>
    <t xml:space="preserve">Fuente: Compendio Estadístico Sector Interior 2023 - Ministerio del Interior - INEI Compendio Estadístico 2024 - </t>
  </si>
  <si>
    <t xml:space="preserve">                Anuario Estadístico Policia 2023.</t>
  </si>
  <si>
    <r>
      <t xml:space="preserve">Nota: </t>
    </r>
    <r>
      <rPr>
        <sz val="7"/>
        <color indexed="8"/>
        <rFont val="Arial Narrow"/>
        <family val="2"/>
      </rPr>
      <t xml:space="preserve">Las cifras sobre feminicidio son actualizadas periódicamente según los resultados de las investigaciones fiscales, ya que existen casos 
       denominados como "posible feminicidio". Dichos casos son monitoreados directamente por el Observatorio de Criminalidad del 
         Ministerio Público con las fiscalías responsables de la investigación a nivel nacional, ya que a través de las diligencias dispuestas por 
         el fiscal (que incluyen recepción de declaraciones, análisis y recojo de evidencias en la escena del  crimen, emisión de protocolos de 
        necropsias, pericias biológicas, patológicas, químicas, balísticas, etc.), se determina si éstos constituyen feminicidios o no, lo cual 
 permite actualizar las cifras estadísticas, según la fecha de corte de la información. </t>
    </r>
  </si>
  <si>
    <t>Elaboración: Instituto Nacional de Estadística e Informática.</t>
  </si>
  <si>
    <t xml:space="preserve">Fuente: Ministerio del Interior  - Décima Macro Región Policial Puno - Compendio Estadístico Sector Interior 2023 - </t>
  </si>
  <si>
    <t xml:space="preserve">   INEI Compendio Estadístico 2024. </t>
  </si>
  <si>
    <t xml:space="preserve">                  2023.</t>
  </si>
  <si>
    <r>
      <rPr>
        <b/>
        <sz val="7"/>
        <rFont val="Arial Narrow"/>
        <family val="2"/>
      </rPr>
      <t>Nota:</t>
    </r>
    <r>
      <rPr>
        <sz val="7"/>
        <rFont val="Arial Narrow"/>
        <family val="2"/>
      </rPr>
      <t xml:space="preserve"> Las cifras corresponden al número de presuntos delitos registrados en el Ministerio Público, exclusivamente en las bases de datos 
         interconectadas (SIATF y SGF). Las cifras no se refieren al número de casos ni al número de denuncias, ya que un único caso 
         puede estar referido a uno o más delitos. Tampoco se puede equiparar el número de delitos al número total de imputados o detenidos 
         porque puede ocurrir que un único caso tenga más de un imputado o detenido. Asimismo, los datos corresponden a todos los delitos 
         </t>
    </r>
  </si>
  <si>
    <t xml:space="preserve">          sin discriminar la situación jurídica o el estado de las investigaciones.</t>
  </si>
  <si>
    <t>Fuente: Ministerio Público - Oficina de Registro y Evaluación de Fiscalías, Sistema de Información de Apoyo al Trabajo Fiscal (SIATF) y Sistema de</t>
  </si>
  <si>
    <t xml:space="preserve">                Gestión Fiscal (SGF)</t>
  </si>
  <si>
    <t xml:space="preserve">Fuente: Ministerio Público - Oficina de Registro y Evaluación de Fiscalías, Sistema de Información de Apoyo al  </t>
  </si>
  <si>
    <t xml:space="preserve">                 Trabajo Fiscal (SIATF) y Sistema de Gestión Fiscal (SGF).</t>
  </si>
  <si>
    <t xml:space="preserve">              Sistema de Gestión de Indicadores - Puno</t>
  </si>
  <si>
    <t>Fuente: Ministerio Público - Oficina de Registro y Evaluación de Fiscalías, Sistema de 
               Información de Apoyo al Trabajo Fiscal (SIATF) y Sistema de Gestión Fiscal (SGF).</t>
  </si>
  <si>
    <t>Fuente: Ministerio Público - Sistema Integrado de Administración Financiera y Transparencia,  Sistema Gestión
           Fiscal - Puno. Sistema de información de Apoyo al trabajo Fiscal - SIATF.</t>
  </si>
</sst>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164" formatCode="_ * #,##0_ ;_ * \-#,##0_ ;_ * &quot;-&quot;_ ;_ @_ "/>
    <numFmt numFmtId="165" formatCode="0_____)"/>
    <numFmt numFmtId="166" formatCode="0______"/>
    <numFmt numFmtId="167" formatCode="0&quot; &quot;"/>
    <numFmt numFmtId="168" formatCode="0&quot;        &quot;"/>
    <numFmt numFmtId="169" formatCode="0&quot;      &quot;"/>
    <numFmt numFmtId="170" formatCode="0&quot;         &quot;"/>
    <numFmt numFmtId="171" formatCode="0&quot;  &quot;"/>
    <numFmt numFmtId="172" formatCode="#\ ##0"/>
    <numFmt numFmtId="173" formatCode="#\ ##0&quot;   &quot;"/>
    <numFmt numFmtId="174" formatCode="#\ ###\ ##0"/>
    <numFmt numFmtId="175" formatCode="#\ ###\ ##0&quot;                &quot;"/>
    <numFmt numFmtId="176" formatCode="0&quot;    &quot;"/>
    <numFmt numFmtId="177" formatCode="#\ ###\ ##0&quot;            &quot;"/>
    <numFmt numFmtId="178" formatCode="0&quot;   &quot;"/>
    <numFmt numFmtId="179" formatCode="0&quot;     &quot;"/>
    <numFmt numFmtId="180" formatCode="0&quot;&quot;"/>
    <numFmt numFmtId="181" formatCode="0&quot;       &quot;"/>
    <numFmt numFmtId="182" formatCode="0&quot; &quot;000"/>
    <numFmt numFmtId="183" formatCode="#\ ##0&quot;&quot;"/>
    <numFmt numFmtId="184" formatCode="0&quot;             &quot;"/>
    <numFmt numFmtId="185" formatCode="@&quot;&quot;"/>
    <numFmt numFmtId="186" formatCode="#\ ##0&quot;          &quot;"/>
    <numFmt numFmtId="187" formatCode="#\ ##0&quot;              &quot;"/>
    <numFmt numFmtId="188" formatCode="#\ ##0&quot;                        &quot;"/>
    <numFmt numFmtId="189" formatCode="#\ ##0&quot;                  &quot;"/>
    <numFmt numFmtId="190" formatCode="#\ ##0&quot;                                        &quot;"/>
    <numFmt numFmtId="191" formatCode="#\ ##0&quot; &quot;"/>
    <numFmt numFmtId="192" formatCode="#\ ##0&quot;           &quot;"/>
    <numFmt numFmtId="193" formatCode="@&quot;         &quot;"/>
    <numFmt numFmtId="194" formatCode="@&quot;          &quot;"/>
    <numFmt numFmtId="195" formatCode="@&quot;           &quot;"/>
    <numFmt numFmtId="196" formatCode="#\ \ ##0"/>
    <numFmt numFmtId="197" formatCode="#\ ###\ \ ##0;;&quot;-&quot;"/>
    <numFmt numFmtId="198" formatCode="0.0"/>
    <numFmt numFmtId="199" formatCode="#\ ##0\ \ "/>
    <numFmt numFmtId="200" formatCode="#\ ###\ ##0&quot;                  &quot;"/>
    <numFmt numFmtId="201" formatCode="#\ ###\ ##0;;&quot;-&quot;"/>
    <numFmt numFmtId="202" formatCode="##\ ###"/>
    <numFmt numFmtId="203" formatCode="\ \ \ \ \ \ \ \ \ \ \ \ \ \ @"/>
    <numFmt numFmtId="204" formatCode="\ \ \ \ \ \ \ \ \ \ \ \ \ @"/>
  </numFmts>
  <fonts count="84">
    <font>
      <sz val="10"/>
      <name val="Arial"/>
    </font>
    <font>
      <sz val="11"/>
      <color theme="1"/>
      <name val="Franklin Gothic Medium"/>
      <family val="2"/>
      <scheme val="minor"/>
    </font>
    <font>
      <sz val="11"/>
      <color theme="1"/>
      <name val="Franklin Gothic Medium"/>
      <family val="2"/>
      <scheme val="minor"/>
    </font>
    <font>
      <sz val="11"/>
      <color theme="1"/>
      <name val="Franklin Gothic Medium"/>
      <family val="2"/>
      <scheme val="minor"/>
    </font>
    <font>
      <sz val="11"/>
      <color theme="1"/>
      <name val="Franklin Gothic Medium"/>
      <family val="2"/>
      <scheme val="minor"/>
    </font>
    <font>
      <sz val="10"/>
      <name val="Arial"/>
      <family val="2"/>
    </font>
    <font>
      <b/>
      <sz val="10"/>
      <name val="Arial"/>
      <family val="2"/>
    </font>
    <font>
      <sz val="8"/>
      <name val="Arial"/>
      <family val="2"/>
    </font>
    <font>
      <b/>
      <sz val="8"/>
      <name val="Arial"/>
      <family val="2"/>
    </font>
    <font>
      <b/>
      <sz val="9"/>
      <name val="Arial"/>
      <family val="2"/>
    </font>
    <font>
      <sz val="8"/>
      <name val="Times New Roman"/>
      <family val="1"/>
    </font>
    <font>
      <b/>
      <sz val="8"/>
      <name val="Times New Roman"/>
      <family val="1"/>
    </font>
    <font>
      <b/>
      <sz val="6"/>
      <name val="Arial"/>
      <family val="2"/>
    </font>
    <font>
      <b/>
      <i/>
      <sz val="8"/>
      <name val="Arial"/>
      <family val="2"/>
    </font>
    <font>
      <b/>
      <sz val="9"/>
      <name val="Arial Narrow"/>
      <family val="2"/>
    </font>
    <font>
      <b/>
      <sz val="8"/>
      <name val="Arial Narrow"/>
      <family val="2"/>
    </font>
    <font>
      <sz val="8"/>
      <name val="Arial Narrow"/>
      <family val="2"/>
    </font>
    <font>
      <b/>
      <sz val="6"/>
      <name val="Arial Tur"/>
      <family val="2"/>
      <charset val="162"/>
    </font>
    <font>
      <sz val="9"/>
      <name val="Arial Narrow"/>
      <family val="2"/>
    </font>
    <font>
      <b/>
      <sz val="7"/>
      <name val="Arial Tur"/>
      <family val="2"/>
      <charset val="162"/>
    </font>
    <font>
      <sz val="7"/>
      <name val="Arial TUR"/>
      <family val="2"/>
      <charset val="162"/>
    </font>
    <font>
      <sz val="7"/>
      <name val="Arial Narrow"/>
      <family val="2"/>
    </font>
    <font>
      <b/>
      <sz val="7"/>
      <name val="Arial Narrow"/>
      <family val="2"/>
    </font>
    <font>
      <sz val="7"/>
      <name val="Arial"/>
      <family val="2"/>
    </font>
    <font>
      <sz val="8"/>
      <name val="Arial"/>
      <family val="2"/>
    </font>
    <font>
      <sz val="7"/>
      <name val="Times New Roman"/>
      <family val="1"/>
    </font>
    <font>
      <sz val="8"/>
      <name val="Arial Tur"/>
      <family val="2"/>
      <charset val="162"/>
    </font>
    <font>
      <sz val="10"/>
      <name val="Arial Narrow"/>
      <family val="2"/>
    </font>
    <font>
      <sz val="8"/>
      <name val="Verdana"/>
      <family val="2"/>
    </font>
    <font>
      <sz val="8"/>
      <color indexed="63"/>
      <name val="Verdana"/>
      <family val="2"/>
    </font>
    <font>
      <sz val="8"/>
      <color indexed="8"/>
      <name val="Verdana"/>
      <family val="2"/>
    </font>
    <font>
      <b/>
      <sz val="8"/>
      <color indexed="8"/>
      <name val="Times New Roman"/>
      <family val="1"/>
    </font>
    <font>
      <sz val="8"/>
      <color indexed="8"/>
      <name val="Times New Roman"/>
      <family val="1"/>
    </font>
    <font>
      <b/>
      <i/>
      <sz val="8"/>
      <color indexed="8"/>
      <name val="Times New Roman"/>
      <family val="1"/>
    </font>
    <font>
      <sz val="8"/>
      <color indexed="10"/>
      <name val="Arial Narrow"/>
      <family val="2"/>
    </font>
    <font>
      <sz val="8"/>
      <color rgb="FF002060"/>
      <name val="Arial Narrow"/>
      <family val="2"/>
    </font>
    <font>
      <b/>
      <sz val="8"/>
      <color theme="1"/>
      <name val="Arial Narrow"/>
      <family val="2"/>
    </font>
    <font>
      <sz val="8"/>
      <color theme="1"/>
      <name val="Arial Narrow"/>
      <family val="2"/>
    </font>
    <font>
      <b/>
      <sz val="10"/>
      <name val="Arial Narrow"/>
      <family val="2"/>
    </font>
    <font>
      <sz val="11"/>
      <name val="Arial Narrow"/>
      <family val="2"/>
    </font>
    <font>
      <sz val="6"/>
      <name val="Arial Narrow"/>
      <family val="2"/>
    </font>
    <font>
      <b/>
      <sz val="7"/>
      <name val="Arial"/>
      <family val="2"/>
    </font>
    <font>
      <i/>
      <sz val="8"/>
      <name val="Arial Narrow"/>
      <family val="2"/>
    </font>
    <font>
      <b/>
      <sz val="8"/>
      <color rgb="FFFF0000"/>
      <name val="Arial Narrow"/>
      <family val="2"/>
    </font>
    <font>
      <b/>
      <sz val="10"/>
      <color rgb="FFFF0000"/>
      <name val="Arial Narrow"/>
      <family val="2"/>
    </font>
    <font>
      <b/>
      <sz val="12"/>
      <color theme="0"/>
      <name val="Arial Narrow"/>
      <family val="2"/>
    </font>
    <font>
      <sz val="6"/>
      <name val="Arial"/>
      <family val="2"/>
    </font>
    <font>
      <sz val="8"/>
      <name val="Trebuchet MS"/>
      <family val="2"/>
    </font>
    <font>
      <sz val="10"/>
      <name val="Sylfaen"/>
      <family val="1"/>
    </font>
    <font>
      <i/>
      <sz val="7"/>
      <name val="Arial Narrow"/>
      <family val="2"/>
    </font>
    <font>
      <sz val="8"/>
      <color indexed="56"/>
      <name val="Arial Narrow"/>
      <family val="2"/>
    </font>
    <font>
      <sz val="7"/>
      <color indexed="8"/>
      <name val="Arial Narrow"/>
      <family val="2"/>
    </font>
    <font>
      <b/>
      <sz val="8"/>
      <color indexed="8"/>
      <name val="Arial Narrow"/>
      <family val="2"/>
    </font>
    <font>
      <sz val="8"/>
      <color indexed="8"/>
      <name val="Arial Narrow"/>
      <family val="2"/>
    </font>
    <font>
      <b/>
      <sz val="9"/>
      <color indexed="8"/>
      <name val="Arial Narrow"/>
      <family val="2"/>
    </font>
    <font>
      <b/>
      <sz val="10"/>
      <color indexed="8"/>
      <name val="Arial Narrow"/>
      <family val="2"/>
    </font>
    <font>
      <b/>
      <sz val="7"/>
      <color indexed="8"/>
      <name val="Arial Narrow"/>
      <family val="2"/>
    </font>
    <font>
      <sz val="10"/>
      <color rgb="FFFF0000"/>
      <name val="Arial"/>
      <family val="2"/>
    </font>
    <font>
      <b/>
      <sz val="11"/>
      <name val="Arial Narrow"/>
      <family val="2"/>
    </font>
    <font>
      <sz val="12"/>
      <name val="Courier"/>
      <family val="3"/>
    </font>
    <font>
      <sz val="9"/>
      <color indexed="8"/>
      <name val="Arial Narrow"/>
      <family val="2"/>
    </font>
    <font>
      <u/>
      <sz val="10"/>
      <color theme="10"/>
      <name val="Arial"/>
      <family val="2"/>
    </font>
    <font>
      <sz val="10"/>
      <color theme="1"/>
      <name val="Arial"/>
      <family val="2"/>
    </font>
    <font>
      <u/>
      <sz val="10"/>
      <color rgb="FF003399"/>
      <name val="Arial"/>
      <family val="2"/>
    </font>
    <font>
      <sz val="8"/>
      <color theme="0" tint="-4.9989318521683403E-2"/>
      <name val="Arial Narrow"/>
      <family val="2"/>
    </font>
    <font>
      <sz val="8"/>
      <color rgb="FFFF0000"/>
      <name val="Arial Narrow"/>
      <family val="2"/>
    </font>
    <font>
      <sz val="8"/>
      <color rgb="FFFF0000"/>
      <name val="Times New Roman"/>
      <family val="1"/>
    </font>
    <font>
      <sz val="8"/>
      <color rgb="FFFF0000"/>
      <name val="Arial"/>
      <family val="2"/>
    </font>
    <font>
      <sz val="12"/>
      <color rgb="FFFF0000"/>
      <name val="Arial Narrow"/>
      <family val="2"/>
    </font>
    <font>
      <sz val="10"/>
      <color rgb="FFFF0000"/>
      <name val="Arial Narrow"/>
      <family val="2"/>
    </font>
    <font>
      <sz val="14"/>
      <color rgb="FFFF0000"/>
      <name val="Times New Roman"/>
      <family val="1"/>
    </font>
    <font>
      <b/>
      <sz val="10"/>
      <color rgb="FFFF0000"/>
      <name val="Arial TUR"/>
    </font>
    <font>
      <b/>
      <sz val="11"/>
      <color rgb="FFFF0000"/>
      <name val="Arial Narrow"/>
      <family val="2"/>
    </font>
    <font>
      <b/>
      <sz val="9"/>
      <color rgb="FFFF0000"/>
      <name val="Arial Narrow"/>
      <family val="2"/>
    </font>
    <font>
      <b/>
      <sz val="10"/>
      <color rgb="FFFF0000"/>
      <name val="Arial"/>
      <family val="2"/>
    </font>
    <font>
      <b/>
      <sz val="8"/>
      <color rgb="FFFF0000"/>
      <name val="Arial"/>
      <family val="2"/>
    </font>
    <font>
      <b/>
      <sz val="14"/>
      <color rgb="FFFF0000"/>
      <name val="Arial Narrow"/>
      <family val="2"/>
    </font>
    <font>
      <b/>
      <sz val="9"/>
      <color rgb="FF000000"/>
      <name val="Calibri"/>
      <family val="2"/>
    </font>
    <font>
      <sz val="9"/>
      <color rgb="FF000000"/>
      <name val="Calibri"/>
      <family val="2"/>
    </font>
    <font>
      <b/>
      <sz val="7"/>
      <color theme="1"/>
      <name val="Arial Narrow"/>
      <family val="2"/>
    </font>
    <font>
      <sz val="10"/>
      <color rgb="FFFF0000"/>
      <name val="Times New Roman"/>
      <family val="1"/>
    </font>
    <font>
      <sz val="10"/>
      <color rgb="FF003399"/>
      <name val="Arial"/>
      <family val="2"/>
    </font>
    <font>
      <b/>
      <vertAlign val="superscript"/>
      <sz val="8"/>
      <name val="Arial Narrow"/>
      <family val="2"/>
    </font>
    <font>
      <u/>
      <sz val="12"/>
      <color rgb="FF3333FF"/>
      <name val="Arial Narrow"/>
      <family val="2"/>
    </font>
  </fonts>
  <fills count="11">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theme="0"/>
        <bgColor indexed="64"/>
      </patternFill>
    </fill>
    <fill>
      <patternFill patternType="solid">
        <fgColor theme="0"/>
        <bgColor indexed="22"/>
      </patternFill>
    </fill>
    <fill>
      <patternFill patternType="solid">
        <fgColor indexed="9"/>
        <bgColor indexed="22"/>
      </patternFill>
    </fill>
    <fill>
      <patternFill patternType="solid">
        <fgColor rgb="FF003399"/>
        <bgColor indexed="64"/>
      </patternFill>
    </fill>
    <fill>
      <patternFill patternType="solid">
        <fgColor rgb="FFCCFFFF"/>
        <bgColor indexed="64"/>
      </patternFill>
    </fill>
    <fill>
      <patternFill patternType="solid">
        <fgColor indexed="41"/>
        <bgColor indexed="64"/>
      </patternFill>
    </fill>
    <fill>
      <patternFill patternType="solid">
        <fgColor theme="0"/>
        <bgColor indexed="9"/>
      </patternFill>
    </fill>
  </fills>
  <borders count="91">
    <border>
      <left/>
      <right/>
      <top/>
      <bottom/>
      <diagonal/>
    </border>
    <border>
      <left/>
      <right/>
      <top/>
      <bottom style="thin">
        <color indexed="49"/>
      </bottom>
      <diagonal/>
    </border>
    <border>
      <left/>
      <right/>
      <top style="thin">
        <color indexed="49"/>
      </top>
      <bottom style="thin">
        <color indexed="49"/>
      </bottom>
      <diagonal/>
    </border>
    <border>
      <left/>
      <right style="thick">
        <color indexed="49"/>
      </right>
      <top/>
      <bottom/>
      <diagonal/>
    </border>
    <border>
      <left/>
      <right style="thick">
        <color indexed="49"/>
      </right>
      <top/>
      <bottom style="thin">
        <color indexed="49"/>
      </bottom>
      <diagonal/>
    </border>
    <border>
      <left/>
      <right/>
      <top style="thin">
        <color indexed="49"/>
      </top>
      <bottom/>
      <diagonal/>
    </border>
    <border>
      <left style="thick">
        <color indexed="49"/>
      </left>
      <right/>
      <top/>
      <bottom/>
      <diagonal/>
    </border>
    <border>
      <left style="thick">
        <color indexed="49"/>
      </left>
      <right/>
      <top/>
      <bottom style="thin">
        <color indexed="49"/>
      </bottom>
      <diagonal/>
    </border>
    <border>
      <left/>
      <right style="thick">
        <color indexed="49"/>
      </right>
      <top style="thin">
        <color indexed="49"/>
      </top>
      <bottom/>
      <diagonal/>
    </border>
    <border>
      <left style="thick">
        <color indexed="49"/>
      </left>
      <right/>
      <top style="thin">
        <color indexed="49"/>
      </top>
      <bottom style="thin">
        <color indexed="49"/>
      </bottom>
      <diagonal/>
    </border>
    <border>
      <left/>
      <right/>
      <top/>
      <bottom style="thin">
        <color rgb="FF33CCCC"/>
      </bottom>
      <diagonal/>
    </border>
    <border>
      <left/>
      <right/>
      <top style="thin">
        <color rgb="FF33CCCC"/>
      </top>
      <bottom style="thin">
        <color rgb="FF33CCCC"/>
      </bottom>
      <diagonal/>
    </border>
    <border>
      <left/>
      <right/>
      <top style="thin">
        <color rgb="FF33CCCC"/>
      </top>
      <bottom/>
      <diagonal/>
    </border>
    <border>
      <left/>
      <right style="thick">
        <color rgb="FF33CCCC"/>
      </right>
      <top/>
      <bottom/>
      <diagonal/>
    </border>
    <border>
      <left/>
      <right style="thick">
        <color indexed="64"/>
      </right>
      <top style="thin">
        <color auto="1"/>
      </top>
      <bottom style="thin">
        <color auto="1"/>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top/>
      <bottom style="thin">
        <color auto="1"/>
      </bottom>
      <diagonal/>
    </border>
    <border>
      <left/>
      <right style="thick">
        <color auto="1"/>
      </right>
      <top/>
      <bottom/>
      <diagonal/>
    </border>
    <border>
      <left/>
      <right style="thick">
        <color rgb="FF33CCCC"/>
      </right>
      <top style="thin">
        <color rgb="FF33CCCC"/>
      </top>
      <bottom/>
      <diagonal/>
    </border>
    <border>
      <left/>
      <right style="thick">
        <color rgb="FF33CCCC"/>
      </right>
      <top style="thin">
        <color rgb="FF33CCCC"/>
      </top>
      <bottom style="thin">
        <color rgb="FF33CCCC"/>
      </bottom>
      <diagonal/>
    </border>
    <border>
      <left/>
      <right style="thick">
        <color rgb="FF33CCCC"/>
      </right>
      <top/>
      <bottom style="thin">
        <color rgb="FF33CCCC"/>
      </bottom>
      <diagonal/>
    </border>
    <border>
      <left style="thick">
        <color rgb="FF33CCCC"/>
      </left>
      <right/>
      <top style="thin">
        <color rgb="FF33CCCC"/>
      </top>
      <bottom style="thin">
        <color rgb="FF33CCCC"/>
      </bottom>
      <diagonal/>
    </border>
    <border>
      <left style="thick">
        <color rgb="FF33CCCC"/>
      </left>
      <right/>
      <top style="thin">
        <color rgb="FF33CCCC"/>
      </top>
      <bottom/>
      <diagonal/>
    </border>
    <border>
      <left style="thick">
        <color rgb="FF33CCCC"/>
      </left>
      <right/>
      <top/>
      <bottom style="thin">
        <color rgb="FF33CCCC"/>
      </bottom>
      <diagonal/>
    </border>
    <border>
      <left/>
      <right/>
      <top style="thin">
        <color rgb="FF33CCCC"/>
      </top>
      <bottom style="thin">
        <color indexed="49"/>
      </bottom>
      <diagonal/>
    </border>
    <border>
      <left/>
      <right style="thick">
        <color indexed="64"/>
      </right>
      <top style="thin">
        <color indexed="64"/>
      </top>
      <bottom/>
      <diagonal/>
    </border>
    <border>
      <left/>
      <right/>
      <top/>
      <bottom style="thin">
        <color indexed="64"/>
      </bottom>
      <diagonal/>
    </border>
    <border>
      <left/>
      <right/>
      <top style="thin">
        <color indexed="64"/>
      </top>
      <bottom/>
      <diagonal/>
    </border>
    <border>
      <left/>
      <right style="thick">
        <color indexed="64"/>
      </right>
      <top/>
      <bottom style="thin">
        <color indexed="64"/>
      </bottom>
      <diagonal/>
    </border>
    <border>
      <left style="thick">
        <color rgb="FF33CCCC"/>
      </left>
      <right/>
      <top/>
      <bottom/>
      <diagonal/>
    </border>
    <border>
      <left/>
      <right/>
      <top/>
      <bottom style="thin">
        <color auto="1"/>
      </bottom>
      <diagonal/>
    </border>
    <border>
      <left/>
      <right style="thick">
        <color rgb="FF33CCCC"/>
      </right>
      <top/>
      <bottom style="thin">
        <color indexed="49"/>
      </bottom>
      <diagonal/>
    </border>
    <border>
      <left/>
      <right/>
      <top style="thin">
        <color indexed="49"/>
      </top>
      <bottom style="thin">
        <color rgb="FF33CCCC"/>
      </bottom>
      <diagonal/>
    </border>
    <border>
      <left/>
      <right style="thick">
        <color indexed="49"/>
      </right>
      <top/>
      <bottom/>
      <diagonal/>
    </border>
    <border>
      <left/>
      <right/>
      <top style="thin">
        <color indexed="49"/>
      </top>
      <bottom style="thin">
        <color rgb="FF33CCCC"/>
      </bottom>
      <diagonal/>
    </border>
    <border>
      <left/>
      <right/>
      <top style="thin">
        <color indexed="49"/>
      </top>
      <bottom style="thin">
        <color indexed="49"/>
      </bottom>
      <diagonal/>
    </border>
    <border>
      <left/>
      <right/>
      <top style="thin">
        <color indexed="49"/>
      </top>
      <bottom/>
      <diagonal/>
    </border>
    <border>
      <left/>
      <right style="medium">
        <color rgb="FF33CCCC"/>
      </right>
      <top style="thin">
        <color rgb="FF33CCCC"/>
      </top>
      <bottom/>
      <diagonal/>
    </border>
    <border>
      <left/>
      <right style="medium">
        <color rgb="FF33CCCC"/>
      </right>
      <top/>
      <bottom/>
      <diagonal/>
    </border>
    <border>
      <left style="thin">
        <color rgb="FF00CCFF"/>
      </left>
      <right/>
      <top/>
      <bottom/>
      <diagonal/>
    </border>
    <border>
      <left/>
      <right style="medium">
        <color rgb="FF33CCCC"/>
      </right>
      <top/>
      <bottom style="thin">
        <color rgb="FF33CCCC"/>
      </bottom>
      <diagonal/>
    </border>
    <border>
      <left/>
      <right/>
      <top/>
      <bottom style="thin">
        <color indexed="49"/>
      </bottom>
      <diagonal/>
    </border>
    <border>
      <left/>
      <right/>
      <top/>
      <bottom style="thin">
        <color rgb="FF00CC99"/>
      </bottom>
      <diagonal/>
    </border>
    <border>
      <left/>
      <right style="thin">
        <color rgb="FF00CCFF"/>
      </right>
      <top/>
      <bottom/>
      <diagonal/>
    </border>
    <border>
      <left/>
      <right style="thin">
        <color rgb="FF00CCFF"/>
      </right>
      <top/>
      <bottom style="thin">
        <color rgb="FF33CCCC"/>
      </bottom>
      <diagonal/>
    </border>
    <border>
      <left/>
      <right style="thin">
        <color indexed="49"/>
      </right>
      <top style="thin">
        <color indexed="49"/>
      </top>
      <bottom/>
      <diagonal/>
    </border>
    <border>
      <left/>
      <right style="thin">
        <color indexed="49"/>
      </right>
      <top/>
      <bottom/>
      <diagonal/>
    </border>
    <border>
      <left style="medium">
        <color indexed="49"/>
      </left>
      <right/>
      <top/>
      <bottom style="thin">
        <color rgb="FF33CCCC"/>
      </bottom>
      <diagonal/>
    </border>
    <border>
      <left style="medium">
        <color indexed="49"/>
      </left>
      <right/>
      <top/>
      <bottom/>
      <diagonal/>
    </border>
    <border>
      <left style="medium">
        <color rgb="FF33CCCC"/>
      </left>
      <right/>
      <top/>
      <bottom/>
      <diagonal/>
    </border>
    <border>
      <left style="thin">
        <color indexed="9"/>
      </left>
      <right style="thin">
        <color indexed="9"/>
      </right>
      <top style="thin">
        <color indexed="9"/>
      </top>
      <bottom/>
      <diagonal/>
    </border>
    <border>
      <left style="thin">
        <color rgb="FF33CCCC"/>
      </left>
      <right/>
      <top/>
      <bottom/>
      <diagonal/>
    </border>
    <border>
      <left/>
      <right/>
      <top style="thin">
        <color indexed="49"/>
      </top>
      <bottom/>
      <diagonal/>
    </border>
    <border>
      <left/>
      <right/>
      <top style="thin">
        <color rgb="FF33CCCC"/>
      </top>
      <bottom style="thin">
        <color indexed="49"/>
      </bottom>
      <diagonal/>
    </border>
    <border>
      <left/>
      <right style="thin">
        <color indexed="9"/>
      </right>
      <top/>
      <bottom style="thin">
        <color indexed="9"/>
      </bottom>
      <diagonal/>
    </border>
    <border>
      <left/>
      <right style="thin">
        <color indexed="9"/>
      </right>
      <top style="thin">
        <color indexed="9"/>
      </top>
      <bottom style="thin">
        <color indexed="9"/>
      </bottom>
      <diagonal/>
    </border>
    <border>
      <left/>
      <right style="thin">
        <color indexed="9"/>
      </right>
      <top style="thin">
        <color indexed="9"/>
      </top>
      <bottom/>
      <diagonal/>
    </border>
    <border>
      <left style="thick">
        <color indexed="49"/>
      </left>
      <right/>
      <top style="thin">
        <color indexed="49"/>
      </top>
      <bottom style="thin">
        <color indexed="49"/>
      </bottom>
      <diagonal/>
    </border>
    <border>
      <left/>
      <right style="thin">
        <color indexed="49"/>
      </right>
      <top/>
      <bottom style="thin">
        <color rgb="FF33CCCC"/>
      </bottom>
      <diagonal/>
    </border>
    <border>
      <left/>
      <right style="thin">
        <color rgb="FF33CCCC"/>
      </right>
      <top style="thin">
        <color rgb="FF33CCCC"/>
      </top>
      <bottom/>
      <diagonal/>
    </border>
    <border>
      <left/>
      <right style="thin">
        <color rgb="FF33CCCC"/>
      </right>
      <top/>
      <bottom/>
      <diagonal/>
    </border>
    <border>
      <left/>
      <right style="thin">
        <color rgb="FF33CCCC"/>
      </right>
      <top/>
      <bottom style="thin">
        <color rgb="FF33CCCC"/>
      </bottom>
      <diagonal/>
    </border>
    <border>
      <left/>
      <right style="thin">
        <color indexed="49"/>
      </right>
      <top/>
      <bottom style="thin">
        <color indexed="49"/>
      </bottom>
      <diagonal/>
    </border>
    <border>
      <left style="medium">
        <color rgb="FF66FFCC"/>
      </left>
      <right/>
      <top/>
      <bottom/>
      <diagonal/>
    </border>
    <border>
      <left style="medium">
        <color rgb="FF66FFCC"/>
      </left>
      <right/>
      <top/>
      <bottom style="thin">
        <color rgb="FF33CCCC"/>
      </bottom>
      <diagonal/>
    </border>
    <border>
      <left/>
      <right/>
      <top/>
      <bottom style="thin">
        <color rgb="FF66FFFF"/>
      </bottom>
      <diagonal/>
    </border>
    <border>
      <left style="thin">
        <color rgb="FF33CCCC"/>
      </left>
      <right/>
      <top/>
      <bottom style="thin">
        <color rgb="FF33CCCC"/>
      </bottom>
      <diagonal/>
    </border>
    <border>
      <left style="thin">
        <color rgb="FF33CCCC"/>
      </left>
      <right/>
      <top style="thin">
        <color rgb="FF33CCCC"/>
      </top>
      <bottom/>
      <diagonal/>
    </border>
    <border>
      <left style="medium">
        <color rgb="FF33CCCC"/>
      </left>
      <right/>
      <top style="thin">
        <color rgb="FF33CCCC"/>
      </top>
      <bottom style="thin">
        <color rgb="FF33CCCC"/>
      </bottom>
      <diagonal/>
    </border>
    <border>
      <left style="medium">
        <color rgb="FF33CCCC"/>
      </left>
      <right/>
      <top/>
      <bottom style="thin">
        <color rgb="FF33CCCC"/>
      </bottom>
      <diagonal/>
    </border>
    <border>
      <left style="thick">
        <color rgb="FF33CCCC"/>
      </left>
      <right/>
      <top style="thin">
        <color indexed="49"/>
      </top>
      <bottom style="thin">
        <color indexed="49"/>
      </bottom>
      <diagonal/>
    </border>
    <border>
      <left style="thick">
        <color rgb="FF33CCCC"/>
      </left>
      <right/>
      <top style="thin">
        <color indexed="49"/>
      </top>
      <bottom style="thin">
        <color indexed="49"/>
      </bottom>
      <diagonal/>
    </border>
    <border>
      <left style="thick">
        <color indexed="49"/>
      </left>
      <right/>
      <top style="thin">
        <color indexed="49"/>
      </top>
      <bottom/>
      <diagonal/>
    </border>
    <border>
      <left style="thick">
        <color indexed="49"/>
      </left>
      <right/>
      <top/>
      <bottom style="thin">
        <color rgb="FF33CCCC"/>
      </bottom>
      <diagonal/>
    </border>
    <border>
      <left style="thick">
        <color rgb="FF33CCCC"/>
      </left>
      <right/>
      <top style="thin">
        <color rgb="FF33CCCC"/>
      </top>
      <bottom style="thin">
        <color indexed="49"/>
      </bottom>
      <diagonal/>
    </border>
    <border>
      <left style="thick">
        <color indexed="49"/>
      </left>
      <right/>
      <top/>
      <bottom style="thin">
        <color indexed="49"/>
      </bottom>
      <diagonal/>
    </border>
    <border>
      <left/>
      <right style="thick">
        <color indexed="49"/>
      </right>
      <top style="thin">
        <color indexed="49"/>
      </top>
      <bottom/>
      <diagonal/>
    </border>
    <border>
      <left/>
      <right style="thin">
        <color indexed="49"/>
      </right>
      <top style="thin">
        <color rgb="FF33CCCC"/>
      </top>
      <bottom/>
      <diagonal/>
    </border>
    <border>
      <left/>
      <right/>
      <top style="thin">
        <color rgb="FF33CCCC"/>
      </top>
      <bottom style="thin">
        <color rgb="FF00CCFF"/>
      </bottom>
      <diagonal/>
    </border>
    <border>
      <left style="medium">
        <color indexed="49"/>
      </left>
      <right/>
      <top style="thin">
        <color rgb="FF33CCCC"/>
      </top>
      <bottom style="thin">
        <color indexed="49"/>
      </bottom>
      <diagonal/>
    </border>
    <border>
      <left style="thick">
        <color indexed="49"/>
      </left>
      <right/>
      <top style="thin">
        <color rgb="FF33CCCC"/>
      </top>
      <bottom style="thin">
        <color indexed="49"/>
      </bottom>
      <diagonal/>
    </border>
    <border>
      <left/>
      <right/>
      <top/>
      <bottom style="thin">
        <color indexed="9"/>
      </bottom>
      <diagonal/>
    </border>
    <border>
      <left style="thin">
        <color indexed="9"/>
      </left>
      <right/>
      <top style="thin">
        <color indexed="9"/>
      </top>
      <bottom/>
      <diagonal/>
    </border>
    <border>
      <left style="thick">
        <color indexed="49"/>
      </left>
      <right style="thin">
        <color indexed="9"/>
      </right>
      <top/>
      <bottom style="thin">
        <color indexed="9"/>
      </bottom>
      <diagonal/>
    </border>
    <border>
      <left style="thick">
        <color indexed="49"/>
      </left>
      <right style="thin">
        <color indexed="9"/>
      </right>
      <top style="thin">
        <color indexed="9"/>
      </top>
      <bottom/>
      <diagonal/>
    </border>
    <border>
      <left style="thick">
        <color rgb="FF33CCCC"/>
      </left>
      <right/>
      <top/>
      <bottom style="thin">
        <color indexed="49"/>
      </bottom>
      <diagonal/>
    </border>
    <border>
      <left/>
      <right style="thick">
        <color rgb="FF33CCCC"/>
      </right>
      <top style="thin">
        <color rgb="FF33CCCC"/>
      </top>
      <bottom style="thin">
        <color auto="1"/>
      </bottom>
      <diagonal/>
    </border>
    <border>
      <left/>
      <right style="thick">
        <color rgb="FF33CCCC"/>
      </right>
      <top style="thin">
        <color auto="1"/>
      </top>
      <bottom/>
      <diagonal/>
    </border>
    <border>
      <left style="thick">
        <color indexed="49"/>
      </left>
      <right/>
      <top style="thin">
        <color rgb="FF33CCCC"/>
      </top>
      <bottom style="thin">
        <color rgb="FF33CCCC"/>
      </bottom>
      <diagonal/>
    </border>
    <border>
      <left style="thick">
        <color rgb="FF33CCCC"/>
      </left>
      <right/>
      <top style="thin">
        <color indexed="49"/>
      </top>
      <bottom style="thin">
        <color rgb="FF33CCCC"/>
      </bottom>
      <diagonal/>
    </border>
  </borders>
  <cellStyleXfs count="34">
    <xf numFmtId="0" fontId="0" fillId="0" borderId="0"/>
    <xf numFmtId="9" fontId="5" fillId="0" borderId="0" applyFont="0" applyFill="0" applyBorder="0" applyAlignment="0" applyProtection="0"/>
    <xf numFmtId="0" fontId="5" fillId="0" borderId="0"/>
    <xf numFmtId="0" fontId="5" fillId="0" borderId="0"/>
    <xf numFmtId="0" fontId="7" fillId="0" borderId="0"/>
    <xf numFmtId="0" fontId="5" fillId="0" borderId="0"/>
    <xf numFmtId="0" fontId="25" fillId="0" borderId="0"/>
    <xf numFmtId="0" fontId="5" fillId="0" borderId="0"/>
    <xf numFmtId="0" fontId="5" fillId="0" borderId="0"/>
    <xf numFmtId="0" fontId="4" fillId="0" borderId="0"/>
    <xf numFmtId="0" fontId="5" fillId="0" borderId="0"/>
    <xf numFmtId="0" fontId="5" fillId="0" borderId="0" applyProtection="0"/>
    <xf numFmtId="0" fontId="5" fillId="0" borderId="0"/>
    <xf numFmtId="0" fontId="5" fillId="0" borderId="0"/>
    <xf numFmtId="0" fontId="5" fillId="0" borderId="0"/>
    <xf numFmtId="0" fontId="5" fillId="0" borderId="0"/>
    <xf numFmtId="0" fontId="5" fillId="0" borderId="0"/>
    <xf numFmtId="0" fontId="59" fillId="0" borderId="0"/>
    <xf numFmtId="0" fontId="4" fillId="0" borderId="0"/>
    <xf numFmtId="0" fontId="4" fillId="0" borderId="0"/>
    <xf numFmtId="0" fontId="5" fillId="0" borderId="0"/>
    <xf numFmtId="0" fontId="61" fillId="0" borderId="0" applyNumberFormat="0" applyFill="0" applyBorder="0" applyAlignment="0" applyProtection="0"/>
    <xf numFmtId="0" fontId="3" fillId="0" borderId="0"/>
    <xf numFmtId="0" fontId="3" fillId="0" borderId="0"/>
    <xf numFmtId="0" fontId="3" fillId="0" borderId="0"/>
    <xf numFmtId="0" fontId="6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1" fillId="0" borderId="0"/>
  </cellStyleXfs>
  <cellXfs count="1306">
    <xf numFmtId="0" fontId="0" fillId="0" borderId="0" xfId="0"/>
    <xf numFmtId="0" fontId="7" fillId="2" borderId="0" xfId="0" applyFont="1" applyFill="1" applyAlignment="1">
      <alignment vertical="center"/>
    </xf>
    <xf numFmtId="0" fontId="6" fillId="2" borderId="0" xfId="0" applyFont="1" applyFill="1" applyAlignment="1">
      <alignment horizontal="justify" vertical="center" wrapText="1"/>
    </xf>
    <xf numFmtId="0" fontId="8" fillId="2" borderId="0" xfId="0" applyFont="1" applyFill="1" applyAlignment="1">
      <alignment vertical="center"/>
    </xf>
    <xf numFmtId="0" fontId="7" fillId="2" borderId="0" xfId="0" applyFont="1" applyFill="1" applyAlignment="1">
      <alignment horizontal="left" vertical="center"/>
    </xf>
    <xf numFmtId="0" fontId="10" fillId="2" borderId="0" xfId="0" applyFont="1" applyFill="1" applyAlignment="1">
      <alignment vertical="center"/>
    </xf>
    <xf numFmtId="0" fontId="11" fillId="2" borderId="0" xfId="0" applyFont="1" applyFill="1" applyAlignment="1">
      <alignment horizontal="left" vertical="center"/>
    </xf>
    <xf numFmtId="0" fontId="12" fillId="2" borderId="0" xfId="0" applyFont="1" applyFill="1" applyAlignment="1">
      <alignment horizontal="left" vertical="center"/>
    </xf>
    <xf numFmtId="0" fontId="13" fillId="2" borderId="0" xfId="0" applyFont="1" applyFill="1" applyAlignment="1">
      <alignment vertical="center"/>
    </xf>
    <xf numFmtId="0" fontId="16" fillId="2" borderId="0" xfId="0" applyFont="1" applyFill="1" applyAlignment="1">
      <alignment vertical="center"/>
    </xf>
    <xf numFmtId="0" fontId="14" fillId="2" borderId="0" xfId="0" applyFont="1" applyFill="1" applyAlignment="1">
      <alignment vertical="center"/>
    </xf>
    <xf numFmtId="0" fontId="16" fillId="2" borderId="3" xfId="0" applyFont="1" applyFill="1" applyBorder="1" applyAlignment="1">
      <alignment vertical="center"/>
    </xf>
    <xf numFmtId="1" fontId="16" fillId="2" borderId="0" xfId="0" applyNumberFormat="1" applyFont="1" applyFill="1" applyAlignment="1">
      <alignment horizontal="right" vertical="center"/>
    </xf>
    <xf numFmtId="0" fontId="16" fillId="2" borderId="3" xfId="0" applyFont="1" applyFill="1" applyBorder="1" applyAlignment="1">
      <alignment horizontal="center" vertical="center"/>
    </xf>
    <xf numFmtId="0" fontId="20" fillId="2" borderId="0" xfId="0" applyFont="1" applyFill="1" applyAlignment="1">
      <alignment vertical="center"/>
    </xf>
    <xf numFmtId="177" fontId="16" fillId="2" borderId="0" xfId="0" applyNumberFormat="1" applyFont="1" applyFill="1" applyAlignment="1">
      <alignment horizontal="center" vertical="center"/>
    </xf>
    <xf numFmtId="0" fontId="22" fillId="2" borderId="0" xfId="0" applyFont="1" applyFill="1" applyAlignment="1">
      <alignment vertical="center"/>
    </xf>
    <xf numFmtId="0" fontId="21" fillId="2" borderId="0" xfId="0" applyFont="1" applyFill="1" applyAlignment="1">
      <alignment vertical="center"/>
    </xf>
    <xf numFmtId="1" fontId="16" fillId="2" borderId="0" xfId="0" applyNumberFormat="1" applyFont="1" applyFill="1" applyAlignment="1">
      <alignment vertical="center"/>
    </xf>
    <xf numFmtId="0" fontId="7" fillId="2" borderId="0" xfId="0" applyFont="1" applyFill="1" applyAlignment="1">
      <alignment horizontal="justify"/>
    </xf>
    <xf numFmtId="0" fontId="7" fillId="2" borderId="0" xfId="0" applyFont="1" applyFill="1"/>
    <xf numFmtId="0" fontId="20" fillId="2" borderId="0" xfId="0" applyFont="1" applyFill="1"/>
    <xf numFmtId="181" fontId="21" fillId="2" borderId="0" xfId="0" applyNumberFormat="1" applyFont="1" applyFill="1" applyAlignment="1">
      <alignment horizontal="right" vertical="center"/>
    </xf>
    <xf numFmtId="0" fontId="16" fillId="2" borderId="0" xfId="0" applyFont="1" applyFill="1" applyAlignment="1">
      <alignment horizontal="center"/>
    </xf>
    <xf numFmtId="0" fontId="16" fillId="2" borderId="0" xfId="0" applyFont="1" applyFill="1" applyAlignment="1">
      <alignment horizontal="right"/>
    </xf>
    <xf numFmtId="0" fontId="20" fillId="2" borderId="0" xfId="0" applyFont="1" applyFill="1" applyAlignment="1">
      <alignment horizontal="center"/>
    </xf>
    <xf numFmtId="0" fontId="20" fillId="2" borderId="0" xfId="0" applyFont="1" applyFill="1" applyAlignment="1">
      <alignment horizontal="left"/>
    </xf>
    <xf numFmtId="0" fontId="10" fillId="2" borderId="0" xfId="0" applyFont="1" applyFill="1"/>
    <xf numFmtId="178" fontId="23" fillId="2" borderId="0" xfId="0" applyNumberFormat="1" applyFont="1" applyFill="1" applyAlignment="1">
      <alignment horizontal="right"/>
    </xf>
    <xf numFmtId="167" fontId="16" fillId="2" borderId="0" xfId="0" applyNumberFormat="1" applyFont="1" applyFill="1" applyAlignment="1">
      <alignment horizontal="right" vertical="center"/>
    </xf>
    <xf numFmtId="0" fontId="14" fillId="2" borderId="0" xfId="0" applyFont="1" applyFill="1" applyAlignment="1">
      <alignment horizontal="center" vertical="center"/>
    </xf>
    <xf numFmtId="0" fontId="0" fillId="2" borderId="0" xfId="0" applyFill="1"/>
    <xf numFmtId="0" fontId="24" fillId="2" borderId="0" xfId="0" applyFont="1" applyFill="1"/>
    <xf numFmtId="0" fontId="16" fillId="2" borderId="0" xfId="0" applyFont="1" applyFill="1"/>
    <xf numFmtId="0" fontId="16" fillId="2" borderId="0" xfId="0" applyFont="1" applyFill="1" applyAlignment="1">
      <alignment horizontal="center" vertical="center"/>
    </xf>
    <xf numFmtId="0" fontId="15" fillId="2" borderId="0" xfId="0" quotePrefix="1" applyFont="1" applyFill="1" applyAlignment="1">
      <alignment vertical="center"/>
    </xf>
    <xf numFmtId="182" fontId="10" fillId="2" borderId="0" xfId="0" applyNumberFormat="1" applyFont="1" applyFill="1" applyAlignment="1">
      <alignment horizontal="center" vertical="center"/>
    </xf>
    <xf numFmtId="0" fontId="26" fillId="2" borderId="0" xfId="0" applyFont="1" applyFill="1" applyAlignment="1">
      <alignment vertical="center"/>
    </xf>
    <xf numFmtId="165" fontId="10" fillId="2" borderId="0" xfId="0" applyNumberFormat="1" applyFont="1" applyFill="1" applyAlignment="1">
      <alignment horizontal="centerContinuous" vertical="center"/>
    </xf>
    <xf numFmtId="9" fontId="10" fillId="2" borderId="0" xfId="1" applyFont="1" applyFill="1" applyAlignment="1">
      <alignment vertical="center"/>
    </xf>
    <xf numFmtId="0" fontId="28" fillId="2" borderId="0" xfId="0" applyFont="1" applyFill="1" applyAlignment="1">
      <alignment wrapText="1"/>
    </xf>
    <xf numFmtId="0" fontId="28" fillId="2" borderId="0" xfId="0" applyFont="1" applyFill="1" applyAlignment="1">
      <alignment horizontal="center" wrapText="1"/>
    </xf>
    <xf numFmtId="0" fontId="28" fillId="0" borderId="0" xfId="0" applyFont="1" applyAlignment="1">
      <alignment wrapText="1"/>
    </xf>
    <xf numFmtId="0" fontId="29" fillId="2" borderId="0" xfId="0" applyFont="1" applyFill="1" applyAlignment="1">
      <alignment horizontal="center" wrapText="1"/>
    </xf>
    <xf numFmtId="0" fontId="30" fillId="0" borderId="0" xfId="0" applyFont="1" applyAlignment="1">
      <alignment horizontal="center" wrapText="1"/>
    </xf>
    <xf numFmtId="0" fontId="29" fillId="0" borderId="0" xfId="0" applyFont="1" applyAlignment="1">
      <alignment horizontal="center" wrapText="1"/>
    </xf>
    <xf numFmtId="9" fontId="31" fillId="2" borderId="0" xfId="1" applyFont="1" applyFill="1" applyBorder="1" applyAlignment="1" applyProtection="1">
      <alignment horizontal="centerContinuous" vertical="center"/>
    </xf>
    <xf numFmtId="0" fontId="31" fillId="2" borderId="0" xfId="0" applyFont="1" applyFill="1" applyAlignment="1">
      <alignment horizontal="centerContinuous" vertical="center"/>
    </xf>
    <xf numFmtId="9" fontId="31" fillId="2" borderId="0" xfId="1" applyFont="1" applyFill="1" applyBorder="1" applyAlignment="1" applyProtection="1">
      <alignment horizontal="left" vertical="center"/>
    </xf>
    <xf numFmtId="9" fontId="31" fillId="2" borderId="0" xfId="1" applyFont="1" applyFill="1" applyBorder="1" applyAlignment="1">
      <alignment vertical="center"/>
    </xf>
    <xf numFmtId="9" fontId="31" fillId="2" borderId="0" xfId="1" applyFont="1" applyFill="1" applyBorder="1" applyAlignment="1" applyProtection="1">
      <alignment horizontal="center" vertical="center"/>
    </xf>
    <xf numFmtId="0" fontId="30" fillId="2" borderId="0" xfId="0" applyFont="1" applyFill="1" applyAlignment="1">
      <alignment horizontal="center" wrapText="1"/>
    </xf>
    <xf numFmtId="9" fontId="32" fillId="2" borderId="0" xfId="1" applyFont="1" applyFill="1" applyBorder="1" applyAlignment="1">
      <alignment vertical="center"/>
    </xf>
    <xf numFmtId="166" fontId="32" fillId="2" borderId="0" xfId="0" applyNumberFormat="1" applyFont="1" applyFill="1" applyAlignment="1">
      <alignment vertical="center"/>
    </xf>
    <xf numFmtId="0" fontId="31" fillId="2" borderId="0" xfId="0" applyFont="1" applyFill="1" applyAlignment="1">
      <alignment horizontal="left" vertical="center"/>
    </xf>
    <xf numFmtId="0" fontId="31" fillId="2" borderId="0" xfId="0" applyFont="1" applyFill="1" applyAlignment="1">
      <alignment vertical="center"/>
    </xf>
    <xf numFmtId="0" fontId="32" fillId="2" borderId="0" xfId="0" applyFont="1" applyFill="1" applyAlignment="1">
      <alignment vertical="center"/>
    </xf>
    <xf numFmtId="0" fontId="33" fillId="2" borderId="0" xfId="0" applyFont="1" applyFill="1" applyAlignment="1">
      <alignment vertical="center"/>
    </xf>
    <xf numFmtId="0" fontId="0" fillId="2" borderId="0" xfId="0" applyFill="1" applyAlignment="1">
      <alignment horizontal="right"/>
    </xf>
    <xf numFmtId="0" fontId="6" fillId="2" borderId="0" xfId="0" applyFont="1" applyFill="1" applyAlignment="1">
      <alignment horizontal="center" vertical="center"/>
    </xf>
    <xf numFmtId="172" fontId="20" fillId="2" borderId="0" xfId="0" applyNumberFormat="1" applyFont="1" applyFill="1" applyAlignment="1">
      <alignment vertical="center"/>
    </xf>
    <xf numFmtId="172" fontId="16" fillId="2" borderId="0" xfId="0" applyNumberFormat="1" applyFont="1" applyFill="1" applyAlignment="1">
      <alignment horizontal="right" vertical="center"/>
    </xf>
    <xf numFmtId="0" fontId="16" fillId="2" borderId="1" xfId="0" applyFont="1" applyFill="1" applyBorder="1" applyAlignment="1">
      <alignment horizontal="center" vertical="center"/>
    </xf>
    <xf numFmtId="170" fontId="21" fillId="2" borderId="0" xfId="0" applyNumberFormat="1" applyFont="1" applyFill="1" applyAlignment="1">
      <alignment horizontal="right" vertical="center"/>
    </xf>
    <xf numFmtId="184" fontId="7" fillId="2" borderId="0" xfId="0" applyNumberFormat="1" applyFont="1" applyFill="1" applyAlignment="1">
      <alignment vertical="center"/>
    </xf>
    <xf numFmtId="0" fontId="14" fillId="2" borderId="0" xfId="0" applyFont="1" applyFill="1" applyAlignment="1">
      <alignment horizontal="justify" vertical="center"/>
    </xf>
    <xf numFmtId="0" fontId="16" fillId="0" borderId="0" xfId="0" applyFont="1" applyAlignment="1">
      <alignment vertical="center"/>
    </xf>
    <xf numFmtId="180" fontId="16" fillId="2" borderId="0" xfId="0" applyNumberFormat="1" applyFont="1" applyFill="1" applyAlignment="1">
      <alignment horizontal="right" vertical="center"/>
    </xf>
    <xf numFmtId="0" fontId="19" fillId="2" borderId="0" xfId="0" applyFont="1" applyFill="1" applyAlignment="1">
      <alignment horizontal="left" vertical="center"/>
    </xf>
    <xf numFmtId="1" fontId="20" fillId="2" borderId="0" xfId="0" applyNumberFormat="1" applyFont="1" applyFill="1" applyAlignment="1">
      <alignment vertical="center"/>
    </xf>
    <xf numFmtId="180" fontId="15" fillId="2" borderId="0" xfId="0" applyNumberFormat="1" applyFont="1" applyFill="1" applyAlignment="1">
      <alignment horizontal="right" vertical="center"/>
    </xf>
    <xf numFmtId="170" fontId="21" fillId="2" borderId="0" xfId="0" applyNumberFormat="1" applyFont="1" applyFill="1" applyAlignment="1">
      <alignment horizontal="center" vertical="center"/>
    </xf>
    <xf numFmtId="0" fontId="15" fillId="2" borderId="3" xfId="0" applyFont="1" applyFill="1" applyBorder="1" applyAlignment="1">
      <alignment horizontal="left" vertical="center"/>
    </xf>
    <xf numFmtId="0" fontId="16" fillId="2" borderId="0" xfId="0" applyFont="1" applyFill="1" applyAlignment="1">
      <alignment horizontal="right" vertical="center"/>
    </xf>
    <xf numFmtId="180" fontId="16" fillId="2" borderId="0" xfId="0" applyNumberFormat="1" applyFont="1" applyFill="1" applyAlignment="1">
      <alignment vertical="center"/>
    </xf>
    <xf numFmtId="0" fontId="15" fillId="0" borderId="0" xfId="0" applyFont="1" applyAlignment="1">
      <alignment vertical="center"/>
    </xf>
    <xf numFmtId="172" fontId="15" fillId="2" borderId="0" xfId="0" applyNumberFormat="1" applyFont="1" applyFill="1" applyAlignment="1">
      <alignment horizontal="right" vertical="center"/>
    </xf>
    <xf numFmtId="0" fontId="14" fillId="2" borderId="0" xfId="0" applyFont="1" applyFill="1" applyAlignment="1">
      <alignment horizontal="right" vertical="center"/>
    </xf>
    <xf numFmtId="0" fontId="27" fillId="2" borderId="1" xfId="0" applyFont="1" applyFill="1" applyBorder="1"/>
    <xf numFmtId="0" fontId="0" fillId="2" borderId="1" xfId="0" applyFill="1" applyBorder="1"/>
    <xf numFmtId="167" fontId="16" fillId="3" borderId="0" xfId="0" applyNumberFormat="1" applyFont="1" applyFill="1" applyAlignment="1">
      <alignment horizontal="right" vertical="center"/>
    </xf>
    <xf numFmtId="180" fontId="16" fillId="3" borderId="0" xfId="0" applyNumberFormat="1" applyFont="1" applyFill="1" applyAlignment="1">
      <alignment horizontal="right" vertical="center"/>
    </xf>
    <xf numFmtId="0" fontId="15" fillId="2" borderId="0" xfId="0" applyFont="1" applyFill="1" applyAlignment="1">
      <alignment horizontal="right" vertical="center"/>
    </xf>
    <xf numFmtId="183" fontId="16" fillId="2" borderId="0" xfId="0" applyNumberFormat="1" applyFont="1" applyFill="1" applyAlignment="1">
      <alignment horizontal="right" vertical="center"/>
    </xf>
    <xf numFmtId="0" fontId="18" fillId="2" borderId="4" xfId="0" applyFont="1" applyFill="1" applyBorder="1" applyAlignment="1">
      <alignment vertical="center"/>
    </xf>
    <xf numFmtId="0" fontId="21" fillId="2" borderId="0" xfId="0" applyFont="1" applyFill="1"/>
    <xf numFmtId="3" fontId="16" fillId="3" borderId="0" xfId="0" applyNumberFormat="1" applyFont="1" applyFill="1" applyAlignment="1">
      <alignment horizontal="right" vertical="center"/>
    </xf>
    <xf numFmtId="183" fontId="15" fillId="2" borderId="0" xfId="0" applyNumberFormat="1" applyFont="1" applyFill="1" applyAlignment="1">
      <alignment horizontal="right" vertical="center"/>
    </xf>
    <xf numFmtId="183" fontId="15" fillId="2" borderId="0" xfId="0" applyNumberFormat="1" applyFont="1" applyFill="1" applyAlignment="1">
      <alignment vertical="center"/>
    </xf>
    <xf numFmtId="183" fontId="16" fillId="2" borderId="0" xfId="0" applyNumberFormat="1" applyFont="1" applyFill="1" applyAlignment="1">
      <alignment vertical="center"/>
    </xf>
    <xf numFmtId="0" fontId="35" fillId="4" borderId="0" xfId="0" applyFont="1" applyFill="1" applyAlignment="1">
      <alignment vertical="center"/>
    </xf>
    <xf numFmtId="180" fontId="15" fillId="2" borderId="0" xfId="0" applyNumberFormat="1" applyFont="1" applyFill="1" applyAlignment="1">
      <alignment vertical="center"/>
    </xf>
    <xf numFmtId="0" fontId="27" fillId="0" borderId="0" xfId="0" applyFont="1"/>
    <xf numFmtId="0" fontId="16" fillId="4" borderId="0" xfId="0" applyFont="1" applyFill="1"/>
    <xf numFmtId="0" fontId="37" fillId="0" borderId="0" xfId="0" applyFont="1" applyAlignment="1">
      <alignment horizontal="center" vertical="center"/>
    </xf>
    <xf numFmtId="0" fontId="15" fillId="4" borderId="0" xfId="0" applyFont="1" applyFill="1" applyAlignment="1">
      <alignment horizontal="center"/>
    </xf>
    <xf numFmtId="0" fontId="37" fillId="0" borderId="0" xfId="0" applyFont="1"/>
    <xf numFmtId="0" fontId="0" fillId="4" borderId="0" xfId="0" applyFill="1"/>
    <xf numFmtId="0" fontId="36" fillId="4" borderId="0" xfId="0" applyFont="1" applyFill="1" applyAlignment="1">
      <alignment horizontal="center" vertical="center" wrapText="1"/>
    </xf>
    <xf numFmtId="0" fontId="37" fillId="4" borderId="0" xfId="0" applyFont="1" applyFill="1" applyAlignment="1">
      <alignment horizontal="center" vertical="center"/>
    </xf>
    <xf numFmtId="1" fontId="20" fillId="2" borderId="0" xfId="0" applyNumberFormat="1" applyFont="1" applyFill="1" applyAlignment="1">
      <alignment horizontal="right" vertical="center"/>
    </xf>
    <xf numFmtId="0" fontId="14" fillId="2" borderId="3" xfId="0" applyFont="1" applyFill="1" applyBorder="1" applyAlignment="1">
      <alignment horizontal="center" vertical="center"/>
    </xf>
    <xf numFmtId="0" fontId="38" fillId="2" borderId="0" xfId="0" applyFont="1" applyFill="1" applyAlignment="1">
      <alignment vertical="center"/>
    </xf>
    <xf numFmtId="0" fontId="16" fillId="4" borderId="0" xfId="0" applyFont="1" applyFill="1" applyAlignment="1">
      <alignment vertical="center"/>
    </xf>
    <xf numFmtId="0" fontId="21" fillId="0" borderId="0" xfId="0" applyFont="1" applyAlignment="1">
      <alignment vertical="center"/>
    </xf>
    <xf numFmtId="0" fontId="15" fillId="0" borderId="0" xfId="0" applyFont="1" applyAlignment="1">
      <alignment horizontal="left" vertical="center"/>
    </xf>
    <xf numFmtId="0" fontId="15" fillId="2" borderId="2" xfId="0" applyFont="1" applyFill="1" applyBorder="1" applyAlignment="1">
      <alignment horizontal="right" vertical="center"/>
    </xf>
    <xf numFmtId="0" fontId="15" fillId="2" borderId="1" xfId="0" applyFont="1" applyFill="1" applyBorder="1" applyAlignment="1">
      <alignment horizontal="right" vertical="center"/>
    </xf>
    <xf numFmtId="0" fontId="15" fillId="2" borderId="9" xfId="0" applyFont="1" applyFill="1" applyBorder="1" applyAlignment="1">
      <alignment horizontal="right" vertical="center"/>
    </xf>
    <xf numFmtId="0" fontId="38" fillId="0" borderId="0" xfId="0" applyFont="1" applyAlignment="1">
      <alignment vertical="center"/>
    </xf>
    <xf numFmtId="0" fontId="38" fillId="0" borderId="0" xfId="0" applyFont="1" applyAlignment="1">
      <alignment horizontal="left" vertical="center"/>
    </xf>
    <xf numFmtId="196" fontId="15" fillId="0" borderId="0" xfId="0" applyNumberFormat="1" applyFont="1" applyAlignment="1">
      <alignment horizontal="right" vertical="center"/>
    </xf>
    <xf numFmtId="196" fontId="15" fillId="0" borderId="0" xfId="0" applyNumberFormat="1" applyFont="1" applyAlignment="1">
      <alignment vertical="center"/>
    </xf>
    <xf numFmtId="196" fontId="16" fillId="0" borderId="0" xfId="0" applyNumberFormat="1" applyFont="1" applyAlignment="1">
      <alignment horizontal="right" vertical="center"/>
    </xf>
    <xf numFmtId="196" fontId="16" fillId="0" borderId="0" xfId="0" applyNumberFormat="1" applyFont="1" applyAlignment="1">
      <alignment vertical="center"/>
    </xf>
    <xf numFmtId="0" fontId="22" fillId="2" borderId="0" xfId="0" applyFont="1" applyFill="1" applyAlignment="1">
      <alignment horizontal="left" vertical="center"/>
    </xf>
    <xf numFmtId="196" fontId="16" fillId="0" borderId="1" xfId="0" applyNumberFormat="1" applyFont="1" applyBorder="1" applyAlignment="1">
      <alignment vertical="center"/>
    </xf>
    <xf numFmtId="196" fontId="18" fillId="0" borderId="0" xfId="0" applyNumberFormat="1" applyFont="1" applyAlignment="1">
      <alignment horizontal="right" vertical="center"/>
    </xf>
    <xf numFmtId="0" fontId="21" fillId="0" borderId="3" xfId="0" applyFont="1" applyBorder="1" applyAlignment="1">
      <alignment vertical="center"/>
    </xf>
    <xf numFmtId="196" fontId="40" fillId="0" borderId="0" xfId="0" applyNumberFormat="1" applyFont="1" applyAlignment="1">
      <alignment vertical="center"/>
    </xf>
    <xf numFmtId="0" fontId="40" fillId="0" borderId="0" xfId="0" applyFont="1" applyAlignment="1">
      <alignment vertical="center"/>
    </xf>
    <xf numFmtId="0" fontId="39" fillId="0" borderId="0" xfId="0" applyFont="1" applyAlignment="1">
      <alignment vertical="center"/>
    </xf>
    <xf numFmtId="0" fontId="21" fillId="2" borderId="0" xfId="0" applyFont="1" applyFill="1" applyAlignment="1">
      <alignment horizontal="right" vertical="center"/>
    </xf>
    <xf numFmtId="0" fontId="21" fillId="2" borderId="0" xfId="0" applyFont="1" applyFill="1" applyAlignment="1">
      <alignment horizontal="center" vertical="center"/>
    </xf>
    <xf numFmtId="166" fontId="21" fillId="2" borderId="0" xfId="0" applyNumberFormat="1" applyFont="1" applyFill="1" applyAlignment="1">
      <alignment horizontal="center" vertical="center"/>
    </xf>
    <xf numFmtId="0" fontId="22" fillId="2" borderId="0" xfId="0" applyFont="1" applyFill="1" applyAlignment="1">
      <alignment horizontal="center" vertical="center" wrapText="1"/>
    </xf>
    <xf numFmtId="0" fontId="15" fillId="2" borderId="0" xfId="0" applyFont="1" applyFill="1" applyAlignment="1">
      <alignment horizontal="center" vertical="center"/>
    </xf>
    <xf numFmtId="0" fontId="16" fillId="0" borderId="0" xfId="0" applyFont="1" applyAlignment="1">
      <alignment horizontal="right" vertical="center"/>
    </xf>
    <xf numFmtId="0" fontId="24" fillId="2" borderId="0" xfId="0" applyFont="1" applyFill="1" applyAlignment="1">
      <alignment vertical="center"/>
    </xf>
    <xf numFmtId="0" fontId="0" fillId="2" borderId="0" xfId="0" applyFill="1" applyAlignment="1">
      <alignment vertical="center"/>
    </xf>
    <xf numFmtId="0" fontId="14" fillId="2" borderId="0" xfId="0" applyFont="1" applyFill="1" applyAlignment="1">
      <alignment vertical="center" wrapText="1"/>
    </xf>
    <xf numFmtId="172" fontId="15" fillId="4" borderId="0" xfId="0" applyNumberFormat="1" applyFont="1" applyFill="1" applyAlignment="1">
      <alignment vertical="center"/>
    </xf>
    <xf numFmtId="0" fontId="16" fillId="4" borderId="13" xfId="0" applyFont="1" applyFill="1" applyBorder="1" applyAlignment="1">
      <alignment horizontal="left" vertical="center"/>
    </xf>
    <xf numFmtId="0" fontId="16" fillId="4" borderId="13" xfId="0" applyFont="1" applyFill="1" applyBorder="1" applyAlignment="1">
      <alignment vertical="center"/>
    </xf>
    <xf numFmtId="172" fontId="16" fillId="4" borderId="0" xfId="0" applyNumberFormat="1" applyFont="1" applyFill="1" applyAlignment="1">
      <alignment horizontal="right" vertical="center"/>
    </xf>
    <xf numFmtId="0" fontId="15" fillId="4" borderId="0" xfId="0" applyFont="1" applyFill="1" applyAlignment="1">
      <alignment vertical="center"/>
    </xf>
    <xf numFmtId="0" fontId="15" fillId="2" borderId="5" xfId="0" applyFont="1" applyFill="1" applyBorder="1" applyAlignment="1">
      <alignment horizontal="center" vertical="center"/>
    </xf>
    <xf numFmtId="0" fontId="14" fillId="2" borderId="0" xfId="0" applyFont="1" applyFill="1" applyAlignment="1">
      <alignment horizontal="left" vertical="center"/>
    </xf>
    <xf numFmtId="0" fontId="15" fillId="4" borderId="0" xfId="0" applyFont="1" applyFill="1" applyAlignment="1">
      <alignment horizontal="right" vertical="center"/>
    </xf>
    <xf numFmtId="183" fontId="15" fillId="4" borderId="0" xfId="0" applyNumberFormat="1" applyFont="1" applyFill="1" applyAlignment="1">
      <alignment horizontal="right" vertical="center"/>
    </xf>
    <xf numFmtId="180" fontId="16" fillId="4" borderId="0" xfId="0" applyNumberFormat="1" applyFont="1" applyFill="1" applyAlignment="1">
      <alignment horizontal="right" vertical="center"/>
    </xf>
    <xf numFmtId="0" fontId="15" fillId="2" borderId="5" xfId="0" applyFont="1" applyFill="1" applyBorder="1" applyAlignment="1">
      <alignment vertical="center" wrapText="1"/>
    </xf>
    <xf numFmtId="0" fontId="15" fillId="2" borderId="1" xfId="0" applyFont="1" applyFill="1" applyBorder="1" applyAlignment="1">
      <alignment vertical="center"/>
    </xf>
    <xf numFmtId="0" fontId="27" fillId="2" borderId="0" xfId="0" applyFont="1" applyFill="1"/>
    <xf numFmtId="179" fontId="16" fillId="2" borderId="10" xfId="0" applyNumberFormat="1" applyFont="1" applyFill="1" applyBorder="1" applyAlignment="1">
      <alignment horizontal="right" vertical="center"/>
    </xf>
    <xf numFmtId="0" fontId="0" fillId="2" borderId="10" xfId="0" applyFill="1" applyBorder="1"/>
    <xf numFmtId="0" fontId="37" fillId="4" borderId="0" xfId="0" applyFont="1" applyFill="1" applyAlignment="1">
      <alignment horizontal="right" vertical="center"/>
    </xf>
    <xf numFmtId="0" fontId="21" fillId="2" borderId="0" xfId="0" quotePrefix="1" applyFont="1" applyFill="1" applyAlignment="1">
      <alignment horizontal="left" vertical="center"/>
    </xf>
    <xf numFmtId="0" fontId="41" fillId="2" borderId="0" xfId="0" applyFont="1" applyFill="1" applyAlignment="1">
      <alignment vertical="center"/>
    </xf>
    <xf numFmtId="0" fontId="21" fillId="4" borderId="0" xfId="0" applyFont="1" applyFill="1" applyAlignment="1">
      <alignment vertical="center"/>
    </xf>
    <xf numFmtId="0" fontId="15" fillId="2" borderId="8" xfId="0" applyFont="1" applyFill="1" applyBorder="1" applyAlignment="1">
      <alignment horizontal="left" vertical="center"/>
    </xf>
    <xf numFmtId="0" fontId="14" fillId="2" borderId="3" xfId="0" applyFont="1" applyFill="1" applyBorder="1" applyAlignment="1">
      <alignment horizontal="left" vertical="center"/>
    </xf>
    <xf numFmtId="0" fontId="6" fillId="2" borderId="0" xfId="0" applyFont="1" applyFill="1" applyAlignment="1">
      <alignment horizontal="left" vertical="center"/>
    </xf>
    <xf numFmtId="0" fontId="17" fillId="2" borderId="0" xfId="0" applyFont="1" applyFill="1" applyAlignment="1">
      <alignment horizontal="left"/>
    </xf>
    <xf numFmtId="182" fontId="7" fillId="2" borderId="0" xfId="0" applyNumberFormat="1" applyFont="1" applyFill="1" applyAlignment="1">
      <alignment horizontal="left"/>
    </xf>
    <xf numFmtId="0" fontId="7" fillId="2" borderId="0" xfId="0" applyFont="1" applyFill="1" applyAlignment="1">
      <alignment horizontal="left"/>
    </xf>
    <xf numFmtId="0" fontId="10" fillId="2" borderId="0" xfId="0" applyFont="1" applyFill="1" applyAlignment="1">
      <alignment horizontal="left"/>
    </xf>
    <xf numFmtId="0" fontId="11" fillId="2" borderId="0" xfId="0" applyFont="1" applyFill="1"/>
    <xf numFmtId="0" fontId="5" fillId="2" borderId="0" xfId="0" applyFont="1" applyFill="1"/>
    <xf numFmtId="0" fontId="16" fillId="2" borderId="0" xfId="0" applyFont="1" applyFill="1" applyAlignment="1">
      <alignment horizontal="left" vertical="center"/>
    </xf>
    <xf numFmtId="0" fontId="16" fillId="0" borderId="0" xfId="8" applyFont="1" applyAlignment="1">
      <alignment horizontal="left" vertical="center" indent="2"/>
    </xf>
    <xf numFmtId="0" fontId="15" fillId="2" borderId="0" xfId="8" applyFont="1" applyFill="1" applyAlignment="1">
      <alignment horizontal="right" vertical="center" wrapText="1"/>
    </xf>
    <xf numFmtId="0" fontId="22" fillId="0" borderId="0" xfId="4" applyFont="1" applyAlignment="1">
      <alignment vertical="center"/>
    </xf>
    <xf numFmtId="0" fontId="15" fillId="0" borderId="0" xfId="0" applyFont="1" applyAlignment="1">
      <alignment horizontal="center" vertical="center" wrapText="1"/>
    </xf>
    <xf numFmtId="0" fontId="16" fillId="0" borderId="0" xfId="8" applyFont="1" applyAlignment="1">
      <alignment vertical="center"/>
    </xf>
    <xf numFmtId="0" fontId="16" fillId="4" borderId="0" xfId="0" applyFont="1" applyFill="1" applyAlignment="1">
      <alignment horizontal="right" vertical="center"/>
    </xf>
    <xf numFmtId="186" fontId="7" fillId="2" borderId="0" xfId="0" applyNumberFormat="1" applyFont="1" applyFill="1" applyAlignment="1">
      <alignment vertical="center"/>
    </xf>
    <xf numFmtId="0" fontId="5" fillId="4" borderId="0" xfId="0" applyFont="1" applyFill="1"/>
    <xf numFmtId="0" fontId="45" fillId="7" borderId="0" xfId="11" applyFont="1" applyFill="1" applyAlignment="1">
      <alignment horizontal="left" vertical="center"/>
    </xf>
    <xf numFmtId="0" fontId="36" fillId="4" borderId="0" xfId="0" applyFont="1" applyFill="1" applyAlignment="1">
      <alignment horizontal="right" vertical="center"/>
    </xf>
    <xf numFmtId="0" fontId="21" fillId="4" borderId="0" xfId="0" quotePrefix="1" applyFont="1" applyFill="1" applyAlignment="1">
      <alignment horizontal="left" vertical="center"/>
    </xf>
    <xf numFmtId="172" fontId="10" fillId="2" borderId="0" xfId="0" applyNumberFormat="1" applyFont="1" applyFill="1"/>
    <xf numFmtId="0" fontId="16" fillId="4" borderId="0" xfId="0" applyFont="1" applyFill="1" applyAlignment="1">
      <alignment horizontal="right" vertical="top"/>
    </xf>
    <xf numFmtId="0" fontId="5" fillId="4" borderId="0" xfId="0" applyFont="1" applyFill="1" applyAlignment="1">
      <alignment vertical="top"/>
    </xf>
    <xf numFmtId="0" fontId="48" fillId="4" borderId="0" xfId="0" applyFont="1" applyFill="1" applyAlignment="1">
      <alignment horizontal="left" vertical="top"/>
    </xf>
    <xf numFmtId="183" fontId="14" fillId="4" borderId="0" xfId="0" applyNumberFormat="1" applyFont="1" applyFill="1" applyAlignment="1">
      <alignment vertical="center"/>
    </xf>
    <xf numFmtId="0" fontId="16" fillId="4" borderId="0" xfId="0" applyFont="1" applyFill="1" applyAlignment="1">
      <alignment horizontal="left" vertical="top"/>
    </xf>
    <xf numFmtId="0" fontId="16" fillId="4" borderId="0" xfId="0" applyFont="1" applyFill="1" applyAlignment="1">
      <alignment horizontal="center" vertical="top"/>
    </xf>
    <xf numFmtId="0" fontId="15" fillId="4" borderId="0" xfId="0" applyFont="1" applyFill="1" applyAlignment="1">
      <alignment horizontal="center" vertical="center"/>
    </xf>
    <xf numFmtId="183" fontId="15" fillId="2" borderId="0" xfId="0" applyNumberFormat="1" applyFont="1" applyFill="1" applyAlignment="1">
      <alignment horizontal="center" vertical="center"/>
    </xf>
    <xf numFmtId="180" fontId="15" fillId="3" borderId="0" xfId="0" applyNumberFormat="1" applyFont="1" applyFill="1" applyAlignment="1">
      <alignment horizontal="center" vertical="center"/>
    </xf>
    <xf numFmtId="3" fontId="15" fillId="3" borderId="0" xfId="0" applyNumberFormat="1" applyFont="1" applyFill="1" applyAlignment="1">
      <alignment horizontal="center" vertical="center"/>
    </xf>
    <xf numFmtId="183" fontId="16" fillId="2" borderId="0" xfId="0" applyNumberFormat="1" applyFont="1" applyFill="1" applyAlignment="1">
      <alignment horizontal="center" vertical="center"/>
    </xf>
    <xf numFmtId="3" fontId="16" fillId="3" borderId="0" xfId="0" applyNumberFormat="1" applyFont="1" applyFill="1" applyAlignment="1">
      <alignment horizontal="center" vertical="center"/>
    </xf>
    <xf numFmtId="180" fontId="16" fillId="3" borderId="0" xfId="0" applyNumberFormat="1" applyFont="1" applyFill="1" applyAlignment="1">
      <alignment horizontal="center" vertical="center"/>
    </xf>
    <xf numFmtId="183" fontId="16" fillId="2" borderId="1" xfId="0" applyNumberFormat="1" applyFont="1" applyFill="1" applyBorder="1" applyAlignment="1">
      <alignment vertical="center"/>
    </xf>
    <xf numFmtId="0" fontId="15" fillId="4" borderId="12"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15" fillId="4" borderId="13" xfId="0" applyFont="1" applyFill="1" applyBorder="1" applyAlignment="1">
      <alignment horizontal="center" vertical="center"/>
    </xf>
    <xf numFmtId="0" fontId="15" fillId="4" borderId="21" xfId="0" applyFont="1" applyFill="1" applyBorder="1" applyAlignment="1">
      <alignment horizontal="center" vertical="center"/>
    </xf>
    <xf numFmtId="0" fontId="15" fillId="4" borderId="8" xfId="0" applyFont="1" applyFill="1" applyBorder="1" applyAlignment="1">
      <alignment horizontal="center" vertical="center"/>
    </xf>
    <xf numFmtId="1" fontId="14" fillId="2" borderId="0" xfId="10" applyNumberFormat="1" applyFont="1" applyFill="1" applyAlignment="1">
      <alignment horizontal="left" vertical="center"/>
    </xf>
    <xf numFmtId="0" fontId="27" fillId="3" borderId="0" xfId="10" applyFont="1" applyFill="1"/>
    <xf numFmtId="0" fontId="16" fillId="2" borderId="0" xfId="10" applyFont="1" applyFill="1" applyAlignment="1">
      <alignment vertical="center"/>
    </xf>
    <xf numFmtId="0" fontId="15" fillId="2" borderId="28" xfId="10" applyFont="1" applyFill="1" applyBorder="1" applyAlignment="1">
      <alignment vertical="center"/>
    </xf>
    <xf numFmtId="0" fontId="16" fillId="2" borderId="27" xfId="10" applyFont="1" applyFill="1" applyBorder="1" applyAlignment="1">
      <alignment horizontal="right" vertical="center"/>
    </xf>
    <xf numFmtId="0" fontId="22" fillId="2" borderId="0" xfId="10" applyFont="1" applyFill="1" applyAlignment="1">
      <alignment horizontal="left" vertical="center"/>
    </xf>
    <xf numFmtId="0" fontId="21" fillId="2" borderId="0" xfId="10" applyFont="1" applyFill="1" applyAlignment="1">
      <alignment vertical="center"/>
    </xf>
    <xf numFmtId="0" fontId="16" fillId="2" borderId="0" xfId="10" applyFont="1" applyFill="1" applyAlignment="1">
      <alignment horizontal="centerContinuous" vertical="center"/>
    </xf>
    <xf numFmtId="1" fontId="14" fillId="2" borderId="0" xfId="10" applyNumberFormat="1" applyFont="1" applyFill="1" applyAlignment="1">
      <alignment horizontal="justify" vertical="center" wrapText="1"/>
    </xf>
    <xf numFmtId="0" fontId="18" fillId="0" borderId="0" xfId="10" applyFont="1"/>
    <xf numFmtId="0" fontId="16" fillId="0" borderId="0" xfId="10" applyFont="1"/>
    <xf numFmtId="0" fontId="27" fillId="0" borderId="0" xfId="10" applyFont="1"/>
    <xf numFmtId="1" fontId="15" fillId="8" borderId="0" xfId="10" applyNumberFormat="1" applyFont="1" applyFill="1" applyAlignment="1">
      <alignment horizontal="center" vertical="center" wrapText="1"/>
    </xf>
    <xf numFmtId="1" fontId="15" fillId="2" borderId="0" xfId="10" applyNumberFormat="1" applyFont="1" applyFill="1" applyAlignment="1">
      <alignment horizontal="left" vertical="center"/>
    </xf>
    <xf numFmtId="1" fontId="15" fillId="2" borderId="0" xfId="10" applyNumberFormat="1" applyFont="1" applyFill="1" applyAlignment="1">
      <alignment horizontal="center" vertical="center"/>
    </xf>
    <xf numFmtId="0" fontId="15" fillId="9" borderId="16" xfId="10" applyFont="1" applyFill="1" applyBorder="1" applyAlignment="1">
      <alignment horizontal="right"/>
    </xf>
    <xf numFmtId="1" fontId="15" fillId="9" borderId="16" xfId="10" applyNumberFormat="1" applyFont="1" applyFill="1" applyBorder="1" applyAlignment="1">
      <alignment horizontal="right" vertical="center"/>
    </xf>
    <xf numFmtId="0" fontId="15" fillId="9" borderId="16" xfId="10" applyFont="1" applyFill="1" applyBorder="1" applyAlignment="1">
      <alignment horizontal="right" vertical="center"/>
    </xf>
    <xf numFmtId="0" fontId="27" fillId="0" borderId="0" xfId="10" applyFont="1" applyAlignment="1">
      <alignment horizontal="center"/>
    </xf>
    <xf numFmtId="0" fontId="15" fillId="2" borderId="0" xfId="10" applyFont="1" applyFill="1" applyAlignment="1">
      <alignment horizontal="centerContinuous" vertical="center"/>
    </xf>
    <xf numFmtId="1" fontId="16" fillId="2" borderId="0" xfId="10" applyNumberFormat="1" applyFont="1" applyFill="1" applyAlignment="1">
      <alignment horizontal="centerContinuous" vertical="center"/>
    </xf>
    <xf numFmtId="0" fontId="15" fillId="2" borderId="18" xfId="10" applyFont="1" applyFill="1" applyBorder="1" applyAlignment="1">
      <alignment vertical="center"/>
    </xf>
    <xf numFmtId="0" fontId="27" fillId="0" borderId="28" xfId="10" applyFont="1" applyBorder="1"/>
    <xf numFmtId="1" fontId="15" fillId="2" borderId="28" xfId="10" applyNumberFormat="1" applyFont="1" applyFill="1" applyBorder="1" applyAlignment="1">
      <alignment horizontal="center" vertical="center"/>
    </xf>
    <xf numFmtId="0" fontId="15" fillId="2" borderId="28" xfId="10" applyFont="1" applyFill="1" applyBorder="1" applyAlignment="1">
      <alignment horizontal="center" vertical="center"/>
    </xf>
    <xf numFmtId="0" fontId="16" fillId="2" borderId="28" xfId="10" applyFont="1" applyFill="1" applyBorder="1" applyAlignment="1">
      <alignment horizontal="center" vertical="center"/>
    </xf>
    <xf numFmtId="0" fontId="10" fillId="2" borderId="0" xfId="10" applyFont="1" applyFill="1" applyAlignment="1">
      <alignment vertical="center"/>
    </xf>
    <xf numFmtId="0" fontId="15" fillId="2" borderId="0" xfId="10" applyFont="1" applyFill="1" applyAlignment="1">
      <alignment horizontal="left" vertical="center"/>
    </xf>
    <xf numFmtId="0" fontId="15" fillId="2" borderId="0" xfId="10" applyFont="1" applyFill="1" applyAlignment="1">
      <alignment horizontal="right" vertical="center"/>
    </xf>
    <xf numFmtId="0" fontId="15" fillId="9" borderId="18" xfId="10" applyFont="1" applyFill="1" applyBorder="1" applyAlignment="1">
      <alignment horizontal="center" vertical="center"/>
    </xf>
    <xf numFmtId="191" fontId="15" fillId="9" borderId="0" xfId="10" applyNumberFormat="1" applyFont="1" applyFill="1" applyAlignment="1">
      <alignment horizontal="right" vertical="center"/>
    </xf>
    <xf numFmtId="167" fontId="15" fillId="2" borderId="0" xfId="10" applyNumberFormat="1" applyFont="1" applyFill="1" applyAlignment="1">
      <alignment horizontal="right" vertical="center"/>
    </xf>
    <xf numFmtId="1" fontId="15" fillId="2" borderId="0" xfId="10" applyNumberFormat="1" applyFont="1" applyFill="1" applyAlignment="1">
      <alignment horizontal="right" vertical="center"/>
    </xf>
    <xf numFmtId="180" fontId="15" fillId="2" borderId="0" xfId="10" applyNumberFormat="1" applyFont="1" applyFill="1" applyAlignment="1">
      <alignment vertical="center"/>
    </xf>
    <xf numFmtId="0" fontId="16" fillId="0" borderId="0" xfId="10" applyFont="1" applyAlignment="1">
      <alignment horizontal="center"/>
    </xf>
    <xf numFmtId="0" fontId="16" fillId="2" borderId="0" xfId="10" applyFont="1" applyFill="1" applyAlignment="1">
      <alignment horizontal="right" vertical="center"/>
    </xf>
    <xf numFmtId="0" fontId="27" fillId="0" borderId="0" xfId="10" applyFont="1" applyAlignment="1">
      <alignment vertical="center"/>
    </xf>
    <xf numFmtId="191" fontId="15" fillId="2" borderId="0" xfId="10" applyNumberFormat="1" applyFont="1" applyFill="1" applyAlignment="1">
      <alignment horizontal="right" vertical="center"/>
    </xf>
    <xf numFmtId="180" fontId="15" fillId="2" borderId="0" xfId="10" applyNumberFormat="1" applyFont="1" applyFill="1" applyAlignment="1">
      <alignment horizontal="right" vertical="center"/>
    </xf>
    <xf numFmtId="1" fontId="16" fillId="2" borderId="0" xfId="10" applyNumberFormat="1" applyFont="1" applyFill="1" applyAlignment="1">
      <alignment vertical="center"/>
    </xf>
    <xf numFmtId="0" fontId="16" fillId="0" borderId="0" xfId="10" applyFont="1" applyAlignment="1">
      <alignment vertical="center"/>
    </xf>
    <xf numFmtId="167" fontId="15" fillId="2" borderId="0" xfId="10" applyNumberFormat="1" applyFont="1" applyFill="1" applyAlignment="1">
      <alignment vertical="center"/>
    </xf>
    <xf numFmtId="180" fontId="16" fillId="2" borderId="0" xfId="10" applyNumberFormat="1" applyFont="1" applyFill="1" applyAlignment="1">
      <alignment horizontal="right" vertical="center"/>
    </xf>
    <xf numFmtId="180" fontId="16" fillId="4" borderId="0" xfId="10" applyNumberFormat="1" applyFont="1" applyFill="1" applyAlignment="1">
      <alignment horizontal="right" vertical="center"/>
    </xf>
    <xf numFmtId="183" fontId="16" fillId="4" borderId="0" xfId="10" applyNumberFormat="1" applyFont="1" applyFill="1" applyAlignment="1">
      <alignment horizontal="right" vertical="center"/>
    </xf>
    <xf numFmtId="180" fontId="16" fillId="2" borderId="0" xfId="10" applyNumberFormat="1" applyFont="1" applyFill="1" applyAlignment="1">
      <alignment vertical="center"/>
    </xf>
    <xf numFmtId="0" fontId="21" fillId="2" borderId="0" xfId="10" applyFont="1" applyFill="1" applyAlignment="1">
      <alignment horizontal="center" vertical="center"/>
    </xf>
    <xf numFmtId="0" fontId="15" fillId="2" borderId="0" xfId="10" applyFont="1" applyFill="1" applyAlignment="1">
      <alignment vertical="center"/>
    </xf>
    <xf numFmtId="0" fontId="16" fillId="2" borderId="18" xfId="10" applyFont="1" applyFill="1" applyBorder="1" applyAlignment="1">
      <alignment vertical="center"/>
    </xf>
    <xf numFmtId="191" fontId="16" fillId="2" borderId="0" xfId="10" applyNumberFormat="1" applyFont="1" applyFill="1" applyAlignment="1">
      <alignment horizontal="right" vertical="center"/>
    </xf>
    <xf numFmtId="180" fontId="16" fillId="0" borderId="0" xfId="10" applyNumberFormat="1" applyFont="1" applyAlignment="1">
      <alignment horizontal="right"/>
    </xf>
    <xf numFmtId="180" fontId="15" fillId="4" borderId="0" xfId="10" applyNumberFormat="1" applyFont="1" applyFill="1" applyAlignment="1">
      <alignment horizontal="right" vertical="center"/>
    </xf>
    <xf numFmtId="179" fontId="16" fillId="4" borderId="0" xfId="10" applyNumberFormat="1" applyFont="1" applyFill="1" applyAlignment="1">
      <alignment horizontal="right" vertical="center"/>
    </xf>
    <xf numFmtId="0" fontId="16" fillId="2" borderId="29" xfId="10" applyFont="1" applyFill="1" applyBorder="1" applyAlignment="1">
      <alignment horizontal="left" vertical="center"/>
    </xf>
    <xf numFmtId="0" fontId="16" fillId="0" borderId="27" xfId="10" applyFont="1" applyBorder="1" applyAlignment="1">
      <alignment horizontal="right"/>
    </xf>
    <xf numFmtId="1" fontId="16" fillId="2" borderId="27" xfId="10" applyNumberFormat="1" applyFont="1" applyFill="1" applyBorder="1" applyAlignment="1">
      <alignment horizontal="right" vertical="center"/>
    </xf>
    <xf numFmtId="0" fontId="20" fillId="2" borderId="27" xfId="10" applyFont="1" applyFill="1" applyBorder="1" applyAlignment="1">
      <alignment horizontal="right" vertical="center"/>
    </xf>
    <xf numFmtId="1" fontId="20" fillId="2" borderId="27" xfId="10" applyNumberFormat="1" applyFont="1" applyFill="1" applyBorder="1" applyAlignment="1">
      <alignment horizontal="right" vertical="center"/>
    </xf>
    <xf numFmtId="180" fontId="16" fillId="2" borderId="27" xfId="10" applyNumberFormat="1" applyFont="1" applyFill="1" applyBorder="1" applyAlignment="1">
      <alignment horizontal="right" vertical="center"/>
    </xf>
    <xf numFmtId="179" fontId="50" fillId="2" borderId="27" xfId="10" applyNumberFormat="1" applyFont="1" applyFill="1" applyBorder="1" applyAlignment="1">
      <alignment horizontal="center" vertical="center"/>
    </xf>
    <xf numFmtId="179" fontId="35" fillId="4" borderId="27" xfId="10" applyNumberFormat="1" applyFont="1" applyFill="1" applyBorder="1" applyAlignment="1">
      <alignment horizontal="right" vertical="center"/>
    </xf>
    <xf numFmtId="0" fontId="27" fillId="0" borderId="27" xfId="10" applyFont="1" applyBorder="1"/>
    <xf numFmtId="0" fontId="21" fillId="2" borderId="27" xfId="10" applyFont="1" applyFill="1" applyBorder="1" applyAlignment="1">
      <alignment horizontal="right" vertical="center"/>
    </xf>
    <xf numFmtId="0" fontId="21" fillId="2" borderId="27" xfId="10" applyFont="1" applyFill="1" applyBorder="1" applyAlignment="1">
      <alignment vertical="center"/>
    </xf>
    <xf numFmtId="0" fontId="16" fillId="2" borderId="0" xfId="10" applyFont="1" applyFill="1" applyAlignment="1">
      <alignment horizontal="left" vertical="center"/>
    </xf>
    <xf numFmtId="0" fontId="21" fillId="2" borderId="0" xfId="10" applyFont="1" applyFill="1" applyAlignment="1">
      <alignment horizontal="right" vertical="center"/>
    </xf>
    <xf numFmtId="180" fontId="15" fillId="2" borderId="0" xfId="10" applyNumberFormat="1" applyFont="1" applyFill="1" applyAlignment="1">
      <alignment horizontal="center" vertical="center"/>
    </xf>
    <xf numFmtId="0" fontId="16" fillId="0" borderId="0" xfId="10" applyFont="1" applyAlignment="1">
      <alignment horizontal="right" vertical="center"/>
    </xf>
    <xf numFmtId="191" fontId="15" fillId="4" borderId="0" xfId="10" applyNumberFormat="1" applyFont="1" applyFill="1" applyAlignment="1">
      <alignment horizontal="right" vertical="center"/>
    </xf>
    <xf numFmtId="3" fontId="15" fillId="4" borderId="0" xfId="10" applyNumberFormat="1" applyFont="1" applyFill="1" applyAlignment="1">
      <alignment vertical="center"/>
    </xf>
    <xf numFmtId="0" fontId="15" fillId="4" borderId="11" xfId="10" applyFont="1" applyFill="1" applyBorder="1" applyAlignment="1">
      <alignment horizontal="right" vertical="center"/>
    </xf>
    <xf numFmtId="0" fontId="16" fillId="0" borderId="13" xfId="0" applyFont="1" applyBorder="1" applyAlignment="1">
      <alignment vertical="center"/>
    </xf>
    <xf numFmtId="0" fontId="14" fillId="2" borderId="13" xfId="0" applyFont="1" applyFill="1" applyBorder="1" applyAlignment="1">
      <alignment horizontal="left" vertical="center"/>
    </xf>
    <xf numFmtId="0" fontId="18" fillId="2" borderId="21" xfId="0" applyFont="1" applyFill="1" applyBorder="1" applyAlignment="1">
      <alignment horizontal="left" vertical="center"/>
    </xf>
    <xf numFmtId="0" fontId="15" fillId="4" borderId="10" xfId="0" applyFont="1" applyFill="1" applyBorder="1" applyAlignment="1">
      <alignment horizontal="right" vertical="center"/>
    </xf>
    <xf numFmtId="172" fontId="16" fillId="2" borderId="10" xfId="0" applyNumberFormat="1" applyFont="1" applyFill="1" applyBorder="1" applyAlignment="1">
      <alignment horizontal="right" vertical="center"/>
    </xf>
    <xf numFmtId="180" fontId="16" fillId="2" borderId="10" xfId="0" applyNumberFormat="1" applyFont="1" applyFill="1" applyBorder="1" applyAlignment="1">
      <alignment horizontal="right" vertical="center"/>
    </xf>
    <xf numFmtId="0" fontId="15" fillId="4" borderId="11" xfId="0" applyFont="1" applyFill="1" applyBorder="1" applyAlignment="1">
      <alignment horizontal="center" vertical="center"/>
    </xf>
    <xf numFmtId="0" fontId="15" fillId="2" borderId="13" xfId="0" applyFont="1" applyFill="1" applyBorder="1" applyAlignment="1">
      <alignment horizontal="left" vertical="center"/>
    </xf>
    <xf numFmtId="0" fontId="15" fillId="4" borderId="11" xfId="0" applyFont="1" applyFill="1" applyBorder="1" applyAlignment="1">
      <alignment vertical="center"/>
    </xf>
    <xf numFmtId="0" fontId="16" fillId="2" borderId="13" xfId="0" applyFont="1" applyFill="1" applyBorder="1" applyAlignment="1">
      <alignment vertical="center"/>
    </xf>
    <xf numFmtId="0" fontId="15" fillId="4" borderId="11" xfId="0" applyFont="1" applyFill="1" applyBorder="1" applyAlignment="1">
      <alignment horizontal="right" vertical="center"/>
    </xf>
    <xf numFmtId="0" fontId="15" fillId="0" borderId="13" xfId="0" applyFont="1" applyBorder="1" applyAlignment="1">
      <alignment horizontal="center" vertical="center"/>
    </xf>
    <xf numFmtId="0" fontId="15" fillId="0" borderId="13" xfId="0" applyFont="1" applyBorder="1" applyAlignment="1">
      <alignment horizontal="left" vertical="center"/>
    </xf>
    <xf numFmtId="0" fontId="16" fillId="2" borderId="32" xfId="0" applyFont="1" applyFill="1" applyBorder="1" applyAlignment="1">
      <alignment horizontal="center" vertical="center"/>
    </xf>
    <xf numFmtId="0" fontId="15" fillId="4" borderId="19" xfId="0" applyFont="1" applyFill="1" applyBorder="1" applyAlignment="1">
      <alignment horizontal="center" vertical="center" wrapText="1"/>
    </xf>
    <xf numFmtId="0" fontId="15" fillId="4" borderId="13" xfId="0" applyFont="1" applyFill="1" applyBorder="1" applyAlignment="1">
      <alignment horizontal="center" vertical="center" wrapText="1"/>
    </xf>
    <xf numFmtId="0" fontId="15" fillId="2" borderId="34" xfId="0" applyFont="1" applyFill="1" applyBorder="1" applyAlignment="1">
      <alignment horizontal="left" vertical="center"/>
    </xf>
    <xf numFmtId="0" fontId="16" fillId="2" borderId="34" xfId="0" applyFont="1" applyFill="1" applyBorder="1" applyAlignment="1">
      <alignment vertical="center"/>
    </xf>
    <xf numFmtId="0" fontId="18" fillId="2" borderId="32" xfId="0" applyFont="1" applyFill="1" applyBorder="1" applyAlignment="1">
      <alignment vertical="center"/>
    </xf>
    <xf numFmtId="0" fontId="15" fillId="4" borderId="35" xfId="0" applyFont="1" applyFill="1" applyBorder="1" applyAlignment="1">
      <alignment horizontal="center" vertical="center" wrapText="1"/>
    </xf>
    <xf numFmtId="170" fontId="15" fillId="4" borderId="12" xfId="0" applyNumberFormat="1" applyFont="1" applyFill="1" applyBorder="1" applyAlignment="1">
      <alignment horizontal="center" vertical="center"/>
    </xf>
    <xf numFmtId="0" fontId="15" fillId="4" borderId="12" xfId="0" applyFont="1" applyFill="1" applyBorder="1" applyAlignment="1">
      <alignment vertical="center"/>
    </xf>
    <xf numFmtId="0" fontId="15" fillId="4" borderId="1" xfId="0" applyFont="1" applyFill="1" applyBorder="1" applyAlignment="1">
      <alignment horizontal="right" vertical="center" wrapText="1"/>
    </xf>
    <xf numFmtId="0" fontId="15" fillId="4" borderId="1" xfId="0" applyFont="1" applyFill="1" applyBorder="1" applyAlignment="1">
      <alignment horizontal="right" vertical="center"/>
    </xf>
    <xf numFmtId="0" fontId="15" fillId="4" borderId="2" xfId="0" applyFont="1" applyFill="1" applyBorder="1" applyAlignment="1">
      <alignment horizontal="right" vertical="center"/>
    </xf>
    <xf numFmtId="0" fontId="15" fillId="4" borderId="12" xfId="0" applyFont="1" applyFill="1" applyBorder="1"/>
    <xf numFmtId="0" fontId="0" fillId="4" borderId="12" xfId="0" applyFill="1" applyBorder="1"/>
    <xf numFmtId="0" fontId="15" fillId="4" borderId="37" xfId="0" applyFont="1" applyFill="1" applyBorder="1" applyAlignment="1">
      <alignment horizontal="center" vertical="center"/>
    </xf>
    <xf numFmtId="0" fontId="15" fillId="4" borderId="36" xfId="0" applyFont="1" applyFill="1" applyBorder="1" applyAlignment="1">
      <alignment horizontal="right" vertical="center" wrapText="1"/>
    </xf>
    <xf numFmtId="0" fontId="15" fillId="4" borderId="36" xfId="0" applyFont="1" applyFill="1" applyBorder="1" applyAlignment="1">
      <alignment horizontal="right" vertical="center"/>
    </xf>
    <xf numFmtId="0" fontId="0" fillId="4" borderId="31" xfId="0" applyFill="1" applyBorder="1"/>
    <xf numFmtId="0" fontId="0" fillId="2" borderId="0" xfId="0" applyFill="1" applyAlignment="1">
      <alignment horizontal="center"/>
    </xf>
    <xf numFmtId="0" fontId="15" fillId="2" borderId="0" xfId="0" applyFont="1" applyFill="1" applyAlignment="1">
      <alignment horizontal="center"/>
    </xf>
    <xf numFmtId="183" fontId="16" fillId="3" borderId="10" xfId="0" applyNumberFormat="1" applyFont="1" applyFill="1" applyBorder="1" applyAlignment="1">
      <alignment horizontal="right" vertical="center"/>
    </xf>
    <xf numFmtId="176" fontId="16" fillId="3" borderId="10" xfId="0" applyNumberFormat="1" applyFont="1" applyFill="1" applyBorder="1" applyAlignment="1">
      <alignment horizontal="right" vertical="center"/>
    </xf>
    <xf numFmtId="0" fontId="16" fillId="2" borderId="21" xfId="0" applyFont="1" applyFill="1" applyBorder="1" applyAlignment="1">
      <alignment vertical="center"/>
    </xf>
    <xf numFmtId="0" fontId="0" fillId="4" borderId="10" xfId="0" applyFill="1" applyBorder="1"/>
    <xf numFmtId="0" fontId="15" fillId="4" borderId="35" xfId="0" applyFont="1" applyFill="1" applyBorder="1" applyAlignment="1">
      <alignment horizontal="right" vertical="center" wrapText="1"/>
    </xf>
    <xf numFmtId="0" fontId="15" fillId="4" borderId="10" xfId="0" applyFont="1" applyFill="1" applyBorder="1" applyAlignment="1">
      <alignment horizontal="right" vertical="center" wrapText="1"/>
    </xf>
    <xf numFmtId="0" fontId="15" fillId="4" borderId="10" xfId="0" applyFont="1" applyFill="1" applyBorder="1" applyAlignment="1">
      <alignment horizontal="center" vertical="center"/>
    </xf>
    <xf numFmtId="0" fontId="15" fillId="4" borderId="13" xfId="0" applyFont="1" applyFill="1" applyBorder="1" applyAlignment="1">
      <alignment vertical="center"/>
    </xf>
    <xf numFmtId="0" fontId="15" fillId="4" borderId="13" xfId="0" quotePrefix="1" applyFont="1" applyFill="1" applyBorder="1" applyAlignment="1">
      <alignment vertical="center"/>
    </xf>
    <xf numFmtId="0" fontId="16" fillId="4" borderId="21" xfId="0" applyFont="1" applyFill="1" applyBorder="1" applyAlignment="1">
      <alignment vertical="center"/>
    </xf>
    <xf numFmtId="0" fontId="15" fillId="4" borderId="35" xfId="0" applyFont="1" applyFill="1" applyBorder="1" applyAlignment="1">
      <alignment horizontal="center" vertical="center"/>
    </xf>
    <xf numFmtId="0" fontId="15" fillId="4" borderId="1" xfId="0" applyFont="1" applyFill="1" applyBorder="1" applyAlignment="1">
      <alignment vertical="center"/>
    </xf>
    <xf numFmtId="0" fontId="15" fillId="4" borderId="2" xfId="0" applyFont="1" applyFill="1" applyBorder="1" applyAlignment="1">
      <alignment vertical="center"/>
    </xf>
    <xf numFmtId="0" fontId="16" fillId="4" borderId="3" xfId="0" applyFont="1" applyFill="1" applyBorder="1" applyAlignment="1">
      <alignment vertical="center"/>
    </xf>
    <xf numFmtId="183" fontId="15" fillId="4" borderId="0" xfId="0" applyNumberFormat="1" applyFont="1" applyFill="1" applyAlignment="1">
      <alignment vertical="center"/>
    </xf>
    <xf numFmtId="0" fontId="15" fillId="4" borderId="3" xfId="0" applyFont="1" applyFill="1" applyBorder="1" applyAlignment="1">
      <alignment horizontal="left" vertical="center"/>
    </xf>
    <xf numFmtId="180" fontId="15" fillId="4" borderId="0" xfId="0" applyNumberFormat="1" applyFont="1" applyFill="1" applyAlignment="1">
      <alignment horizontal="right" vertical="center"/>
    </xf>
    <xf numFmtId="183" fontId="15" fillId="4" borderId="11" xfId="0" applyNumberFormat="1" applyFont="1" applyFill="1" applyBorder="1" applyAlignment="1">
      <alignment horizontal="right" vertical="center"/>
    </xf>
    <xf numFmtId="0" fontId="47" fillId="4" borderId="13" xfId="0" applyFont="1" applyFill="1" applyBorder="1" applyAlignment="1">
      <alignment vertical="top"/>
    </xf>
    <xf numFmtId="183" fontId="15" fillId="4" borderId="13" xfId="0" applyNumberFormat="1" applyFont="1" applyFill="1" applyBorder="1" applyAlignment="1">
      <alignment vertical="center"/>
    </xf>
    <xf numFmtId="0" fontId="16" fillId="4" borderId="13" xfId="0" applyFont="1" applyFill="1" applyBorder="1" applyAlignment="1">
      <alignment horizontal="left" vertical="top"/>
    </xf>
    <xf numFmtId="183" fontId="15" fillId="4" borderId="12" xfId="0" applyNumberFormat="1" applyFont="1" applyFill="1" applyBorder="1" applyAlignment="1">
      <alignment horizontal="right" vertical="center"/>
    </xf>
    <xf numFmtId="0" fontId="16" fillId="4" borderId="24" xfId="0" applyFont="1" applyFill="1" applyBorder="1" applyAlignment="1">
      <alignment horizontal="center" vertical="top"/>
    </xf>
    <xf numFmtId="0" fontId="16" fillId="4" borderId="10" xfId="0" applyFont="1" applyFill="1" applyBorder="1" applyAlignment="1">
      <alignment horizontal="center" vertical="top"/>
    </xf>
    <xf numFmtId="0" fontId="16" fillId="4" borderId="10" xfId="0" applyFont="1" applyFill="1" applyBorder="1" applyAlignment="1">
      <alignment horizontal="right" vertical="top"/>
    </xf>
    <xf numFmtId="183" fontId="15" fillId="4" borderId="12" xfId="0" applyNumberFormat="1" applyFont="1" applyFill="1" applyBorder="1" applyAlignment="1">
      <alignment horizontal="center" vertical="center"/>
    </xf>
    <xf numFmtId="183" fontId="15" fillId="4" borderId="10" xfId="0" applyNumberFormat="1" applyFont="1" applyFill="1" applyBorder="1" applyAlignment="1">
      <alignment vertical="center"/>
    </xf>
    <xf numFmtId="183" fontId="15" fillId="4" borderId="10" xfId="0" applyNumberFormat="1" applyFont="1" applyFill="1" applyBorder="1" applyAlignment="1">
      <alignment horizontal="center" vertical="center"/>
    </xf>
    <xf numFmtId="0" fontId="16" fillId="4" borderId="0" xfId="0" applyFont="1" applyFill="1" applyAlignment="1">
      <alignment horizontal="right"/>
    </xf>
    <xf numFmtId="0" fontId="7" fillId="4" borderId="0" xfId="0" applyFont="1" applyFill="1"/>
    <xf numFmtId="0" fontId="15" fillId="4" borderId="0" xfId="0" applyFont="1" applyFill="1" applyAlignment="1">
      <alignment horizontal="left" vertical="top"/>
    </xf>
    <xf numFmtId="0" fontId="5" fillId="4" borderId="13" xfId="0" applyFont="1" applyFill="1" applyBorder="1" applyAlignment="1">
      <alignment horizontal="left" vertical="top"/>
    </xf>
    <xf numFmtId="0" fontId="16" fillId="4" borderId="21" xfId="0" applyFont="1" applyFill="1" applyBorder="1" applyAlignment="1">
      <alignment horizontal="left" vertical="top"/>
    </xf>
    <xf numFmtId="0" fontId="0" fillId="4" borderId="21" xfId="0" applyFill="1" applyBorder="1"/>
    <xf numFmtId="186" fontId="16" fillId="2" borderId="10" xfId="0" applyNumberFormat="1" applyFont="1" applyFill="1" applyBorder="1" applyAlignment="1">
      <alignment horizontal="right" vertical="center"/>
    </xf>
    <xf numFmtId="193" fontId="16" fillId="2" borderId="10" xfId="0" applyNumberFormat="1" applyFont="1" applyFill="1" applyBorder="1" applyAlignment="1">
      <alignment horizontal="right" vertical="center"/>
    </xf>
    <xf numFmtId="3" fontId="15" fillId="4" borderId="0" xfId="10" applyNumberFormat="1" applyFont="1" applyFill="1" applyAlignment="1">
      <alignment horizontal="right" vertical="center"/>
    </xf>
    <xf numFmtId="3" fontId="16" fillId="4" borderId="0" xfId="10" applyNumberFormat="1" applyFont="1" applyFill="1" applyAlignment="1">
      <alignment horizontal="right" vertical="center"/>
    </xf>
    <xf numFmtId="0" fontId="38" fillId="4" borderId="0" xfId="0" applyFont="1" applyFill="1" applyAlignment="1">
      <alignment horizontal="centerContinuous" vertical="center"/>
    </xf>
    <xf numFmtId="0" fontId="27" fillId="4" borderId="0" xfId="0" applyFont="1" applyFill="1" applyAlignment="1">
      <alignment vertical="center"/>
    </xf>
    <xf numFmtId="0" fontId="27" fillId="4" borderId="0" xfId="0" applyFont="1" applyFill="1"/>
    <xf numFmtId="0" fontId="14" fillId="4" borderId="0" xfId="0" applyFont="1" applyFill="1" applyAlignment="1">
      <alignment vertical="center"/>
    </xf>
    <xf numFmtId="196" fontId="16" fillId="4" borderId="0" xfId="0" applyNumberFormat="1" applyFont="1" applyFill="1"/>
    <xf numFmtId="196" fontId="16" fillId="4" borderId="0" xfId="0" applyNumberFormat="1" applyFont="1" applyFill="1" applyAlignment="1">
      <alignment horizontal="right"/>
    </xf>
    <xf numFmtId="196" fontId="16" fillId="4" borderId="0" xfId="0" applyNumberFormat="1" applyFont="1" applyFill="1" applyAlignment="1">
      <alignment vertical="center"/>
    </xf>
    <xf numFmtId="196" fontId="21" fillId="4" borderId="0" xfId="0" applyNumberFormat="1" applyFont="1" applyFill="1" applyAlignment="1">
      <alignment vertical="center"/>
    </xf>
    <xf numFmtId="196" fontId="16" fillId="4" borderId="0" xfId="0" applyNumberFormat="1" applyFont="1" applyFill="1" applyAlignment="1">
      <alignment horizontal="right" vertical="center" wrapText="1"/>
    </xf>
    <xf numFmtId="0" fontId="16" fillId="2" borderId="34" xfId="0" applyFont="1" applyFill="1" applyBorder="1" applyAlignment="1">
      <alignment horizontal="center" vertical="center"/>
    </xf>
    <xf numFmtId="173" fontId="16" fillId="2" borderId="0" xfId="0" applyNumberFormat="1" applyFont="1" applyFill="1" applyAlignment="1">
      <alignment horizontal="right" vertical="center"/>
    </xf>
    <xf numFmtId="196" fontId="16" fillId="4" borderId="0" xfId="0" applyNumberFormat="1" applyFont="1" applyFill="1" applyAlignment="1">
      <alignment horizontal="right" vertical="center"/>
    </xf>
    <xf numFmtId="0" fontId="14" fillId="0" borderId="0" xfId="2" applyFont="1" applyAlignment="1">
      <alignment horizontal="left" vertical="center"/>
    </xf>
    <xf numFmtId="0" fontId="14" fillId="0" borderId="0" xfId="2" applyFont="1" applyAlignment="1">
      <alignment horizontal="center" vertical="center"/>
    </xf>
    <xf numFmtId="0" fontId="21" fillId="0" borderId="10" xfId="10" applyFont="1" applyBorder="1" applyAlignment="1">
      <alignment horizontal="right"/>
    </xf>
    <xf numFmtId="0" fontId="14" fillId="4" borderId="0" xfId="0" applyFont="1" applyFill="1" applyAlignment="1">
      <alignment vertical="top"/>
    </xf>
    <xf numFmtId="196" fontId="21" fillId="0" borderId="0" xfId="10" applyNumberFormat="1" applyFont="1" applyAlignment="1">
      <alignment horizontal="right" vertical="center"/>
    </xf>
    <xf numFmtId="9" fontId="11" fillId="0" borderId="13" xfId="1" applyFont="1" applyFill="1" applyBorder="1" applyAlignment="1">
      <alignment horizontal="center" vertical="center"/>
    </xf>
    <xf numFmtId="1" fontId="15" fillId="0" borderId="13" xfId="1" applyNumberFormat="1" applyFont="1" applyFill="1" applyBorder="1" applyAlignment="1" applyProtection="1">
      <alignment horizontal="center" vertical="center"/>
    </xf>
    <xf numFmtId="1" fontId="16" fillId="0" borderId="13" xfId="1" applyNumberFormat="1" applyFont="1" applyFill="1" applyBorder="1" applyAlignment="1" applyProtection="1">
      <alignment horizontal="center" vertical="center"/>
    </xf>
    <xf numFmtId="1" fontId="15" fillId="0" borderId="21" xfId="1" applyNumberFormat="1" applyFont="1" applyFill="1" applyBorder="1" applyAlignment="1" applyProtection="1">
      <alignment horizontal="center" vertical="center"/>
    </xf>
    <xf numFmtId="0" fontId="22" fillId="4" borderId="0" xfId="4" applyFont="1" applyFill="1" applyAlignment="1">
      <alignment vertical="center"/>
    </xf>
    <xf numFmtId="198" fontId="53" fillId="4" borderId="0" xfId="0" applyNumberFormat="1" applyFont="1" applyFill="1" applyAlignment="1">
      <alignment horizontal="right" vertical="center"/>
    </xf>
    <xf numFmtId="0" fontId="27" fillId="0" borderId="0" xfId="0" applyFont="1" applyAlignment="1">
      <alignment vertical="center"/>
    </xf>
    <xf numFmtId="0" fontId="15" fillId="4" borderId="11" xfId="0" applyFont="1" applyFill="1" applyBorder="1" applyAlignment="1">
      <alignment horizontal="right" vertical="center" wrapText="1"/>
    </xf>
    <xf numFmtId="196" fontId="16" fillId="0" borderId="43" xfId="0" applyNumberFormat="1" applyFont="1" applyBorder="1" applyAlignment="1">
      <alignment horizontal="right" vertical="center"/>
    </xf>
    <xf numFmtId="196" fontId="16" fillId="0" borderId="43" xfId="0" applyNumberFormat="1" applyFont="1" applyBorder="1" applyAlignment="1">
      <alignment vertical="center"/>
    </xf>
    <xf numFmtId="0" fontId="16" fillId="0" borderId="43" xfId="0" applyFont="1" applyBorder="1" applyAlignment="1">
      <alignment horizontal="right" vertical="center"/>
    </xf>
    <xf numFmtId="0" fontId="16" fillId="0" borderId="43" xfId="0" applyFont="1" applyBorder="1" applyAlignment="1">
      <alignment vertical="center"/>
    </xf>
    <xf numFmtId="0" fontId="21" fillId="0" borderId="0" xfId="0" applyFont="1" applyAlignment="1">
      <alignment horizontal="right" vertical="center"/>
    </xf>
    <xf numFmtId="196" fontId="21" fillId="0" borderId="0" xfId="0" applyNumberFormat="1" applyFont="1" applyAlignment="1">
      <alignment vertical="center"/>
    </xf>
    <xf numFmtId="196" fontId="0" fillId="0" borderId="0" xfId="0" applyNumberFormat="1"/>
    <xf numFmtId="0" fontId="38" fillId="4" borderId="42" xfId="0" applyFont="1" applyFill="1" applyBorder="1" applyAlignment="1">
      <alignment horizontal="left" vertical="center"/>
    </xf>
    <xf numFmtId="0" fontId="27" fillId="4" borderId="42" xfId="0" applyFont="1" applyFill="1" applyBorder="1" applyAlignment="1">
      <alignment vertical="center"/>
    </xf>
    <xf numFmtId="0" fontId="27" fillId="4" borderId="42" xfId="0" applyFont="1" applyFill="1" applyBorder="1"/>
    <xf numFmtId="0" fontId="0" fillId="4" borderId="42" xfId="0" applyFill="1" applyBorder="1"/>
    <xf numFmtId="196" fontId="15" fillId="4" borderId="0" xfId="0" applyNumberFormat="1" applyFont="1" applyFill="1" applyAlignment="1">
      <alignment horizontal="right" vertical="center"/>
    </xf>
    <xf numFmtId="0" fontId="38" fillId="4" borderId="0" xfId="0" applyFont="1" applyFill="1" applyAlignment="1">
      <alignment horizontal="left" vertical="center"/>
    </xf>
    <xf numFmtId="0" fontId="38" fillId="4" borderId="0" xfId="0" applyFont="1" applyFill="1" applyAlignment="1">
      <alignment vertical="center"/>
    </xf>
    <xf numFmtId="0" fontId="38" fillId="4" borderId="42" xfId="0" applyFont="1" applyFill="1" applyBorder="1" applyAlignment="1">
      <alignment vertical="center"/>
    </xf>
    <xf numFmtId="0" fontId="16" fillId="4" borderId="42" xfId="0" applyFont="1" applyFill="1" applyBorder="1" applyAlignment="1">
      <alignment vertical="center"/>
    </xf>
    <xf numFmtId="0" fontId="16" fillId="4" borderId="10" xfId="0" applyFont="1" applyFill="1" applyBorder="1" applyAlignment="1">
      <alignment vertical="center"/>
    </xf>
    <xf numFmtId="0" fontId="16" fillId="4" borderId="12" xfId="0" applyFont="1" applyFill="1" applyBorder="1" applyAlignment="1">
      <alignment vertical="center"/>
    </xf>
    <xf numFmtId="196" fontId="14" fillId="4" borderId="0" xfId="0" applyNumberFormat="1" applyFont="1" applyFill="1" applyAlignment="1">
      <alignment horizontal="right" vertical="center"/>
    </xf>
    <xf numFmtId="0" fontId="16" fillId="4" borderId="0" xfId="15" applyFont="1" applyFill="1" applyAlignment="1">
      <alignment vertical="center"/>
    </xf>
    <xf numFmtId="0" fontId="16" fillId="4" borderId="44" xfId="0" applyFont="1" applyFill="1" applyBorder="1" applyAlignment="1">
      <alignment horizontal="left" vertical="center"/>
    </xf>
    <xf numFmtId="0" fontId="16" fillId="4" borderId="45" xfId="0" applyFont="1" applyFill="1" applyBorder="1" applyAlignment="1">
      <alignment horizontal="left" vertical="center"/>
    </xf>
    <xf numFmtId="196" fontId="16" fillId="4" borderId="10" xfId="0" applyNumberFormat="1" applyFont="1" applyFill="1" applyBorder="1" applyAlignment="1">
      <alignment horizontal="right" vertical="center"/>
    </xf>
    <xf numFmtId="196" fontId="16" fillId="4" borderId="10" xfId="0" applyNumberFormat="1" applyFont="1" applyFill="1" applyBorder="1" applyAlignment="1">
      <alignment vertical="center"/>
    </xf>
    <xf numFmtId="196" fontId="16" fillId="4" borderId="10" xfId="15" applyNumberFormat="1" applyFont="1" applyFill="1" applyBorder="1" applyAlignment="1">
      <alignment vertical="center"/>
    </xf>
    <xf numFmtId="0" fontId="40" fillId="4" borderId="0" xfId="0" applyFont="1" applyFill="1" applyAlignment="1">
      <alignment horizontal="justify" vertical="center"/>
    </xf>
    <xf numFmtId="0" fontId="40" fillId="4" borderId="0" xfId="0" applyFont="1" applyFill="1" applyAlignment="1">
      <alignment vertical="center"/>
    </xf>
    <xf numFmtId="0" fontId="46" fillId="4" borderId="0" xfId="0" applyFont="1" applyFill="1"/>
    <xf numFmtId="196" fontId="40" fillId="4" borderId="0" xfId="0" applyNumberFormat="1" applyFont="1" applyFill="1" applyAlignment="1">
      <alignment vertical="center"/>
    </xf>
    <xf numFmtId="199" fontId="16" fillId="4" borderId="0" xfId="0" applyNumberFormat="1" applyFont="1" applyFill="1" applyAlignment="1">
      <alignment horizontal="right" vertical="center"/>
    </xf>
    <xf numFmtId="0" fontId="16" fillId="4" borderId="10" xfId="0" applyFont="1" applyFill="1" applyBorder="1" applyAlignment="1">
      <alignment horizontal="right" vertical="center"/>
    </xf>
    <xf numFmtId="199" fontId="16" fillId="4" borderId="10" xfId="0" applyNumberFormat="1" applyFont="1" applyFill="1" applyBorder="1" applyAlignment="1">
      <alignment horizontal="right" vertical="center"/>
    </xf>
    <xf numFmtId="0" fontId="23" fillId="4" borderId="0" xfId="0" applyFont="1" applyFill="1" applyAlignment="1">
      <alignment vertical="center"/>
    </xf>
    <xf numFmtId="196" fontId="16" fillId="4" borderId="48" xfId="0" applyNumberFormat="1" applyFont="1" applyFill="1" applyBorder="1" applyAlignment="1">
      <alignment vertical="center"/>
    </xf>
    <xf numFmtId="196" fontId="16" fillId="4" borderId="49" xfId="0" applyNumberFormat="1" applyFont="1" applyFill="1" applyBorder="1" applyAlignment="1">
      <alignment vertical="center"/>
    </xf>
    <xf numFmtId="0" fontId="16" fillId="4" borderId="49" xfId="0" applyFont="1" applyFill="1" applyBorder="1" applyAlignment="1">
      <alignment horizontal="right" vertical="center"/>
    </xf>
    <xf numFmtId="196" fontId="16" fillId="4" borderId="0" xfId="10" applyNumberFormat="1" applyFont="1" applyFill="1" applyAlignment="1">
      <alignment vertical="center"/>
    </xf>
    <xf numFmtId="196" fontId="16" fillId="4" borderId="0" xfId="10" applyNumberFormat="1" applyFont="1" applyFill="1" applyAlignment="1">
      <alignment horizontal="right"/>
    </xf>
    <xf numFmtId="196" fontId="16" fillId="4" borderId="50" xfId="0" applyNumberFormat="1" applyFont="1" applyFill="1" applyBorder="1"/>
    <xf numFmtId="196" fontId="16" fillId="4" borderId="50" xfId="10" applyNumberFormat="1" applyFont="1" applyFill="1" applyBorder="1" applyAlignment="1">
      <alignment vertical="center"/>
    </xf>
    <xf numFmtId="0" fontId="16" fillId="4" borderId="0" xfId="0" applyFont="1" applyFill="1" applyAlignment="1">
      <alignment horizontal="left" vertical="center" indent="2"/>
    </xf>
    <xf numFmtId="0" fontId="5" fillId="4" borderId="0" xfId="10" applyFill="1"/>
    <xf numFmtId="0" fontId="56" fillId="4" borderId="0" xfId="10" applyFont="1" applyFill="1" applyAlignment="1">
      <alignment horizontal="left" vertical="center"/>
    </xf>
    <xf numFmtId="164" fontId="60" fillId="4" borderId="10" xfId="17" applyNumberFormat="1" applyFont="1" applyFill="1" applyBorder="1" applyAlignment="1">
      <alignment horizontal="right" vertical="center"/>
    </xf>
    <xf numFmtId="0" fontId="53" fillId="4" borderId="10" xfId="18" applyFont="1" applyFill="1" applyBorder="1" applyAlignment="1">
      <alignment horizontal="right" vertical="center"/>
    </xf>
    <xf numFmtId="0" fontId="53" fillId="4" borderId="51" xfId="18" applyFont="1" applyFill="1" applyBorder="1" applyAlignment="1">
      <alignment horizontal="right" vertical="center"/>
    </xf>
    <xf numFmtId="0" fontId="15" fillId="4" borderId="42" xfId="16" applyFont="1" applyFill="1" applyBorder="1" applyAlignment="1">
      <alignment horizontal="center" vertical="top" wrapText="1"/>
    </xf>
    <xf numFmtId="0" fontId="38" fillId="4" borderId="0" xfId="16" applyFont="1" applyFill="1" applyAlignment="1">
      <alignment horizontal="left" vertical="center" wrapText="1"/>
    </xf>
    <xf numFmtId="0" fontId="15" fillId="4" borderId="0" xfId="16" applyFont="1" applyFill="1" applyAlignment="1">
      <alignment horizontal="left" vertical="center" wrapText="1"/>
    </xf>
    <xf numFmtId="0" fontId="16" fillId="4" borderId="0" xfId="16" applyFont="1" applyFill="1" applyAlignment="1">
      <alignment horizontal="left" vertical="center"/>
    </xf>
    <xf numFmtId="0" fontId="16" fillId="4" borderId="0" xfId="16" applyFont="1" applyFill="1" applyAlignment="1">
      <alignment horizontal="left" vertical="center" indent="2"/>
    </xf>
    <xf numFmtId="0" fontId="16" fillId="4" borderId="0" xfId="0" applyFont="1" applyFill="1" applyAlignment="1">
      <alignment horizontal="center"/>
    </xf>
    <xf numFmtId="198" fontId="53" fillId="4" borderId="0" xfId="0" applyNumberFormat="1" applyFont="1" applyFill="1" applyAlignment="1">
      <alignment horizontal="center"/>
    </xf>
    <xf numFmtId="198" fontId="53" fillId="4" borderId="0" xfId="0" applyNumberFormat="1" applyFont="1" applyFill="1" applyAlignment="1">
      <alignment horizontal="center" vertical="center"/>
    </xf>
    <xf numFmtId="0" fontId="51" fillId="4" borderId="47" xfId="0" applyFont="1" applyFill="1" applyBorder="1" applyAlignment="1">
      <alignment vertical="center"/>
    </xf>
    <xf numFmtId="198" fontId="53" fillId="4" borderId="10" xfId="0" applyNumberFormat="1" applyFont="1" applyFill="1" applyBorder="1" applyAlignment="1">
      <alignment horizontal="right" vertical="center"/>
    </xf>
    <xf numFmtId="198" fontId="16" fillId="4" borderId="10" xfId="0" applyNumberFormat="1" applyFont="1" applyFill="1" applyBorder="1" applyAlignment="1">
      <alignment horizontal="right"/>
    </xf>
    <xf numFmtId="198" fontId="52" fillId="4" borderId="0" xfId="0" applyNumberFormat="1" applyFont="1" applyFill="1" applyAlignment="1">
      <alignment horizontal="right" vertical="center"/>
    </xf>
    <xf numFmtId="198" fontId="58" fillId="4" borderId="0" xfId="13" applyNumberFormat="1" applyFont="1" applyFill="1" applyAlignment="1">
      <alignment horizontal="left" vertical="top"/>
    </xf>
    <xf numFmtId="198" fontId="15" fillId="4" borderId="42" xfId="13" applyNumberFormat="1" applyFont="1" applyFill="1" applyBorder="1" applyAlignment="1">
      <alignment horizontal="left" vertical="top"/>
    </xf>
    <xf numFmtId="0" fontId="0" fillId="4" borderId="0" xfId="0" applyFill="1" applyAlignment="1">
      <alignment horizontal="left" indent="2"/>
    </xf>
    <xf numFmtId="0" fontId="38" fillId="4" borderId="0" xfId="0" applyFont="1" applyFill="1" applyAlignment="1">
      <alignment horizontal="left" indent="2"/>
    </xf>
    <xf numFmtId="198" fontId="16" fillId="4" borderId="0" xfId="13" applyNumberFormat="1" applyFont="1" applyFill="1" applyAlignment="1">
      <alignment horizontal="left" vertical="top" indent="2"/>
    </xf>
    <xf numFmtId="0" fontId="21" fillId="4" borderId="0" xfId="0" applyFont="1" applyFill="1" applyAlignment="1">
      <alignment horizontal="left" vertical="center"/>
    </xf>
    <xf numFmtId="0" fontId="14" fillId="4" borderId="0" xfId="0" applyFont="1" applyFill="1" applyAlignment="1">
      <alignment horizontal="left" vertical="center" indent="2"/>
    </xf>
    <xf numFmtId="0" fontId="22" fillId="4" borderId="0" xfId="0" applyFont="1" applyFill="1" applyAlignment="1">
      <alignment horizontal="left" vertical="center"/>
    </xf>
    <xf numFmtId="0" fontId="15" fillId="4" borderId="11" xfId="10" applyFont="1" applyFill="1" applyBorder="1" applyAlignment="1">
      <alignment vertical="center"/>
    </xf>
    <xf numFmtId="0" fontId="15" fillId="4" borderId="13" xfId="16" applyFont="1" applyFill="1" applyBorder="1" applyAlignment="1">
      <alignment vertical="center" wrapText="1"/>
    </xf>
    <xf numFmtId="0" fontId="15" fillId="4" borderId="30" xfId="16" applyFont="1" applyFill="1" applyBorder="1" applyAlignment="1">
      <alignment vertical="center" wrapText="1"/>
    </xf>
    <xf numFmtId="0" fontId="15" fillId="4" borderId="0" xfId="16" applyFont="1" applyFill="1" applyAlignment="1">
      <alignment vertical="center" wrapText="1"/>
    </xf>
    <xf numFmtId="3" fontId="15" fillId="4" borderId="30" xfId="10" applyNumberFormat="1" applyFont="1" applyFill="1" applyBorder="1" applyAlignment="1">
      <alignment horizontal="right" vertical="center"/>
    </xf>
    <xf numFmtId="0" fontId="16" fillId="4" borderId="13" xfId="10" applyFont="1" applyFill="1" applyBorder="1" applyAlignment="1">
      <alignment horizontal="left" vertical="center" indent="1"/>
    </xf>
    <xf numFmtId="3" fontId="16" fillId="4" borderId="30" xfId="10" applyNumberFormat="1" applyFont="1" applyFill="1" applyBorder="1" applyAlignment="1">
      <alignment horizontal="right" vertical="center"/>
    </xf>
    <xf numFmtId="0" fontId="15" fillId="4" borderId="13" xfId="10" applyFont="1" applyFill="1" applyBorder="1" applyAlignment="1">
      <alignment horizontal="left" vertical="center"/>
    </xf>
    <xf numFmtId="0" fontId="16" fillId="4" borderId="21" xfId="10" applyFont="1" applyFill="1" applyBorder="1" applyAlignment="1">
      <alignment horizontal="left" vertical="center" indent="1"/>
    </xf>
    <xf numFmtId="3" fontId="16" fillId="4" borderId="24" xfId="10" applyNumberFormat="1" applyFont="1" applyFill="1" applyBorder="1" applyAlignment="1">
      <alignment horizontal="right" vertical="center"/>
    </xf>
    <xf numFmtId="3" fontId="16" fillId="4" borderId="10" xfId="10" applyNumberFormat="1" applyFont="1" applyFill="1" applyBorder="1" applyAlignment="1">
      <alignment horizontal="right" vertical="center"/>
    </xf>
    <xf numFmtId="0" fontId="16" fillId="6" borderId="39" xfId="3" applyFont="1" applyFill="1" applyBorder="1" applyAlignment="1">
      <alignment horizontal="left" vertical="center" wrapText="1" indent="1"/>
    </xf>
    <xf numFmtId="197" fontId="35" fillId="4" borderId="0" xfId="0" applyNumberFormat="1" applyFont="1" applyFill="1" applyAlignment="1">
      <alignment vertical="center"/>
    </xf>
    <xf numFmtId="197" fontId="16" fillId="4" borderId="0" xfId="0" applyNumberFormat="1" applyFont="1" applyFill="1" applyAlignment="1">
      <alignment vertical="center"/>
    </xf>
    <xf numFmtId="197" fontId="16" fillId="4" borderId="0" xfId="0" applyNumberFormat="1" applyFont="1" applyFill="1" applyAlignment="1">
      <alignment horizontal="right" vertical="center"/>
    </xf>
    <xf numFmtId="201" fontId="15" fillId="4" borderId="0" xfId="0" applyNumberFormat="1" applyFont="1" applyFill="1" applyAlignment="1">
      <alignment horizontal="right" vertical="center"/>
    </xf>
    <xf numFmtId="201" fontId="16" fillId="4" borderId="0" xfId="0" applyNumberFormat="1" applyFont="1" applyFill="1" applyAlignment="1">
      <alignment vertical="center"/>
    </xf>
    <xf numFmtId="201" fontId="16" fillId="2" borderId="0" xfId="0" applyNumberFormat="1" applyFont="1" applyFill="1" applyAlignment="1">
      <alignment vertical="center"/>
    </xf>
    <xf numFmtId="201" fontId="15" fillId="4" borderId="0" xfId="0" applyNumberFormat="1" applyFont="1" applyFill="1" applyAlignment="1">
      <alignment vertical="center"/>
    </xf>
    <xf numFmtId="201" fontId="16" fillId="4" borderId="0" xfId="0" applyNumberFormat="1" applyFont="1" applyFill="1" applyAlignment="1">
      <alignment horizontal="right" vertical="center"/>
    </xf>
    <xf numFmtId="201" fontId="16" fillId="4" borderId="0" xfId="0" applyNumberFormat="1" applyFont="1" applyFill="1" applyAlignment="1">
      <alignment horizontal="center" vertical="center"/>
    </xf>
    <xf numFmtId="201" fontId="15" fillId="4" borderId="0" xfId="0" applyNumberFormat="1" applyFont="1" applyFill="1" applyAlignment="1">
      <alignment horizontal="center" vertical="center"/>
    </xf>
    <xf numFmtId="201" fontId="15" fillId="4" borderId="0" xfId="0" applyNumberFormat="1" applyFont="1" applyFill="1" applyAlignment="1">
      <alignment horizontal="center"/>
    </xf>
    <xf numFmtId="201" fontId="16" fillId="4" borderId="0" xfId="0" applyNumberFormat="1" applyFont="1" applyFill="1" applyAlignment="1">
      <alignment horizontal="center"/>
    </xf>
    <xf numFmtId="201" fontId="21" fillId="4" borderId="0" xfId="0" applyNumberFormat="1" applyFont="1" applyFill="1" applyAlignment="1">
      <alignment horizontal="center" vertical="center"/>
    </xf>
    <xf numFmtId="201" fontId="27" fillId="4" borderId="0" xfId="0" applyNumberFormat="1" applyFont="1" applyFill="1" applyAlignment="1">
      <alignment horizontal="center"/>
    </xf>
    <xf numFmtId="201" fontId="16" fillId="4" borderId="10" xfId="0" applyNumberFormat="1" applyFont="1" applyFill="1" applyBorder="1" applyAlignment="1">
      <alignment horizontal="right" vertical="center"/>
    </xf>
    <xf numFmtId="201" fontId="16" fillId="4" borderId="10" xfId="0" applyNumberFormat="1" applyFont="1" applyFill="1" applyBorder="1" applyAlignment="1">
      <alignment vertical="center"/>
    </xf>
    <xf numFmtId="0" fontId="15" fillId="4" borderId="13" xfId="0" applyFont="1" applyFill="1" applyBorder="1" applyAlignment="1">
      <alignment horizontal="left" vertical="center"/>
    </xf>
    <xf numFmtId="0" fontId="12" fillId="4" borderId="0" xfId="0" applyFont="1" applyFill="1" applyAlignment="1">
      <alignment horizontal="right" vertical="top"/>
    </xf>
    <xf numFmtId="0" fontId="46" fillId="4" borderId="0" xfId="0" applyFont="1" applyFill="1" applyAlignment="1">
      <alignment horizontal="right" vertical="top"/>
    </xf>
    <xf numFmtId="0" fontId="23" fillId="4" borderId="0" xfId="0" applyFont="1" applyFill="1" applyAlignment="1">
      <alignment horizontal="right" vertical="top"/>
    </xf>
    <xf numFmtId="0" fontId="0" fillId="4" borderId="0" xfId="0" applyFill="1" applyAlignment="1">
      <alignment horizontal="right"/>
    </xf>
    <xf numFmtId="3" fontId="15" fillId="4" borderId="0" xfId="0" applyNumberFormat="1" applyFont="1" applyFill="1" applyAlignment="1">
      <alignment horizontal="right" vertical="center"/>
    </xf>
    <xf numFmtId="3" fontId="16" fillId="4" borderId="0" xfId="0" applyNumberFormat="1" applyFont="1" applyFill="1" applyAlignment="1">
      <alignment horizontal="right" vertical="top"/>
    </xf>
    <xf numFmtId="3" fontId="5" fillId="4" borderId="0" xfId="0" applyNumberFormat="1" applyFont="1" applyFill="1" applyAlignment="1">
      <alignment horizontal="right" vertical="top"/>
    </xf>
    <xf numFmtId="3" fontId="0" fillId="4" borderId="0" xfId="0" applyNumberFormat="1" applyFill="1" applyAlignment="1">
      <alignment horizontal="right"/>
    </xf>
    <xf numFmtId="3" fontId="12" fillId="4" borderId="0" xfId="0" applyNumberFormat="1" applyFont="1" applyFill="1" applyAlignment="1">
      <alignment horizontal="right" vertical="top"/>
    </xf>
    <xf numFmtId="3" fontId="46" fillId="4" borderId="0" xfId="0" applyNumberFormat="1" applyFont="1" applyFill="1" applyAlignment="1">
      <alignment horizontal="right" vertical="top"/>
    </xf>
    <xf numFmtId="3" fontId="23" fillId="4" borderId="0" xfId="0" applyNumberFormat="1" applyFont="1" applyFill="1" applyAlignment="1">
      <alignment horizontal="right" vertical="top"/>
    </xf>
    <xf numFmtId="3" fontId="16" fillId="4" borderId="10" xfId="0" applyNumberFormat="1" applyFont="1" applyFill="1" applyBorder="1" applyAlignment="1">
      <alignment horizontal="right" vertical="top"/>
    </xf>
    <xf numFmtId="201" fontId="15" fillId="4" borderId="0" xfId="0" quotePrefix="1" applyNumberFormat="1" applyFont="1" applyFill="1" applyAlignment="1">
      <alignment horizontal="right" vertical="center"/>
    </xf>
    <xf numFmtId="196" fontId="16" fillId="4" borderId="30" xfId="0" applyNumberFormat="1" applyFont="1" applyFill="1" applyBorder="1" applyAlignment="1">
      <alignment vertical="center"/>
    </xf>
    <xf numFmtId="3" fontId="14" fillId="4" borderId="0" xfId="16" applyNumberFormat="1" applyFont="1" applyFill="1" applyAlignment="1">
      <alignment vertical="center"/>
    </xf>
    <xf numFmtId="0" fontId="55" fillId="4" borderId="0" xfId="10" applyFont="1" applyFill="1" applyAlignment="1">
      <alignment horizontal="left" vertical="center" wrapText="1"/>
    </xf>
    <xf numFmtId="172" fontId="16" fillId="4" borderId="0" xfId="0" applyNumberFormat="1" applyFont="1" applyFill="1" applyAlignment="1">
      <alignment horizontal="right" vertical="center" wrapText="1"/>
    </xf>
    <xf numFmtId="0" fontId="22" fillId="4" borderId="0" xfId="4" applyFont="1" applyFill="1" applyAlignment="1">
      <alignment horizontal="left" vertical="center"/>
    </xf>
    <xf numFmtId="196" fontId="15" fillId="4" borderId="30" xfId="0" applyNumberFormat="1" applyFont="1" applyFill="1" applyBorder="1" applyAlignment="1">
      <alignment horizontal="right" vertical="center"/>
    </xf>
    <xf numFmtId="0" fontId="53" fillId="4" borderId="56" xfId="18" applyFont="1" applyFill="1" applyBorder="1" applyAlignment="1">
      <alignment horizontal="right" vertical="center"/>
    </xf>
    <xf numFmtId="0" fontId="53" fillId="4" borderId="57" xfId="18" applyFont="1" applyFill="1" applyBorder="1" applyAlignment="1">
      <alignment horizontal="right" vertical="center"/>
    </xf>
    <xf numFmtId="0" fontId="63" fillId="0" borderId="0" xfId="21" applyFont="1"/>
    <xf numFmtId="3" fontId="16" fillId="4" borderId="0" xfId="0" applyNumberFormat="1" applyFont="1" applyFill="1" applyAlignment="1">
      <alignment horizontal="right" vertical="center"/>
    </xf>
    <xf numFmtId="3" fontId="0" fillId="0" borderId="0" xfId="0" applyNumberFormat="1"/>
    <xf numFmtId="0" fontId="52" fillId="4" borderId="47" xfId="0" applyFont="1" applyFill="1" applyBorder="1" applyAlignment="1">
      <alignment horizontal="left" vertical="center"/>
    </xf>
    <xf numFmtId="0" fontId="53" fillId="4" borderId="47" xfId="0" applyFont="1" applyFill="1" applyBorder="1" applyAlignment="1">
      <alignment horizontal="left" vertical="center"/>
    </xf>
    <xf numFmtId="0" fontId="15" fillId="4" borderId="0" xfId="0" applyFont="1" applyFill="1" applyAlignment="1">
      <alignment horizontal="right" vertical="center" wrapText="1"/>
    </xf>
    <xf numFmtId="0" fontId="16" fillId="4" borderId="13" xfId="0" applyFont="1" applyFill="1" applyBorder="1" applyAlignment="1">
      <alignment horizontal="left" vertical="top" wrapText="1"/>
    </xf>
    <xf numFmtId="201" fontId="16" fillId="4" borderId="0" xfId="0" quotePrefix="1" applyNumberFormat="1" applyFont="1" applyFill="1" applyAlignment="1">
      <alignment horizontal="right" vertical="center" wrapText="1"/>
    </xf>
    <xf numFmtId="201" fontId="16" fillId="4" borderId="0" xfId="0" applyNumberFormat="1" applyFont="1" applyFill="1" applyAlignment="1">
      <alignment horizontal="right" vertical="center" wrapText="1"/>
    </xf>
    <xf numFmtId="0" fontId="16" fillId="2" borderId="0" xfId="0" applyFont="1" applyFill="1" applyAlignment="1">
      <alignment vertical="center" wrapText="1"/>
    </xf>
    <xf numFmtId="201" fontId="16" fillId="4" borderId="24" xfId="0" applyNumberFormat="1" applyFont="1" applyFill="1" applyBorder="1" applyAlignment="1">
      <alignment horizontal="right" vertical="center"/>
    </xf>
    <xf numFmtId="201" fontId="21" fillId="4" borderId="0" xfId="0" applyNumberFormat="1" applyFont="1" applyFill="1" applyAlignment="1">
      <alignment vertical="center"/>
    </xf>
    <xf numFmtId="201" fontId="27" fillId="4" borderId="0" xfId="0" applyNumberFormat="1" applyFont="1" applyFill="1" applyAlignment="1">
      <alignment horizontal="right" vertical="center"/>
    </xf>
    <xf numFmtId="0" fontId="15" fillId="4" borderId="19" xfId="0" applyFont="1" applyFill="1" applyBorder="1" applyAlignment="1">
      <alignment horizontal="center" vertical="center"/>
    </xf>
    <xf numFmtId="0" fontId="7" fillId="4" borderId="0" xfId="0" applyFont="1" applyFill="1" applyAlignment="1">
      <alignment vertical="center"/>
    </xf>
    <xf numFmtId="196" fontId="16" fillId="4" borderId="0" xfId="6" applyNumberFormat="1" applyFont="1" applyFill="1" applyAlignment="1">
      <alignment horizontal="right" vertical="center"/>
    </xf>
    <xf numFmtId="0" fontId="15" fillId="4" borderId="13" xfId="10" applyFont="1" applyFill="1" applyBorder="1" applyAlignment="1">
      <alignment vertical="center" wrapText="1"/>
    </xf>
    <xf numFmtId="196" fontId="15" fillId="4" borderId="0" xfId="0" applyNumberFormat="1" applyFont="1" applyFill="1" applyAlignment="1">
      <alignment vertical="center"/>
    </xf>
    <xf numFmtId="0" fontId="0" fillId="4" borderId="0" xfId="0" applyFill="1" applyAlignment="1">
      <alignment wrapText="1"/>
    </xf>
    <xf numFmtId="0" fontId="15" fillId="4" borderId="2" xfId="0" applyFont="1" applyFill="1" applyBorder="1" applyAlignment="1">
      <alignment horizontal="right" vertical="center" wrapText="1"/>
    </xf>
    <xf numFmtId="0" fontId="15" fillId="4" borderId="22" xfId="0" applyFont="1" applyFill="1" applyBorder="1" applyAlignment="1">
      <alignment horizontal="right" vertical="center" wrapText="1"/>
    </xf>
    <xf numFmtId="0" fontId="14" fillId="2" borderId="0" xfId="0" applyFont="1" applyFill="1" applyAlignment="1">
      <alignment horizontal="right" vertical="center" wrapText="1"/>
    </xf>
    <xf numFmtId="186" fontId="16" fillId="2" borderId="0" xfId="0" applyNumberFormat="1" applyFont="1" applyFill="1" applyAlignment="1">
      <alignment horizontal="right" vertical="center"/>
    </xf>
    <xf numFmtId="172" fontId="16" fillId="2" borderId="0" xfId="0" quotePrefix="1" applyNumberFormat="1" applyFont="1" applyFill="1" applyAlignment="1">
      <alignment horizontal="right" vertical="center"/>
    </xf>
    <xf numFmtId="0" fontId="15" fillId="4" borderId="37" xfId="0" applyFont="1" applyFill="1" applyBorder="1" applyAlignment="1">
      <alignment horizontal="right" vertical="center"/>
    </xf>
    <xf numFmtId="0" fontId="15" fillId="4" borderId="44" xfId="0" applyFont="1" applyFill="1" applyBorder="1" applyAlignment="1">
      <alignment horizontal="center" vertical="center"/>
    </xf>
    <xf numFmtId="0" fontId="15" fillId="4" borderId="37" xfId="0" applyFont="1" applyFill="1" applyBorder="1" applyAlignment="1">
      <alignment vertical="center"/>
    </xf>
    <xf numFmtId="0" fontId="15" fillId="4" borderId="0" xfId="15" applyFont="1" applyFill="1" applyAlignment="1">
      <alignment horizontal="right" vertical="center"/>
    </xf>
    <xf numFmtId="0" fontId="15" fillId="4" borderId="44" xfId="0" applyFont="1" applyFill="1" applyBorder="1" applyAlignment="1">
      <alignment vertical="center"/>
    </xf>
    <xf numFmtId="196" fontId="15" fillId="4" borderId="0" xfId="15" applyNumberFormat="1" applyFont="1" applyFill="1" applyAlignment="1">
      <alignment vertical="center"/>
    </xf>
    <xf numFmtId="0" fontId="52" fillId="4" borderId="47" xfId="0" applyFont="1" applyFill="1" applyBorder="1" applyAlignment="1">
      <alignment horizontal="center" vertical="center"/>
    </xf>
    <xf numFmtId="172" fontId="15" fillId="4" borderId="52" xfId="0" applyNumberFormat="1" applyFont="1" applyFill="1" applyBorder="1" applyAlignment="1">
      <alignment horizontal="right" vertical="center"/>
    </xf>
    <xf numFmtId="172" fontId="15" fillId="4" borderId="0" xfId="0" applyNumberFormat="1" applyFont="1" applyFill="1" applyAlignment="1">
      <alignment horizontal="right" vertical="center"/>
    </xf>
    <xf numFmtId="0" fontId="52" fillId="4" borderId="0" xfId="0" applyFont="1" applyFill="1" applyAlignment="1">
      <alignment horizontal="right" vertical="center"/>
    </xf>
    <xf numFmtId="0" fontId="15" fillId="4" borderId="0" xfId="0" applyFont="1" applyFill="1" applyAlignment="1">
      <alignment horizontal="center" vertical="center" wrapText="1"/>
    </xf>
    <xf numFmtId="0" fontId="7" fillId="4" borderId="49" xfId="0" applyFont="1" applyFill="1" applyBorder="1" applyAlignment="1">
      <alignment vertical="center"/>
    </xf>
    <xf numFmtId="196" fontId="15" fillId="4" borderId="49" xfId="0" applyNumberFormat="1" applyFont="1" applyFill="1" applyBorder="1" applyAlignment="1">
      <alignment vertical="center"/>
    </xf>
    <xf numFmtId="196" fontId="15" fillId="4" borderId="30" xfId="0" applyNumberFormat="1" applyFont="1" applyFill="1" applyBorder="1" applyAlignment="1">
      <alignment vertical="center"/>
    </xf>
    <xf numFmtId="196" fontId="15" fillId="4" borderId="50" xfId="0" applyNumberFormat="1" applyFont="1" applyFill="1" applyBorder="1" applyAlignment="1">
      <alignment vertical="center"/>
    </xf>
    <xf numFmtId="196" fontId="15" fillId="4" borderId="50" xfId="0" applyNumberFormat="1" applyFont="1" applyFill="1" applyBorder="1" applyAlignment="1">
      <alignment horizontal="right" vertical="center"/>
    </xf>
    <xf numFmtId="0" fontId="8" fillId="4" borderId="30" xfId="0" applyFont="1" applyFill="1" applyBorder="1" applyAlignment="1">
      <alignment horizontal="right"/>
    </xf>
    <xf numFmtId="0" fontId="8" fillId="4" borderId="0" xfId="0" applyFont="1" applyFill="1" applyAlignment="1">
      <alignment horizontal="right"/>
    </xf>
    <xf numFmtId="0" fontId="7" fillId="4" borderId="0" xfId="0" applyFont="1" applyFill="1" applyAlignment="1">
      <alignment horizontal="right"/>
    </xf>
    <xf numFmtId="196" fontId="15" fillId="4" borderId="49" xfId="0" applyNumberFormat="1" applyFont="1" applyFill="1" applyBorder="1" applyAlignment="1">
      <alignment horizontal="right" vertical="center"/>
    </xf>
    <xf numFmtId="0" fontId="15" fillId="4" borderId="54" xfId="0" applyFont="1" applyFill="1" applyBorder="1" applyAlignment="1">
      <alignment horizontal="right" vertical="center" wrapText="1"/>
    </xf>
    <xf numFmtId="0" fontId="15" fillId="4" borderId="25" xfId="0" applyFont="1" applyFill="1" applyBorder="1" applyAlignment="1">
      <alignment horizontal="right" vertical="center" wrapText="1"/>
    </xf>
    <xf numFmtId="0" fontId="7" fillId="4" borderId="0" xfId="0" applyFont="1" applyFill="1" applyAlignment="1">
      <alignment horizontal="center" vertical="center" wrapText="1"/>
    </xf>
    <xf numFmtId="0" fontId="22" fillId="4" borderId="12" xfId="4" applyFont="1" applyFill="1" applyBorder="1" applyAlignment="1">
      <alignment vertical="center"/>
    </xf>
    <xf numFmtId="204" fontId="22" fillId="4" borderId="0" xfId="4" applyNumberFormat="1" applyFont="1" applyFill="1" applyAlignment="1">
      <alignment vertical="center"/>
    </xf>
    <xf numFmtId="0" fontId="53" fillId="4" borderId="47" xfId="0" applyFont="1" applyFill="1" applyBorder="1" applyAlignment="1">
      <alignment vertical="center"/>
    </xf>
    <xf numFmtId="0" fontId="15" fillId="4" borderId="36" xfId="20" applyFont="1" applyFill="1" applyBorder="1" applyAlignment="1">
      <alignment horizontal="right" vertical="center" wrapText="1"/>
    </xf>
    <xf numFmtId="0" fontId="53" fillId="4" borderId="53" xfId="0" applyFont="1" applyFill="1" applyBorder="1" applyAlignment="1">
      <alignment vertical="center"/>
    </xf>
    <xf numFmtId="0" fontId="53" fillId="4" borderId="37" xfId="0" applyFont="1" applyFill="1" applyBorder="1" applyAlignment="1">
      <alignment vertical="center"/>
    </xf>
    <xf numFmtId="0" fontId="15" fillId="4" borderId="36" xfId="16" applyFont="1" applyFill="1" applyBorder="1" applyAlignment="1">
      <alignment horizontal="right" wrapText="1"/>
    </xf>
    <xf numFmtId="0" fontId="15" fillId="4" borderId="0" xfId="16" applyFont="1" applyFill="1" applyAlignment="1">
      <alignment horizontal="right" vertical="center" wrapText="1"/>
    </xf>
    <xf numFmtId="0" fontId="7" fillId="4" borderId="0" xfId="10" applyFont="1" applyFill="1" applyAlignment="1">
      <alignment horizontal="right"/>
    </xf>
    <xf numFmtId="0" fontId="7" fillId="4" borderId="0" xfId="10" applyFont="1" applyFill="1"/>
    <xf numFmtId="0" fontId="52" fillId="4" borderId="55" xfId="18" applyFont="1" applyFill="1" applyBorder="1" applyAlignment="1">
      <alignment horizontal="right" vertical="center"/>
    </xf>
    <xf numFmtId="164" fontId="53" fillId="4" borderId="0" xfId="17" applyNumberFormat="1" applyFont="1" applyFill="1" applyAlignment="1">
      <alignment horizontal="right" vertical="center"/>
    </xf>
    <xf numFmtId="204" fontId="22" fillId="4" borderId="0" xfId="4" applyNumberFormat="1" applyFont="1" applyFill="1" applyAlignment="1">
      <alignment vertical="top"/>
    </xf>
    <xf numFmtId="0" fontId="16" fillId="4" borderId="0" xfId="0" applyFont="1" applyFill="1" applyAlignment="1">
      <alignment vertical="top"/>
    </xf>
    <xf numFmtId="0" fontId="0" fillId="4" borderId="0" xfId="0" applyFill="1" applyAlignment="1">
      <alignment vertical="top"/>
    </xf>
    <xf numFmtId="0" fontId="22" fillId="4" borderId="12" xfId="4" applyFont="1" applyFill="1" applyBorder="1"/>
    <xf numFmtId="0" fontId="16" fillId="0" borderId="12" xfId="0" applyFont="1" applyBorder="1" applyAlignment="1">
      <alignment horizontal="right" vertical="center"/>
    </xf>
    <xf numFmtId="0" fontId="7" fillId="0" borderId="0" xfId="0" applyFont="1"/>
    <xf numFmtId="167" fontId="15" fillId="2" borderId="0" xfId="0" applyNumberFormat="1" applyFont="1" applyFill="1" applyAlignment="1">
      <alignment vertical="center"/>
    </xf>
    <xf numFmtId="0" fontId="15" fillId="2" borderId="13" xfId="0" applyFont="1" applyFill="1" applyBorder="1" applyAlignment="1">
      <alignment vertical="center"/>
    </xf>
    <xf numFmtId="204" fontId="22" fillId="2" borderId="0" xfId="0" applyNumberFormat="1" applyFont="1" applyFill="1" applyAlignment="1">
      <alignment vertical="center"/>
    </xf>
    <xf numFmtId="0" fontId="14" fillId="4" borderId="0" xfId="0" applyFont="1" applyFill="1" applyAlignment="1">
      <alignment horizontal="left" vertical="center"/>
    </xf>
    <xf numFmtId="0" fontId="15" fillId="5" borderId="11" xfId="5" applyFont="1" applyFill="1" applyBorder="1" applyAlignment="1">
      <alignment horizontal="right" vertical="center" wrapText="1"/>
    </xf>
    <xf numFmtId="204" fontId="22" fillId="2" borderId="0" xfId="0" applyNumberFormat="1" applyFont="1" applyFill="1" applyAlignment="1">
      <alignment horizontal="left" vertical="center"/>
    </xf>
    <xf numFmtId="0" fontId="16" fillId="4" borderId="3" xfId="0" applyFont="1" applyFill="1" applyBorder="1" applyAlignment="1">
      <alignment horizontal="left" vertical="center"/>
    </xf>
    <xf numFmtId="0" fontId="16" fillId="4" borderId="0" xfId="33" applyFont="1" applyFill="1" applyAlignment="1">
      <alignment vertical="center"/>
    </xf>
    <xf numFmtId="0" fontId="16" fillId="4" borderId="0" xfId="33" applyFont="1" applyFill="1" applyAlignment="1">
      <alignment horizontal="right" vertical="center"/>
    </xf>
    <xf numFmtId="201" fontId="16" fillId="4" borderId="0" xfId="33" applyNumberFormat="1" applyFont="1" applyFill="1" applyAlignment="1">
      <alignment vertical="center"/>
    </xf>
    <xf numFmtId="0" fontId="22" fillId="4" borderId="0" xfId="33" applyFont="1" applyFill="1" applyAlignment="1">
      <alignment horizontal="left" vertical="center"/>
    </xf>
    <xf numFmtId="0" fontId="1" fillId="4" borderId="0" xfId="33" applyFill="1"/>
    <xf numFmtId="0" fontId="16" fillId="4" borderId="10" xfId="33" applyFont="1" applyFill="1" applyBorder="1" applyAlignment="1">
      <alignment vertical="center"/>
    </xf>
    <xf numFmtId="180" fontId="16" fillId="4" borderId="0" xfId="33" applyNumberFormat="1" applyFont="1" applyFill="1" applyAlignment="1">
      <alignment vertical="center"/>
    </xf>
    <xf numFmtId="0" fontId="15" fillId="4" borderId="0" xfId="33" applyFont="1" applyFill="1" applyAlignment="1">
      <alignment vertical="center"/>
    </xf>
    <xf numFmtId="172" fontId="15" fillId="4" borderId="0" xfId="33" applyNumberFormat="1" applyFont="1" applyFill="1" applyAlignment="1">
      <alignment horizontal="right" vertical="center"/>
    </xf>
    <xf numFmtId="0" fontId="7" fillId="4" borderId="0" xfId="33" applyFont="1" applyFill="1" applyAlignment="1">
      <alignment vertical="center"/>
    </xf>
    <xf numFmtId="0" fontId="15" fillId="4" borderId="11" xfId="33" applyFont="1" applyFill="1" applyBorder="1" applyAlignment="1">
      <alignment horizontal="right" vertical="center"/>
    </xf>
    <xf numFmtId="0" fontId="15" fillId="4" borderId="11" xfId="33" applyFont="1" applyFill="1" applyBorder="1" applyAlignment="1">
      <alignment horizontal="center" vertical="center"/>
    </xf>
    <xf numFmtId="0" fontId="35" fillId="4" borderId="0" xfId="33" applyFont="1" applyFill="1" applyAlignment="1">
      <alignment vertical="center"/>
    </xf>
    <xf numFmtId="180" fontId="16" fillId="4" borderId="0" xfId="33" applyNumberFormat="1" applyFont="1" applyFill="1" applyAlignment="1">
      <alignment horizontal="right" vertical="center"/>
    </xf>
    <xf numFmtId="0" fontId="7" fillId="4" borderId="0" xfId="33" applyFont="1" applyFill="1" applyAlignment="1">
      <alignment horizontal="center" vertical="center"/>
    </xf>
    <xf numFmtId="0" fontId="7" fillId="4" borderId="0" xfId="33" applyFont="1" applyFill="1" applyAlignment="1">
      <alignment horizontal="left" vertical="center"/>
    </xf>
    <xf numFmtId="180" fontId="15" fillId="4" borderId="0" xfId="33" applyNumberFormat="1" applyFont="1" applyFill="1" applyAlignment="1">
      <alignment vertical="center"/>
    </xf>
    <xf numFmtId="172" fontId="15" fillId="4" borderId="0" xfId="33" applyNumberFormat="1" applyFont="1" applyFill="1" applyAlignment="1">
      <alignment vertical="center"/>
    </xf>
    <xf numFmtId="0" fontId="15" fillId="4" borderId="0" xfId="33" applyFont="1" applyFill="1" applyAlignment="1">
      <alignment horizontal="right" vertical="center"/>
    </xf>
    <xf numFmtId="174" fontId="15" fillId="4" borderId="0" xfId="33" applyNumberFormat="1" applyFont="1" applyFill="1" applyAlignment="1">
      <alignment horizontal="right" vertical="center"/>
    </xf>
    <xf numFmtId="0" fontId="21" fillId="4" borderId="0" xfId="33" applyFont="1" applyFill="1" applyAlignment="1">
      <alignment vertical="center"/>
    </xf>
    <xf numFmtId="0" fontId="21" fillId="4" borderId="0" xfId="33" applyFont="1" applyFill="1" applyAlignment="1">
      <alignment horizontal="right" vertical="center"/>
    </xf>
    <xf numFmtId="180" fontId="16" fillId="4" borderId="10" xfId="33" applyNumberFormat="1" applyFont="1" applyFill="1" applyBorder="1" applyAlignment="1">
      <alignment horizontal="right" vertical="center"/>
    </xf>
    <xf numFmtId="178" fontId="16" fillId="4" borderId="10" xfId="33" applyNumberFormat="1" applyFont="1" applyFill="1" applyBorder="1" applyAlignment="1">
      <alignment horizontal="right" vertical="center"/>
    </xf>
    <xf numFmtId="167" fontId="16" fillId="4" borderId="10" xfId="33" applyNumberFormat="1" applyFont="1" applyFill="1" applyBorder="1" applyAlignment="1">
      <alignment horizontal="right" vertical="center"/>
    </xf>
    <xf numFmtId="0" fontId="37" fillId="4" borderId="0" xfId="33" applyFont="1" applyFill="1" applyAlignment="1">
      <alignment vertical="center"/>
    </xf>
    <xf numFmtId="0" fontId="37" fillId="4" borderId="0" xfId="33" applyFont="1" applyFill="1" applyAlignment="1">
      <alignment horizontal="right" vertical="center"/>
    </xf>
    <xf numFmtId="185" fontId="16" fillId="4" borderId="0" xfId="33" applyNumberFormat="1" applyFont="1" applyFill="1" applyAlignment="1">
      <alignment horizontal="right" vertical="center"/>
    </xf>
    <xf numFmtId="180" fontId="36" fillId="4" borderId="0" xfId="33" applyNumberFormat="1" applyFont="1" applyFill="1" applyAlignment="1">
      <alignment vertical="center"/>
    </xf>
    <xf numFmtId="0" fontId="15" fillId="4" borderId="0" xfId="33" applyFont="1" applyFill="1" applyAlignment="1">
      <alignment horizontal="centerContinuous" vertical="center"/>
    </xf>
    <xf numFmtId="175" fontId="15" fillId="4" borderId="0" xfId="33" applyNumberFormat="1" applyFont="1" applyFill="1" applyAlignment="1">
      <alignment horizontal="right" vertical="center"/>
    </xf>
    <xf numFmtId="174" fontId="15" fillId="4" borderId="0" xfId="33" applyNumberFormat="1" applyFont="1" applyFill="1" applyAlignment="1">
      <alignment horizontal="centerContinuous" vertical="center"/>
    </xf>
    <xf numFmtId="0" fontId="15" fillId="4" borderId="11" xfId="33" applyFont="1" applyFill="1" applyBorder="1" applyAlignment="1">
      <alignment vertical="center"/>
    </xf>
    <xf numFmtId="180" fontId="15" fillId="4" borderId="11" xfId="33" applyNumberFormat="1" applyFont="1" applyFill="1" applyBorder="1" applyAlignment="1">
      <alignment horizontal="right" vertical="center"/>
    </xf>
    <xf numFmtId="165" fontId="21" fillId="4" borderId="0" xfId="33" applyNumberFormat="1" applyFont="1" applyFill="1" applyAlignment="1">
      <alignment horizontal="right" vertical="center"/>
    </xf>
    <xf numFmtId="165" fontId="15" fillId="4" borderId="0" xfId="33" applyNumberFormat="1" applyFont="1" applyFill="1" applyAlignment="1">
      <alignment horizontal="center" vertical="center"/>
    </xf>
    <xf numFmtId="0" fontId="15" fillId="4" borderId="47" xfId="0" applyFont="1" applyFill="1" applyBorder="1" applyAlignment="1">
      <alignment horizontal="left" vertical="center"/>
    </xf>
    <xf numFmtId="0" fontId="16" fillId="4" borderId="47" xfId="0" applyFont="1" applyFill="1" applyBorder="1" applyAlignment="1">
      <alignment horizontal="left" vertical="center"/>
    </xf>
    <xf numFmtId="0" fontId="16" fillId="4" borderId="47" xfId="0" applyFont="1" applyFill="1" applyBorder="1" applyAlignment="1">
      <alignment vertical="center"/>
    </xf>
    <xf numFmtId="0" fontId="16" fillId="4" borderId="59" xfId="0" applyFont="1" applyFill="1" applyBorder="1" applyAlignment="1">
      <alignment vertical="center"/>
    </xf>
    <xf numFmtId="172" fontId="16" fillId="4" borderId="0" xfId="33" applyNumberFormat="1" applyFont="1" applyFill="1" applyAlignment="1">
      <alignment horizontal="right" vertical="center"/>
    </xf>
    <xf numFmtId="0" fontId="16" fillId="4" borderId="10" xfId="33" applyFont="1" applyFill="1" applyBorder="1" applyAlignment="1">
      <alignment horizontal="right" vertical="center"/>
    </xf>
    <xf numFmtId="180" fontId="16" fillId="4" borderId="10" xfId="33" applyNumberFormat="1" applyFont="1" applyFill="1" applyBorder="1" applyAlignment="1">
      <alignment vertical="center"/>
    </xf>
    <xf numFmtId="172" fontId="16" fillId="4" borderId="10" xfId="33" applyNumberFormat="1" applyFont="1" applyFill="1" applyBorder="1" applyAlignment="1">
      <alignment horizontal="right" vertical="center"/>
    </xf>
    <xf numFmtId="0" fontId="15" fillId="4" borderId="13" xfId="16" applyFont="1" applyFill="1" applyBorder="1" applyAlignment="1">
      <alignment wrapText="1"/>
    </xf>
    <xf numFmtId="196" fontId="0" fillId="4" borderId="0" xfId="0" applyNumberFormat="1" applyFill="1"/>
    <xf numFmtId="172" fontId="43" fillId="2" borderId="0" xfId="0" applyNumberFormat="1" applyFont="1" applyFill="1" applyAlignment="1">
      <alignment horizontal="left" vertical="center"/>
    </xf>
    <xf numFmtId="0" fontId="15" fillId="4" borderId="58" xfId="0" applyFont="1" applyFill="1" applyBorder="1" applyAlignment="1">
      <alignment vertical="center"/>
    </xf>
    <xf numFmtId="0" fontId="15" fillId="4" borderId="36" xfId="0" applyFont="1" applyFill="1" applyBorder="1" applyAlignment="1">
      <alignment vertical="center"/>
    </xf>
    <xf numFmtId="1" fontId="15" fillId="4" borderId="31" xfId="0" applyNumberFormat="1" applyFont="1" applyFill="1" applyBorder="1" applyAlignment="1">
      <alignment horizontal="right" vertical="center"/>
    </xf>
    <xf numFmtId="0" fontId="15" fillId="4" borderId="10" xfId="12" applyFont="1" applyFill="1" applyBorder="1" applyAlignment="1">
      <alignment horizontal="right" vertical="center" wrapText="1"/>
    </xf>
    <xf numFmtId="0" fontId="16" fillId="4" borderId="0" xfId="10" applyFont="1" applyFill="1" applyAlignment="1">
      <alignment horizontal="right" vertical="center"/>
    </xf>
    <xf numFmtId="196" fontId="16" fillId="4" borderId="0" xfId="10" applyNumberFormat="1" applyFont="1" applyFill="1" applyAlignment="1">
      <alignment horizontal="right" vertical="center"/>
    </xf>
    <xf numFmtId="0" fontId="16" fillId="4" borderId="0" xfId="10" applyFont="1" applyFill="1" applyAlignment="1">
      <alignment vertical="center"/>
    </xf>
    <xf numFmtId="0" fontId="15" fillId="5" borderId="11" xfId="2" applyFont="1" applyFill="1" applyBorder="1" applyAlignment="1">
      <alignment horizontal="right" vertical="center" wrapText="1"/>
    </xf>
    <xf numFmtId="201" fontId="27" fillId="4" borderId="10" xfId="0" applyNumberFormat="1" applyFont="1" applyFill="1" applyBorder="1" applyAlignment="1">
      <alignment horizontal="right" vertical="center"/>
    </xf>
    <xf numFmtId="0" fontId="22" fillId="4" borderId="0" xfId="0" applyFont="1" applyFill="1" applyAlignment="1">
      <alignment horizontal="left" wrapText="1"/>
    </xf>
    <xf numFmtId="0" fontId="22" fillId="4" borderId="0" xfId="0" applyFont="1" applyFill="1" applyAlignment="1">
      <alignment wrapText="1"/>
    </xf>
    <xf numFmtId="0" fontId="22" fillId="4" borderId="0" xfId="0" applyFont="1" applyFill="1" applyAlignment="1">
      <alignment horizontal="justify" wrapText="1"/>
    </xf>
    <xf numFmtId="0" fontId="11" fillId="4" borderId="0" xfId="0" applyFont="1" applyFill="1" applyAlignment="1">
      <alignment vertical="center"/>
    </xf>
    <xf numFmtId="0" fontId="7" fillId="4" borderId="61" xfId="0" applyFont="1" applyFill="1" applyBorder="1" applyAlignment="1">
      <alignment horizontal="center" vertical="center" wrapText="1"/>
    </xf>
    <xf numFmtId="0" fontId="15" fillId="4" borderId="61" xfId="0" applyFont="1" applyFill="1" applyBorder="1" applyAlignment="1">
      <alignment horizontal="left" vertical="center"/>
    </xf>
    <xf numFmtId="0" fontId="16" fillId="4" borderId="61" xfId="0" applyFont="1" applyFill="1" applyBorder="1" applyAlignment="1">
      <alignment horizontal="left" vertical="center" wrapText="1" indent="1"/>
    </xf>
    <xf numFmtId="0" fontId="15" fillId="4" borderId="61" xfId="0" applyFont="1" applyFill="1" applyBorder="1" applyAlignment="1">
      <alignment vertical="center"/>
    </xf>
    <xf numFmtId="0" fontId="16" fillId="4" borderId="62" xfId="0" applyFont="1" applyFill="1" applyBorder="1" applyAlignment="1">
      <alignment vertical="center"/>
    </xf>
    <xf numFmtId="0" fontId="16" fillId="4" borderId="62" xfId="0" applyFont="1" applyFill="1" applyBorder="1" applyAlignment="1">
      <alignment horizontal="left" vertical="center" wrapText="1" indent="1"/>
    </xf>
    <xf numFmtId="0" fontId="15" fillId="4" borderId="47" xfId="13" applyFont="1" applyFill="1" applyBorder="1" applyAlignment="1">
      <alignment vertical="center" wrapText="1"/>
    </xf>
    <xf numFmtId="0" fontId="53" fillId="4" borderId="59" xfId="0" applyFont="1" applyFill="1" applyBorder="1"/>
    <xf numFmtId="0" fontId="15" fillId="4" borderId="46" xfId="16" applyFont="1" applyFill="1" applyBorder="1" applyAlignment="1">
      <alignment horizontal="center" vertical="center" wrapText="1"/>
    </xf>
    <xf numFmtId="0" fontId="15" fillId="4" borderId="47" xfId="16" applyFont="1" applyFill="1" applyBorder="1" applyAlignment="1">
      <alignment horizontal="center" vertical="center" wrapText="1"/>
    </xf>
    <xf numFmtId="3" fontId="15" fillId="4" borderId="47" xfId="16" applyNumberFormat="1" applyFont="1" applyFill="1" applyBorder="1" applyAlignment="1">
      <alignment vertical="center"/>
    </xf>
    <xf numFmtId="0" fontId="16" fillId="4" borderId="47" xfId="16" applyFont="1" applyFill="1" applyBorder="1" applyAlignment="1">
      <alignment horizontal="left" vertical="center"/>
    </xf>
    <xf numFmtId="0" fontId="16" fillId="4" borderId="59" xfId="16" applyFont="1" applyFill="1" applyBorder="1" applyAlignment="1">
      <alignment horizontal="left" vertical="center" indent="1"/>
    </xf>
    <xf numFmtId="0" fontId="15" fillId="4" borderId="61" xfId="10" applyFont="1" applyFill="1" applyBorder="1" applyAlignment="1">
      <alignment horizontal="left" vertical="center"/>
    </xf>
    <xf numFmtId="0" fontId="16" fillId="0" borderId="47" xfId="0" applyFont="1" applyBorder="1" applyAlignment="1">
      <alignment horizontal="left" vertical="center"/>
    </xf>
    <xf numFmtId="0" fontId="16" fillId="0" borderId="59" xfId="0" applyFont="1" applyBorder="1" applyAlignment="1">
      <alignment horizontal="left" vertical="center"/>
    </xf>
    <xf numFmtId="0" fontId="16" fillId="4" borderId="61" xfId="0" applyFont="1" applyFill="1" applyBorder="1" applyAlignment="1">
      <alignment horizontal="left" vertical="center"/>
    </xf>
    <xf numFmtId="49" fontId="15" fillId="5" borderId="46" xfId="0" applyNumberFormat="1" applyFont="1" applyFill="1" applyBorder="1" applyAlignment="1">
      <alignment horizontal="center" vertical="center" wrapText="1"/>
    </xf>
    <xf numFmtId="0" fontId="15" fillId="4" borderId="47" xfId="4" applyFont="1" applyFill="1" applyBorder="1" applyAlignment="1">
      <alignment horizontal="left" vertical="center"/>
    </xf>
    <xf numFmtId="0" fontId="16" fillId="5" borderId="47" xfId="5" applyFont="1" applyFill="1" applyBorder="1" applyAlignment="1">
      <alignment horizontal="left" vertical="center" wrapText="1"/>
    </xf>
    <xf numFmtId="0" fontId="16" fillId="4" borderId="47" xfId="0" applyFont="1" applyFill="1" applyBorder="1" applyAlignment="1">
      <alignment horizontal="left" vertical="center" wrapText="1"/>
    </xf>
    <xf numFmtId="0" fontId="0" fillId="4" borderId="63" xfId="0" applyFill="1" applyBorder="1"/>
    <xf numFmtId="180" fontId="16" fillId="4" borderId="0" xfId="0" applyNumberFormat="1" applyFont="1" applyFill="1" applyAlignment="1">
      <alignment vertical="center"/>
    </xf>
    <xf numFmtId="172" fontId="16" fillId="4" borderId="1" xfId="0" applyNumberFormat="1" applyFont="1" applyFill="1" applyBorder="1" applyAlignment="1">
      <alignment horizontal="right" vertical="center"/>
    </xf>
    <xf numFmtId="180" fontId="16" fillId="4" borderId="1" xfId="0" applyNumberFormat="1" applyFont="1" applyFill="1" applyBorder="1" applyAlignment="1">
      <alignment horizontal="right" vertical="center"/>
    </xf>
    <xf numFmtId="180" fontId="16" fillId="4" borderId="1" xfId="0" applyNumberFormat="1" applyFont="1" applyFill="1" applyBorder="1" applyAlignment="1">
      <alignment vertical="center"/>
    </xf>
    <xf numFmtId="0" fontId="15" fillId="4" borderId="0" xfId="10" applyFont="1" applyFill="1" applyAlignment="1">
      <alignment vertical="center"/>
    </xf>
    <xf numFmtId="0" fontId="24" fillId="4" borderId="0" xfId="0" applyFont="1" applyFill="1"/>
    <xf numFmtId="196" fontId="16" fillId="4" borderId="1" xfId="0" applyNumberFormat="1" applyFont="1" applyFill="1" applyBorder="1" applyAlignment="1">
      <alignment vertical="center"/>
    </xf>
    <xf numFmtId="0" fontId="16" fillId="2" borderId="34" xfId="0" applyFont="1" applyFill="1" applyBorder="1" applyAlignment="1">
      <alignment vertical="center" wrapText="1"/>
    </xf>
    <xf numFmtId="0" fontId="16" fillId="4" borderId="1" xfId="0" applyFont="1" applyFill="1" applyBorder="1" applyAlignment="1">
      <alignment vertical="center"/>
    </xf>
    <xf numFmtId="183" fontId="15" fillId="4" borderId="12" xfId="0" applyNumberFormat="1" applyFont="1" applyFill="1" applyBorder="1" applyAlignment="1">
      <alignment horizontal="right" vertical="center" wrapText="1"/>
    </xf>
    <xf numFmtId="0" fontId="16" fillId="4" borderId="0" xfId="0" applyFont="1" applyFill="1" applyAlignment="1">
      <alignment vertical="center" wrapText="1"/>
    </xf>
    <xf numFmtId="165" fontId="15" fillId="4" borderId="61" xfId="33" applyNumberFormat="1" applyFont="1" applyFill="1" applyBorder="1" applyAlignment="1">
      <alignment horizontal="center" vertical="center"/>
    </xf>
    <xf numFmtId="165" fontId="16" fillId="4" borderId="61" xfId="33" applyNumberFormat="1" applyFont="1" applyFill="1" applyBorder="1" applyAlignment="1">
      <alignment horizontal="left" vertical="center"/>
    </xf>
    <xf numFmtId="165" fontId="16" fillId="4" borderId="62" xfId="33" applyNumberFormat="1" applyFont="1" applyFill="1" applyBorder="1" applyAlignment="1">
      <alignment horizontal="left" vertical="center"/>
    </xf>
    <xf numFmtId="165" fontId="15" fillId="4" borderId="61" xfId="33" applyNumberFormat="1" applyFont="1" applyFill="1" applyBorder="1" applyAlignment="1">
      <alignment horizontal="left" vertical="center"/>
    </xf>
    <xf numFmtId="172" fontId="16" fillId="4" borderId="42" xfId="0" applyNumberFormat="1" applyFont="1" applyFill="1" applyBorder="1" applyAlignment="1">
      <alignment horizontal="center" vertical="center"/>
    </xf>
    <xf numFmtId="0" fontId="21" fillId="0" borderId="0" xfId="0" applyFont="1"/>
    <xf numFmtId="0" fontId="16" fillId="0" borderId="0" xfId="10" applyFont="1" applyAlignment="1">
      <alignment vertical="center" wrapText="1"/>
    </xf>
    <xf numFmtId="0" fontId="16" fillId="4" borderId="10" xfId="10" applyFont="1" applyFill="1" applyBorder="1" applyAlignment="1">
      <alignment vertical="center"/>
    </xf>
    <xf numFmtId="0" fontId="16" fillId="4" borderId="10" xfId="10" applyFont="1" applyFill="1" applyBorder="1" applyAlignment="1">
      <alignment horizontal="right" vertical="center"/>
    </xf>
    <xf numFmtId="0" fontId="16" fillId="5" borderId="12" xfId="3" applyFont="1" applyFill="1" applyBorder="1" applyAlignment="1">
      <alignment horizontal="left" vertical="center" wrapText="1"/>
    </xf>
    <xf numFmtId="0" fontId="16" fillId="4" borderId="12" xfId="10" applyFont="1" applyFill="1" applyBorder="1" applyAlignment="1">
      <alignment vertical="center"/>
    </xf>
    <xf numFmtId="0" fontId="16" fillId="4" borderId="12" xfId="10" applyFont="1" applyFill="1" applyBorder="1" applyAlignment="1">
      <alignment horizontal="right" vertical="center"/>
    </xf>
    <xf numFmtId="196" fontId="16" fillId="4" borderId="12" xfId="10" applyNumberFormat="1" applyFont="1" applyFill="1" applyBorder="1" applyAlignment="1">
      <alignment horizontal="right" vertical="center"/>
    </xf>
    <xf numFmtId="196" fontId="21" fillId="4" borderId="0" xfId="10" applyNumberFormat="1" applyFont="1" applyFill="1" applyAlignment="1">
      <alignment horizontal="right" vertical="center"/>
    </xf>
    <xf numFmtId="0" fontId="16" fillId="5" borderId="10" xfId="3" applyFont="1" applyFill="1" applyBorder="1" applyAlignment="1">
      <alignment horizontal="left" vertical="center" wrapText="1"/>
    </xf>
    <xf numFmtId="196" fontId="16" fillId="4" borderId="10" xfId="10" applyNumberFormat="1" applyFont="1" applyFill="1" applyBorder="1" applyAlignment="1">
      <alignment vertical="center"/>
    </xf>
    <xf numFmtId="0" fontId="15" fillId="4" borderId="10" xfId="10" applyFont="1" applyFill="1" applyBorder="1" applyAlignment="1">
      <alignment horizontal="right"/>
    </xf>
    <xf numFmtId="0" fontId="15" fillId="4" borderId="10" xfId="10" applyFont="1" applyFill="1" applyBorder="1" applyAlignment="1">
      <alignment vertical="center"/>
    </xf>
    <xf numFmtId="180" fontId="64" fillId="4" borderId="0" xfId="10" applyNumberFormat="1" applyFont="1" applyFill="1" applyAlignment="1">
      <alignment vertical="center"/>
    </xf>
    <xf numFmtId="0" fontId="21" fillId="4" borderId="0" xfId="0" applyFont="1" applyFill="1" applyAlignment="1">
      <alignment horizontal="right" vertical="center"/>
    </xf>
    <xf numFmtId="0" fontId="15" fillId="5" borderId="38" xfId="2" applyFont="1" applyFill="1" applyBorder="1" applyAlignment="1">
      <alignment horizontal="center" vertical="center" wrapText="1"/>
    </xf>
    <xf numFmtId="0" fontId="15" fillId="5" borderId="25" xfId="2" applyFont="1" applyFill="1" applyBorder="1" applyAlignment="1">
      <alignment horizontal="right" vertical="center" wrapText="1"/>
    </xf>
    <xf numFmtId="0" fontId="66" fillId="2" borderId="0" xfId="0" applyFont="1" applyFill="1" applyAlignment="1">
      <alignment vertical="center"/>
    </xf>
    <xf numFmtId="49" fontId="15" fillId="5" borderId="47" xfId="0" applyNumberFormat="1" applyFont="1" applyFill="1" applyBorder="1" applyAlignment="1">
      <alignment horizontal="center" vertical="center" wrapText="1"/>
    </xf>
    <xf numFmtId="0" fontId="15" fillId="5" borderId="0" xfId="5" applyFont="1" applyFill="1" applyAlignment="1">
      <alignment horizontal="right" vertical="center" wrapText="1"/>
    </xf>
    <xf numFmtId="196" fontId="15" fillId="5" borderId="0" xfId="5" applyNumberFormat="1" applyFont="1" applyFill="1" applyAlignment="1">
      <alignment horizontal="right" vertical="center" wrapText="1"/>
    </xf>
    <xf numFmtId="0" fontId="67" fillId="2" borderId="0" xfId="0" applyFont="1" applyFill="1" applyAlignment="1">
      <alignment vertical="center"/>
    </xf>
    <xf numFmtId="196" fontId="14" fillId="0" borderId="0" xfId="0" applyNumberFormat="1" applyFont="1" applyAlignment="1">
      <alignment horizontal="left" vertical="center"/>
    </xf>
    <xf numFmtId="0" fontId="5" fillId="0" borderId="0" xfId="0" applyFont="1"/>
    <xf numFmtId="196" fontId="38" fillId="0" borderId="0" xfId="0" applyNumberFormat="1" applyFont="1" applyAlignment="1">
      <alignment vertical="center"/>
    </xf>
    <xf numFmtId="196" fontId="15" fillId="0" borderId="46" xfId="0" applyNumberFormat="1" applyFont="1" applyBorder="1" applyAlignment="1">
      <alignment horizontal="center" vertical="center" wrapText="1"/>
    </xf>
    <xf numFmtId="0" fontId="15" fillId="0" borderId="36" xfId="14" applyFont="1" applyBorder="1" applyAlignment="1">
      <alignment horizontal="right" vertical="center" wrapText="1"/>
    </xf>
    <xf numFmtId="0" fontId="15" fillId="0" borderId="11" xfId="14" applyFont="1" applyBorder="1" applyAlignment="1">
      <alignment horizontal="right" vertical="center" wrapText="1"/>
    </xf>
    <xf numFmtId="0" fontId="15" fillId="0" borderId="0" xfId="14" applyFont="1" applyAlignment="1">
      <alignment horizontal="right" vertical="center" wrapText="1"/>
    </xf>
    <xf numFmtId="3" fontId="16" fillId="0" borderId="63" xfId="0" applyNumberFormat="1" applyFont="1" applyBorder="1" applyAlignment="1">
      <alignment horizontal="left" vertical="center"/>
    </xf>
    <xf numFmtId="196" fontId="16" fillId="0" borderId="10" xfId="14" applyNumberFormat="1" applyFont="1" applyBorder="1" applyAlignment="1">
      <alignment horizontal="right" vertical="center"/>
    </xf>
    <xf numFmtId="196" fontId="16" fillId="0" borderId="10" xfId="14" applyNumberFormat="1" applyFont="1" applyBorder="1" applyAlignment="1">
      <alignment vertical="center"/>
    </xf>
    <xf numFmtId="3" fontId="16" fillId="0" borderId="10" xfId="0" applyNumberFormat="1" applyFont="1" applyBorder="1" applyAlignment="1">
      <alignment horizontal="right" vertical="center"/>
    </xf>
    <xf numFmtId="0" fontId="22" fillId="0" borderId="0" xfId="0" applyFont="1" applyAlignment="1">
      <alignment vertical="center"/>
    </xf>
    <xf numFmtId="0" fontId="10" fillId="4" borderId="0" xfId="0" applyFont="1" applyFill="1" applyAlignment="1">
      <alignment vertical="center"/>
    </xf>
    <xf numFmtId="0" fontId="16" fillId="4" borderId="5" xfId="0" applyFont="1" applyFill="1" applyBorder="1" applyAlignment="1">
      <alignment horizontal="right" vertical="center"/>
    </xf>
    <xf numFmtId="188" fontId="16" fillId="4" borderId="0" xfId="0" applyNumberFormat="1" applyFont="1" applyFill="1" applyAlignment="1">
      <alignment horizontal="right" vertical="center"/>
    </xf>
    <xf numFmtId="188" fontId="16" fillId="4" borderId="0" xfId="0" applyNumberFormat="1" applyFont="1" applyFill="1" applyAlignment="1">
      <alignment horizontal="right" vertical="center" wrapText="1"/>
    </xf>
    <xf numFmtId="188" fontId="16" fillId="4" borderId="6" xfId="0" applyNumberFormat="1" applyFont="1" applyFill="1" applyBorder="1" applyAlignment="1">
      <alignment horizontal="right" vertical="center" wrapText="1"/>
    </xf>
    <xf numFmtId="0" fontId="15" fillId="4" borderId="4" xfId="0" applyFont="1" applyFill="1" applyBorder="1" applyAlignment="1">
      <alignment horizontal="centerContinuous" vertical="center"/>
    </xf>
    <xf numFmtId="188" fontId="16" fillId="4" borderId="7" xfId="0" applyNumberFormat="1" applyFont="1" applyFill="1" applyBorder="1" applyAlignment="1">
      <alignment horizontal="right" vertical="center"/>
    </xf>
    <xf numFmtId="189" fontId="16" fillId="4" borderId="1" xfId="0" applyNumberFormat="1" applyFont="1" applyFill="1" applyBorder="1" applyAlignment="1">
      <alignment horizontal="right" vertical="center"/>
    </xf>
    <xf numFmtId="172" fontId="16" fillId="4" borderId="30" xfId="0" applyNumberFormat="1" applyFont="1" applyFill="1" applyBorder="1" applyAlignment="1">
      <alignment horizontal="right" vertical="center"/>
    </xf>
    <xf numFmtId="1" fontId="16" fillId="4" borderId="0" xfId="0" applyNumberFormat="1" applyFont="1" applyFill="1" applyAlignment="1">
      <alignment horizontal="right" vertical="center"/>
    </xf>
    <xf numFmtId="180" fontId="15" fillId="4" borderId="0" xfId="0" applyNumberFormat="1" applyFont="1" applyFill="1" applyAlignment="1">
      <alignment vertical="center"/>
    </xf>
    <xf numFmtId="178" fontId="16" fillId="4" borderId="0" xfId="0" applyNumberFormat="1" applyFont="1" applyFill="1" applyAlignment="1">
      <alignment horizontal="right" vertical="center"/>
    </xf>
    <xf numFmtId="167" fontId="16" fillId="4" borderId="0" xfId="0" applyNumberFormat="1" applyFont="1" applyFill="1" applyAlignment="1">
      <alignment horizontal="right" vertical="center"/>
    </xf>
    <xf numFmtId="185" fontId="16" fillId="4" borderId="0" xfId="0" applyNumberFormat="1" applyFont="1" applyFill="1" applyAlignment="1">
      <alignment horizontal="right" vertical="center"/>
    </xf>
    <xf numFmtId="197" fontId="35" fillId="4" borderId="0" xfId="0" applyNumberFormat="1" applyFont="1" applyFill="1" applyAlignment="1">
      <alignment horizontal="right" vertical="center"/>
    </xf>
    <xf numFmtId="0" fontId="16" fillId="4" borderId="62" xfId="0" applyFont="1" applyFill="1" applyBorder="1" applyAlignment="1">
      <alignment horizontal="left" vertical="center"/>
    </xf>
    <xf numFmtId="0" fontId="16" fillId="4" borderId="31" xfId="0" applyFont="1" applyFill="1" applyBorder="1" applyAlignment="1">
      <alignment vertical="center"/>
    </xf>
    <xf numFmtId="0" fontId="16" fillId="4" borderId="17" xfId="0" applyFont="1" applyFill="1" applyBorder="1" applyAlignment="1">
      <alignment vertical="center"/>
    </xf>
    <xf numFmtId="0" fontId="16" fillId="10" borderId="10" xfId="0" applyFont="1" applyFill="1" applyBorder="1" applyAlignment="1">
      <alignment vertical="center"/>
    </xf>
    <xf numFmtId="0" fontId="15" fillId="4" borderId="0" xfId="0" applyFont="1" applyFill="1" applyAlignment="1">
      <alignment horizontal="left" vertical="center"/>
    </xf>
    <xf numFmtId="0" fontId="15" fillId="4" borderId="0" xfId="0" applyFont="1" applyFill="1" applyAlignment="1">
      <alignment horizontal="centerContinuous" vertical="center"/>
    </xf>
    <xf numFmtId="165" fontId="16" fillId="4" borderId="0" xfId="0" applyNumberFormat="1" applyFont="1" applyFill="1" applyAlignment="1">
      <alignment horizontal="right" vertical="center"/>
    </xf>
    <xf numFmtId="165" fontId="16" fillId="4" borderId="0" xfId="0" applyNumberFormat="1" applyFont="1" applyFill="1" applyAlignment="1">
      <alignment vertical="center"/>
    </xf>
    <xf numFmtId="0" fontId="42" fillId="4" borderId="0" xfId="0" applyFont="1" applyFill="1" applyAlignment="1">
      <alignment vertical="center"/>
    </xf>
    <xf numFmtId="0" fontId="14" fillId="4" borderId="61" xfId="10" applyFont="1" applyFill="1" applyBorder="1" applyAlignment="1">
      <alignment horizontal="center" vertical="center"/>
    </xf>
    <xf numFmtId="0" fontId="14" fillId="4" borderId="0" xfId="10" applyFont="1" applyFill="1" applyAlignment="1">
      <alignment horizontal="center" vertical="center"/>
    </xf>
    <xf numFmtId="0" fontId="27" fillId="4" borderId="0" xfId="10" applyFont="1" applyFill="1"/>
    <xf numFmtId="0" fontId="7" fillId="4" borderId="0" xfId="10" applyFont="1" applyFill="1" applyAlignment="1">
      <alignment vertical="center"/>
    </xf>
    <xf numFmtId="0" fontId="16" fillId="4" borderId="61" xfId="10" applyFont="1" applyFill="1" applyBorder="1" applyAlignment="1">
      <alignment horizontal="left" vertical="center"/>
    </xf>
    <xf numFmtId="191" fontId="16" fillId="4" borderId="0" xfId="10" applyNumberFormat="1" applyFont="1" applyFill="1" applyAlignment="1">
      <alignment horizontal="right" vertical="center"/>
    </xf>
    <xf numFmtId="3" fontId="16" fillId="4" borderId="0" xfId="10" applyNumberFormat="1" applyFont="1" applyFill="1" applyAlignment="1">
      <alignment vertical="center"/>
    </xf>
    <xf numFmtId="0" fontId="15" fillId="4" borderId="62" xfId="10" applyFont="1" applyFill="1" applyBorder="1" applyAlignment="1">
      <alignment horizontal="left" vertical="center" indent="1"/>
    </xf>
    <xf numFmtId="0" fontId="15" fillId="4" borderId="31" xfId="10" applyFont="1" applyFill="1" applyBorder="1" applyAlignment="1">
      <alignment horizontal="left" vertical="center" indent="1"/>
    </xf>
    <xf numFmtId="0" fontId="15" fillId="4" borderId="27" xfId="10" applyFont="1" applyFill="1" applyBorder="1" applyAlignment="1">
      <alignment horizontal="left" vertical="center" indent="1"/>
    </xf>
    <xf numFmtId="0" fontId="15" fillId="4" borderId="10" xfId="10" applyFont="1" applyFill="1" applyBorder="1" applyAlignment="1">
      <alignment horizontal="left" vertical="center" indent="1"/>
    </xf>
    <xf numFmtId="0" fontId="16" fillId="4" borderId="10" xfId="10" applyFont="1" applyFill="1" applyBorder="1" applyAlignment="1">
      <alignment horizontal="centerContinuous" vertical="center"/>
    </xf>
    <xf numFmtId="0" fontId="16" fillId="4" borderId="10" xfId="10" applyFont="1" applyFill="1" applyBorder="1" applyAlignment="1">
      <alignment horizontal="center" vertical="center"/>
    </xf>
    <xf numFmtId="0" fontId="27" fillId="4" borderId="10" xfId="10" applyFont="1" applyFill="1" applyBorder="1"/>
    <xf numFmtId="0" fontId="22" fillId="4" borderId="0" xfId="10" applyFont="1" applyFill="1" applyAlignment="1">
      <alignment vertical="center"/>
    </xf>
    <xf numFmtId="0" fontId="22" fillId="4" borderId="0" xfId="10" applyFont="1" applyFill="1" applyAlignment="1">
      <alignment horizontal="left" vertical="center"/>
    </xf>
    <xf numFmtId="0" fontId="49" fillId="4" borderId="0" xfId="10" applyFont="1" applyFill="1" applyAlignment="1">
      <alignment vertical="center"/>
    </xf>
    <xf numFmtId="0" fontId="21" fillId="4" borderId="0" xfId="10" applyFont="1" applyFill="1" applyAlignment="1">
      <alignment vertical="center"/>
    </xf>
    <xf numFmtId="0" fontId="16" fillId="4" borderId="0" xfId="10" applyFont="1" applyFill="1" applyAlignment="1">
      <alignment horizontal="centerContinuous" vertical="center"/>
    </xf>
    <xf numFmtId="172" fontId="16" fillId="4" borderId="0" xfId="10" applyNumberFormat="1" applyFont="1" applyFill="1" applyAlignment="1">
      <alignment vertical="center"/>
    </xf>
    <xf numFmtId="3" fontId="16" fillId="4" borderId="0" xfId="0" applyNumberFormat="1" applyFont="1" applyFill="1" applyAlignment="1">
      <alignment vertical="center"/>
    </xf>
    <xf numFmtId="0" fontId="22" fillId="4" borderId="0" xfId="0" applyFont="1" applyFill="1" applyAlignment="1">
      <alignment vertical="center"/>
    </xf>
    <xf numFmtId="202" fontId="16" fillId="4" borderId="0" xfId="10" applyNumberFormat="1" applyFont="1" applyFill="1" applyAlignment="1">
      <alignment horizontal="right" vertical="center"/>
    </xf>
    <xf numFmtId="172" fontId="68" fillId="2" borderId="0" xfId="0" applyNumberFormat="1" applyFont="1" applyFill="1" applyAlignment="1">
      <alignment horizontal="right" vertical="center"/>
    </xf>
    <xf numFmtId="0" fontId="44" fillId="0" borderId="0" xfId="0" applyFont="1" applyAlignment="1">
      <alignment horizontal="left" vertical="center"/>
    </xf>
    <xf numFmtId="0" fontId="10" fillId="4" borderId="0" xfId="0" applyFont="1" applyFill="1"/>
    <xf numFmtId="182" fontId="23" fillId="4" borderId="0" xfId="0" applyNumberFormat="1" applyFont="1" applyFill="1" applyAlignment="1">
      <alignment horizontal="right"/>
    </xf>
    <xf numFmtId="172" fontId="16" fillId="4" borderId="0" xfId="0" applyNumberFormat="1" applyFont="1" applyFill="1" applyAlignment="1">
      <alignment horizontal="center" vertical="center"/>
    </xf>
    <xf numFmtId="169" fontId="16" fillId="4" borderId="0" xfId="0" applyNumberFormat="1" applyFont="1" applyFill="1" applyAlignment="1">
      <alignment horizontal="right" vertical="center"/>
    </xf>
    <xf numFmtId="0" fontId="11" fillId="4" borderId="0" xfId="0" applyFont="1" applyFill="1"/>
    <xf numFmtId="3" fontId="15" fillId="4" borderId="0" xfId="0" applyNumberFormat="1" applyFont="1" applyFill="1" applyAlignment="1">
      <alignment vertical="center"/>
    </xf>
    <xf numFmtId="0" fontId="15" fillId="5" borderId="39" xfId="2" applyFont="1" applyFill="1" applyBorder="1" applyAlignment="1">
      <alignment horizontal="center" vertical="center" wrapText="1"/>
    </xf>
    <xf numFmtId="0" fontId="15" fillId="5" borderId="0" xfId="2" applyFont="1" applyFill="1" applyAlignment="1">
      <alignment horizontal="right" vertical="center" wrapText="1"/>
    </xf>
    <xf numFmtId="0" fontId="15" fillId="4" borderId="39" xfId="10" applyFont="1" applyFill="1" applyBorder="1" applyAlignment="1">
      <alignment horizontal="left" vertical="center"/>
    </xf>
    <xf numFmtId="0" fontId="15" fillId="4" borderId="0" xfId="10" applyFont="1" applyFill="1" applyAlignment="1">
      <alignment horizontal="right" vertical="center"/>
    </xf>
    <xf numFmtId="0" fontId="15" fillId="4" borderId="40" xfId="10" applyFont="1" applyFill="1" applyBorder="1" applyAlignment="1">
      <alignment horizontal="right" vertical="center"/>
    </xf>
    <xf numFmtId="196" fontId="15" fillId="4" borderId="0" xfId="10" applyNumberFormat="1" applyFont="1" applyFill="1" applyAlignment="1">
      <alignment horizontal="right" vertical="center"/>
    </xf>
    <xf numFmtId="0" fontId="15" fillId="4" borderId="39" xfId="2" applyFont="1" applyFill="1" applyBorder="1" applyAlignment="1">
      <alignment horizontal="left" vertical="center" wrapText="1"/>
    </xf>
    <xf numFmtId="0" fontId="52" fillId="4" borderId="0" xfId="10" applyFont="1" applyFill="1" applyAlignment="1">
      <alignment horizontal="right" vertical="center"/>
    </xf>
    <xf numFmtId="0" fontId="15" fillId="4" borderId="0" xfId="2" applyFont="1" applyFill="1" applyAlignment="1">
      <alignment horizontal="right" vertical="center"/>
    </xf>
    <xf numFmtId="0" fontId="16" fillId="4" borderId="50" xfId="10" applyFont="1" applyFill="1" applyBorder="1" applyAlignment="1">
      <alignment horizontal="right" vertical="center"/>
    </xf>
    <xf numFmtId="0" fontId="15" fillId="4" borderId="50" xfId="10" applyFont="1" applyFill="1" applyBorder="1" applyAlignment="1">
      <alignment horizontal="right" vertical="center"/>
    </xf>
    <xf numFmtId="0" fontId="16" fillId="4" borderId="50" xfId="10" applyFont="1" applyFill="1" applyBorder="1" applyAlignment="1">
      <alignment vertical="center"/>
    </xf>
    <xf numFmtId="0" fontId="16" fillId="4" borderId="0" xfId="10" applyFont="1" applyFill="1" applyAlignment="1">
      <alignment vertical="center" wrapText="1"/>
    </xf>
    <xf numFmtId="0" fontId="16" fillId="4" borderId="50" xfId="10" applyFont="1" applyFill="1" applyBorder="1" applyAlignment="1">
      <alignment vertical="center" wrapText="1"/>
    </xf>
    <xf numFmtId="0" fontId="16" fillId="4" borderId="52" xfId="10" applyFont="1" applyFill="1" applyBorder="1" applyAlignment="1">
      <alignment horizontal="right" vertical="center"/>
    </xf>
    <xf numFmtId="0" fontId="16" fillId="4" borderId="64" xfId="10" applyFont="1" applyFill="1" applyBorder="1" applyAlignment="1">
      <alignment vertical="center"/>
    </xf>
    <xf numFmtId="0" fontId="16" fillId="4" borderId="65" xfId="10" applyFont="1" applyFill="1" applyBorder="1" applyAlignment="1">
      <alignment vertical="center"/>
    </xf>
    <xf numFmtId="0" fontId="16" fillId="5" borderId="39" xfId="3" applyFont="1" applyFill="1" applyBorder="1" applyAlignment="1">
      <alignment horizontal="left" vertical="center" wrapText="1" indent="1"/>
    </xf>
    <xf numFmtId="0" fontId="16" fillId="4" borderId="0" xfId="2" applyFont="1" applyFill="1" applyAlignment="1">
      <alignment horizontal="right" vertical="center"/>
    </xf>
    <xf numFmtId="0" fontId="15" fillId="4" borderId="66" xfId="0" applyFont="1" applyFill="1" applyBorder="1" applyAlignment="1">
      <alignment horizontal="centerContinuous" vertical="center"/>
    </xf>
    <xf numFmtId="0" fontId="15" fillId="4" borderId="66" xfId="0" applyFont="1" applyFill="1" applyBorder="1" applyAlignment="1">
      <alignment vertical="center"/>
    </xf>
    <xf numFmtId="0" fontId="16" fillId="4" borderId="66" xfId="0" applyFont="1" applyFill="1" applyBorder="1" applyAlignment="1">
      <alignment vertical="center"/>
    </xf>
    <xf numFmtId="0" fontId="56" fillId="4" borderId="0" xfId="16" applyFont="1" applyFill="1" applyAlignment="1">
      <alignment vertical="top"/>
    </xf>
    <xf numFmtId="172" fontId="15" fillId="4" borderId="52" xfId="33" applyNumberFormat="1" applyFont="1" applyFill="1" applyBorder="1" applyAlignment="1">
      <alignment horizontal="right" vertical="center"/>
    </xf>
    <xf numFmtId="172" fontId="16" fillId="4" borderId="52" xfId="33" applyNumberFormat="1" applyFont="1" applyFill="1" applyBorder="1" applyAlignment="1">
      <alignment horizontal="right" vertical="center"/>
    </xf>
    <xf numFmtId="172" fontId="16" fillId="4" borderId="67" xfId="33" applyNumberFormat="1" applyFont="1" applyFill="1" applyBorder="1" applyAlignment="1">
      <alignment horizontal="right" vertical="center"/>
    </xf>
    <xf numFmtId="0" fontId="15" fillId="4" borderId="61" xfId="33" applyFont="1" applyFill="1" applyBorder="1" applyAlignment="1">
      <alignment horizontal="left" vertical="center"/>
    </xf>
    <xf numFmtId="0" fontId="16" fillId="4" borderId="61" xfId="33" applyFont="1" applyFill="1" applyBorder="1" applyAlignment="1">
      <alignment horizontal="left" vertical="center"/>
    </xf>
    <xf numFmtId="0" fontId="16" fillId="4" borderId="62" xfId="33" applyFont="1" applyFill="1" applyBorder="1" applyAlignment="1">
      <alignment horizontal="left" vertical="center"/>
    </xf>
    <xf numFmtId="173" fontId="16" fillId="2" borderId="68" xfId="0" applyNumberFormat="1" applyFont="1" applyFill="1" applyBorder="1" applyAlignment="1">
      <alignment horizontal="right" vertical="center"/>
    </xf>
    <xf numFmtId="0" fontId="16" fillId="2" borderId="60" xfId="0" applyFont="1" applyFill="1" applyBorder="1" applyAlignment="1">
      <alignment horizontal="center" vertical="center"/>
    </xf>
    <xf numFmtId="49" fontId="15" fillId="5" borderId="47" xfId="0" applyNumberFormat="1" applyFont="1" applyFill="1" applyBorder="1" applyAlignment="1">
      <alignment horizontal="left" vertical="center" wrapText="1"/>
    </xf>
    <xf numFmtId="0" fontId="65" fillId="0" borderId="0" xfId="8" applyFont="1" applyAlignment="1">
      <alignment vertical="center"/>
    </xf>
    <xf numFmtId="0" fontId="6" fillId="4" borderId="0" xfId="0" applyFont="1" applyFill="1" applyAlignment="1">
      <alignment horizontal="center" vertical="center"/>
    </xf>
    <xf numFmtId="171" fontId="20" fillId="4" borderId="0" xfId="0" applyNumberFormat="1" applyFont="1" applyFill="1" applyAlignment="1">
      <alignment horizontal="center"/>
    </xf>
    <xf numFmtId="0" fontId="20" fillId="4" borderId="0" xfId="0" applyFont="1" applyFill="1" applyAlignment="1">
      <alignment horizontal="center"/>
    </xf>
    <xf numFmtId="0" fontId="20" fillId="4" borderId="0" xfId="0" applyFont="1" applyFill="1" applyAlignment="1">
      <alignment horizontal="right"/>
    </xf>
    <xf numFmtId="196" fontId="16" fillId="4" borderId="50" xfId="10" applyNumberFormat="1" applyFont="1" applyFill="1" applyBorder="1" applyAlignment="1">
      <alignment horizontal="right" vertical="center"/>
    </xf>
    <xf numFmtId="196" fontId="16" fillId="4" borderId="42" xfId="0" applyNumberFormat="1" applyFont="1" applyFill="1" applyBorder="1" applyAlignment="1">
      <alignment vertical="center"/>
    </xf>
    <xf numFmtId="0" fontId="57" fillId="2" borderId="0" xfId="0" applyFont="1" applyFill="1"/>
    <xf numFmtId="0" fontId="69" fillId="0" borderId="0" xfId="0" applyFont="1"/>
    <xf numFmtId="165" fontId="66" fillId="2" borderId="0" xfId="0" applyNumberFormat="1" applyFont="1" applyFill="1" applyAlignment="1">
      <alignment horizontal="centerContinuous" vertical="center"/>
    </xf>
    <xf numFmtId="182" fontId="66" fillId="2" borderId="0" xfId="0" applyNumberFormat="1" applyFont="1" applyFill="1" applyAlignment="1">
      <alignment horizontal="left" vertical="center"/>
    </xf>
    <xf numFmtId="9" fontId="6" fillId="4" borderId="0" xfId="1" applyFont="1" applyFill="1" applyBorder="1" applyAlignment="1">
      <alignment vertical="center"/>
    </xf>
    <xf numFmtId="9" fontId="6" fillId="4" borderId="0" xfId="1" applyFont="1" applyFill="1" applyAlignment="1">
      <alignment vertical="center"/>
    </xf>
    <xf numFmtId="9" fontId="15" fillId="4" borderId="11" xfId="1" applyFont="1" applyFill="1" applyBorder="1" applyAlignment="1" applyProtection="1">
      <alignment horizontal="right" vertical="center"/>
    </xf>
    <xf numFmtId="9" fontId="11" fillId="4" borderId="0" xfId="1" applyFont="1" applyFill="1" applyAlignment="1">
      <alignment horizontal="right" vertical="center"/>
    </xf>
    <xf numFmtId="186" fontId="16" fillId="4" borderId="0" xfId="1" applyNumberFormat="1" applyFont="1" applyFill="1" applyBorder="1" applyAlignment="1" applyProtection="1">
      <alignment horizontal="right" vertical="center"/>
    </xf>
    <xf numFmtId="187" fontId="16" fillId="4" borderId="0" xfId="1" applyNumberFormat="1" applyFont="1" applyFill="1" applyBorder="1" applyAlignment="1" applyProtection="1">
      <alignment horizontal="right" vertical="center"/>
    </xf>
    <xf numFmtId="192" fontId="16" fillId="4" borderId="0" xfId="1" applyNumberFormat="1" applyFont="1" applyFill="1" applyBorder="1" applyAlignment="1" applyProtection="1">
      <alignment horizontal="right" vertical="center"/>
    </xf>
    <xf numFmtId="174" fontId="16" fillId="4" borderId="0" xfId="0" applyNumberFormat="1" applyFont="1" applyFill="1" applyAlignment="1">
      <alignment horizontal="right" vertical="center"/>
    </xf>
    <xf numFmtId="194" fontId="16" fillId="4" borderId="24" xfId="1" applyNumberFormat="1" applyFont="1" applyFill="1" applyBorder="1" applyAlignment="1" applyProtection="1">
      <alignment horizontal="right" vertical="center"/>
    </xf>
    <xf numFmtId="187" fontId="16" fillId="4" borderId="10" xfId="1" applyNumberFormat="1" applyFont="1" applyFill="1" applyBorder="1" applyAlignment="1" applyProtection="1">
      <alignment horizontal="right" vertical="center"/>
    </xf>
    <xf numFmtId="195" fontId="16" fillId="4" borderId="10" xfId="1" applyNumberFormat="1" applyFont="1" applyFill="1" applyBorder="1" applyAlignment="1" applyProtection="1">
      <alignment horizontal="right" vertical="center"/>
    </xf>
    <xf numFmtId="194" fontId="16" fillId="4" borderId="0" xfId="1" applyNumberFormat="1" applyFont="1" applyFill="1" applyBorder="1" applyAlignment="1" applyProtection="1">
      <alignment horizontal="right" vertical="center"/>
    </xf>
    <xf numFmtId="195" fontId="16" fillId="4" borderId="0" xfId="1" applyNumberFormat="1" applyFont="1" applyFill="1" applyBorder="1" applyAlignment="1" applyProtection="1">
      <alignment horizontal="right" vertical="center"/>
    </xf>
    <xf numFmtId="0" fontId="21" fillId="4" borderId="0" xfId="0" applyFont="1" applyFill="1" applyAlignment="1">
      <alignment horizontal="center" vertical="center"/>
    </xf>
    <xf numFmtId="9" fontId="10" fillId="4" borderId="0" xfId="1" applyFont="1" applyFill="1" applyAlignment="1">
      <alignment vertical="center"/>
    </xf>
    <xf numFmtId="9" fontId="31" fillId="4" borderId="0" xfId="1" applyFont="1" applyFill="1" applyBorder="1" applyAlignment="1">
      <alignment horizontal="centerContinuous" vertical="center"/>
    </xf>
    <xf numFmtId="9" fontId="31" fillId="4" borderId="0" xfId="1" applyFont="1" applyFill="1" applyBorder="1" applyAlignment="1">
      <alignment vertical="center"/>
    </xf>
    <xf numFmtId="9" fontId="31" fillId="4" borderId="0" xfId="1" applyFont="1" applyFill="1" applyBorder="1" applyAlignment="1" applyProtection="1">
      <alignment horizontal="center" vertical="center"/>
    </xf>
    <xf numFmtId="9" fontId="32" fillId="4" borderId="0" xfId="1" applyFont="1" applyFill="1" applyBorder="1" applyAlignment="1">
      <alignment vertical="center"/>
    </xf>
    <xf numFmtId="9" fontId="32" fillId="4" borderId="0" xfId="1" applyFont="1" applyFill="1" applyBorder="1" applyAlignment="1" applyProtection="1">
      <alignment vertical="center"/>
    </xf>
    <xf numFmtId="166" fontId="32" fillId="4" borderId="0" xfId="0" applyNumberFormat="1" applyFont="1" applyFill="1" applyAlignment="1">
      <alignment vertical="center"/>
    </xf>
    <xf numFmtId="0" fontId="32" fillId="4" borderId="0" xfId="0" applyFont="1" applyFill="1" applyAlignment="1">
      <alignment vertical="center"/>
    </xf>
    <xf numFmtId="0" fontId="16" fillId="5" borderId="0" xfId="3" applyFont="1" applyFill="1" applyAlignment="1">
      <alignment horizontal="left" vertical="center" wrapText="1" indent="1"/>
    </xf>
    <xf numFmtId="0" fontId="15" fillId="4" borderId="0" xfId="0" quotePrefix="1" applyFont="1" applyFill="1" applyAlignment="1">
      <alignment vertical="center"/>
    </xf>
    <xf numFmtId="0" fontId="15" fillId="4" borderId="69" xfId="0" applyFont="1" applyFill="1" applyBorder="1" applyAlignment="1">
      <alignment horizontal="right" vertical="center"/>
    </xf>
    <xf numFmtId="201" fontId="16" fillId="4" borderId="50" xfId="0" applyNumberFormat="1" applyFont="1" applyFill="1" applyBorder="1" applyAlignment="1">
      <alignment horizontal="right" vertical="center"/>
    </xf>
    <xf numFmtId="201" fontId="15" fillId="4" borderId="50" xfId="0" applyNumberFormat="1" applyFont="1" applyFill="1" applyBorder="1" applyAlignment="1">
      <alignment horizontal="right" vertical="center"/>
    </xf>
    <xf numFmtId="201" fontId="16" fillId="4" borderId="70" xfId="0" applyNumberFormat="1" applyFont="1" applyFill="1" applyBorder="1" applyAlignment="1">
      <alignment horizontal="right" vertical="center"/>
    </xf>
    <xf numFmtId="0" fontId="16" fillId="5" borderId="41" xfId="3" applyFont="1" applyFill="1" applyBorder="1" applyAlignment="1">
      <alignment horizontal="left" vertical="center" wrapText="1" indent="1"/>
    </xf>
    <xf numFmtId="0" fontId="15" fillId="4" borderId="71" xfId="0" applyFont="1" applyFill="1" applyBorder="1" applyAlignment="1">
      <alignment vertical="center"/>
    </xf>
    <xf numFmtId="0" fontId="16" fillId="4" borderId="30" xfId="0" applyFont="1" applyFill="1" applyBorder="1" applyAlignment="1">
      <alignment vertical="center"/>
    </xf>
    <xf numFmtId="201" fontId="16" fillId="4" borderId="30" xfId="0" applyNumberFormat="1" applyFont="1" applyFill="1" applyBorder="1" applyAlignment="1">
      <alignment horizontal="right" vertical="center"/>
    </xf>
    <xf numFmtId="201" fontId="15" fillId="4" borderId="30" xfId="0" applyNumberFormat="1" applyFont="1" applyFill="1" applyBorder="1" applyAlignment="1">
      <alignment horizontal="right" vertical="center"/>
    </xf>
    <xf numFmtId="0" fontId="70" fillId="2" borderId="0" xfId="0" applyFont="1" applyFill="1" applyAlignment="1">
      <alignment horizontal="left" vertical="center"/>
    </xf>
    <xf numFmtId="0" fontId="71" fillId="2" borderId="0" xfId="0" applyFont="1" applyFill="1" applyAlignment="1">
      <alignment vertical="center"/>
    </xf>
    <xf numFmtId="0" fontId="74" fillId="4" borderId="0" xfId="0" applyFont="1" applyFill="1"/>
    <xf numFmtId="0" fontId="73" fillId="2" borderId="0" xfId="0" applyFont="1" applyFill="1" applyAlignment="1">
      <alignment vertical="center"/>
    </xf>
    <xf numFmtId="0" fontId="43" fillId="4" borderId="0" xfId="33" applyFont="1" applyFill="1" applyAlignment="1">
      <alignment vertical="center"/>
    </xf>
    <xf numFmtId="0" fontId="75" fillId="2" borderId="0" xfId="0" applyFont="1" applyFill="1" applyAlignment="1">
      <alignment vertical="center"/>
    </xf>
    <xf numFmtId="0" fontId="76" fillId="0" borderId="0" xfId="0" applyFont="1" applyAlignment="1">
      <alignment horizontal="center" vertical="center"/>
    </xf>
    <xf numFmtId="0" fontId="72" fillId="0" borderId="0" xfId="0" applyFont="1" applyAlignment="1">
      <alignment horizontal="left" vertical="center"/>
    </xf>
    <xf numFmtId="0" fontId="21" fillId="4" borderId="0" xfId="10" applyFont="1" applyFill="1"/>
    <xf numFmtId="0" fontId="16" fillId="4" borderId="0" xfId="0" applyFont="1" applyFill="1" applyAlignment="1">
      <alignment horizontal="center" vertical="center"/>
    </xf>
    <xf numFmtId="172" fontId="21" fillId="4" borderId="0" xfId="0" applyNumberFormat="1" applyFont="1" applyFill="1" applyAlignment="1">
      <alignment horizontal="left" vertical="center"/>
    </xf>
    <xf numFmtId="0" fontId="0" fillId="0" borderId="0" xfId="0" applyAlignment="1">
      <alignment vertical="center"/>
    </xf>
    <xf numFmtId="0" fontId="5" fillId="4" borderId="0" xfId="10" applyFill="1" applyAlignment="1">
      <alignment vertical="justify"/>
    </xf>
    <xf numFmtId="0" fontId="23" fillId="4" borderId="0" xfId="0" applyFont="1" applyFill="1"/>
    <xf numFmtId="0" fontId="23" fillId="0" borderId="0" xfId="0" applyFont="1"/>
    <xf numFmtId="0" fontId="15" fillId="4" borderId="36" xfId="16" applyFont="1" applyFill="1" applyBorder="1" applyAlignment="1">
      <alignment horizontal="right" vertical="center" wrapText="1"/>
    </xf>
    <xf numFmtId="0" fontId="15" fillId="2" borderId="0" xfId="0" applyFont="1" applyFill="1" applyAlignment="1">
      <alignment horizontal="left" vertical="center"/>
    </xf>
    <xf numFmtId="3" fontId="15" fillId="4" borderId="0" xfId="16" applyNumberFormat="1" applyFont="1" applyFill="1" applyAlignment="1">
      <alignment vertical="center"/>
    </xf>
    <xf numFmtId="0" fontId="16" fillId="2" borderId="42" xfId="0" applyFont="1" applyFill="1" applyBorder="1" applyAlignment="1">
      <alignment horizontal="left" vertical="center"/>
    </xf>
    <xf numFmtId="180" fontId="16" fillId="4" borderId="42" xfId="0" applyNumberFormat="1" applyFont="1" applyFill="1" applyBorder="1" applyAlignment="1">
      <alignment horizontal="right" vertical="center"/>
    </xf>
    <xf numFmtId="183" fontId="16" fillId="4" borderId="42" xfId="0" applyNumberFormat="1" applyFont="1" applyFill="1" applyBorder="1" applyAlignment="1">
      <alignment horizontal="center" vertical="center"/>
    </xf>
    <xf numFmtId="171" fontId="16" fillId="4" borderId="0" xfId="0" quotePrefix="1" applyNumberFormat="1" applyFont="1" applyFill="1" applyAlignment="1">
      <alignment horizontal="right" vertical="center"/>
    </xf>
    <xf numFmtId="0" fontId="16" fillId="4" borderId="4" xfId="0" applyFont="1" applyFill="1" applyBorder="1" applyAlignment="1">
      <alignment horizontal="left" vertical="center"/>
    </xf>
    <xf numFmtId="1" fontId="16" fillId="4" borderId="1" xfId="0" applyNumberFormat="1" applyFont="1" applyFill="1" applyBorder="1" applyAlignment="1">
      <alignment horizontal="center" vertical="center"/>
    </xf>
    <xf numFmtId="0" fontId="16" fillId="4" borderId="1" xfId="0" applyFont="1" applyFill="1" applyBorder="1" applyAlignment="1">
      <alignment horizontal="left" vertical="center"/>
    </xf>
    <xf numFmtId="0" fontId="16" fillId="4" borderId="0" xfId="0" applyFont="1" applyFill="1" applyAlignment="1">
      <alignment horizontal="left" vertical="center"/>
    </xf>
    <xf numFmtId="0" fontId="34" fillId="4" borderId="0" xfId="0" applyFont="1" applyFill="1" applyAlignment="1">
      <alignment vertical="center"/>
    </xf>
    <xf numFmtId="183" fontId="15" fillId="4" borderId="11" xfId="0" applyNumberFormat="1" applyFont="1" applyFill="1" applyBorder="1" applyAlignment="1">
      <alignment horizontal="center" vertical="center"/>
    </xf>
    <xf numFmtId="183" fontId="15" fillId="4" borderId="11" xfId="0" applyNumberFormat="1" applyFont="1" applyFill="1" applyBorder="1" applyAlignment="1">
      <alignment horizontal="center" vertical="center" wrapText="1"/>
    </xf>
    <xf numFmtId="183" fontId="15" fillId="4" borderId="0" xfId="0" applyNumberFormat="1" applyFont="1" applyFill="1" applyAlignment="1">
      <alignment horizontal="right" vertical="center" wrapText="1"/>
    </xf>
    <xf numFmtId="183" fontId="15" fillId="4" borderId="10" xfId="0" applyNumberFormat="1" applyFont="1" applyFill="1" applyBorder="1" applyAlignment="1">
      <alignment horizontal="right" vertical="center"/>
    </xf>
    <xf numFmtId="183" fontId="15" fillId="4" borderId="0" xfId="0" applyNumberFormat="1" applyFont="1" applyFill="1" applyAlignment="1">
      <alignment horizontal="center" vertical="center" wrapText="1"/>
    </xf>
    <xf numFmtId="183" fontId="15" fillId="4" borderId="10" xfId="0" applyNumberFormat="1" applyFont="1" applyFill="1" applyBorder="1" applyAlignment="1">
      <alignment horizontal="center" vertical="center" wrapText="1"/>
    </xf>
    <xf numFmtId="183" fontId="15" fillId="4" borderId="0" xfId="0" applyNumberFormat="1" applyFont="1" applyFill="1" applyAlignment="1">
      <alignment horizontal="center" vertical="center"/>
    </xf>
    <xf numFmtId="0" fontId="14" fillId="4" borderId="0" xfId="0" applyFont="1" applyFill="1" applyAlignment="1">
      <alignment horizontal="left" vertical="top"/>
    </xf>
    <xf numFmtId="0" fontId="15" fillId="4" borderId="12" xfId="0" applyFont="1" applyFill="1" applyBorder="1" applyAlignment="1">
      <alignment horizontal="center" vertical="center"/>
    </xf>
    <xf numFmtId="196" fontId="22" fillId="4" borderId="0" xfId="0" applyNumberFormat="1" applyFont="1" applyFill="1" applyAlignment="1">
      <alignment horizontal="left" vertical="center"/>
    </xf>
    <xf numFmtId="0" fontId="22" fillId="4" borderId="0" xfId="0" applyFont="1" applyFill="1" applyAlignment="1">
      <alignment vertical="justify"/>
    </xf>
    <xf numFmtId="3" fontId="22" fillId="4" borderId="0" xfId="10" applyNumberFormat="1" applyFont="1" applyFill="1" applyAlignment="1">
      <alignment horizontal="left" vertical="center"/>
    </xf>
    <xf numFmtId="3" fontId="22" fillId="4" borderId="0" xfId="16" applyNumberFormat="1" applyFont="1" applyFill="1" applyAlignment="1">
      <alignment vertical="center"/>
    </xf>
    <xf numFmtId="0" fontId="16" fillId="0" borderId="10" xfId="10" applyFont="1" applyBorder="1" applyAlignment="1">
      <alignment vertical="center"/>
    </xf>
    <xf numFmtId="0" fontId="16" fillId="0" borderId="10" xfId="10" applyFont="1" applyBorder="1" applyAlignment="1">
      <alignment horizontal="right" vertical="center"/>
    </xf>
    <xf numFmtId="0" fontId="16" fillId="0" borderId="70" xfId="10" applyFont="1" applyBorder="1" applyAlignment="1">
      <alignment vertical="center"/>
    </xf>
    <xf numFmtId="0" fontId="22" fillId="4" borderId="0" xfId="0" quotePrefix="1" applyFont="1" applyFill="1" applyAlignment="1">
      <alignment horizontal="left" vertical="center"/>
    </xf>
    <xf numFmtId="0" fontId="15" fillId="4" borderId="34" xfId="0" applyFont="1" applyFill="1" applyBorder="1" applyAlignment="1">
      <alignment horizontal="left" vertical="center"/>
    </xf>
    <xf numFmtId="0" fontId="14" fillId="4" borderId="0" xfId="0" quotePrefix="1" applyFont="1" applyFill="1" applyAlignment="1">
      <alignment vertical="center"/>
    </xf>
    <xf numFmtId="0" fontId="44" fillId="4" borderId="0" xfId="0" applyFont="1" applyFill="1"/>
    <xf numFmtId="0" fontId="16" fillId="4" borderId="12" xfId="0" applyFont="1" applyFill="1" applyBorder="1" applyAlignment="1">
      <alignment horizontal="left" vertical="top"/>
    </xf>
    <xf numFmtId="0" fontId="69" fillId="4" borderId="0" xfId="0" applyFont="1" applyFill="1"/>
    <xf numFmtId="1" fontId="15" fillId="0" borderId="13" xfId="1" applyNumberFormat="1" applyFont="1" applyFill="1" applyBorder="1" applyAlignment="1" applyProtection="1">
      <alignment horizontal="left" vertical="center"/>
    </xf>
    <xf numFmtId="1" fontId="15" fillId="4" borderId="13" xfId="1" applyNumberFormat="1" applyFont="1" applyFill="1" applyBorder="1" applyAlignment="1" applyProtection="1">
      <alignment horizontal="left" vertical="center"/>
    </xf>
    <xf numFmtId="0" fontId="10" fillId="4" borderId="0" xfId="0" applyFont="1" applyFill="1" applyAlignment="1">
      <alignment horizontal="right" vertical="center"/>
    </xf>
    <xf numFmtId="172" fontId="16" fillId="4" borderId="0" xfId="1" applyNumberFormat="1" applyFont="1" applyFill="1" applyBorder="1" applyAlignment="1" applyProtection="1">
      <alignment horizontal="right" vertical="center"/>
    </xf>
    <xf numFmtId="180" fontId="16" fillId="4" borderId="0" xfId="1" applyNumberFormat="1" applyFont="1" applyFill="1" applyBorder="1" applyAlignment="1" applyProtection="1">
      <alignment horizontal="right" vertical="center"/>
    </xf>
    <xf numFmtId="172" fontId="16" fillId="4" borderId="1" xfId="1" applyNumberFormat="1" applyFont="1" applyFill="1" applyBorder="1" applyAlignment="1" applyProtection="1">
      <alignment horizontal="right" vertical="center"/>
    </xf>
    <xf numFmtId="180" fontId="16" fillId="4" borderId="1" xfId="1" applyNumberFormat="1" applyFont="1" applyFill="1" applyBorder="1" applyAlignment="1" applyProtection="1">
      <alignment horizontal="right" vertical="center"/>
    </xf>
    <xf numFmtId="0" fontId="11" fillId="4" borderId="0" xfId="0" applyFont="1" applyFill="1" applyAlignment="1">
      <alignment horizontal="center" vertical="center"/>
    </xf>
    <xf numFmtId="166" fontId="10" fillId="4" borderId="0" xfId="0" applyNumberFormat="1" applyFont="1" applyFill="1" applyAlignment="1">
      <alignment vertical="center"/>
    </xf>
    <xf numFmtId="0" fontId="11" fillId="4" borderId="0" xfId="0" applyFont="1" applyFill="1" applyAlignment="1">
      <alignment horizontal="left" vertical="center"/>
    </xf>
    <xf numFmtId="0" fontId="19" fillId="4" borderId="0" xfId="0" applyFont="1" applyFill="1"/>
    <xf numFmtId="166" fontId="20" fillId="4" borderId="0" xfId="0" applyNumberFormat="1" applyFont="1" applyFill="1" applyAlignment="1">
      <alignment vertical="center"/>
    </xf>
    <xf numFmtId="0" fontId="25" fillId="4" borderId="0" xfId="0" applyFont="1" applyFill="1" applyAlignment="1">
      <alignment vertical="center"/>
    </xf>
    <xf numFmtId="0" fontId="80" fillId="4" borderId="0" xfId="0" applyFont="1" applyFill="1" applyAlignment="1">
      <alignment vertical="center"/>
    </xf>
    <xf numFmtId="0" fontId="15" fillId="4" borderId="11" xfId="0" quotePrefix="1" applyFont="1" applyFill="1" applyBorder="1" applyAlignment="1">
      <alignment horizontal="right" vertical="center" wrapText="1"/>
    </xf>
    <xf numFmtId="0" fontId="38" fillId="4" borderId="0" xfId="0" applyFont="1" applyFill="1" applyAlignment="1">
      <alignment horizontal="left" vertical="center" indent="3"/>
    </xf>
    <xf numFmtId="0" fontId="15" fillId="4" borderId="5" xfId="0" applyFont="1" applyFill="1" applyBorder="1" applyAlignment="1">
      <alignment horizontal="center" vertical="center"/>
    </xf>
    <xf numFmtId="0" fontId="15" fillId="4" borderId="9" xfId="0" applyFont="1" applyFill="1" applyBorder="1" applyAlignment="1">
      <alignment horizontal="right" vertical="center"/>
    </xf>
    <xf numFmtId="0" fontId="15" fillId="4" borderId="3" xfId="0" quotePrefix="1" applyFont="1" applyFill="1" applyBorder="1" applyAlignment="1">
      <alignment horizontal="left" vertical="center"/>
    </xf>
    <xf numFmtId="172" fontId="44" fillId="4" borderId="0" xfId="0" applyNumberFormat="1" applyFont="1" applyFill="1"/>
    <xf numFmtId="172" fontId="43" fillId="4" borderId="0" xfId="0" applyNumberFormat="1" applyFont="1" applyFill="1" applyAlignment="1">
      <alignment horizontal="right" vertical="center"/>
    </xf>
    <xf numFmtId="49" fontId="16" fillId="4" borderId="3" xfId="0" applyNumberFormat="1" applyFont="1" applyFill="1" applyBorder="1" applyAlignment="1">
      <alignment vertical="center"/>
    </xf>
    <xf numFmtId="49" fontId="16" fillId="4" borderId="3" xfId="0" quotePrefix="1" applyNumberFormat="1" applyFont="1" applyFill="1" applyBorder="1" applyAlignment="1">
      <alignment vertical="center"/>
    </xf>
    <xf numFmtId="1" fontId="15" fillId="4" borderId="0" xfId="0" applyNumberFormat="1" applyFont="1" applyFill="1" applyAlignment="1">
      <alignment horizontal="right" vertical="center"/>
    </xf>
    <xf numFmtId="1" fontId="15" fillId="4" borderId="0" xfId="0" applyNumberFormat="1" applyFont="1" applyFill="1"/>
    <xf numFmtId="0" fontId="16" fillId="4" borderId="4" xfId="0" applyFont="1" applyFill="1" applyBorder="1" applyAlignment="1">
      <alignment vertical="center"/>
    </xf>
    <xf numFmtId="0" fontId="16" fillId="4" borderId="1" xfId="0" applyFont="1" applyFill="1" applyBorder="1" applyAlignment="1">
      <alignment horizontal="center" vertical="center"/>
    </xf>
    <xf numFmtId="168" fontId="16" fillId="4" borderId="1" xfId="0" applyNumberFormat="1" applyFont="1" applyFill="1" applyBorder="1" applyAlignment="1">
      <alignment vertical="center"/>
    </xf>
    <xf numFmtId="0" fontId="22" fillId="4" borderId="0" xfId="0" applyFont="1" applyFill="1" applyAlignment="1">
      <alignment vertical="top"/>
    </xf>
    <xf numFmtId="1" fontId="36" fillId="4" borderId="0" xfId="0" applyNumberFormat="1" applyFont="1" applyFill="1" applyAlignment="1">
      <alignment horizontal="right" vertical="center"/>
    </xf>
    <xf numFmtId="180" fontId="16" fillId="4" borderId="0" xfId="0" applyNumberFormat="1" applyFont="1" applyFill="1" applyAlignment="1">
      <alignment horizontal="center" vertical="center"/>
    </xf>
    <xf numFmtId="1" fontId="16" fillId="4" borderId="0" xfId="0" applyNumberFormat="1" applyFont="1" applyFill="1" applyAlignment="1">
      <alignment horizontal="center" vertical="center"/>
    </xf>
    <xf numFmtId="172" fontId="15" fillId="4" borderId="0" xfId="0" applyNumberFormat="1" applyFont="1" applyFill="1" applyAlignment="1">
      <alignment horizontal="center" vertical="center"/>
    </xf>
    <xf numFmtId="0" fontId="38" fillId="4" borderId="0" xfId="0" applyFont="1" applyFill="1"/>
    <xf numFmtId="0" fontId="27" fillId="4" borderId="24" xfId="0" applyFont="1" applyFill="1" applyBorder="1" applyAlignment="1">
      <alignment horizontal="center"/>
    </xf>
    <xf numFmtId="0" fontId="27" fillId="4" borderId="10" xfId="0" applyFont="1" applyFill="1" applyBorder="1" applyAlignment="1">
      <alignment horizontal="center"/>
    </xf>
    <xf numFmtId="0" fontId="14" fillId="4" borderId="0" xfId="0" applyFont="1" applyFill="1" applyAlignment="1">
      <alignment horizontal="center" vertical="center"/>
    </xf>
    <xf numFmtId="0" fontId="38" fillId="4" borderId="0" xfId="0" applyFont="1" applyFill="1" applyAlignment="1">
      <alignment horizontal="center" vertical="center"/>
    </xf>
    <xf numFmtId="0" fontId="27" fillId="4" borderId="12" xfId="0" applyFont="1" applyFill="1" applyBorder="1"/>
    <xf numFmtId="0" fontId="27" fillId="4" borderId="12" xfId="0" applyFont="1" applyFill="1" applyBorder="1" applyAlignment="1">
      <alignment horizontal="center"/>
    </xf>
    <xf numFmtId="0" fontId="16" fillId="4" borderId="12" xfId="0" applyFont="1" applyFill="1" applyBorder="1" applyAlignment="1">
      <alignment horizontal="center"/>
    </xf>
    <xf numFmtId="0" fontId="27" fillId="4" borderId="0" xfId="0" applyFont="1" applyFill="1" applyAlignment="1">
      <alignment horizontal="center"/>
    </xf>
    <xf numFmtId="0" fontId="15" fillId="4" borderId="50" xfId="0" applyFont="1" applyFill="1" applyBorder="1" applyAlignment="1">
      <alignment horizontal="right" vertical="center"/>
    </xf>
    <xf numFmtId="0" fontId="27" fillId="4" borderId="0" xfId="0" applyFont="1" applyFill="1" applyAlignment="1">
      <alignment horizontal="right"/>
    </xf>
    <xf numFmtId="0" fontId="21" fillId="4" borderId="0" xfId="0" applyFont="1" applyFill="1"/>
    <xf numFmtId="183" fontId="16" fillId="4" borderId="0" xfId="0" applyNumberFormat="1" applyFont="1" applyFill="1" applyAlignment="1">
      <alignment vertical="center"/>
    </xf>
    <xf numFmtId="0" fontId="15" fillId="4" borderId="0" xfId="0" quotePrefix="1" applyFont="1" applyFill="1" applyAlignment="1">
      <alignment horizontal="left" vertical="center"/>
    </xf>
    <xf numFmtId="0" fontId="16" fillId="4" borderId="30" xfId="0" applyFont="1" applyFill="1" applyBorder="1" applyAlignment="1">
      <alignment horizontal="right" vertical="center"/>
    </xf>
    <xf numFmtId="0" fontId="16" fillId="4" borderId="24" xfId="0" applyFont="1" applyFill="1" applyBorder="1" applyAlignment="1">
      <alignment vertical="center"/>
    </xf>
    <xf numFmtId="0" fontId="15" fillId="4" borderId="60" xfId="0" applyFont="1" applyFill="1" applyBorder="1" applyAlignment="1">
      <alignment horizontal="center" vertical="center"/>
    </xf>
    <xf numFmtId="0" fontId="6" fillId="4" borderId="0" xfId="0" applyFont="1" applyFill="1"/>
    <xf numFmtId="198" fontId="52" fillId="4" borderId="52" xfId="0" applyNumberFormat="1" applyFont="1" applyFill="1" applyBorder="1" applyAlignment="1">
      <alignment horizontal="right" vertical="center"/>
    </xf>
    <xf numFmtId="0" fontId="77" fillId="4" borderId="0" xfId="0" applyFont="1" applyFill="1" applyAlignment="1">
      <alignment horizontal="center" vertical="top" wrapText="1" readingOrder="1"/>
    </xf>
    <xf numFmtId="0" fontId="78" fillId="4" borderId="0" xfId="0" applyFont="1" applyFill="1" applyAlignment="1">
      <alignment horizontal="center" vertical="top" wrapText="1" readingOrder="1"/>
    </xf>
    <xf numFmtId="0" fontId="15" fillId="4" borderId="11" xfId="12" applyFont="1" applyFill="1" applyBorder="1" applyAlignment="1">
      <alignment horizontal="right" vertical="center" wrapText="1"/>
    </xf>
    <xf numFmtId="0" fontId="53" fillId="4" borderId="0" xfId="0" applyFont="1" applyFill="1" applyAlignment="1">
      <alignment horizontal="left"/>
    </xf>
    <xf numFmtId="0" fontId="27" fillId="4" borderId="0" xfId="0" applyFont="1" applyFill="1" applyAlignment="1">
      <alignment horizontal="left" vertical="center"/>
    </xf>
    <xf numFmtId="0" fontId="0" fillId="4" borderId="0" xfId="0" applyFill="1" applyAlignment="1">
      <alignment horizontal="left"/>
    </xf>
    <xf numFmtId="0" fontId="15" fillId="0" borderId="0" xfId="0" applyFont="1" applyAlignment="1">
      <alignment horizontal="left"/>
    </xf>
    <xf numFmtId="1" fontId="16" fillId="2" borderId="0" xfId="0" applyNumberFormat="1" applyFont="1" applyFill="1" applyAlignment="1">
      <alignment horizontal="center"/>
    </xf>
    <xf numFmtId="202" fontId="16" fillId="4" borderId="0" xfId="10" applyNumberFormat="1" applyFont="1" applyFill="1" applyAlignment="1">
      <alignment horizontal="left" vertical="center"/>
    </xf>
    <xf numFmtId="0" fontId="16" fillId="2" borderId="1" xfId="0" applyFont="1" applyFill="1" applyBorder="1" applyAlignment="1">
      <alignment horizontal="right" vertical="center"/>
    </xf>
    <xf numFmtId="0" fontId="27" fillId="0" borderId="0" xfId="0" applyFont="1" applyAlignment="1">
      <alignment horizontal="right"/>
    </xf>
    <xf numFmtId="0" fontId="0" fillId="0" borderId="0" xfId="0" applyAlignment="1">
      <alignment horizontal="right"/>
    </xf>
    <xf numFmtId="183" fontId="16" fillId="2" borderId="7" xfId="0" applyNumberFormat="1" applyFont="1" applyFill="1" applyBorder="1" applyAlignment="1">
      <alignment horizontal="right" vertical="center"/>
    </xf>
    <xf numFmtId="0" fontId="38" fillId="2" borderId="0" xfId="0" applyFont="1" applyFill="1" applyAlignment="1">
      <alignment horizontal="right" vertical="center"/>
    </xf>
    <xf numFmtId="0" fontId="15" fillId="4" borderId="33" xfId="0" applyFont="1" applyFill="1" applyBorder="1" applyAlignment="1">
      <alignment horizontal="right" vertical="center" wrapText="1"/>
    </xf>
    <xf numFmtId="183" fontId="16" fillId="2" borderId="1" xfId="0" applyNumberFormat="1" applyFont="1" applyFill="1" applyBorder="1" applyAlignment="1">
      <alignment horizontal="right" vertical="center"/>
    </xf>
    <xf numFmtId="0" fontId="0" fillId="0" borderId="0" xfId="0" applyAlignment="1">
      <alignment horizontal="right" vertical="center"/>
    </xf>
    <xf numFmtId="0" fontId="9" fillId="2" borderId="0" xfId="0" applyFont="1" applyFill="1" applyAlignment="1">
      <alignment horizontal="right" vertical="center"/>
    </xf>
    <xf numFmtId="0" fontId="27" fillId="2" borderId="1" xfId="0" applyFont="1" applyFill="1" applyBorder="1" applyAlignment="1">
      <alignment horizontal="right"/>
    </xf>
    <xf numFmtId="0" fontId="37" fillId="0" borderId="0" xfId="0" applyFont="1" applyAlignment="1">
      <alignment horizontal="right" vertical="center"/>
    </xf>
    <xf numFmtId="0" fontId="27" fillId="2" borderId="0" xfId="0" applyFont="1" applyFill="1" applyAlignment="1">
      <alignment horizontal="right"/>
    </xf>
    <xf numFmtId="0" fontId="22" fillId="2" borderId="0" xfId="0" applyFont="1" applyFill="1" applyAlignment="1">
      <alignment horizontal="right" vertical="center"/>
    </xf>
    <xf numFmtId="1" fontId="15" fillId="2" borderId="0" xfId="0" applyNumberFormat="1" applyFont="1" applyFill="1" applyAlignment="1">
      <alignment horizontal="right" vertical="center"/>
    </xf>
    <xf numFmtId="201" fontId="15" fillId="4" borderId="12" xfId="0" applyNumberFormat="1" applyFont="1" applyFill="1" applyBorder="1" applyAlignment="1">
      <alignment horizontal="right" vertical="center"/>
    </xf>
    <xf numFmtId="3" fontId="16" fillId="4" borderId="0" xfId="0" applyNumberFormat="1" applyFont="1" applyFill="1" applyAlignment="1">
      <alignment horizontal="left" vertical="center"/>
    </xf>
    <xf numFmtId="0" fontId="16" fillId="4" borderId="0" xfId="0" applyFont="1" applyFill="1" applyAlignment="1">
      <alignment horizontal="left" vertical="top" indent="2"/>
    </xf>
    <xf numFmtId="0" fontId="15" fillId="4" borderId="36" xfId="0" applyFont="1" applyFill="1" applyBorder="1"/>
    <xf numFmtId="0" fontId="81" fillId="4" borderId="0" xfId="0" applyFont="1" applyFill="1"/>
    <xf numFmtId="0" fontId="81" fillId="0" borderId="0" xfId="0" applyFont="1"/>
    <xf numFmtId="0" fontId="15" fillId="0" borderId="36" xfId="0" applyFont="1" applyBorder="1" applyAlignment="1">
      <alignment horizontal="right" vertical="center"/>
    </xf>
    <xf numFmtId="201" fontId="15" fillId="0" borderId="0" xfId="0" applyNumberFormat="1" applyFont="1" applyAlignment="1">
      <alignment horizontal="right" vertical="center"/>
    </xf>
    <xf numFmtId="201" fontId="16" fillId="0" borderId="0" xfId="0" applyNumberFormat="1" applyFont="1" applyAlignment="1">
      <alignment horizontal="right" vertical="center"/>
    </xf>
    <xf numFmtId="0" fontId="16" fillId="0" borderId="10" xfId="0" applyFont="1" applyBorder="1" applyAlignment="1">
      <alignment vertical="center"/>
    </xf>
    <xf numFmtId="0" fontId="15" fillId="0" borderId="36" xfId="16" applyFont="1" applyBorder="1" applyAlignment="1">
      <alignment horizontal="right" vertical="center" wrapText="1"/>
    </xf>
    <xf numFmtId="0" fontId="7" fillId="0" borderId="0" xfId="10" applyFont="1"/>
    <xf numFmtId="164" fontId="60" fillId="0" borderId="10" xfId="17" applyNumberFormat="1" applyFont="1" applyBorder="1" applyAlignment="1">
      <alignment horizontal="right" vertical="center"/>
    </xf>
    <xf numFmtId="196" fontId="16" fillId="0" borderId="0" xfId="10" applyNumberFormat="1" applyFont="1" applyAlignment="1">
      <alignment horizontal="right" vertical="center"/>
    </xf>
    <xf numFmtId="0" fontId="15" fillId="0" borderId="11" xfId="2" applyFont="1" applyBorder="1" applyAlignment="1">
      <alignment horizontal="right" vertical="center" wrapText="1"/>
    </xf>
    <xf numFmtId="0" fontId="16" fillId="0" borderId="0" xfId="0" applyFont="1" applyAlignment="1">
      <alignment horizontal="right"/>
    </xf>
    <xf numFmtId="198" fontId="16" fillId="0" borderId="0" xfId="0" applyNumberFormat="1" applyFont="1" applyAlignment="1">
      <alignment vertical="center"/>
    </xf>
    <xf numFmtId="0" fontId="15" fillId="0" borderId="0" xfId="0" applyFont="1" applyAlignment="1">
      <alignment horizontal="right" vertical="center"/>
    </xf>
    <xf numFmtId="0" fontId="15" fillId="0" borderId="0" xfId="0" applyFont="1" applyAlignment="1">
      <alignment horizontal="right"/>
    </xf>
    <xf numFmtId="198" fontId="15" fillId="0" borderId="0" xfId="0" applyNumberFormat="1" applyFont="1" applyAlignment="1">
      <alignment horizontal="right"/>
    </xf>
    <xf numFmtId="198" fontId="16" fillId="0" borderId="0" xfId="0" applyNumberFormat="1" applyFont="1" applyAlignment="1">
      <alignment horizontal="right" vertical="center"/>
    </xf>
    <xf numFmtId="196" fontId="16" fillId="0" borderId="0" xfId="14" applyNumberFormat="1" applyFont="1" applyAlignment="1">
      <alignment vertical="center"/>
    </xf>
    <xf numFmtId="0" fontId="16" fillId="0" borderId="0" xfId="14" applyFont="1" applyAlignment="1">
      <alignment horizontal="right" vertical="center"/>
    </xf>
    <xf numFmtId="0" fontId="16" fillId="0" borderId="0" xfId="14" applyFont="1" applyAlignment="1">
      <alignment vertical="center"/>
    </xf>
    <xf numFmtId="196" fontId="16" fillId="0" borderId="0" xfId="14" applyNumberFormat="1" applyFont="1" applyAlignment="1">
      <alignment vertical="center" wrapText="1"/>
    </xf>
    <xf numFmtId="0" fontId="16" fillId="0" borderId="0" xfId="14" applyFont="1" applyAlignment="1">
      <alignment horizontal="right" vertical="center" wrapText="1"/>
    </xf>
    <xf numFmtId="0" fontId="16" fillId="0" borderId="0" xfId="14" applyFont="1" applyAlignment="1">
      <alignment vertical="center" wrapText="1"/>
    </xf>
    <xf numFmtId="0" fontId="0" fillId="0" borderId="0" xfId="0" applyAlignment="1">
      <alignment wrapText="1"/>
    </xf>
    <xf numFmtId="196" fontId="15" fillId="0" borderId="0" xfId="14" applyNumberFormat="1" applyFont="1" applyAlignment="1">
      <alignment horizontal="right" vertical="center"/>
    </xf>
    <xf numFmtId="196" fontId="15" fillId="0" borderId="0" xfId="14" applyNumberFormat="1" applyFont="1" applyAlignment="1">
      <alignment vertical="center"/>
    </xf>
    <xf numFmtId="3" fontId="16" fillId="0" borderId="47" xfId="0" applyNumberFormat="1" applyFont="1" applyBorder="1" applyAlignment="1">
      <alignment horizontal="left" vertical="center"/>
    </xf>
    <xf numFmtId="196" fontId="16" fillId="0" borderId="0" xfId="14" applyNumberFormat="1" applyFont="1" applyAlignment="1">
      <alignment horizontal="right" vertical="center"/>
    </xf>
    <xf numFmtId="3" fontId="16" fillId="0" borderId="0" xfId="0" applyNumberFormat="1" applyFont="1" applyAlignment="1">
      <alignment horizontal="right" vertical="center"/>
    </xf>
    <xf numFmtId="0" fontId="15" fillId="0" borderId="47" xfId="0" applyFont="1" applyBorder="1" applyAlignment="1">
      <alignment horizontal="left" vertical="center" wrapText="1"/>
    </xf>
    <xf numFmtId="196" fontId="16" fillId="0" borderId="0" xfId="0" applyNumberFormat="1" applyFont="1" applyAlignment="1">
      <alignment vertical="center" wrapText="1"/>
    </xf>
    <xf numFmtId="198" fontId="15" fillId="0" borderId="0" xfId="14" applyNumberFormat="1" applyFont="1" applyAlignment="1">
      <alignment horizontal="right" vertical="center"/>
    </xf>
    <xf numFmtId="198" fontId="16" fillId="0" borderId="0" xfId="0" applyNumberFormat="1" applyFont="1" applyAlignment="1">
      <alignment horizontal="right"/>
    </xf>
    <xf numFmtId="3" fontId="15" fillId="0" borderId="47" xfId="0" applyNumberFormat="1" applyFont="1" applyBorder="1" applyAlignment="1">
      <alignment horizontal="left" vertical="center" wrapText="1"/>
    </xf>
    <xf numFmtId="198" fontId="16" fillId="0" borderId="0" xfId="0" applyNumberFormat="1" applyFont="1" applyAlignment="1">
      <alignment horizontal="right" wrapText="1"/>
    </xf>
    <xf numFmtId="0" fontId="16" fillId="0" borderId="0" xfId="0" applyFont="1"/>
    <xf numFmtId="0" fontId="10" fillId="0" borderId="0" xfId="0" applyFont="1" applyAlignment="1">
      <alignment vertical="center"/>
    </xf>
    <xf numFmtId="201" fontId="16" fillId="0" borderId="0" xfId="0" applyNumberFormat="1" applyFont="1" applyAlignment="1">
      <alignment vertical="center"/>
    </xf>
    <xf numFmtId="201" fontId="16" fillId="0" borderId="0" xfId="0" quotePrefix="1" applyNumberFormat="1" applyFont="1" applyAlignment="1">
      <alignment horizontal="right" vertical="center" wrapText="1"/>
    </xf>
    <xf numFmtId="201" fontId="16" fillId="0" borderId="0" xfId="0" applyNumberFormat="1" applyFont="1" applyAlignment="1">
      <alignment horizontal="right" vertical="center" wrapText="1"/>
    </xf>
    <xf numFmtId="0" fontId="16" fillId="0" borderId="0" xfId="0" applyFont="1" applyAlignment="1">
      <alignment vertical="center" wrapText="1"/>
    </xf>
    <xf numFmtId="201" fontId="15" fillId="0" borderId="0" xfId="0" quotePrefix="1" applyNumberFormat="1" applyFont="1" applyAlignment="1">
      <alignment horizontal="right" vertical="center"/>
    </xf>
    <xf numFmtId="172" fontId="16" fillId="0" borderId="0" xfId="0" applyNumberFormat="1" applyFont="1" applyAlignment="1">
      <alignment horizontal="right" vertical="center" wrapText="1"/>
    </xf>
    <xf numFmtId="0" fontId="22" fillId="4" borderId="0" xfId="4" applyFont="1" applyFill="1"/>
    <xf numFmtId="0" fontId="52" fillId="4" borderId="0" xfId="0" applyFont="1" applyFill="1"/>
    <xf numFmtId="0" fontId="16" fillId="4" borderId="73" xfId="0" applyFont="1" applyFill="1" applyBorder="1" applyAlignment="1">
      <alignment vertical="center"/>
    </xf>
    <xf numFmtId="0" fontId="16" fillId="4" borderId="6" xfId="0" applyFont="1" applyFill="1" applyBorder="1" applyAlignment="1">
      <alignment horizontal="right" vertical="center"/>
    </xf>
    <xf numFmtId="201" fontId="15" fillId="4" borderId="6" xfId="0" applyNumberFormat="1" applyFont="1" applyFill="1" applyBorder="1" applyAlignment="1">
      <alignment horizontal="right" vertical="center"/>
    </xf>
    <xf numFmtId="201" fontId="16" fillId="4" borderId="6" xfId="0" applyNumberFormat="1" applyFont="1" applyFill="1" applyBorder="1" applyAlignment="1">
      <alignment horizontal="right" vertical="center"/>
    </xf>
    <xf numFmtId="0" fontId="16" fillId="4" borderId="74" xfId="0" applyFont="1" applyFill="1" applyBorder="1" applyAlignment="1">
      <alignment vertical="center"/>
    </xf>
    <xf numFmtId="0" fontId="15" fillId="0" borderId="58" xfId="14" applyFont="1" applyBorder="1" applyAlignment="1">
      <alignment horizontal="right" vertical="center" wrapText="1"/>
    </xf>
    <xf numFmtId="196" fontId="15" fillId="0" borderId="6" xfId="0" applyNumberFormat="1" applyFont="1" applyBorder="1" applyAlignment="1">
      <alignment vertical="center"/>
    </xf>
    <xf numFmtId="196" fontId="15" fillId="0" borderId="6" xfId="0" applyNumberFormat="1" applyFont="1" applyBorder="1" applyAlignment="1">
      <alignment horizontal="right" vertical="center"/>
    </xf>
    <xf numFmtId="196" fontId="16" fillId="0" borderId="6" xfId="0" applyNumberFormat="1" applyFont="1" applyBorder="1" applyAlignment="1">
      <alignment horizontal="right" vertical="center"/>
    </xf>
    <xf numFmtId="198" fontId="16" fillId="0" borderId="6" xfId="0" applyNumberFormat="1" applyFont="1" applyBorder="1" applyAlignment="1">
      <alignment horizontal="right" vertical="center"/>
    </xf>
    <xf numFmtId="3" fontId="16" fillId="0" borderId="6" xfId="0" applyNumberFormat="1" applyFont="1" applyBorder="1" applyAlignment="1">
      <alignment horizontal="right" vertical="center"/>
    </xf>
    <xf numFmtId="198" fontId="15" fillId="0" borderId="6" xfId="14" applyNumberFormat="1" applyFont="1" applyBorder="1" applyAlignment="1">
      <alignment horizontal="right" vertical="center"/>
    </xf>
    <xf numFmtId="3" fontId="16" fillId="0" borderId="76" xfId="0" applyNumberFormat="1" applyFont="1" applyBorder="1" applyAlignment="1">
      <alignment horizontal="right" vertical="center"/>
    </xf>
    <xf numFmtId="198" fontId="15" fillId="0" borderId="6" xfId="0" applyNumberFormat="1" applyFont="1" applyBorder="1" applyAlignment="1">
      <alignment horizontal="right" vertical="center"/>
    </xf>
    <xf numFmtId="198" fontId="15" fillId="0" borderId="0" xfId="0" applyNumberFormat="1" applyFont="1" applyAlignment="1">
      <alignment horizontal="right" vertical="center"/>
    </xf>
    <xf numFmtId="198" fontId="16" fillId="0" borderId="6" xfId="0" applyNumberFormat="1" applyFont="1" applyBorder="1" applyAlignment="1">
      <alignment horizontal="right" vertical="center" wrapText="1"/>
    </xf>
    <xf numFmtId="198" fontId="16" fillId="0" borderId="0" xfId="0" applyNumberFormat="1" applyFont="1" applyAlignment="1">
      <alignment horizontal="right" vertical="center" wrapText="1"/>
    </xf>
    <xf numFmtId="0" fontId="7" fillId="0" borderId="6" xfId="0" applyFont="1" applyBorder="1" applyAlignment="1">
      <alignment horizontal="right" vertical="center"/>
    </xf>
    <xf numFmtId="0" fontId="7" fillId="0" borderId="0" xfId="0" applyFont="1" applyAlignment="1">
      <alignment horizontal="right" vertical="center"/>
    </xf>
    <xf numFmtId="0" fontId="16" fillId="0" borderId="6" xfId="14" applyFont="1" applyBorder="1" applyAlignment="1">
      <alignment horizontal="right" vertical="center"/>
    </xf>
    <xf numFmtId="0" fontId="16" fillId="0" borderId="6" xfId="14" applyFont="1" applyBorder="1" applyAlignment="1">
      <alignment horizontal="right" vertical="center" wrapText="1"/>
    </xf>
    <xf numFmtId="196" fontId="15" fillId="0" borderId="6" xfId="14" applyNumberFormat="1" applyFont="1" applyBorder="1" applyAlignment="1">
      <alignment horizontal="right" vertical="center"/>
    </xf>
    <xf numFmtId="196" fontId="16" fillId="0" borderId="6" xfId="0" applyNumberFormat="1" applyFont="1" applyBorder="1" applyAlignment="1">
      <alignment horizontal="right" vertical="center" wrapText="1"/>
    </xf>
    <xf numFmtId="196" fontId="16" fillId="0" borderId="0" xfId="0" applyNumberFormat="1" applyFont="1" applyAlignment="1">
      <alignment horizontal="right" vertical="center" wrapText="1"/>
    </xf>
    <xf numFmtId="0" fontId="16" fillId="0" borderId="6" xfId="0" applyFont="1" applyBorder="1" applyAlignment="1">
      <alignment horizontal="right" vertical="center"/>
    </xf>
    <xf numFmtId="0" fontId="15" fillId="0" borderId="47" xfId="0" applyFont="1" applyBorder="1" applyAlignment="1">
      <alignment horizontal="left" vertical="center"/>
    </xf>
    <xf numFmtId="196" fontId="16" fillId="0" borderId="47" xfId="14" applyNumberFormat="1" applyFont="1" applyBorder="1" applyAlignment="1">
      <alignment horizontal="left" vertical="center"/>
    </xf>
    <xf numFmtId="196" fontId="15" fillId="0" borderId="47" xfId="14" applyNumberFormat="1" applyFont="1" applyBorder="1" applyAlignment="1">
      <alignment horizontal="left" vertical="center" wrapText="1"/>
    </xf>
    <xf numFmtId="0" fontId="14" fillId="2" borderId="23" xfId="0" applyFont="1" applyFill="1" applyBorder="1" applyAlignment="1">
      <alignment horizontal="right" vertical="center" wrapText="1"/>
    </xf>
    <xf numFmtId="186" fontId="16" fillId="2" borderId="30" xfId="0" applyNumberFormat="1" applyFont="1" applyFill="1" applyBorder="1" applyAlignment="1">
      <alignment horizontal="right" vertical="center"/>
    </xf>
    <xf numFmtId="172" fontId="16" fillId="2" borderId="30" xfId="0" applyNumberFormat="1" applyFont="1" applyFill="1" applyBorder="1" applyAlignment="1">
      <alignment horizontal="right" vertical="center"/>
    </xf>
    <xf numFmtId="193" fontId="16" fillId="2" borderId="24" xfId="0" applyNumberFormat="1" applyFont="1" applyFill="1" applyBorder="1" applyAlignment="1">
      <alignment horizontal="right" vertical="center"/>
    </xf>
    <xf numFmtId="0" fontId="15" fillId="4" borderId="22" xfId="12" applyFont="1" applyFill="1" applyBorder="1" applyAlignment="1">
      <alignment horizontal="right" vertical="center" wrapText="1"/>
    </xf>
    <xf numFmtId="197" fontId="16" fillId="4" borderId="30" xfId="0" applyNumberFormat="1" applyFont="1" applyFill="1" applyBorder="1" applyAlignment="1">
      <alignment horizontal="right" vertical="center"/>
    </xf>
    <xf numFmtId="197" fontId="35" fillId="4" borderId="30" xfId="0" applyNumberFormat="1" applyFont="1" applyFill="1" applyBorder="1" applyAlignment="1">
      <alignment horizontal="right" vertical="center"/>
    </xf>
    <xf numFmtId="172" fontId="15" fillId="4" borderId="30" xfId="0" applyNumberFormat="1" applyFont="1" applyFill="1" applyBorder="1" applyAlignment="1">
      <alignment horizontal="right" vertical="center"/>
    </xf>
    <xf numFmtId="0" fontId="15" fillId="4" borderId="22" xfId="10" applyFont="1" applyFill="1" applyBorder="1" applyAlignment="1">
      <alignment horizontal="right" vertical="center"/>
    </xf>
    <xf numFmtId="0" fontId="27" fillId="4" borderId="30" xfId="10" applyFont="1" applyFill="1" applyBorder="1"/>
    <xf numFmtId="0" fontId="27" fillId="4" borderId="24" xfId="10" applyFont="1" applyFill="1" applyBorder="1"/>
    <xf numFmtId="0" fontId="15" fillId="4" borderId="22" xfId="0" applyFont="1" applyFill="1" applyBorder="1" applyAlignment="1">
      <alignment horizontal="right" vertical="center"/>
    </xf>
    <xf numFmtId="0" fontId="16" fillId="4" borderId="23" xfId="0" applyFont="1" applyFill="1" applyBorder="1" applyAlignment="1">
      <alignment vertical="center"/>
    </xf>
    <xf numFmtId="196" fontId="15" fillId="4" borderId="30" xfId="15" applyNumberFormat="1" applyFont="1" applyFill="1" applyBorder="1" applyAlignment="1">
      <alignment vertical="center"/>
    </xf>
    <xf numFmtId="196" fontId="16" fillId="4" borderId="30" xfId="0" applyNumberFormat="1" applyFont="1" applyFill="1" applyBorder="1" applyAlignment="1">
      <alignment horizontal="right" vertical="center"/>
    </xf>
    <xf numFmtId="0" fontId="15" fillId="4" borderId="77" xfId="0" applyFont="1" applyFill="1" applyBorder="1" applyAlignment="1">
      <alignment horizontal="center" vertical="center"/>
    </xf>
    <xf numFmtId="0" fontId="16" fillId="4" borderId="30" xfId="0" applyFont="1" applyFill="1" applyBorder="1" applyAlignment="1">
      <alignment horizontal="right"/>
    </xf>
    <xf numFmtId="0" fontId="16" fillId="4" borderId="44" xfId="0" applyFont="1" applyFill="1" applyBorder="1" applyAlignment="1">
      <alignment vertical="center"/>
    </xf>
    <xf numFmtId="0" fontId="7" fillId="4" borderId="6" xfId="0" applyFont="1" applyFill="1" applyBorder="1"/>
    <xf numFmtId="172" fontId="15" fillId="4" borderId="6" xfId="0" applyNumberFormat="1" applyFont="1" applyFill="1" applyBorder="1" applyAlignment="1">
      <alignment horizontal="right" vertical="center"/>
    </xf>
    <xf numFmtId="172" fontId="16" fillId="4" borderId="6" xfId="0" applyNumberFormat="1" applyFont="1" applyFill="1" applyBorder="1" applyAlignment="1">
      <alignment horizontal="right" vertical="center"/>
    </xf>
    <xf numFmtId="196" fontId="16" fillId="4" borderId="6" xfId="0" applyNumberFormat="1" applyFont="1" applyFill="1" applyBorder="1" applyAlignment="1">
      <alignment horizontal="right" vertical="center"/>
    </xf>
    <xf numFmtId="196" fontId="16" fillId="4" borderId="74" xfId="0" applyNumberFormat="1" applyFont="1" applyFill="1" applyBorder="1" applyAlignment="1">
      <alignment horizontal="right" vertical="center"/>
    </xf>
    <xf numFmtId="0" fontId="0" fillId="4" borderId="11" xfId="0" applyFill="1" applyBorder="1"/>
    <xf numFmtId="0" fontId="52" fillId="4" borderId="6" xfId="0" applyFont="1" applyFill="1" applyBorder="1" applyAlignment="1">
      <alignment horizontal="right" vertical="center"/>
    </xf>
    <xf numFmtId="196" fontId="15" fillId="4" borderId="6" xfId="0" applyNumberFormat="1" applyFont="1" applyFill="1" applyBorder="1" applyAlignment="1">
      <alignment horizontal="right" vertical="center"/>
    </xf>
    <xf numFmtId="0" fontId="16" fillId="4" borderId="6" xfId="0" applyFont="1" applyFill="1" applyBorder="1" applyAlignment="1">
      <alignment vertical="center"/>
    </xf>
    <xf numFmtId="0" fontId="16" fillId="4" borderId="0" xfId="0" applyFont="1" applyFill="1" applyAlignment="1">
      <alignment horizontal="left" vertical="top" indent="1"/>
    </xf>
    <xf numFmtId="0" fontId="7" fillId="4" borderId="6" xfId="0" applyFont="1" applyFill="1" applyBorder="1" applyAlignment="1">
      <alignment horizontal="right"/>
    </xf>
    <xf numFmtId="196" fontId="16" fillId="4" borderId="6" xfId="0" applyNumberFormat="1" applyFont="1" applyFill="1" applyBorder="1" applyAlignment="1">
      <alignment horizontal="right"/>
    </xf>
    <xf numFmtId="196" fontId="16" fillId="4" borderId="74" xfId="0" applyNumberFormat="1" applyFont="1" applyFill="1" applyBorder="1" applyAlignment="1">
      <alignment vertical="center"/>
    </xf>
    <xf numFmtId="0" fontId="15" fillId="4" borderId="78" xfId="0" applyFont="1" applyFill="1" applyBorder="1" applyAlignment="1">
      <alignment horizontal="center" vertical="center"/>
    </xf>
    <xf numFmtId="0" fontId="15" fillId="4" borderId="79" xfId="0" applyFont="1" applyFill="1" applyBorder="1" applyAlignment="1">
      <alignment horizontal="right" vertical="center"/>
    </xf>
    <xf numFmtId="0" fontId="15" fillId="4" borderId="54" xfId="0" applyFont="1" applyFill="1" applyBorder="1" applyAlignment="1">
      <alignment horizontal="right" vertical="center"/>
    </xf>
    <xf numFmtId="0" fontId="15" fillId="4" borderId="80" xfId="0" applyFont="1" applyFill="1" applyBorder="1" applyAlignment="1">
      <alignment horizontal="right" vertical="center"/>
    </xf>
    <xf numFmtId="0" fontId="15" fillId="4" borderId="81" xfId="0" applyFont="1" applyFill="1" applyBorder="1" applyAlignment="1">
      <alignment horizontal="right" vertical="center"/>
    </xf>
    <xf numFmtId="0" fontId="15" fillId="4" borderId="75" xfId="0" applyFont="1" applyFill="1" applyBorder="1" applyAlignment="1">
      <alignment horizontal="right" vertical="center" wrapText="1"/>
    </xf>
    <xf numFmtId="0" fontId="15" fillId="4" borderId="30" xfId="0" applyFont="1" applyFill="1" applyBorder="1" applyAlignment="1">
      <alignment horizontal="right" vertical="center"/>
    </xf>
    <xf numFmtId="198" fontId="52" fillId="4" borderId="6" xfId="0" applyNumberFormat="1" applyFont="1" applyFill="1" applyBorder="1" applyAlignment="1">
      <alignment horizontal="right" vertical="center"/>
    </xf>
    <xf numFmtId="198" fontId="53" fillId="4" borderId="6" xfId="0" applyNumberFormat="1" applyFont="1" applyFill="1" applyBorder="1" applyAlignment="1">
      <alignment horizontal="right" vertical="center"/>
    </xf>
    <xf numFmtId="198" fontId="53" fillId="4" borderId="74" xfId="0" applyNumberFormat="1" applyFont="1" applyFill="1" applyBorder="1" applyAlignment="1">
      <alignment horizontal="right" vertical="center"/>
    </xf>
    <xf numFmtId="0" fontId="52" fillId="4" borderId="82" xfId="18" applyFont="1" applyFill="1" applyBorder="1" applyAlignment="1">
      <alignment horizontal="right" vertical="center"/>
    </xf>
    <xf numFmtId="0" fontId="53" fillId="4" borderId="83" xfId="18" applyFont="1" applyFill="1" applyBorder="1" applyAlignment="1">
      <alignment horizontal="right" vertical="center"/>
    </xf>
    <xf numFmtId="0" fontId="15" fillId="4" borderId="58" xfId="16" applyFont="1" applyFill="1" applyBorder="1" applyAlignment="1">
      <alignment horizontal="right" vertical="center" wrapText="1"/>
    </xf>
    <xf numFmtId="0" fontId="7" fillId="4" borderId="6" xfId="10" applyFont="1" applyFill="1" applyBorder="1"/>
    <xf numFmtId="0" fontId="52" fillId="4" borderId="84" xfId="18" applyFont="1" applyFill="1" applyBorder="1" applyAlignment="1">
      <alignment horizontal="right" vertical="center"/>
    </xf>
    <xf numFmtId="164" fontId="53" fillId="4" borderId="6" xfId="17" applyNumberFormat="1" applyFont="1" applyFill="1" applyBorder="1" applyAlignment="1">
      <alignment horizontal="right" vertical="center"/>
    </xf>
    <xf numFmtId="0" fontId="53" fillId="4" borderId="85" xfId="18" applyFont="1" applyFill="1" applyBorder="1" applyAlignment="1">
      <alignment horizontal="right" vertical="center"/>
    </xf>
    <xf numFmtId="164" fontId="60" fillId="4" borderId="74" xfId="17" applyNumberFormat="1" applyFont="1" applyFill="1" applyBorder="1" applyAlignment="1">
      <alignment horizontal="right" vertical="center"/>
    </xf>
    <xf numFmtId="0" fontId="15" fillId="4" borderId="30" xfId="0" applyFont="1" applyFill="1" applyBorder="1" applyAlignment="1">
      <alignment vertical="center"/>
    </xf>
    <xf numFmtId="0" fontId="15" fillId="4" borderId="6" xfId="0" applyFont="1" applyFill="1" applyBorder="1" applyAlignment="1">
      <alignment vertical="center"/>
    </xf>
    <xf numFmtId="0" fontId="16" fillId="2" borderId="30" xfId="0" applyFont="1" applyFill="1" applyBorder="1" applyAlignment="1">
      <alignment vertical="center"/>
    </xf>
    <xf numFmtId="180" fontId="15" fillId="2" borderId="30" xfId="0" applyNumberFormat="1" applyFont="1" applyFill="1" applyBorder="1" applyAlignment="1">
      <alignment horizontal="right" vertical="center"/>
    </xf>
    <xf numFmtId="180" fontId="16" fillId="2" borderId="30" xfId="0" applyNumberFormat="1" applyFont="1" applyFill="1" applyBorder="1" applyAlignment="1">
      <alignment horizontal="right" vertical="center"/>
    </xf>
    <xf numFmtId="0" fontId="18" fillId="2" borderId="10" xfId="0" applyFont="1" applyFill="1" applyBorder="1" applyAlignment="1">
      <alignment vertical="center"/>
    </xf>
    <xf numFmtId="0" fontId="18" fillId="2" borderId="24" xfId="0" applyFont="1" applyFill="1" applyBorder="1" applyAlignment="1">
      <alignment vertical="center"/>
    </xf>
    <xf numFmtId="0" fontId="15" fillId="4" borderId="53" xfId="0" applyFont="1" applyFill="1" applyBorder="1" applyAlignment="1">
      <alignment horizontal="center" vertical="center"/>
    </xf>
    <xf numFmtId="0" fontId="9" fillId="2" borderId="0" xfId="0" applyFont="1" applyFill="1" applyAlignment="1">
      <alignment horizontal="center" vertical="center"/>
    </xf>
    <xf numFmtId="0" fontId="8" fillId="2" borderId="42" xfId="0" quotePrefix="1" applyFont="1" applyFill="1" applyBorder="1" applyAlignment="1">
      <alignment horizontal="center" vertical="center"/>
    </xf>
    <xf numFmtId="0" fontId="15" fillId="4" borderId="58" xfId="0" applyFont="1" applyFill="1" applyBorder="1" applyAlignment="1">
      <alignment horizontal="right" vertical="center" wrapText="1"/>
    </xf>
    <xf numFmtId="172" fontId="9" fillId="2" borderId="6" xfId="0" applyNumberFormat="1" applyFont="1" applyFill="1" applyBorder="1" applyAlignment="1">
      <alignment horizontal="right" vertical="center" wrapText="1"/>
    </xf>
    <xf numFmtId="190" fontId="16" fillId="2" borderId="6" xfId="0" applyNumberFormat="1" applyFont="1" applyFill="1" applyBorder="1" applyAlignment="1">
      <alignment horizontal="right" vertical="center"/>
    </xf>
    <xf numFmtId="200" fontId="16" fillId="2" borderId="6" xfId="0" applyNumberFormat="1" applyFont="1" applyFill="1" applyBorder="1" applyAlignment="1">
      <alignment horizontal="right" vertical="center" wrapText="1"/>
    </xf>
    <xf numFmtId="166" fontId="7" fillId="2" borderId="76" xfId="0" applyNumberFormat="1" applyFont="1" applyFill="1" applyBorder="1" applyAlignment="1">
      <alignment horizontal="right" vertical="center"/>
    </xf>
    <xf numFmtId="0" fontId="10" fillId="2" borderId="6" xfId="0" applyFont="1" applyFill="1" applyBorder="1" applyAlignment="1">
      <alignment vertical="center"/>
    </xf>
    <xf numFmtId="200" fontId="16" fillId="4" borderId="6" xfId="0" applyNumberFormat="1" applyFont="1" applyFill="1" applyBorder="1" applyAlignment="1">
      <alignment horizontal="right" vertical="center" wrapText="1"/>
    </xf>
    <xf numFmtId="0" fontId="15" fillId="4" borderId="22" xfId="33" applyFont="1" applyFill="1" applyBorder="1" applyAlignment="1">
      <alignment vertical="center"/>
    </xf>
    <xf numFmtId="0" fontId="16" fillId="4" borderId="30" xfId="33" applyFont="1" applyFill="1" applyBorder="1" applyAlignment="1">
      <alignment vertical="center"/>
    </xf>
    <xf numFmtId="172" fontId="15" fillId="4" borderId="30" xfId="33" applyNumberFormat="1" applyFont="1" applyFill="1" applyBorder="1" applyAlignment="1">
      <alignment horizontal="right" vertical="center"/>
    </xf>
    <xf numFmtId="172" fontId="16" fillId="4" borderId="30" xfId="33" applyNumberFormat="1" applyFont="1" applyFill="1" applyBorder="1" applyAlignment="1">
      <alignment horizontal="right" vertical="center"/>
    </xf>
    <xf numFmtId="0" fontId="16" fillId="4" borderId="24" xfId="33" applyFont="1" applyFill="1" applyBorder="1" applyAlignment="1">
      <alignment vertical="center"/>
    </xf>
    <xf numFmtId="176" fontId="16" fillId="4" borderId="10" xfId="33" applyNumberFormat="1" applyFont="1" applyFill="1" applyBorder="1" applyAlignment="1">
      <alignment horizontal="right" vertical="center"/>
    </xf>
    <xf numFmtId="0" fontId="15" fillId="4" borderId="22" xfId="33" applyFont="1" applyFill="1" applyBorder="1" applyAlignment="1">
      <alignment horizontal="right" vertical="center"/>
    </xf>
    <xf numFmtId="0" fontId="7" fillId="4" borderId="30" xfId="33" applyFont="1" applyFill="1" applyBorder="1" applyAlignment="1">
      <alignment vertical="center"/>
    </xf>
    <xf numFmtId="172" fontId="16" fillId="4" borderId="24" xfId="33" applyNumberFormat="1" applyFont="1" applyFill="1" applyBorder="1" applyAlignment="1">
      <alignment horizontal="right" vertical="center"/>
    </xf>
    <xf numFmtId="0" fontId="16" fillId="2" borderId="10" xfId="0" applyFont="1" applyFill="1" applyBorder="1" applyAlignment="1">
      <alignment horizontal="left" vertical="center"/>
    </xf>
    <xf numFmtId="0" fontId="15" fillId="4" borderId="24" xfId="0" applyFont="1" applyFill="1" applyBorder="1" applyAlignment="1">
      <alignment horizontal="right" vertical="center"/>
    </xf>
    <xf numFmtId="172" fontId="16" fillId="4" borderId="30" xfId="0" applyNumberFormat="1" applyFont="1" applyFill="1" applyBorder="1" applyAlignment="1">
      <alignment vertical="center"/>
    </xf>
    <xf numFmtId="173" fontId="16" fillId="2" borderId="24" xfId="0" applyNumberFormat="1" applyFont="1" applyFill="1" applyBorder="1" applyAlignment="1">
      <alignment horizontal="right" vertical="center"/>
    </xf>
    <xf numFmtId="0" fontId="15" fillId="4" borderId="10" xfId="0" applyFont="1" applyFill="1" applyBorder="1" applyAlignment="1">
      <alignment vertical="center"/>
    </xf>
    <xf numFmtId="0" fontId="8" fillId="4" borderId="10" xfId="0" applyFont="1" applyFill="1" applyBorder="1" applyAlignment="1">
      <alignment horizontal="right" vertical="center"/>
    </xf>
    <xf numFmtId="0" fontId="15" fillId="5" borderId="22" xfId="5" applyFont="1" applyFill="1" applyBorder="1" applyAlignment="1">
      <alignment horizontal="right" vertical="center" wrapText="1"/>
    </xf>
    <xf numFmtId="0" fontId="15" fillId="5" borderId="30" xfId="5" applyFont="1" applyFill="1" applyBorder="1" applyAlignment="1">
      <alignment horizontal="right" vertical="center" wrapText="1"/>
    </xf>
    <xf numFmtId="196" fontId="15" fillId="5" borderId="30" xfId="5" applyNumberFormat="1" applyFont="1" applyFill="1" applyBorder="1" applyAlignment="1">
      <alignment horizontal="right" vertical="center" wrapText="1"/>
    </xf>
    <xf numFmtId="0" fontId="7" fillId="4" borderId="30" xfId="0" applyFont="1" applyFill="1" applyBorder="1" applyAlignment="1">
      <alignment horizontal="right"/>
    </xf>
    <xf numFmtId="0" fontId="0" fillId="4" borderId="24" xfId="0" applyFill="1" applyBorder="1"/>
    <xf numFmtId="0" fontId="16" fillId="4" borderId="0" xfId="12" applyFont="1" applyFill="1" applyAlignment="1">
      <alignment horizontal="left" vertical="center"/>
    </xf>
    <xf numFmtId="0" fontId="10" fillId="4" borderId="30" xfId="0" applyFont="1" applyFill="1" applyBorder="1" applyAlignment="1">
      <alignment horizontal="right" vertical="center"/>
    </xf>
    <xf numFmtId="180" fontId="16" fillId="4" borderId="30" xfId="0" applyNumberFormat="1" applyFont="1" applyFill="1" applyBorder="1" applyAlignment="1">
      <alignment horizontal="right" vertical="center"/>
    </xf>
    <xf numFmtId="180" fontId="16" fillId="4" borderId="86" xfId="0" applyNumberFormat="1" applyFont="1" applyFill="1" applyBorder="1" applyAlignment="1">
      <alignment horizontal="right" vertical="center"/>
    </xf>
    <xf numFmtId="183" fontId="16" fillId="4" borderId="0" xfId="0" applyNumberFormat="1" applyFont="1" applyFill="1" applyAlignment="1">
      <alignment horizontal="center" vertical="center"/>
    </xf>
    <xf numFmtId="183" fontId="16" fillId="4" borderId="0" xfId="0" applyNumberFormat="1" applyFont="1" applyFill="1" applyAlignment="1">
      <alignment horizontal="right" vertical="center"/>
    </xf>
    <xf numFmtId="180" fontId="15" fillId="4" borderId="30" xfId="0" applyNumberFormat="1" applyFont="1" applyFill="1" applyBorder="1" applyAlignment="1">
      <alignment horizontal="right" vertical="center"/>
    </xf>
    <xf numFmtId="0" fontId="16" fillId="4" borderId="10" xfId="0" applyFont="1" applyFill="1" applyBorder="1" applyAlignment="1">
      <alignment horizontal="left" vertical="center"/>
    </xf>
    <xf numFmtId="172" fontId="16" fillId="4" borderId="6" xfId="0" applyNumberFormat="1" applyFont="1" applyFill="1" applyBorder="1" applyAlignment="1">
      <alignment horizontal="center" vertical="center"/>
    </xf>
    <xf numFmtId="172" fontId="16" fillId="4" borderId="76" xfId="0" applyNumberFormat="1" applyFont="1" applyFill="1" applyBorder="1" applyAlignment="1">
      <alignment horizontal="center" vertical="center"/>
    </xf>
    <xf numFmtId="0" fontId="15" fillId="5" borderId="22" xfId="2" applyFont="1" applyFill="1" applyBorder="1" applyAlignment="1">
      <alignment horizontal="right" vertical="center" wrapText="1"/>
    </xf>
    <xf numFmtId="0" fontId="16" fillId="4" borderId="30" xfId="10" applyFont="1" applyFill="1" applyBorder="1" applyAlignment="1">
      <alignment vertical="center"/>
    </xf>
    <xf numFmtId="0" fontId="15" fillId="4" borderId="30" xfId="10" applyFont="1" applyFill="1" applyBorder="1" applyAlignment="1">
      <alignment vertical="center"/>
    </xf>
    <xf numFmtId="0" fontId="16" fillId="4" borderId="30" xfId="10" applyFont="1" applyFill="1" applyBorder="1" applyAlignment="1">
      <alignment horizontal="right" vertical="center"/>
    </xf>
    <xf numFmtId="0" fontId="15" fillId="4" borderId="30" xfId="10" applyFont="1" applyFill="1" applyBorder="1" applyAlignment="1">
      <alignment horizontal="right" vertical="center"/>
    </xf>
    <xf numFmtId="0" fontId="16" fillId="4" borderId="30" xfId="10" applyFont="1" applyFill="1" applyBorder="1" applyAlignment="1">
      <alignment vertical="center" wrapText="1"/>
    </xf>
    <xf numFmtId="0" fontId="16" fillId="4" borderId="24" xfId="10" applyFont="1" applyFill="1" applyBorder="1" applyAlignment="1">
      <alignment vertical="center"/>
    </xf>
    <xf numFmtId="196" fontId="16" fillId="4" borderId="30" xfId="10" applyNumberFormat="1" applyFont="1" applyFill="1" applyBorder="1" applyAlignment="1">
      <alignment horizontal="right" vertical="center"/>
    </xf>
    <xf numFmtId="0" fontId="16" fillId="0" borderId="24" xfId="10" applyFont="1" applyBorder="1" applyAlignment="1">
      <alignment vertical="center"/>
    </xf>
    <xf numFmtId="0" fontId="15" fillId="4" borderId="90" xfId="0" applyFont="1" applyFill="1" applyBorder="1" applyAlignment="1">
      <alignment horizontal="right" vertical="center" wrapText="1"/>
    </xf>
    <xf numFmtId="0" fontId="0" fillId="2" borderId="30" xfId="0" applyFill="1" applyBorder="1" applyAlignment="1">
      <alignment horizontal="center"/>
    </xf>
    <xf numFmtId="0" fontId="15" fillId="2" borderId="30" xfId="0" applyFont="1" applyFill="1" applyBorder="1" applyAlignment="1">
      <alignment horizontal="right" vertical="center"/>
    </xf>
    <xf numFmtId="0" fontId="16" fillId="2" borderId="30" xfId="0" applyFont="1" applyFill="1" applyBorder="1" applyAlignment="1">
      <alignment horizontal="right" vertical="center"/>
    </xf>
    <xf numFmtId="0" fontId="0" fillId="2" borderId="24" xfId="0" applyFill="1" applyBorder="1"/>
    <xf numFmtId="201" fontId="15" fillId="4" borderId="0" xfId="0" quotePrefix="1" applyNumberFormat="1" applyFont="1" applyFill="1" applyAlignment="1">
      <alignment horizontal="left" vertical="center"/>
    </xf>
    <xf numFmtId="0" fontId="16" fillId="5" borderId="13" xfId="3" applyFont="1" applyFill="1" applyBorder="1" applyAlignment="1">
      <alignment horizontal="left" vertical="center" wrapText="1" indent="1"/>
    </xf>
    <xf numFmtId="0" fontId="16" fillId="5" borderId="21" xfId="3" applyFont="1" applyFill="1" applyBorder="1" applyAlignment="1">
      <alignment horizontal="left" vertical="center" wrapText="1" indent="1"/>
    </xf>
    <xf numFmtId="172" fontId="15" fillId="4" borderId="30" xfId="10" applyNumberFormat="1" applyFont="1" applyFill="1" applyBorder="1" applyAlignment="1">
      <alignment horizontal="right" vertical="center"/>
    </xf>
    <xf numFmtId="172" fontId="15" fillId="4" borderId="0" xfId="10" applyNumberFormat="1" applyFont="1" applyFill="1" applyAlignment="1">
      <alignment horizontal="right" vertical="center"/>
    </xf>
    <xf numFmtId="0" fontId="16" fillId="6" borderId="39" xfId="3" applyFont="1" applyFill="1" applyBorder="1" applyAlignment="1">
      <alignment horizontal="left" vertical="center" wrapText="1"/>
    </xf>
    <xf numFmtId="0" fontId="16" fillId="5" borderId="39" xfId="3" applyFont="1" applyFill="1" applyBorder="1" applyAlignment="1">
      <alignment horizontal="left" vertical="center"/>
    </xf>
    <xf numFmtId="0" fontId="16" fillId="5" borderId="39" xfId="3" applyFont="1" applyFill="1" applyBorder="1" applyAlignment="1">
      <alignment horizontal="left" vertical="center" wrapText="1"/>
    </xf>
    <xf numFmtId="0" fontId="16" fillId="5" borderId="0" xfId="3" applyFont="1" applyFill="1" applyAlignment="1">
      <alignment horizontal="left" vertical="center" wrapText="1"/>
    </xf>
    <xf numFmtId="0" fontId="21" fillId="4" borderId="0" xfId="0" applyFont="1" applyFill="1" applyAlignment="1">
      <alignment horizontal="distributed" vertical="justify" wrapText="1"/>
    </xf>
    <xf numFmtId="0" fontId="21" fillId="4" borderId="0" xfId="10" applyFont="1" applyFill="1" applyAlignment="1">
      <alignment horizontal="distributed" vertical="justify" wrapText="1"/>
    </xf>
    <xf numFmtId="0" fontId="15" fillId="4" borderId="6" xfId="0" applyFont="1" applyFill="1" applyBorder="1" applyAlignment="1">
      <alignment horizontal="right" vertical="center"/>
    </xf>
    <xf numFmtId="0" fontId="21" fillId="0" borderId="0" xfId="0" applyFont="1" applyAlignment="1">
      <alignment horizontal="left" vertical="justify" wrapText="1"/>
    </xf>
    <xf numFmtId="196" fontId="14" fillId="0" borderId="0" xfId="0" applyNumberFormat="1" applyFont="1" applyAlignment="1">
      <alignment horizontal="left" vertical="center"/>
    </xf>
    <xf numFmtId="0" fontId="22" fillId="4" borderId="0" xfId="0" applyFont="1" applyFill="1" applyAlignment="1">
      <alignment horizontal="left" vertical="center"/>
    </xf>
    <xf numFmtId="0" fontId="14" fillId="4" borderId="0" xfId="0" applyFont="1" applyFill="1" applyAlignment="1">
      <alignment horizontal="left" vertical="center"/>
    </xf>
    <xf numFmtId="0" fontId="22" fillId="2" borderId="0" xfId="0" applyFont="1" applyFill="1" applyAlignment="1">
      <alignment horizontal="left" vertical="center"/>
    </xf>
    <xf numFmtId="0" fontId="14" fillId="2" borderId="0" xfId="0" applyFont="1" applyFill="1" applyAlignment="1">
      <alignment horizontal="left" vertical="center"/>
    </xf>
    <xf numFmtId="0" fontId="15" fillId="9" borderId="14" xfId="10" applyFont="1" applyFill="1" applyBorder="1" applyAlignment="1">
      <alignment horizontal="center" vertical="center"/>
    </xf>
    <xf numFmtId="0" fontId="15" fillId="9" borderId="26" xfId="10" applyFont="1" applyFill="1" applyBorder="1" applyAlignment="1">
      <alignment horizontal="center" vertical="center"/>
    </xf>
    <xf numFmtId="1" fontId="15" fillId="8" borderId="15" xfId="10" applyNumberFormat="1" applyFont="1" applyFill="1" applyBorder="1" applyAlignment="1">
      <alignment horizontal="center" vertical="center" wrapText="1"/>
    </xf>
    <xf numFmtId="1" fontId="15" fillId="8" borderId="16" xfId="10" applyNumberFormat="1" applyFont="1" applyFill="1" applyBorder="1" applyAlignment="1">
      <alignment horizontal="center" vertical="center" wrapText="1"/>
    </xf>
    <xf numFmtId="0" fontId="16" fillId="0" borderId="0" xfId="10" applyFont="1" applyAlignment="1">
      <alignment horizontal="center"/>
    </xf>
    <xf numFmtId="0" fontId="16" fillId="0" borderId="0" xfId="10" applyFont="1" applyAlignment="1">
      <alignment horizontal="center" vertical="center"/>
    </xf>
    <xf numFmtId="0" fontId="21" fillId="4" borderId="0" xfId="0" applyFont="1" applyFill="1" applyAlignment="1">
      <alignment horizontal="distributed" vertical="justify" wrapText="1"/>
    </xf>
    <xf numFmtId="0" fontId="21" fillId="4" borderId="0" xfId="0" applyFont="1" applyFill="1" applyAlignment="1">
      <alignment horizontal="left" vertical="justify" wrapText="1"/>
    </xf>
    <xf numFmtId="0" fontId="52" fillId="4" borderId="53" xfId="0" applyFont="1" applyFill="1" applyBorder="1" applyAlignment="1">
      <alignment horizontal="right" vertical="center"/>
    </xf>
    <xf numFmtId="0" fontId="52" fillId="4" borderId="42" xfId="0" applyFont="1" applyFill="1" applyBorder="1" applyAlignment="1">
      <alignment horizontal="right" vertical="center"/>
    </xf>
    <xf numFmtId="0" fontId="54" fillId="4" borderId="0" xfId="0" applyFont="1" applyFill="1" applyAlignment="1">
      <alignment horizontal="left" vertical="center" wrapText="1"/>
    </xf>
    <xf numFmtId="203" fontId="56" fillId="4" borderId="0" xfId="16" applyNumberFormat="1" applyFont="1" applyFill="1" applyAlignment="1">
      <alignment horizontal="left" vertical="center" wrapText="1"/>
    </xf>
    <xf numFmtId="0" fontId="53" fillId="4" borderId="11" xfId="16" applyFont="1" applyFill="1" applyBorder="1" applyAlignment="1">
      <alignment horizontal="left" vertical="center"/>
    </xf>
    <xf numFmtId="0" fontId="52" fillId="4" borderId="73" xfId="0" applyFont="1" applyFill="1" applyBorder="1" applyAlignment="1">
      <alignment horizontal="right" vertical="center"/>
    </xf>
    <xf numFmtId="0" fontId="52" fillId="4" borderId="76" xfId="0" applyFont="1" applyFill="1" applyBorder="1" applyAlignment="1">
      <alignment horizontal="right" vertical="center"/>
    </xf>
    <xf numFmtId="0" fontId="22" fillId="4" borderId="0" xfId="4" applyFont="1" applyFill="1" applyAlignment="1">
      <alignment horizontal="left" vertical="top" wrapText="1"/>
    </xf>
    <xf numFmtId="0" fontId="52" fillId="4" borderId="77" xfId="0" applyFont="1" applyFill="1" applyBorder="1" applyAlignment="1">
      <alignment horizontal="center" vertical="center"/>
    </xf>
    <xf numFmtId="0" fontId="52" fillId="4" borderId="34" xfId="0" applyFont="1" applyFill="1" applyBorder="1" applyAlignment="1">
      <alignment horizontal="center" vertical="center"/>
    </xf>
    <xf numFmtId="0" fontId="52" fillId="4" borderId="46" xfId="0" applyFont="1" applyFill="1" applyBorder="1" applyAlignment="1">
      <alignment horizontal="center" vertical="center"/>
    </xf>
    <xf numFmtId="0" fontId="52" fillId="4" borderId="47" xfId="0" applyFont="1" applyFill="1" applyBorder="1" applyAlignment="1">
      <alignment horizontal="center" vertical="center"/>
    </xf>
    <xf numFmtId="0" fontId="52" fillId="4" borderId="37" xfId="0" applyFont="1" applyFill="1" applyBorder="1" applyAlignment="1">
      <alignment horizontal="right" vertical="center"/>
    </xf>
    <xf numFmtId="0" fontId="14" fillId="4" borderId="0" xfId="0" applyFont="1" applyFill="1" applyAlignment="1">
      <alignment horizontal="left" vertical="center" wrapText="1"/>
    </xf>
    <xf numFmtId="196" fontId="22" fillId="4" borderId="12" xfId="0" applyNumberFormat="1" applyFont="1" applyFill="1" applyBorder="1" applyAlignment="1">
      <alignment horizontal="distributed" vertical="justify"/>
    </xf>
    <xf numFmtId="196" fontId="22" fillId="4" borderId="0" xfId="0" applyNumberFormat="1" applyFont="1" applyFill="1" applyAlignment="1">
      <alignment horizontal="distributed" vertical="center"/>
    </xf>
    <xf numFmtId="0" fontId="15" fillId="4" borderId="60" xfId="0" applyFont="1" applyFill="1" applyBorder="1" applyAlignment="1">
      <alignment horizontal="center" vertical="center" wrapText="1"/>
    </xf>
    <xf numFmtId="0" fontId="15" fillId="4" borderId="61" xfId="0" applyFont="1" applyFill="1" applyBorder="1" applyAlignment="1">
      <alignment horizontal="center" vertical="center" wrapText="1"/>
    </xf>
    <xf numFmtId="0" fontId="14" fillId="4" borderId="0" xfId="0" applyFont="1" applyFill="1" applyAlignment="1">
      <alignment horizontal="left" vertical="top" wrapText="1"/>
    </xf>
    <xf numFmtId="0" fontId="15" fillId="4" borderId="0" xfId="13" applyFont="1" applyFill="1" applyAlignment="1">
      <alignment horizontal="center" vertical="center" wrapText="1"/>
    </xf>
    <xf numFmtId="0" fontId="15" fillId="4" borderId="42" xfId="16" applyFont="1" applyFill="1" applyBorder="1" applyAlignment="1">
      <alignment horizontal="center" vertical="top" wrapText="1"/>
    </xf>
    <xf numFmtId="0" fontId="55" fillId="4" borderId="0" xfId="10" applyFont="1" applyFill="1" applyAlignment="1">
      <alignment horizontal="left" vertical="center" wrapText="1"/>
    </xf>
    <xf numFmtId="0" fontId="15" fillId="4" borderId="77" xfId="13" applyFont="1" applyFill="1" applyBorder="1" applyAlignment="1">
      <alignment horizontal="center" vertical="center" wrapText="1"/>
    </xf>
    <xf numFmtId="0" fontId="15" fillId="4" borderId="34" xfId="13" applyFont="1" applyFill="1" applyBorder="1" applyAlignment="1">
      <alignment horizontal="center" vertical="center" wrapText="1"/>
    </xf>
    <xf numFmtId="0" fontId="15" fillId="4" borderId="53" xfId="20" applyFont="1" applyFill="1" applyBorder="1" applyAlignment="1">
      <alignment horizontal="right" vertical="center" wrapText="1"/>
    </xf>
    <xf numFmtId="0" fontId="15" fillId="4" borderId="42" xfId="20" applyFont="1" applyFill="1" applyBorder="1" applyAlignment="1">
      <alignment horizontal="right" vertical="center" wrapText="1"/>
    </xf>
    <xf numFmtId="0" fontId="15" fillId="4" borderId="73" xfId="20" applyFont="1" applyFill="1" applyBorder="1" applyAlignment="1">
      <alignment horizontal="right" vertical="center" wrapText="1"/>
    </xf>
    <xf numFmtId="0" fontId="15" fillId="4" borderId="76" xfId="20" applyFont="1" applyFill="1" applyBorder="1" applyAlignment="1">
      <alignment horizontal="right" vertical="center" wrapText="1"/>
    </xf>
    <xf numFmtId="0" fontId="54" fillId="4" borderId="0" xfId="10" applyFont="1" applyFill="1" applyAlignment="1">
      <alignment horizontal="left" vertical="center"/>
    </xf>
    <xf numFmtId="0" fontId="56" fillId="4" borderId="0" xfId="10" applyFont="1" applyFill="1" applyAlignment="1">
      <alignment horizontal="left" vertical="center" wrapText="1"/>
    </xf>
    <xf numFmtId="0" fontId="56" fillId="4" borderId="0" xfId="10" applyFont="1" applyFill="1" applyAlignment="1">
      <alignment horizontal="left" vertical="center"/>
    </xf>
    <xf numFmtId="0" fontId="56" fillId="4" borderId="12" xfId="10" applyFont="1" applyFill="1" applyBorder="1" applyAlignment="1">
      <alignment horizontal="distributed" vertical="justify" wrapText="1"/>
    </xf>
    <xf numFmtId="0" fontId="14" fillId="4" borderId="0" xfId="0" applyFont="1" applyFill="1" applyAlignment="1">
      <alignment horizontal="left" vertical="justify" wrapText="1"/>
    </xf>
    <xf numFmtId="0" fontId="14" fillId="0" borderId="0" xfId="0" applyFont="1" applyAlignment="1">
      <alignment horizontal="left" vertical="center"/>
    </xf>
    <xf numFmtId="0" fontId="15" fillId="4" borderId="46" xfId="13" applyFont="1" applyFill="1" applyBorder="1" applyAlignment="1">
      <alignment horizontal="center" vertical="center" wrapText="1"/>
    </xf>
    <xf numFmtId="0" fontId="15" fillId="4" borderId="47" xfId="13" applyFont="1" applyFill="1" applyBorder="1" applyAlignment="1">
      <alignment horizontal="center" vertical="center" wrapText="1"/>
    </xf>
    <xf numFmtId="0" fontId="15" fillId="4" borderId="73" xfId="0" applyFont="1" applyFill="1" applyBorder="1" applyAlignment="1">
      <alignment horizontal="right" vertical="center" wrapText="1"/>
    </xf>
    <xf numFmtId="0" fontId="15" fillId="4" borderId="76" xfId="0" applyFont="1" applyFill="1" applyBorder="1" applyAlignment="1">
      <alignment horizontal="right" vertical="center" wrapText="1"/>
    </xf>
    <xf numFmtId="0" fontId="15" fillId="4" borderId="53" xfId="0" applyFont="1" applyFill="1" applyBorder="1" applyAlignment="1">
      <alignment horizontal="right" vertical="center" wrapText="1"/>
    </xf>
    <xf numFmtId="0" fontId="15" fillId="4" borderId="42" xfId="0" applyFont="1" applyFill="1" applyBorder="1" applyAlignment="1">
      <alignment horizontal="right" vertical="center" wrapText="1"/>
    </xf>
    <xf numFmtId="0" fontId="15" fillId="0" borderId="53" xfId="0" applyFont="1" applyBorder="1" applyAlignment="1">
      <alignment horizontal="right" vertical="center" wrapText="1"/>
    </xf>
    <xf numFmtId="0" fontId="15" fillId="0" borderId="42" xfId="0" applyFont="1" applyBorder="1" applyAlignment="1">
      <alignment horizontal="right" vertical="center" wrapText="1"/>
    </xf>
    <xf numFmtId="0" fontId="15" fillId="4" borderId="23" xfId="0" applyFont="1" applyFill="1" applyBorder="1" applyAlignment="1">
      <alignment horizontal="right" vertical="center" wrapText="1"/>
    </xf>
    <xf numFmtId="0" fontId="15" fillId="4" borderId="24" xfId="0" applyFont="1" applyFill="1" applyBorder="1" applyAlignment="1">
      <alignment horizontal="right" vertical="center" wrapText="1"/>
    </xf>
    <xf numFmtId="0" fontId="15" fillId="4" borderId="12" xfId="0" applyFont="1" applyFill="1" applyBorder="1" applyAlignment="1">
      <alignment horizontal="right" vertical="center" wrapText="1"/>
    </xf>
    <xf numFmtId="0" fontId="0" fillId="0" borderId="10" xfId="0" applyBorder="1" applyAlignment="1">
      <alignment horizontal="right" vertical="center" wrapText="1"/>
    </xf>
    <xf numFmtId="1" fontId="14" fillId="2" borderId="0" xfId="0" applyNumberFormat="1" applyFont="1" applyFill="1" applyAlignment="1">
      <alignment horizontal="left" vertical="justify" wrapText="1"/>
    </xf>
    <xf numFmtId="0" fontId="22" fillId="2" borderId="12" xfId="0" applyFont="1" applyFill="1" applyBorder="1" applyAlignment="1">
      <alignment horizontal="distributed" vertical="justify"/>
    </xf>
    <xf numFmtId="0" fontId="22" fillId="2" borderId="53" xfId="0" applyFont="1" applyFill="1" applyBorder="1" applyAlignment="1">
      <alignment horizontal="distributed" vertical="justify"/>
    </xf>
    <xf numFmtId="165" fontId="15" fillId="4" borderId="87" xfId="33" applyNumberFormat="1" applyFont="1" applyFill="1" applyBorder="1" applyAlignment="1">
      <alignment horizontal="center" vertical="center"/>
    </xf>
    <xf numFmtId="165" fontId="15" fillId="4" borderId="88" xfId="33" applyNumberFormat="1" applyFont="1" applyFill="1" applyBorder="1" applyAlignment="1">
      <alignment horizontal="center" vertical="center"/>
    </xf>
    <xf numFmtId="0" fontId="15" fillId="4" borderId="22" xfId="33" applyFont="1" applyFill="1" applyBorder="1" applyAlignment="1">
      <alignment horizontal="center" vertical="center" wrapText="1"/>
    </xf>
    <xf numFmtId="0" fontId="15" fillId="4" borderId="11" xfId="33" applyFont="1" applyFill="1" applyBorder="1" applyAlignment="1">
      <alignment horizontal="center" vertical="center" wrapText="1"/>
    </xf>
    <xf numFmtId="0" fontId="14" fillId="4" borderId="0" xfId="33" applyFont="1" applyFill="1" applyAlignment="1">
      <alignment horizontal="left" vertical="center"/>
    </xf>
    <xf numFmtId="0" fontId="14" fillId="4" borderId="0" xfId="33" applyFont="1" applyFill="1" applyAlignment="1">
      <alignment horizontal="left" vertical="justify" wrapText="1"/>
    </xf>
    <xf numFmtId="0" fontId="15" fillId="4" borderId="12" xfId="0" applyFont="1" applyFill="1" applyBorder="1" applyAlignment="1">
      <alignment horizontal="center" vertical="center"/>
    </xf>
    <xf numFmtId="0" fontId="15" fillId="4" borderId="0" xfId="0" applyFont="1" applyFill="1" applyAlignment="1">
      <alignment horizontal="center" vertical="center"/>
    </xf>
    <xf numFmtId="0" fontId="15" fillId="4" borderId="11" xfId="0" applyFont="1" applyFill="1" applyBorder="1" applyAlignment="1">
      <alignment horizontal="center" vertical="center" wrapText="1"/>
    </xf>
    <xf numFmtId="0" fontId="15" fillId="4" borderId="22" xfId="0" applyFont="1" applyFill="1" applyBorder="1" applyAlignment="1">
      <alignment horizontal="center" vertical="center"/>
    </xf>
    <xf numFmtId="0" fontId="15" fillId="4" borderId="11" xfId="0" applyFont="1" applyFill="1" applyBorder="1" applyAlignment="1">
      <alignment horizontal="center" vertical="center"/>
    </xf>
    <xf numFmtId="0" fontId="15" fillId="4" borderId="19" xfId="16" applyFont="1" applyFill="1" applyBorder="1" applyAlignment="1">
      <alignment horizontal="center" vertical="center" wrapText="1"/>
    </xf>
    <xf numFmtId="0" fontId="15" fillId="4" borderId="13" xfId="16" applyFont="1" applyFill="1" applyBorder="1" applyAlignment="1">
      <alignment horizontal="center" vertical="center" wrapText="1"/>
    </xf>
    <xf numFmtId="0" fontId="15" fillId="4" borderId="22" xfId="16" applyFont="1" applyFill="1" applyBorder="1" applyAlignment="1">
      <alignment horizontal="center" vertical="center" wrapText="1"/>
    </xf>
    <xf numFmtId="0" fontId="15" fillId="4" borderId="11" xfId="16" applyFont="1" applyFill="1" applyBorder="1" applyAlignment="1">
      <alignment horizontal="center" vertical="center" wrapText="1"/>
    </xf>
    <xf numFmtId="0" fontId="14" fillId="4" borderId="0" xfId="10" applyFont="1" applyFill="1" applyAlignment="1">
      <alignment horizontal="left" vertical="center" wrapText="1"/>
    </xf>
    <xf numFmtId="0" fontId="21" fillId="4" borderId="12" xfId="10" applyFont="1" applyFill="1" applyBorder="1" applyAlignment="1">
      <alignment horizontal="distributed" vertical="justify" wrapText="1"/>
    </xf>
    <xf numFmtId="0" fontId="21" fillId="4" borderId="0" xfId="10" applyFont="1" applyFill="1" applyAlignment="1">
      <alignment horizontal="left" vertical="justify" wrapText="1"/>
    </xf>
    <xf numFmtId="0" fontId="14" fillId="4" borderId="0" xfId="0" applyFont="1" applyFill="1" applyAlignment="1">
      <alignment horizontal="left" vertical="center" indent="2"/>
    </xf>
    <xf numFmtId="0" fontId="15" fillId="4" borderId="10" xfId="0" applyFont="1" applyFill="1" applyBorder="1" applyAlignment="1">
      <alignment horizontal="right" vertical="center" wrapText="1"/>
    </xf>
    <xf numFmtId="0" fontId="15" fillId="4" borderId="12" xfId="12" applyFont="1" applyFill="1" applyBorder="1" applyAlignment="1">
      <alignment horizontal="center" vertical="center"/>
    </xf>
    <xf numFmtId="0" fontId="15" fillId="4" borderId="0" xfId="12" applyFont="1" applyFill="1" applyAlignment="1">
      <alignment horizontal="center" vertical="center"/>
    </xf>
    <xf numFmtId="0" fontId="15" fillId="4" borderId="12" xfId="0" applyFont="1" applyFill="1" applyBorder="1" applyAlignment="1">
      <alignment horizontal="center" vertical="center" wrapText="1"/>
    </xf>
    <xf numFmtId="0" fontId="15" fillId="4" borderId="10" xfId="0" applyFont="1" applyFill="1" applyBorder="1" applyAlignment="1">
      <alignment horizontal="center" vertical="center" wrapText="1"/>
    </xf>
    <xf numFmtId="3" fontId="22" fillId="4" borderId="53" xfId="16" applyNumberFormat="1" applyFont="1" applyFill="1" applyBorder="1" applyAlignment="1">
      <alignment horizontal="distributed" vertical="justify" wrapText="1"/>
    </xf>
    <xf numFmtId="0" fontId="14" fillId="2" borderId="0" xfId="0" applyFont="1" applyFill="1" applyAlignment="1">
      <alignment horizontal="left" vertical="center" wrapText="1"/>
    </xf>
    <xf numFmtId="0" fontId="15" fillId="4" borderId="11" xfId="0" applyFont="1" applyFill="1" applyBorder="1" applyAlignment="1">
      <alignment horizontal="right" vertical="center" wrapText="1"/>
    </xf>
    <xf numFmtId="0" fontId="15" fillId="4" borderId="53" xfId="13" applyFont="1" applyFill="1" applyBorder="1" applyAlignment="1">
      <alignment horizontal="center" vertical="center" wrapText="1"/>
    </xf>
    <xf numFmtId="0" fontId="15" fillId="4" borderId="22" xfId="0" applyFont="1" applyFill="1" applyBorder="1" applyAlignment="1">
      <alignment horizontal="right" vertical="center" wrapText="1"/>
    </xf>
    <xf numFmtId="0" fontId="7" fillId="4" borderId="22" xfId="0" applyFont="1" applyFill="1" applyBorder="1" applyAlignment="1">
      <alignment horizontal="right" vertical="center"/>
    </xf>
    <xf numFmtId="3" fontId="22" fillId="4" borderId="0" xfId="16" applyNumberFormat="1" applyFont="1" applyFill="1" applyAlignment="1">
      <alignment horizontal="distributed" vertical="justify"/>
    </xf>
    <xf numFmtId="0" fontId="38" fillId="0" borderId="0" xfId="0" applyFont="1" applyAlignment="1">
      <alignment horizontal="left" vertical="center" wrapText="1"/>
    </xf>
    <xf numFmtId="0" fontId="0" fillId="0" borderId="0" xfId="0" applyAlignment="1">
      <alignment horizontal="left" vertical="center"/>
    </xf>
    <xf numFmtId="0" fontId="15" fillId="4" borderId="89" xfId="0" applyFont="1" applyFill="1" applyBorder="1" applyAlignment="1">
      <alignment horizontal="right" vertical="center" wrapText="1"/>
    </xf>
    <xf numFmtId="0" fontId="14" fillId="0" borderId="0" xfId="10" applyFont="1" applyAlignment="1">
      <alignment horizontal="left" vertical="center"/>
    </xf>
    <xf numFmtId="3" fontId="22" fillId="4" borderId="12" xfId="16" applyNumberFormat="1" applyFont="1" applyFill="1" applyBorder="1" applyAlignment="1">
      <alignment horizontal="distributed" vertical="justify"/>
    </xf>
    <xf numFmtId="0" fontId="16" fillId="0" borderId="0" xfId="0" applyFont="1" applyAlignment="1">
      <alignment horizontal="left" vertical="center" wrapText="1"/>
    </xf>
    <xf numFmtId="3" fontId="22" fillId="4" borderId="0" xfId="16" applyNumberFormat="1" applyFont="1" applyFill="1" applyAlignment="1">
      <alignment horizontal="distributed" vertical="justify" wrapText="1"/>
    </xf>
    <xf numFmtId="0" fontId="14" fillId="0" borderId="0" xfId="0" applyFont="1" applyAlignment="1">
      <alignment horizontal="left" vertical="center" wrapText="1"/>
    </xf>
    <xf numFmtId="0" fontId="36" fillId="4" borderId="0" xfId="0" applyFont="1" applyFill="1" applyAlignment="1">
      <alignment horizontal="center" vertical="center"/>
    </xf>
    <xf numFmtId="0" fontId="15" fillId="4" borderId="25" xfId="0" applyFont="1" applyFill="1" applyBorder="1" applyAlignment="1">
      <alignment horizontal="center" vertical="center" wrapText="1"/>
    </xf>
    <xf numFmtId="0" fontId="15" fillId="2" borderId="9"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5" xfId="0" applyFont="1" applyFill="1" applyBorder="1" applyAlignment="1">
      <alignment horizontal="center" vertical="center"/>
    </xf>
    <xf numFmtId="0" fontId="15" fillId="4" borderId="54" xfId="0" applyFont="1" applyFill="1" applyBorder="1" applyAlignment="1">
      <alignment horizontal="center" vertical="center" wrapText="1"/>
    </xf>
    <xf numFmtId="0" fontId="79" fillId="0" borderId="0" xfId="0" applyFont="1" applyAlignment="1">
      <alignment horizontal="distributed" vertical="justify" wrapText="1"/>
    </xf>
    <xf numFmtId="196" fontId="21" fillId="0" borderId="53" xfId="10" applyNumberFormat="1" applyFont="1" applyBorder="1" applyAlignment="1">
      <alignment horizontal="right" vertical="center"/>
    </xf>
    <xf numFmtId="0" fontId="15" fillId="4" borderId="1" xfId="0" applyFont="1" applyFill="1" applyBorder="1" applyAlignment="1">
      <alignment horizontal="center" vertical="center"/>
    </xf>
    <xf numFmtId="0" fontId="14" fillId="2" borderId="0" xfId="0" applyFont="1" applyFill="1" applyAlignment="1">
      <alignment horizontal="left" wrapText="1"/>
    </xf>
    <xf numFmtId="0" fontId="15" fillId="4" borderId="36" xfId="0" applyFont="1" applyFill="1" applyBorder="1" applyAlignment="1">
      <alignment horizontal="center" vertical="center"/>
    </xf>
    <xf numFmtId="0" fontId="15" fillId="4" borderId="19" xfId="0" applyFont="1" applyFill="1" applyBorder="1" applyAlignment="1">
      <alignment horizontal="center" vertical="center"/>
    </xf>
    <xf numFmtId="0" fontId="15" fillId="4" borderId="13" xfId="0" applyFont="1" applyFill="1" applyBorder="1" applyAlignment="1">
      <alignment horizontal="center" vertical="center"/>
    </xf>
    <xf numFmtId="0" fontId="15" fillId="4" borderId="72" xfId="0" applyFont="1" applyFill="1" applyBorder="1" applyAlignment="1">
      <alignment horizontal="center" vertical="center"/>
    </xf>
    <xf numFmtId="0" fontId="15" fillId="4" borderId="54" xfId="0" applyFont="1" applyFill="1" applyBorder="1" applyAlignment="1">
      <alignment horizontal="center" vertical="center"/>
    </xf>
    <xf numFmtId="0" fontId="15" fillId="4" borderId="23" xfId="0" applyFont="1" applyFill="1" applyBorder="1" applyAlignment="1">
      <alignment horizontal="center" vertical="center"/>
    </xf>
    <xf numFmtId="0" fontId="22" fillId="4" borderId="0" xfId="0" quotePrefix="1" applyFont="1" applyFill="1" applyAlignment="1">
      <alignment horizontal="distributed" vertical="justify"/>
    </xf>
    <xf numFmtId="0" fontId="15" fillId="4" borderId="75" xfId="0" applyFont="1" applyFill="1" applyBorder="1" applyAlignment="1">
      <alignment horizontal="center" vertical="center"/>
    </xf>
    <xf numFmtId="0" fontId="15" fillId="4" borderId="19" xfId="0" applyFont="1" applyFill="1" applyBorder="1" applyAlignment="1">
      <alignment horizontal="center" vertical="center" wrapText="1"/>
    </xf>
    <xf numFmtId="0" fontId="15" fillId="4" borderId="13" xfId="0" applyFont="1" applyFill="1" applyBorder="1" applyAlignment="1">
      <alignment horizontal="center" vertical="center" wrapText="1"/>
    </xf>
    <xf numFmtId="0" fontId="15" fillId="4" borderId="38" xfId="0" applyFont="1" applyFill="1" applyBorder="1" applyAlignment="1">
      <alignment horizontal="center" vertical="center" wrapText="1"/>
    </xf>
    <xf numFmtId="0" fontId="15" fillId="4" borderId="39" xfId="0" applyFont="1" applyFill="1" applyBorder="1" applyAlignment="1">
      <alignment horizontal="center" vertical="center" wrapText="1"/>
    </xf>
    <xf numFmtId="0" fontId="15" fillId="4" borderId="69" xfId="0" applyFont="1" applyFill="1" applyBorder="1" applyAlignment="1">
      <alignment horizontal="center" vertical="center"/>
    </xf>
    <xf numFmtId="0" fontId="15" fillId="4" borderId="8" xfId="0" applyFont="1" applyFill="1" applyBorder="1" applyAlignment="1">
      <alignment horizontal="center" vertical="center"/>
    </xf>
    <xf numFmtId="0" fontId="15" fillId="4" borderId="3" xfId="0" applyFont="1" applyFill="1" applyBorder="1" applyAlignment="1">
      <alignment horizontal="center" vertical="center"/>
    </xf>
    <xf numFmtId="0" fontId="15" fillId="4" borderId="2" xfId="0" applyFont="1" applyFill="1" applyBorder="1" applyAlignment="1">
      <alignment horizontal="center" vertical="center"/>
    </xf>
    <xf numFmtId="0" fontId="15" fillId="4" borderId="8" xfId="0" applyFont="1" applyFill="1" applyBorder="1" applyAlignment="1">
      <alignment horizontal="left" vertical="center"/>
    </xf>
    <xf numFmtId="0" fontId="15" fillId="4" borderId="3" xfId="0" applyFont="1" applyFill="1" applyBorder="1" applyAlignment="1">
      <alignment horizontal="left" vertical="center"/>
    </xf>
    <xf numFmtId="0" fontId="15" fillId="4" borderId="20" xfId="0" applyFont="1" applyFill="1" applyBorder="1" applyAlignment="1">
      <alignment horizontal="center" vertical="center"/>
    </xf>
    <xf numFmtId="0" fontId="15" fillId="4" borderId="19" xfId="0" applyFont="1" applyFill="1" applyBorder="1" applyAlignment="1">
      <alignment horizontal="left" vertical="center"/>
    </xf>
    <xf numFmtId="0" fontId="15" fillId="4" borderId="13" xfId="0" applyFont="1" applyFill="1" applyBorder="1" applyAlignment="1">
      <alignment horizontal="left" vertical="center"/>
    </xf>
    <xf numFmtId="0" fontId="15" fillId="4" borderId="25" xfId="0" applyFont="1" applyFill="1" applyBorder="1" applyAlignment="1">
      <alignment horizontal="center" vertical="center"/>
    </xf>
    <xf numFmtId="0" fontId="15" fillId="4" borderId="53" xfId="0" applyFont="1" applyFill="1" applyBorder="1" applyAlignment="1">
      <alignment horizontal="right" vertical="center"/>
    </xf>
    <xf numFmtId="0" fontId="15" fillId="4" borderId="42" xfId="0" applyFont="1" applyFill="1" applyBorder="1" applyAlignment="1">
      <alignment horizontal="right" vertical="center"/>
    </xf>
    <xf numFmtId="0" fontId="15" fillId="4" borderId="8"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38" fillId="4" borderId="1" xfId="0" applyFont="1" applyFill="1" applyBorder="1" applyAlignment="1">
      <alignment horizontal="left" vertical="center"/>
    </xf>
    <xf numFmtId="0" fontId="38" fillId="4" borderId="0" xfId="0" applyFont="1" applyFill="1" applyAlignment="1">
      <alignment horizontal="left" vertical="center"/>
    </xf>
    <xf numFmtId="183" fontId="15" fillId="4" borderId="11" xfId="0" applyNumberFormat="1" applyFont="1" applyFill="1" applyBorder="1" applyAlignment="1">
      <alignment horizontal="center" vertical="center"/>
    </xf>
    <xf numFmtId="183" fontId="15" fillId="4" borderId="12" xfId="0" applyNumberFormat="1" applyFont="1" applyFill="1" applyBorder="1" applyAlignment="1">
      <alignment horizontal="center" vertical="center"/>
    </xf>
    <xf numFmtId="0" fontId="14" fillId="4" borderId="0" xfId="0" quotePrefix="1" applyFont="1" applyFill="1" applyAlignment="1">
      <alignment horizontal="left" vertical="center" wrapText="1"/>
    </xf>
    <xf numFmtId="183" fontId="15" fillId="4" borderId="11" xfId="0" applyNumberFormat="1" applyFont="1" applyFill="1" applyBorder="1" applyAlignment="1">
      <alignment horizontal="center" vertical="center" wrapText="1"/>
    </xf>
    <xf numFmtId="183" fontId="15" fillId="4" borderId="11" xfId="0" applyNumberFormat="1" applyFont="1" applyFill="1" applyBorder="1" applyAlignment="1">
      <alignment horizontal="right" vertical="center"/>
    </xf>
    <xf numFmtId="183" fontId="15" fillId="4" borderId="22" xfId="0" applyNumberFormat="1" applyFont="1" applyFill="1" applyBorder="1" applyAlignment="1">
      <alignment horizontal="center" vertical="center"/>
    </xf>
    <xf numFmtId="183" fontId="15" fillId="4" borderId="19" xfId="0" applyNumberFormat="1" applyFont="1" applyFill="1" applyBorder="1" applyAlignment="1">
      <alignment horizontal="center" vertical="center"/>
    </xf>
    <xf numFmtId="183" fontId="15" fillId="4" borderId="13" xfId="0" applyNumberFormat="1" applyFont="1" applyFill="1" applyBorder="1" applyAlignment="1">
      <alignment horizontal="center" vertical="center"/>
    </xf>
    <xf numFmtId="183" fontId="15" fillId="4" borderId="0" xfId="0" applyNumberFormat="1" applyFont="1" applyFill="1" applyAlignment="1">
      <alignment horizontal="right" vertical="center" wrapText="1"/>
    </xf>
    <xf numFmtId="183" fontId="15" fillId="4" borderId="10" xfId="0" applyNumberFormat="1" applyFont="1" applyFill="1" applyBorder="1" applyAlignment="1">
      <alignment horizontal="right" vertical="center" wrapText="1"/>
    </xf>
    <xf numFmtId="183" fontId="15" fillId="4" borderId="0" xfId="0" applyNumberFormat="1" applyFont="1" applyFill="1" applyAlignment="1">
      <alignment horizontal="right" vertical="center"/>
    </xf>
    <xf numFmtId="183" fontId="15" fillId="4" borderId="10" xfId="0" applyNumberFormat="1" applyFont="1" applyFill="1" applyBorder="1" applyAlignment="1">
      <alignment horizontal="right" vertical="center"/>
    </xf>
    <xf numFmtId="183" fontId="15" fillId="4" borderId="0" xfId="0" applyNumberFormat="1" applyFont="1" applyFill="1" applyAlignment="1">
      <alignment horizontal="center" vertical="center" wrapText="1"/>
    </xf>
    <xf numFmtId="183" fontId="15" fillId="4" borderId="10" xfId="0" applyNumberFormat="1" applyFont="1" applyFill="1" applyBorder="1" applyAlignment="1">
      <alignment horizontal="center" vertical="center" wrapText="1"/>
    </xf>
    <xf numFmtId="183" fontId="15" fillId="4" borderId="30" xfId="0" applyNumberFormat="1" applyFont="1" applyFill="1" applyBorder="1" applyAlignment="1">
      <alignment horizontal="center" vertical="center" wrapText="1"/>
    </xf>
    <xf numFmtId="183" fontId="15" fillId="4" borderId="24" xfId="0" applyNumberFormat="1" applyFont="1" applyFill="1" applyBorder="1" applyAlignment="1">
      <alignment horizontal="center" vertical="center" wrapText="1"/>
    </xf>
    <xf numFmtId="183" fontId="15" fillId="4" borderId="23" xfId="0" applyNumberFormat="1" applyFont="1" applyFill="1" applyBorder="1" applyAlignment="1">
      <alignment horizontal="center" vertical="center"/>
    </xf>
    <xf numFmtId="183" fontId="15" fillId="4" borderId="0" xfId="0" applyNumberFormat="1" applyFont="1" applyFill="1" applyAlignment="1">
      <alignment horizontal="center" vertical="center"/>
    </xf>
    <xf numFmtId="183" fontId="15" fillId="4" borderId="10" xfId="0" applyNumberFormat="1" applyFont="1" applyFill="1" applyBorder="1" applyAlignment="1">
      <alignment horizontal="center" vertical="center"/>
    </xf>
    <xf numFmtId="0" fontId="16" fillId="4" borderId="0" xfId="0" applyFont="1" applyFill="1" applyAlignment="1">
      <alignment horizontal="center" vertical="center"/>
    </xf>
    <xf numFmtId="0" fontId="14" fillId="4" borderId="0" xfId="0" applyFont="1" applyFill="1" applyAlignment="1">
      <alignment horizontal="left" vertical="top"/>
    </xf>
    <xf numFmtId="9" fontId="15" fillId="0" borderId="19" xfId="1" applyFont="1" applyFill="1" applyBorder="1" applyAlignment="1" applyProtection="1">
      <alignment horizontal="center" vertical="center"/>
    </xf>
    <xf numFmtId="9" fontId="15" fillId="0" borderId="13" xfId="1" applyFont="1" applyFill="1" applyBorder="1" applyAlignment="1" applyProtection="1">
      <alignment horizontal="center" vertical="center"/>
    </xf>
    <xf numFmtId="9" fontId="15" fillId="4" borderId="11" xfId="1" applyFont="1" applyFill="1" applyBorder="1" applyAlignment="1" applyProtection="1">
      <alignment horizontal="center" vertical="center"/>
    </xf>
    <xf numFmtId="0" fontId="28" fillId="2" borderId="0" xfId="0" applyFont="1" applyFill="1" applyAlignment="1">
      <alignment wrapText="1"/>
    </xf>
    <xf numFmtId="0" fontId="31" fillId="2" borderId="0" xfId="0" applyFont="1" applyFill="1" applyAlignment="1">
      <alignment horizontal="center" vertical="center"/>
    </xf>
    <xf numFmtId="0" fontId="14" fillId="0" borderId="0" xfId="0" applyFont="1" applyAlignment="1">
      <alignment horizontal="left" vertical="top"/>
    </xf>
    <xf numFmtId="183" fontId="15" fillId="4" borderId="23" xfId="0" applyNumberFormat="1" applyFont="1" applyFill="1" applyBorder="1" applyAlignment="1">
      <alignment horizontal="center" vertical="center" wrapText="1"/>
    </xf>
    <xf numFmtId="183" fontId="15" fillId="4" borderId="12" xfId="0" applyNumberFormat="1" applyFont="1" applyFill="1" applyBorder="1" applyAlignment="1">
      <alignment horizontal="center" vertical="center" wrapText="1"/>
    </xf>
    <xf numFmtId="183" fontId="15" fillId="4" borderId="22" xfId="0" applyNumberFormat="1" applyFont="1" applyFill="1" applyBorder="1" applyAlignment="1">
      <alignment horizontal="center" vertical="center" wrapText="1"/>
    </xf>
    <xf numFmtId="183" fontId="15" fillId="4" borderId="11" xfId="0" applyNumberFormat="1" applyFont="1" applyFill="1" applyBorder="1" applyAlignment="1">
      <alignment horizontal="right" vertical="center" wrapText="1"/>
    </xf>
    <xf numFmtId="0" fontId="5" fillId="4" borderId="0" xfId="0" applyFont="1" applyFill="1" applyAlignment="1">
      <alignment horizontal="left" vertical="top"/>
    </xf>
    <xf numFmtId="0" fontId="83" fillId="0" borderId="0" xfId="0" applyFont="1"/>
    <xf numFmtId="0" fontId="16" fillId="4" borderId="0" xfId="0" applyFont="1" applyFill="1" applyBorder="1" applyAlignment="1">
      <alignment vertical="center"/>
    </xf>
  </cellXfs>
  <cellStyles count="34">
    <cellStyle name="Hipervínculo" xfId="21" builtinId="8"/>
    <cellStyle name="Normal" xfId="0" builtinId="0"/>
    <cellStyle name="Normal 10 4" xfId="10"/>
    <cellStyle name="Normal 10 8" xfId="19"/>
    <cellStyle name="Normal 10 8 2" xfId="24"/>
    <cellStyle name="Normal 10 8 2 2" xfId="31"/>
    <cellStyle name="Normal 10 8 3" xfId="28"/>
    <cellStyle name="Normal 12 2" xfId="15"/>
    <cellStyle name="Normal 13 2" xfId="12"/>
    <cellStyle name="Normal 2" xfId="7"/>
    <cellStyle name="Normal 2 17" xfId="9"/>
    <cellStyle name="Normal 2 17 2" xfId="22"/>
    <cellStyle name="Normal 2 17 2 2" xfId="29"/>
    <cellStyle name="Normal 2 17 3" xfId="26"/>
    <cellStyle name="Normal 2 2 5" xfId="13"/>
    <cellStyle name="Normal 3" xfId="25"/>
    <cellStyle name="Normal 4" xfId="33"/>
    <cellStyle name="Normal 4 2 2" xfId="32"/>
    <cellStyle name="Normal 4 2 2 2 3" xfId="16"/>
    <cellStyle name="Normal 7 4 2 2 4" xfId="18"/>
    <cellStyle name="Normal 7 4 2 2 4 2" xfId="23"/>
    <cellStyle name="Normal 7 4 2 2 4 2 2" xfId="30"/>
    <cellStyle name="Normal 7 4 2 2 4 3" xfId="27"/>
    <cellStyle name="Normal_03.Indicadores FGT de pobreza (4 criterios)" xfId="20"/>
    <cellStyle name="Normal_06 superficie agrícola" xfId="11"/>
    <cellStyle name="Normal_C10-124" xfId="4"/>
    <cellStyle name="Normal_C10-15" xfId="14"/>
    <cellStyle name="Normal_C10-44" xfId="5"/>
    <cellStyle name="Normal_C10-45" xfId="6"/>
    <cellStyle name="Normal_C10-84" xfId="2"/>
    <cellStyle name="Normal_C10-85" xfId="3"/>
    <cellStyle name="Normal_C10-86" xfId="8"/>
    <cellStyle name="Normal_SERIE DELITOS 95-2002" xfId="17"/>
    <cellStyle name="Porcentaje" xfId="1" builtinId="5"/>
  </cellStyles>
  <dxfs count="0"/>
  <tableStyles count="0" defaultTableStyle="TableStyleMedium9" defaultPivotStyle="PivotStyleLight16"/>
  <colors>
    <mruColors>
      <color rgb="FF3333FF"/>
      <color rgb="FF33CCCC"/>
      <color rgb="FF66FFCC"/>
      <color rgb="FF00FFFF"/>
      <color rgb="FF66FFFF"/>
      <color rgb="FF3399FF"/>
      <color rgb="FF0066FF"/>
      <color rgb="FF99FF66"/>
      <color rgb="FFFF3399"/>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Narrow" pitchFamily="34" charset="0"/>
              </a:defRPr>
            </a:pPr>
            <a:r>
              <a:rPr lang="es-PE" sz="900">
                <a:latin typeface="Arial Narrow" pitchFamily="34" charset="0"/>
              </a:rPr>
              <a:t>PUNO: DETENIDOS POR DELITOS Y FALTAS REGISTRADAS EN LA POLICIA</a:t>
            </a:r>
            <a:r>
              <a:rPr lang="es-PE" sz="900" baseline="0">
                <a:latin typeface="Arial Narrow" pitchFamily="34" charset="0"/>
              </a:rPr>
              <a:t> </a:t>
            </a:r>
            <a:r>
              <a:rPr lang="es-PE" sz="900">
                <a:latin typeface="Arial Narrow" pitchFamily="34" charset="0"/>
              </a:rPr>
              <a:t>NACIONAL,</a:t>
            </a:r>
          </a:p>
          <a:p>
            <a:pPr>
              <a:defRPr sz="900">
                <a:latin typeface="Arial Narrow" pitchFamily="34" charset="0"/>
              </a:defRPr>
            </a:pPr>
            <a:r>
              <a:rPr lang="es-PE" sz="900">
                <a:latin typeface="Arial Narrow" pitchFamily="34" charset="0"/>
              </a:rPr>
              <a:t>2009 - 2023</a:t>
            </a:r>
          </a:p>
        </c:rich>
      </c:tx>
      <c:layout>
        <c:manualLayout>
          <c:xMode val="edge"/>
          <c:yMode val="edge"/>
          <c:x val="0.10893690619648401"/>
          <c:y val="1.4688233351700553E-2"/>
        </c:manualLayout>
      </c:layout>
      <c:overlay val="0"/>
    </c:title>
    <c:autoTitleDeleted val="0"/>
    <c:view3D>
      <c:rotX val="15"/>
      <c:rotY val="20"/>
      <c:rAngAx val="1"/>
    </c:view3D>
    <c:floor>
      <c:thickness val="0"/>
    </c:floor>
    <c:sideWall>
      <c:thickness val="0"/>
    </c:sideWall>
    <c:backWall>
      <c:thickness val="0"/>
    </c:backWall>
    <c:plotArea>
      <c:layout>
        <c:manualLayout>
          <c:layoutTarget val="inner"/>
          <c:xMode val="edge"/>
          <c:yMode val="edge"/>
          <c:x val="3.5313749355814328E-2"/>
          <c:y val="0.12361460230535763"/>
          <c:w val="0.92659390920735873"/>
          <c:h val="0.74094187332420636"/>
        </c:manualLayout>
      </c:layout>
      <c:bar3DChart>
        <c:barDir val="col"/>
        <c:grouping val="clustered"/>
        <c:varyColors val="0"/>
        <c:ser>
          <c:idx val="0"/>
          <c:order val="0"/>
          <c:tx>
            <c:strRef>
              <c:f>'8.2'!$B$3</c:f>
              <c:strCache>
                <c:ptCount val="1"/>
                <c:pt idx="0">
                  <c:v>Detenidos por Delitos</c:v>
                </c:pt>
              </c:strCache>
            </c:strRef>
          </c:tx>
          <c:invertIfNegative val="0"/>
          <c:dLbls>
            <c:dLbl>
              <c:idx val="1"/>
              <c:layout>
                <c:manualLayout>
                  <c:x val="1.2403100775193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F73-4515-92A2-FAB3586D9A28}"/>
                </c:ext>
                <c:ext xmlns:c15="http://schemas.microsoft.com/office/drawing/2012/chart" uri="{CE6537A1-D6FC-4f65-9D91-7224C49458BB}">
                  <c15:layout/>
                </c:ext>
              </c:extLst>
            </c:dLbl>
            <c:dLbl>
              <c:idx val="2"/>
              <c:layout>
                <c:manualLayout>
                  <c:x val="1.2403100775193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F73-4515-92A2-FAB3586D9A28}"/>
                </c:ext>
                <c:ext xmlns:c15="http://schemas.microsoft.com/office/drawing/2012/chart" uri="{CE6537A1-D6FC-4f65-9D91-7224C49458BB}">
                  <c15:layout/>
                </c:ext>
              </c:extLst>
            </c:dLbl>
            <c:dLbl>
              <c:idx val="3"/>
              <c:layout>
                <c:manualLayout>
                  <c:x val="9.302325581395307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F73-4515-92A2-FAB3586D9A28}"/>
                </c:ext>
                <c:ext xmlns:c15="http://schemas.microsoft.com/office/drawing/2012/chart" uri="{CE6537A1-D6FC-4f65-9D91-7224C49458BB}">
                  <c15:layout/>
                </c:ext>
              </c:extLst>
            </c:dLbl>
            <c:dLbl>
              <c:idx val="4"/>
              <c:layout>
                <c:manualLayout>
                  <c:x val="9.30232558139535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F73-4515-92A2-FAB3586D9A28}"/>
                </c:ext>
                <c:ext xmlns:c15="http://schemas.microsoft.com/office/drawing/2012/chart" uri="{CE6537A1-D6FC-4f65-9D91-7224C49458BB}">
                  <c15:layout/>
                </c:ext>
              </c:extLst>
            </c:dLbl>
            <c:dLbl>
              <c:idx val="5"/>
              <c:layout>
                <c:manualLayout>
                  <c:x val="6.201550387596903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5F73-4515-92A2-FAB3586D9A28}"/>
                </c:ext>
                <c:ext xmlns:c15="http://schemas.microsoft.com/office/drawing/2012/chart" uri="{CE6537A1-D6FC-4f65-9D91-7224C49458BB}">
                  <c15:layout/>
                </c:ext>
              </c:extLst>
            </c:dLbl>
            <c:dLbl>
              <c:idx val="6"/>
              <c:layout>
                <c:manualLayout>
                  <c:x val="6.2015503875969035E-3"/>
                  <c:y val="-3.6231884057971067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F73-4515-92A2-FAB3586D9A28}"/>
                </c:ext>
                <c:ext xmlns:c15="http://schemas.microsoft.com/office/drawing/2012/chart" uri="{CE6537A1-D6FC-4f65-9D91-7224C49458BB}">
                  <c15:layout/>
                </c:ext>
              </c:extLst>
            </c:dLbl>
            <c:dLbl>
              <c:idx val="7"/>
              <c:layout>
                <c:manualLayout>
                  <c:x val="6.201550387596903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F73-4515-92A2-FAB3586D9A28}"/>
                </c:ext>
                <c:ext xmlns:c15="http://schemas.microsoft.com/office/drawing/2012/chart" uri="{CE6537A1-D6FC-4f65-9D91-7224C49458BB}">
                  <c15:layout/>
                </c:ext>
              </c:extLst>
            </c:dLbl>
            <c:dLbl>
              <c:idx val="8"/>
              <c:layout>
                <c:manualLayout>
                  <c:x val="9.30232558139535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F73-4515-92A2-FAB3586D9A28}"/>
                </c:ext>
                <c:ext xmlns:c15="http://schemas.microsoft.com/office/drawing/2012/chart" uri="{CE6537A1-D6FC-4f65-9D91-7224C49458BB}">
                  <c15:layout/>
                </c:ext>
              </c:extLst>
            </c:dLbl>
            <c:spPr>
              <a:noFill/>
              <a:ln>
                <a:noFill/>
              </a:ln>
              <a:effectLst/>
            </c:spPr>
            <c:txPr>
              <a:bodyPr/>
              <a:lstStyle/>
              <a:p>
                <a:pPr>
                  <a:defRPr sz="700" baseline="0">
                    <a:latin typeface="Arial Narrow" pitchFamily="34" charset="0"/>
                  </a:defRPr>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'8.2'!$A$23:$A$37</c:f>
              <c:numCache>
                <c:formatCode>General</c:formatCod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numCache>
            </c:numRef>
          </c:cat>
          <c:val>
            <c:numRef>
              <c:f>'8.2'!$B$23:$B$37</c:f>
              <c:numCache>
                <c:formatCode>#\ ##0"                        "</c:formatCode>
                <c:ptCount val="15"/>
                <c:pt idx="0">
                  <c:v>465</c:v>
                </c:pt>
                <c:pt idx="1">
                  <c:v>378</c:v>
                </c:pt>
                <c:pt idx="2">
                  <c:v>594</c:v>
                </c:pt>
                <c:pt idx="3">
                  <c:v>646</c:v>
                </c:pt>
                <c:pt idx="4">
                  <c:v>579</c:v>
                </c:pt>
                <c:pt idx="5">
                  <c:v>508</c:v>
                </c:pt>
                <c:pt idx="6">
                  <c:v>1080</c:v>
                </c:pt>
                <c:pt idx="7">
                  <c:v>1739</c:v>
                </c:pt>
                <c:pt idx="8">
                  <c:v>2558</c:v>
                </c:pt>
                <c:pt idx="9">
                  <c:v>2281</c:v>
                </c:pt>
                <c:pt idx="10">
                  <c:v>3528</c:v>
                </c:pt>
                <c:pt idx="11">
                  <c:v>2815</c:v>
                </c:pt>
                <c:pt idx="12">
                  <c:v>2505</c:v>
                </c:pt>
                <c:pt idx="13">
                  <c:v>4324</c:v>
                </c:pt>
                <c:pt idx="14">
                  <c:v>4371</c:v>
                </c:pt>
              </c:numCache>
            </c:numRef>
          </c:val>
          <c:extLst xmlns:c16r2="http://schemas.microsoft.com/office/drawing/2015/06/chart">
            <c:ext xmlns:c16="http://schemas.microsoft.com/office/drawing/2014/chart" uri="{C3380CC4-5D6E-409C-BE32-E72D297353CC}">
              <c16:uniqueId val="{00000008-5F73-4515-92A2-FAB3586D9A28}"/>
            </c:ext>
          </c:extLst>
        </c:ser>
        <c:ser>
          <c:idx val="1"/>
          <c:order val="1"/>
          <c:tx>
            <c:strRef>
              <c:f>'8.2'!$C$43</c:f>
              <c:strCache>
                <c:ptCount val="1"/>
                <c:pt idx="0">
                  <c:v>Faltas</c:v>
                </c:pt>
              </c:strCache>
            </c:strRef>
          </c:tx>
          <c:spPr>
            <a:solidFill>
              <a:srgbClr val="FFC000"/>
            </a:solidFill>
          </c:spPr>
          <c:invertIfNegative val="0"/>
          <c:dLbls>
            <c:dLbl>
              <c:idx val="3"/>
              <c:layout>
                <c:manualLayout>
                  <c:x val="9.3024319672459395E-3"/>
                  <c:y val="3.3196977432800347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F73-4515-92A2-FAB3586D9A28}"/>
                </c:ext>
                <c:ext xmlns:c15="http://schemas.microsoft.com/office/drawing/2012/chart" uri="{CE6537A1-D6FC-4f65-9D91-7224C49458BB}">
                  <c15:layout/>
                </c:ext>
              </c:extLst>
            </c:dLbl>
            <c:dLbl>
              <c:idx val="9"/>
              <c:layout>
                <c:manualLayout>
                  <c:x val="9.3133067904088949E-3"/>
                  <c:y val="-4.22324119462524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0A0-424F-9B64-DE415F190D10}"/>
                </c:ext>
                <c:ext xmlns:c15="http://schemas.microsoft.com/office/drawing/2012/chart" uri="{CE6537A1-D6FC-4f65-9D91-7224C49458BB}">
                  <c15:layout/>
                </c:ext>
              </c:extLst>
            </c:dLbl>
            <c:dLbl>
              <c:idx val="10"/>
              <c:layout>
                <c:manualLayout>
                  <c:x val="9.3133067904089799E-3"/>
                  <c:y val="-7.7425194145679747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0A0-424F-9B64-DE415F190D10}"/>
                </c:ext>
                <c:ext xmlns:c15="http://schemas.microsoft.com/office/drawing/2012/chart" uri="{CE6537A1-D6FC-4f65-9D91-7224C49458BB}">
                  <c15:layout/>
                </c:ext>
              </c:extLst>
            </c:dLbl>
            <c:dLbl>
              <c:idx val="11"/>
              <c:layout>
                <c:manualLayout>
                  <c:x val="9.3133067904089799E-3"/>
                  <c:y val="4.22324119462524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0A0-424F-9B64-DE415F190D10}"/>
                </c:ext>
                <c:ext xmlns:c15="http://schemas.microsoft.com/office/drawing/2012/chart" uri="{CE6537A1-D6FC-4f65-9D91-7224C49458BB}">
                  <c15:layout/>
                </c:ext>
              </c:extLst>
            </c:dLbl>
            <c:spPr>
              <a:noFill/>
              <a:ln>
                <a:noFill/>
              </a:ln>
              <a:effectLst/>
            </c:spPr>
            <c:txPr>
              <a:bodyPr/>
              <a:lstStyle/>
              <a:p>
                <a:pPr>
                  <a:defRPr sz="700" baseline="0">
                    <a:latin typeface="Arial Narrow" pitchFamily="34" charset="0"/>
                  </a:defRPr>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'8.2'!$A$23:$A$37</c:f>
              <c:numCache>
                <c:formatCode>General</c:formatCod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numCache>
            </c:numRef>
          </c:cat>
          <c:val>
            <c:numRef>
              <c:f>'8.2'!$C$23:$C$37</c:f>
              <c:numCache>
                <c:formatCode>#\ ##0</c:formatCode>
                <c:ptCount val="15"/>
                <c:pt idx="0">
                  <c:v>4245</c:v>
                </c:pt>
                <c:pt idx="1">
                  <c:v>3719</c:v>
                </c:pt>
                <c:pt idx="2">
                  <c:v>3304</c:v>
                </c:pt>
                <c:pt idx="3">
                  <c:v>2951</c:v>
                </c:pt>
                <c:pt idx="4">
                  <c:v>3655</c:v>
                </c:pt>
                <c:pt idx="5">
                  <c:v>4558</c:v>
                </c:pt>
                <c:pt idx="6">
                  <c:v>4894</c:v>
                </c:pt>
                <c:pt idx="7">
                  <c:v>4521</c:v>
                </c:pt>
                <c:pt idx="8">
                  <c:v>5448</c:v>
                </c:pt>
                <c:pt idx="9">
                  <c:v>1548</c:v>
                </c:pt>
                <c:pt idx="10">
                  <c:v>1841</c:v>
                </c:pt>
                <c:pt idx="11">
                  <c:v>784</c:v>
                </c:pt>
                <c:pt idx="12">
                  <c:v>1097</c:v>
                </c:pt>
                <c:pt idx="13">
                  <c:v>0</c:v>
                </c:pt>
                <c:pt idx="14">
                  <c:v>0</c:v>
                </c:pt>
              </c:numCache>
            </c:numRef>
          </c:val>
          <c:extLst xmlns:c16r2="http://schemas.microsoft.com/office/drawing/2015/06/chart">
            <c:ext xmlns:c16="http://schemas.microsoft.com/office/drawing/2014/chart" uri="{C3380CC4-5D6E-409C-BE32-E72D297353CC}">
              <c16:uniqueId val="{0000000A-5F73-4515-92A2-FAB3586D9A28}"/>
            </c:ext>
          </c:extLst>
        </c:ser>
        <c:dLbls>
          <c:showLegendKey val="0"/>
          <c:showVal val="0"/>
          <c:showCatName val="0"/>
          <c:showSerName val="0"/>
          <c:showPercent val="0"/>
          <c:showBubbleSize val="0"/>
        </c:dLbls>
        <c:gapWidth val="4"/>
        <c:gapDepth val="0"/>
        <c:shape val="box"/>
        <c:axId val="-1592099824"/>
        <c:axId val="-1592103088"/>
        <c:axId val="0"/>
      </c:bar3DChart>
      <c:catAx>
        <c:axId val="-1592099824"/>
        <c:scaling>
          <c:orientation val="minMax"/>
        </c:scaling>
        <c:delete val="0"/>
        <c:axPos val="b"/>
        <c:title>
          <c:tx>
            <c:rich>
              <a:bodyPr/>
              <a:lstStyle/>
              <a:p>
                <a:pPr>
                  <a:defRPr sz="800">
                    <a:latin typeface="Arial Narrow" pitchFamily="34" charset="0"/>
                  </a:defRPr>
                </a:pPr>
                <a:r>
                  <a:rPr lang="es-PE" sz="700">
                    <a:latin typeface="Arial Narrow" pitchFamily="34" charset="0"/>
                  </a:rPr>
                  <a:t>Fuente: Compendio Estadístico Sector Interior 2023</a:t>
                </a:r>
              </a:p>
            </c:rich>
          </c:tx>
          <c:layout>
            <c:manualLayout>
              <c:xMode val="edge"/>
              <c:yMode val="edge"/>
              <c:x val="4.3668745843686844E-2"/>
              <c:y val="0.94740980320437307"/>
            </c:manualLayout>
          </c:layout>
          <c:overlay val="0"/>
        </c:title>
        <c:numFmt formatCode="General" sourceLinked="1"/>
        <c:majorTickMark val="out"/>
        <c:minorTickMark val="none"/>
        <c:tickLblPos val="nextTo"/>
        <c:txPr>
          <a:bodyPr/>
          <a:lstStyle/>
          <a:p>
            <a:pPr>
              <a:defRPr sz="800" b="1">
                <a:latin typeface="Arial Narrow" pitchFamily="34" charset="0"/>
              </a:defRPr>
            </a:pPr>
            <a:endParaRPr lang="es-PE"/>
          </a:p>
        </c:txPr>
        <c:crossAx val="-1592103088"/>
        <c:crosses val="autoZero"/>
        <c:auto val="1"/>
        <c:lblAlgn val="ctr"/>
        <c:lblOffset val="100"/>
        <c:noMultiLvlLbl val="0"/>
      </c:catAx>
      <c:valAx>
        <c:axId val="-1592103088"/>
        <c:scaling>
          <c:orientation val="minMax"/>
        </c:scaling>
        <c:delete val="1"/>
        <c:axPos val="l"/>
        <c:numFmt formatCode="#\ ##0&quot;                        &quot;" sourceLinked="1"/>
        <c:majorTickMark val="out"/>
        <c:minorTickMark val="none"/>
        <c:tickLblPos val="nextTo"/>
        <c:crossAx val="-1592099824"/>
        <c:crosses val="autoZero"/>
        <c:crossBetween val="between"/>
      </c:valAx>
      <c:spPr>
        <a:ln>
          <a:noFill/>
        </a:ln>
      </c:spPr>
    </c:plotArea>
    <c:legend>
      <c:legendPos val="r"/>
      <c:layout>
        <c:manualLayout>
          <c:xMode val="edge"/>
          <c:yMode val="edge"/>
          <c:x val="0.78393274912499833"/>
          <c:y val="0.14888222111893279"/>
          <c:w val="0.1764856970157635"/>
          <c:h val="0.12643852074825193"/>
        </c:manualLayout>
      </c:layout>
      <c:overlay val="0"/>
      <c:txPr>
        <a:bodyPr/>
        <a:lstStyle/>
        <a:p>
          <a:pPr>
            <a:defRPr sz="800">
              <a:latin typeface="Arial Narrow" pitchFamily="34" charset="0"/>
            </a:defRPr>
          </a:pPr>
          <a:endParaRPr lang="es-PE"/>
        </a:p>
      </c:txPr>
    </c:legend>
    <c:plotVisOnly val="1"/>
    <c:dispBlanksAs val="gap"/>
    <c:showDLblsOverMax val="0"/>
  </c:chart>
  <c:spPr>
    <a:ln w="19050">
      <a:solidFill>
        <a:schemeClr val="bg1"/>
      </a:solidFill>
    </a:ln>
  </c:spPr>
  <c:printSettings>
    <c:headerFooter/>
    <c:pageMargins b="1" l="1" r="1"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Narrow" panose="020B0606020202030204" pitchFamily="34" charset="0"/>
              </a:defRPr>
            </a:pPr>
            <a:r>
              <a:rPr lang="en-US" sz="900">
                <a:latin typeface="Arial Narrow" panose="020B0606020202030204" pitchFamily="34" charset="0"/>
              </a:rPr>
              <a:t>PUNO: INTERVENCIONES POR DELITOS REGISTRADOS EN LA POLICIA NACIONAL</a:t>
            </a:r>
            <a:r>
              <a:rPr lang="en-US" sz="900" baseline="0">
                <a:latin typeface="Arial Narrow" panose="020B0606020202030204" pitchFamily="34" charset="0"/>
              </a:rPr>
              <a:t> EN EL DEPARTAMENTO, 2009 - 2023</a:t>
            </a:r>
            <a:endParaRPr lang="en-US" sz="900">
              <a:latin typeface="Arial Narrow" panose="020B0606020202030204" pitchFamily="34" charset="0"/>
            </a:endParaRPr>
          </a:p>
        </c:rich>
      </c:tx>
      <c:layout>
        <c:manualLayout>
          <c:xMode val="edge"/>
          <c:yMode val="edge"/>
          <c:x val="0.13540160921678229"/>
          <c:y val="1.5815352821703373E-2"/>
        </c:manualLayout>
      </c:layout>
      <c:overlay val="0"/>
    </c:title>
    <c:autoTitleDeleted val="0"/>
    <c:view3D>
      <c:rotX val="15"/>
      <c:rotY val="20"/>
      <c:rAngAx val="1"/>
    </c:view3D>
    <c:floor>
      <c:thickness val="0"/>
      <c:spPr>
        <a:solidFill>
          <a:srgbClr val="FFFF00"/>
        </a:solidFill>
      </c:spPr>
    </c:floor>
    <c:sideWall>
      <c:thickness val="0"/>
      <c:spPr>
        <a:ln>
          <a:noFill/>
        </a:ln>
      </c:spPr>
    </c:sideWall>
    <c:backWall>
      <c:thickness val="0"/>
      <c:spPr>
        <a:ln>
          <a:noFill/>
        </a:ln>
      </c:spPr>
    </c:backWall>
    <c:plotArea>
      <c:layout>
        <c:manualLayout>
          <c:layoutTarget val="inner"/>
          <c:xMode val="edge"/>
          <c:yMode val="edge"/>
          <c:x val="2.4115552007259624E-3"/>
          <c:y val="0.10102846229009065"/>
          <c:w val="0.99758838684067275"/>
          <c:h val="0.74171035390647888"/>
        </c:manualLayout>
      </c:layout>
      <c:bar3DChart>
        <c:barDir val="col"/>
        <c:grouping val="clustered"/>
        <c:varyColors val="0"/>
        <c:ser>
          <c:idx val="0"/>
          <c:order val="0"/>
          <c:tx>
            <c:strRef>
              <c:f>'8.3'!$A$25:$A$39</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tx>
          <c:spPr>
            <a:gradFill flip="none" rotWithShape="1">
              <a:gsLst>
                <a:gs pos="0">
                  <a:schemeClr val="bg2">
                    <a:lumMod val="50000"/>
                    <a:shade val="30000"/>
                    <a:satMod val="115000"/>
                  </a:schemeClr>
                </a:gs>
                <a:gs pos="50000">
                  <a:schemeClr val="bg2">
                    <a:lumMod val="50000"/>
                    <a:shade val="67500"/>
                    <a:satMod val="115000"/>
                  </a:schemeClr>
                </a:gs>
                <a:gs pos="100000">
                  <a:schemeClr val="bg2">
                    <a:lumMod val="50000"/>
                    <a:shade val="100000"/>
                    <a:satMod val="115000"/>
                  </a:schemeClr>
                </a:gs>
              </a:gsLst>
              <a:path path="circle">
                <a:fillToRect l="50000" t="50000" r="50000" b="50000"/>
              </a:path>
              <a:tileRect/>
            </a:gradFill>
          </c:spPr>
          <c:invertIfNegative val="0"/>
          <c:dLbls>
            <c:spPr>
              <a:noFill/>
              <a:ln>
                <a:noFill/>
              </a:ln>
              <a:effectLst/>
            </c:spPr>
            <c:txPr>
              <a:bodyPr/>
              <a:lstStyle/>
              <a:p>
                <a:pPr>
                  <a:defRPr sz="800" baseline="0">
                    <a:latin typeface="Arial Narrow" panose="020B0606020202030204" pitchFamily="34" charset="0"/>
                  </a:defRPr>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'8.3'!$A$25:$A$39</c:f>
              <c:numCache>
                <c:formatCode>General</c:formatCod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numCache>
            </c:numRef>
          </c:cat>
          <c:val>
            <c:numRef>
              <c:f>'8.3'!$C$25:$C$39</c:f>
              <c:numCache>
                <c:formatCode>#\ ##0</c:formatCode>
                <c:ptCount val="15"/>
                <c:pt idx="0">
                  <c:v>1442</c:v>
                </c:pt>
                <c:pt idx="1">
                  <c:v>1556</c:v>
                </c:pt>
                <c:pt idx="2">
                  <c:v>1630</c:v>
                </c:pt>
                <c:pt idx="3">
                  <c:v>1369</c:v>
                </c:pt>
                <c:pt idx="4">
                  <c:v>1712</c:v>
                </c:pt>
                <c:pt idx="5">
                  <c:v>2025</c:v>
                </c:pt>
                <c:pt idx="6">
                  <c:v>2706</c:v>
                </c:pt>
                <c:pt idx="7">
                  <c:v>2715</c:v>
                </c:pt>
                <c:pt idx="8">
                  <c:v>4206</c:v>
                </c:pt>
                <c:pt idx="9">
                  <c:v>5267</c:v>
                </c:pt>
                <c:pt idx="10">
                  <c:v>6385</c:v>
                </c:pt>
                <c:pt idx="11">
                  <c:v>5619</c:v>
                </c:pt>
                <c:pt idx="12">
                  <c:v>7091</c:v>
                </c:pt>
                <c:pt idx="13">
                  <c:v>7921</c:v>
                </c:pt>
                <c:pt idx="14">
                  <c:v>8185</c:v>
                </c:pt>
              </c:numCache>
            </c:numRef>
          </c:val>
          <c:extLst xmlns:c16r2="http://schemas.microsoft.com/office/drawing/2015/06/chart">
            <c:ext xmlns:c16="http://schemas.microsoft.com/office/drawing/2014/chart" uri="{C3380CC4-5D6E-409C-BE32-E72D297353CC}">
              <c16:uniqueId val="{00000000-DEB6-4609-B2F1-3047CF40DFE3}"/>
            </c:ext>
          </c:extLst>
        </c:ser>
        <c:dLbls>
          <c:showLegendKey val="0"/>
          <c:showVal val="0"/>
          <c:showCatName val="0"/>
          <c:showSerName val="0"/>
          <c:showPercent val="0"/>
          <c:showBubbleSize val="0"/>
        </c:dLbls>
        <c:gapWidth val="150"/>
        <c:shape val="box"/>
        <c:axId val="-1592102544"/>
        <c:axId val="-1592100912"/>
        <c:axId val="0"/>
      </c:bar3DChart>
      <c:catAx>
        <c:axId val="-1592102544"/>
        <c:scaling>
          <c:orientation val="minMax"/>
        </c:scaling>
        <c:delete val="0"/>
        <c:axPos val="b"/>
        <c:title>
          <c:tx>
            <c:rich>
              <a:bodyPr/>
              <a:lstStyle/>
              <a:p>
                <a:pPr>
                  <a:defRPr sz="700">
                    <a:latin typeface="Arial Narrow" panose="020B0606020202030204" pitchFamily="34" charset="0"/>
                  </a:defRPr>
                </a:pPr>
                <a:r>
                  <a:rPr lang="es-PE" sz="700">
                    <a:latin typeface="Arial Narrow" panose="020B0606020202030204" pitchFamily="34" charset="0"/>
                  </a:rPr>
                  <a:t>Fuente: Compendio Estadistico Sector Interior 2023.</a:t>
                </a:r>
              </a:p>
            </c:rich>
          </c:tx>
          <c:layout>
            <c:manualLayout>
              <c:xMode val="edge"/>
              <c:yMode val="edge"/>
              <c:x val="3.0094040935466027E-2"/>
              <c:y val="0.93565390390018421"/>
            </c:manualLayout>
          </c:layout>
          <c:overlay val="0"/>
        </c:title>
        <c:numFmt formatCode="General" sourceLinked="1"/>
        <c:majorTickMark val="out"/>
        <c:minorTickMark val="none"/>
        <c:tickLblPos val="nextTo"/>
        <c:txPr>
          <a:bodyPr/>
          <a:lstStyle/>
          <a:p>
            <a:pPr>
              <a:defRPr sz="800">
                <a:latin typeface="Arial Narrow" panose="020B0606020202030204" pitchFamily="34" charset="0"/>
              </a:defRPr>
            </a:pPr>
            <a:endParaRPr lang="es-PE"/>
          </a:p>
        </c:txPr>
        <c:crossAx val="-1592100912"/>
        <c:crosses val="autoZero"/>
        <c:auto val="1"/>
        <c:lblAlgn val="ctr"/>
        <c:lblOffset val="100"/>
        <c:noMultiLvlLbl val="0"/>
      </c:catAx>
      <c:valAx>
        <c:axId val="-1592100912"/>
        <c:scaling>
          <c:orientation val="minMax"/>
        </c:scaling>
        <c:delete val="1"/>
        <c:axPos val="l"/>
        <c:numFmt formatCode="#\ ##0" sourceLinked="1"/>
        <c:majorTickMark val="out"/>
        <c:minorTickMark val="none"/>
        <c:tickLblPos val="nextTo"/>
        <c:crossAx val="-1592102544"/>
        <c:crosses val="autoZero"/>
        <c:crossBetween val="between"/>
      </c:valAx>
      <c:spPr>
        <a:ln>
          <a:noFill/>
        </a:ln>
      </c:spPr>
    </c:plotArea>
    <c:plotVisOnly val="1"/>
    <c:dispBlanksAs val="gap"/>
    <c:showDLblsOverMax val="0"/>
  </c:chart>
  <c:spPr>
    <a:ln w="19050">
      <a:solidFill>
        <a:schemeClr val="bg1"/>
      </a:solidFill>
    </a:ln>
  </c:spPr>
  <c:printSettings>
    <c:headerFooter/>
    <c:pageMargins b="0.75000000000000022" l="0.70000000000000018" r="0.70000000000000018" t="0.75000000000000022" header="0.3000000000000001" footer="0.30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1" i="0" u="none" strike="noStrike" kern="1200" spc="0" baseline="0">
                <a:solidFill>
                  <a:schemeClr val="tx1">
                    <a:lumMod val="65000"/>
                    <a:lumOff val="35000"/>
                  </a:schemeClr>
                </a:solidFill>
                <a:latin typeface="Arial Narrow" panose="020B0606020202030204" pitchFamily="34" charset="0"/>
                <a:ea typeface="+mn-ea"/>
                <a:cs typeface="+mn-cs"/>
              </a:defRPr>
            </a:pPr>
            <a:r>
              <a:rPr lang="es-PE" sz="800" b="1">
                <a:latin typeface="Arial Narrow" panose="020B0606020202030204" pitchFamily="34" charset="0"/>
              </a:rPr>
              <a:t>PUNO: DETENIDOS POR TRÁFICO Y CONSUMO </a:t>
            </a:r>
            <a:r>
              <a:rPr lang="es-PE" sz="800" b="1" baseline="0">
                <a:latin typeface="Arial Narrow" panose="020B0606020202030204" pitchFamily="34" charset="0"/>
              </a:rPr>
              <a:t> ILICITO DE DROGA  REGISTRADO POR LA POLICIA NACIONAL, 2015</a:t>
            </a:r>
            <a:endParaRPr lang="es-PE" sz="800" b="1">
              <a:latin typeface="Arial Narrow" panose="020B0606020202030204" pitchFamily="34" charset="0"/>
            </a:endParaRPr>
          </a:p>
        </c:rich>
      </c:tx>
      <c:overlay val="0"/>
      <c:spPr>
        <a:noFill/>
        <a:ln>
          <a:noFill/>
        </a:ln>
        <a:effectLst/>
      </c:spPr>
      <c:txPr>
        <a:bodyPr rot="0" spcFirstLastPara="1" vertOverflow="ellipsis" vert="horz" wrap="square" anchor="ctr" anchorCtr="1"/>
        <a:lstStyle/>
        <a:p>
          <a:pPr>
            <a:defRPr sz="800" b="1" i="0" u="none" strike="noStrike" kern="1200" spc="0" baseline="0">
              <a:solidFill>
                <a:schemeClr val="tx1">
                  <a:lumMod val="65000"/>
                  <a:lumOff val="35000"/>
                </a:schemeClr>
              </a:solidFill>
              <a:latin typeface="Arial Narrow" panose="020B0606020202030204" pitchFamily="34" charset="0"/>
              <a:ea typeface="+mn-ea"/>
              <a:cs typeface="+mn-cs"/>
            </a:defRPr>
          </a:pPr>
          <a:endParaRPr lang="es-PE"/>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0972860625924305E-2"/>
          <c:y val="0.25025311750194318"/>
          <c:w val="0.95902713937407569"/>
          <c:h val="0.55005283137891026"/>
        </c:manualLayout>
      </c:layout>
      <c:bar3DChart>
        <c:barDir val="col"/>
        <c:grouping val="clustered"/>
        <c:varyColors val="0"/>
        <c:ser>
          <c:idx val="0"/>
          <c:order val="0"/>
          <c:spPr>
            <a:solidFill>
              <a:srgbClr val="00B050"/>
            </a:solidFill>
            <a:ln>
              <a:noFill/>
            </a:ln>
            <a:effectLst/>
            <a:sp3d/>
          </c:spPr>
          <c:invertIfNegative val="0"/>
          <c:dLbls>
            <c:dLbl>
              <c:idx val="0"/>
              <c:layout>
                <c:manualLayout>
                  <c:x val="1.6920473773265651E-2"/>
                  <c:y val="-4.022988505747123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3A7-43E7-8988-A87FB02C3AC7}"/>
                </c:ext>
                <c:ext xmlns:c15="http://schemas.microsoft.com/office/drawing/2012/chart" uri="{CE6537A1-D6FC-4f65-9D91-7224C49458BB}"/>
              </c:extLst>
            </c:dLbl>
            <c:dLbl>
              <c:idx val="1"/>
              <c:layout>
                <c:manualLayout>
                  <c:x val="2.030456852791878E-2"/>
                  <c:y val="-1.724137931034493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3A7-43E7-8988-A87FB02C3AC7}"/>
                </c:ext>
                <c:ext xmlns:c15="http://schemas.microsoft.com/office/drawing/2012/chart" uri="{CE6537A1-D6FC-4f65-9D91-7224C49458BB}"/>
              </c:extLst>
            </c:dLbl>
            <c:dLbl>
              <c:idx val="3"/>
              <c:layout>
                <c:manualLayout>
                  <c:x val="2.030456852791878E-2"/>
                  <c:y val="-4.022988505747126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3A7-43E7-8988-A87FB02C3AC7}"/>
                </c:ext>
                <c:ext xmlns:c15="http://schemas.microsoft.com/office/drawing/2012/chart" uri="{CE6537A1-D6FC-4f65-9D91-7224C49458BB}"/>
              </c:extLst>
            </c:dLbl>
            <c:dLbl>
              <c:idx val="4"/>
              <c:layout>
                <c:manualLayout>
                  <c:x val="1.5228426395939087E-2"/>
                  <c:y val="-3.448275862068975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3A7-43E7-8988-A87FB02C3AC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rgbClr val="00B050"/>
                      </a:solidFill>
                      <a:round/>
                    </a:ln>
                    <a:effectLst/>
                  </c:spPr>
                </c15:leaderLines>
              </c:ext>
            </c:extLst>
          </c:dLbls>
          <c:val>
            <c:numRef>
              <c:f>'8,4-8,5'!$Y$44:$AC$44</c:f>
              <c:numCache>
                <c:formatCode>General</c:formatCode>
                <c:ptCount val="5"/>
                <c:pt idx="0" formatCode="0&quot;&quot;">
                  <c:v>77</c:v>
                </c:pt>
              </c:numCache>
            </c:numRef>
          </c:val>
          <c:extLst xmlns:c16r2="http://schemas.microsoft.com/office/drawing/2015/06/chart">
            <c:ext xmlns:c16="http://schemas.microsoft.com/office/drawing/2014/chart" uri="{C3380CC4-5D6E-409C-BE32-E72D297353CC}">
              <c16:uniqueId val="{00000004-13A7-43E7-8988-A87FB02C3AC7}"/>
            </c:ext>
            <c:ext xmlns:c15="http://schemas.microsoft.com/office/drawing/2012/chart" uri="{02D57815-91ED-43cb-92C2-25804820EDAC}">
              <c15:filteredCategoryTitle>
                <c15:cat>
                  <c:multiLvlStrRef>
                    <c:extLst xmlns:c16="http://schemas.microsoft.com/office/drawing/2014/chart" xmlns:c16r2="http://schemas.microsoft.com/office/drawing/2015/06/chart">
                      <c:ext uri="{02D57815-91ED-43cb-92C2-25804820EDAC}">
                        <c15:formulaRef>
                          <c15:sqref>'8,4-8,5'!$Y$42:$AC$43</c15:sqref>
                        </c15:formulaRef>
                      </c:ext>
                    </c:extLst>
                    <c:multiLvlStrCache>
                      <c:ptCount val="1"/>
                      <c:lvl>
                        <c:pt idx="0">
                          <c:v>98</c:v>
                        </c:pt>
                      </c:lvl>
                      <c:lvl>
                        <c:pt idx="0">
                          <c:v>107</c:v>
                        </c:pt>
                      </c:lvl>
                    </c:multiLvlStrCache>
                  </c:multiLvlStrRef>
                </c15:cat>
              </c15:filteredCategoryTitle>
            </c:ext>
          </c:extLst>
        </c:ser>
        <c:dLbls>
          <c:showLegendKey val="0"/>
          <c:showVal val="1"/>
          <c:showCatName val="0"/>
          <c:showSerName val="0"/>
          <c:showPercent val="0"/>
          <c:showBubbleSize val="0"/>
        </c:dLbls>
        <c:gapWidth val="150"/>
        <c:shape val="box"/>
        <c:axId val="-1592106896"/>
        <c:axId val="-1592104720"/>
        <c:axId val="0"/>
      </c:bar3DChart>
      <c:catAx>
        <c:axId val="-1592106896"/>
        <c:scaling>
          <c:orientation val="minMax"/>
        </c:scaling>
        <c:delete val="0"/>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Narrow" panose="020B0606020202030204" pitchFamily="34" charset="0"/>
                    <a:ea typeface="+mn-ea"/>
                    <a:cs typeface="+mn-cs"/>
                  </a:defRPr>
                </a:pPr>
                <a:r>
                  <a:rPr lang="es-PE" sz="800" b="1">
                    <a:latin typeface="Arial Narrow" panose="020B0606020202030204" pitchFamily="34" charset="0"/>
                  </a:rPr>
                  <a:t>Policia Nacional del Perú - División de Estadistica</a:t>
                </a:r>
              </a:p>
            </c:rich>
          </c:tx>
          <c:layout>
            <c:manualLayout>
              <c:xMode val="edge"/>
              <c:yMode val="edge"/>
              <c:x val="1.9297733722371029E-2"/>
              <c:y val="0.89961987510181907"/>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Narrow" panose="020B0606020202030204" pitchFamily="34" charset="0"/>
                  <a:ea typeface="+mn-ea"/>
                  <a:cs typeface="+mn-cs"/>
                </a:defRPr>
              </a:pPr>
              <a:endParaRPr lang="es-P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s-PE"/>
          </a:p>
        </c:txPr>
        <c:crossAx val="-1592104720"/>
        <c:crosses val="autoZero"/>
        <c:auto val="1"/>
        <c:lblAlgn val="ctr"/>
        <c:lblOffset val="100"/>
        <c:noMultiLvlLbl val="0"/>
      </c:catAx>
      <c:valAx>
        <c:axId val="-1592104720"/>
        <c:scaling>
          <c:orientation val="minMax"/>
        </c:scaling>
        <c:delete val="0"/>
        <c:axPos val="l"/>
        <c:numFmt formatCode="0&quot;&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1592106896"/>
        <c:crosses val="autoZero"/>
        <c:crossBetween val="between"/>
      </c:valAx>
      <c:spPr>
        <a:noFill/>
        <a:ln>
          <a:noFill/>
        </a:ln>
        <a:effectLst/>
      </c:spPr>
    </c:plotArea>
    <c:plotVisOnly val="1"/>
    <c:dispBlanksAs val="gap"/>
    <c:showDLblsOverMax val="0"/>
  </c:chart>
  <c:spPr>
    <a:solidFill>
      <a:schemeClr val="bg1"/>
    </a:solidFill>
    <a:ln w="12700" cap="flat" cmpd="sng" algn="ctr">
      <a:solidFill>
        <a:schemeClr val="tx1"/>
      </a:solidFill>
      <a:round/>
    </a:ln>
    <a:effectLst/>
  </c:spPr>
  <c:txPr>
    <a:bodyPr/>
    <a:lstStyle/>
    <a:p>
      <a:pPr>
        <a:defRPr/>
      </a:pPr>
      <a:endParaRPr lang="es-PE"/>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Narrow"/>
                <a:ea typeface="Arial Narrow"/>
                <a:cs typeface="Arial Narrow"/>
              </a:defRPr>
            </a:pPr>
            <a:r>
              <a:rPr lang="es-ES" sz="900"/>
              <a:t>PUNO:</a:t>
            </a:r>
            <a:r>
              <a:rPr lang="es-ES" sz="900" baseline="0"/>
              <a:t> </a:t>
            </a:r>
            <a:r>
              <a:rPr lang="es-ES" sz="900"/>
              <a:t>ACCIDENTES DE TRÁNSITO REGISTRADOS, 2010 - 2023</a:t>
            </a:r>
          </a:p>
        </c:rich>
      </c:tx>
      <c:layout>
        <c:manualLayout>
          <c:xMode val="edge"/>
          <c:yMode val="edge"/>
          <c:x val="0.27372254304059263"/>
          <c:y val="3.6482474825547118E-2"/>
        </c:manualLayout>
      </c:layout>
      <c:overlay val="0"/>
    </c:title>
    <c:autoTitleDeleted val="0"/>
    <c:plotArea>
      <c:layout>
        <c:manualLayout>
          <c:layoutTarget val="inner"/>
          <c:xMode val="edge"/>
          <c:yMode val="edge"/>
          <c:x val="1.3697123710734203E-2"/>
          <c:y val="0.11023243940884238"/>
          <c:w val="0.97747767382762163"/>
          <c:h val="0.72855162596200851"/>
        </c:manualLayout>
      </c:layout>
      <c:barChart>
        <c:barDir val="col"/>
        <c:grouping val="clustered"/>
        <c:varyColors val="0"/>
        <c:ser>
          <c:idx val="1"/>
          <c:order val="0"/>
          <c:spPr>
            <a:solidFill>
              <a:schemeClr val="accent1"/>
            </a:solidFill>
            <a:scene3d>
              <a:camera prst="orthographicFront"/>
              <a:lightRig rig="threePt" dir="t"/>
            </a:scene3d>
            <a:sp3d>
              <a:bevelT/>
            </a:sp3d>
          </c:spPr>
          <c:invertIfNegative val="0"/>
          <c:dLbls>
            <c:spPr>
              <a:noFill/>
              <a:ln>
                <a:noFill/>
              </a:ln>
              <a:effectLst/>
            </c:spPr>
            <c:txPr>
              <a:bodyPr wrap="square" lIns="38100" tIns="19050" rIns="38100" bIns="19050" anchor="ctr">
                <a:spAutoFit/>
              </a:bodyPr>
              <a:lstStyle/>
              <a:p>
                <a:pPr>
                  <a:defRPr sz="800" baseline="0">
                    <a:latin typeface="Arial Narrow" panose="020B0606020202030204" pitchFamily="34" charset="0"/>
                  </a:defRPr>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'8.17'!$D$7:$D$19</c:f>
              <c:numCache>
                <c:formatCode>General</c:formatCod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numCache>
            </c:numRef>
          </c:cat>
          <c:val>
            <c:numRef>
              <c:f>'8.17'!$E$7:$E$19</c:f>
              <c:numCache>
                <c:formatCode>#\ ###\ ##0"                  "</c:formatCode>
                <c:ptCount val="12"/>
                <c:pt idx="0">
                  <c:v>1368</c:v>
                </c:pt>
                <c:pt idx="1">
                  <c:v>974</c:v>
                </c:pt>
                <c:pt idx="2">
                  <c:v>1154</c:v>
                </c:pt>
                <c:pt idx="3">
                  <c:v>953</c:v>
                </c:pt>
                <c:pt idx="4">
                  <c:v>922</c:v>
                </c:pt>
                <c:pt idx="5">
                  <c:v>765</c:v>
                </c:pt>
                <c:pt idx="6">
                  <c:v>968</c:v>
                </c:pt>
                <c:pt idx="7">
                  <c:v>999</c:v>
                </c:pt>
                <c:pt idx="8">
                  <c:v>1183</c:v>
                </c:pt>
                <c:pt idx="9">
                  <c:v>602</c:v>
                </c:pt>
                <c:pt idx="10">
                  <c:v>1266</c:v>
                </c:pt>
                <c:pt idx="11">
                  <c:v>1484</c:v>
                </c:pt>
              </c:numCache>
            </c:numRef>
          </c:val>
          <c:extLst xmlns:c16r2="http://schemas.microsoft.com/office/drawing/2015/06/chart">
            <c:ext xmlns:c16="http://schemas.microsoft.com/office/drawing/2014/chart" uri="{C3380CC4-5D6E-409C-BE32-E72D297353CC}">
              <c16:uniqueId val="{00000002-2597-45C5-8E4D-1DC9637E68DE}"/>
            </c:ext>
          </c:extLst>
        </c:ser>
        <c:dLbls>
          <c:showLegendKey val="0"/>
          <c:showVal val="0"/>
          <c:showCatName val="0"/>
          <c:showSerName val="0"/>
          <c:showPercent val="0"/>
          <c:showBubbleSize val="0"/>
        </c:dLbls>
        <c:gapWidth val="50"/>
        <c:axId val="-1663269280"/>
        <c:axId val="-1663264928"/>
      </c:barChart>
      <c:catAx>
        <c:axId val="-1663269280"/>
        <c:scaling>
          <c:orientation val="minMax"/>
        </c:scaling>
        <c:delete val="0"/>
        <c:axPos val="b"/>
        <c:title>
          <c:tx>
            <c:rich>
              <a:bodyPr/>
              <a:lstStyle/>
              <a:p>
                <a:pPr>
                  <a:defRPr sz="700" b="1" i="0" u="none" strike="noStrike" baseline="0">
                    <a:solidFill>
                      <a:srgbClr val="000000"/>
                    </a:solidFill>
                    <a:latin typeface="Arial Narrow"/>
                    <a:ea typeface="Arial Narrow"/>
                    <a:cs typeface="Arial Narrow"/>
                  </a:defRPr>
                </a:pPr>
                <a:r>
                  <a:rPr lang="es-PE"/>
                  <a:t>Fuente: Compendio Estadistico Sector Interior 2023..</a:t>
                </a:r>
              </a:p>
            </c:rich>
          </c:tx>
          <c:layout>
            <c:manualLayout>
              <c:xMode val="edge"/>
              <c:yMode val="edge"/>
              <c:x val="1.9986886906349904E-2"/>
              <c:y val="0.92513908044943849"/>
            </c:manualLayout>
          </c:layout>
          <c:overlay val="0"/>
        </c:title>
        <c:numFmt formatCode="General" sourceLinked="1"/>
        <c:majorTickMark val="out"/>
        <c:minorTickMark val="none"/>
        <c:tickLblPos val="nextTo"/>
        <c:txPr>
          <a:bodyPr rot="0" vert="horz"/>
          <a:lstStyle/>
          <a:p>
            <a:pPr>
              <a:defRPr sz="800" b="0" i="0" u="none" strike="noStrike" baseline="0">
                <a:solidFill>
                  <a:srgbClr val="000000"/>
                </a:solidFill>
                <a:latin typeface="Arial Narrow"/>
                <a:ea typeface="Arial Narrow"/>
                <a:cs typeface="Arial Narrow"/>
              </a:defRPr>
            </a:pPr>
            <a:endParaRPr lang="es-PE"/>
          </a:p>
        </c:txPr>
        <c:crossAx val="-1663264928"/>
        <c:crosses val="autoZero"/>
        <c:auto val="1"/>
        <c:lblAlgn val="ctr"/>
        <c:lblOffset val="100"/>
        <c:noMultiLvlLbl val="0"/>
      </c:catAx>
      <c:valAx>
        <c:axId val="-1663264928"/>
        <c:scaling>
          <c:orientation val="minMax"/>
        </c:scaling>
        <c:delete val="1"/>
        <c:axPos val="l"/>
        <c:numFmt formatCode="General" sourceLinked="0"/>
        <c:majorTickMark val="out"/>
        <c:minorTickMark val="none"/>
        <c:tickLblPos val="nextTo"/>
        <c:crossAx val="-1663269280"/>
        <c:crosses val="autoZero"/>
        <c:crossBetween val="between"/>
      </c:valAx>
      <c:spPr>
        <a:noFill/>
        <a:ln w="25400">
          <a:noFill/>
        </a:ln>
      </c:spPr>
    </c:plotArea>
    <c:plotVisOnly val="1"/>
    <c:dispBlanksAs val="gap"/>
    <c:showDLblsOverMax val="0"/>
  </c:chart>
  <c:spPr>
    <a:ln w="19050">
      <a:noFill/>
    </a:ln>
  </c:spPr>
  <c:txPr>
    <a:bodyPr/>
    <a:lstStyle/>
    <a:p>
      <a:pPr>
        <a:defRPr sz="1000" b="0" i="0" u="none" strike="noStrike" baseline="0">
          <a:solidFill>
            <a:srgbClr val="000000"/>
          </a:solidFill>
          <a:latin typeface="Arial"/>
          <a:ea typeface="Arial"/>
          <a:cs typeface="Arial"/>
        </a:defRPr>
      </a:pPr>
      <a:endParaRPr lang="es-PE"/>
    </a:p>
  </c:txPr>
  <c:printSettings>
    <c:headerFooter/>
    <c:pageMargins b="0.7480314960629928" l="0.70866141732283539" r="0.70866141732283539" t="0.7480314960629928" header="0.31496062992126039" footer="0.31496062992126039"/>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Narrow" pitchFamily="34" charset="0"/>
              </a:defRPr>
            </a:pPr>
            <a:r>
              <a:rPr lang="es-PE" sz="900">
                <a:latin typeface="Arial Narrow" pitchFamily="34" charset="0"/>
              </a:rPr>
              <a:t>PUNO: VEHICULOS RECUPERADOS EN LA REGIÓN PUNO, 2007 - 2023</a:t>
            </a:r>
          </a:p>
        </c:rich>
      </c:tx>
      <c:layout>
        <c:manualLayout>
          <c:xMode val="edge"/>
          <c:yMode val="edge"/>
          <c:x val="0.28794341418027469"/>
          <c:y val="1.4789737654320987E-2"/>
        </c:manualLayout>
      </c:layout>
      <c:overlay val="0"/>
    </c:title>
    <c:autoTitleDeleted val="0"/>
    <c:view3D>
      <c:rotX val="15"/>
      <c:rotY val="20"/>
      <c:rAngAx val="1"/>
    </c:view3D>
    <c:floor>
      <c:thickness val="0"/>
    </c:floor>
    <c:sideWall>
      <c:thickness val="0"/>
      <c:spPr>
        <a:ln>
          <a:noFill/>
        </a:ln>
      </c:spPr>
    </c:sideWall>
    <c:backWall>
      <c:thickness val="0"/>
      <c:spPr>
        <a:ln>
          <a:noFill/>
        </a:ln>
      </c:spPr>
    </c:backWall>
    <c:plotArea>
      <c:layout>
        <c:manualLayout>
          <c:layoutTarget val="inner"/>
          <c:xMode val="edge"/>
          <c:yMode val="edge"/>
          <c:x val="7.1426035052185324E-2"/>
          <c:y val="0.1023858024691358"/>
          <c:w val="0.90066348624660908"/>
          <c:h val="0.69525111819319374"/>
        </c:manualLayout>
      </c:layout>
      <c:bar3DChart>
        <c:barDir val="col"/>
        <c:grouping val="clustered"/>
        <c:varyColors val="0"/>
        <c:ser>
          <c:idx val="2"/>
          <c:order val="0"/>
          <c:tx>
            <c:strRef>
              <c:f>'8.20'!$B$3:$E$3</c:f>
              <c:strCache>
                <c:ptCount val="1"/>
                <c:pt idx="0">
                  <c:v>Vehículos Robados </c:v>
                </c:pt>
              </c:strCache>
            </c:strRef>
          </c:tx>
          <c:spPr>
            <a:pattFill prst="pct60">
              <a:fgClr>
                <a:srgbClr val="FFC000"/>
              </a:fgClr>
              <a:bgClr>
                <a:schemeClr val="bg1"/>
              </a:bgClr>
            </a:pattFill>
          </c:spPr>
          <c:invertIfNegative val="0"/>
          <c:dLbls>
            <c:dLbl>
              <c:idx val="5"/>
              <c:layout>
                <c:manualLayout>
                  <c:x val="8.385744234800863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20E-4FC0-90FD-D440B7ACA230}"/>
                </c:ext>
                <c:ext xmlns:c15="http://schemas.microsoft.com/office/drawing/2012/chart" uri="{CE6537A1-D6FC-4f65-9D91-7224C49458BB}">
                  <c15:layout/>
                </c:ext>
              </c:extLst>
            </c:dLbl>
            <c:dLbl>
              <c:idx val="6"/>
              <c:layout>
                <c:manualLayout>
                  <c:x val="1.677148846960169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20E-4FC0-90FD-D440B7ACA230}"/>
                </c:ext>
                <c:ext xmlns:c15="http://schemas.microsoft.com/office/drawing/2012/chart" uri="{CE6537A1-D6FC-4f65-9D91-7224C49458BB}">
                  <c15:layout/>
                </c:ext>
              </c:extLst>
            </c:dLbl>
            <c:dLbl>
              <c:idx val="9"/>
              <c:layout>
                <c:manualLayout>
                  <c:x val="0"/>
                  <c:y val="1.7730496453900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082-4DB6-A349-13C702C54FE6}"/>
                </c:ext>
                <c:ext xmlns:c15="http://schemas.microsoft.com/office/drawing/2012/chart" uri="{CE6537A1-D6FC-4f65-9D91-7224C49458BB}">
                  <c15:layout/>
                </c:ext>
              </c:extLst>
            </c:dLbl>
            <c:spPr>
              <a:noFill/>
              <a:ln>
                <a:noFill/>
              </a:ln>
              <a:effectLst/>
            </c:spPr>
            <c:txPr>
              <a:bodyPr/>
              <a:lstStyle/>
              <a:p>
                <a:pPr>
                  <a:defRPr sz="800">
                    <a:latin typeface="Arial Narrow" pitchFamily="34" charset="0"/>
                  </a:defRPr>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'8.20'!$A$21:$A$37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'8.20'!$C$21:$C$37</c:f>
              <c:numCache>
                <c:formatCode>#\ ##0</c:formatCode>
                <c:ptCount val="17"/>
                <c:pt idx="0">
                  <c:v>59</c:v>
                </c:pt>
                <c:pt idx="1">
                  <c:v>41</c:v>
                </c:pt>
                <c:pt idx="2">
                  <c:v>50</c:v>
                </c:pt>
                <c:pt idx="3">
                  <c:v>40</c:v>
                </c:pt>
                <c:pt idx="4">
                  <c:v>63</c:v>
                </c:pt>
                <c:pt idx="5">
                  <c:v>303</c:v>
                </c:pt>
                <c:pt idx="6">
                  <c:v>408</c:v>
                </c:pt>
                <c:pt idx="7">
                  <c:v>462</c:v>
                </c:pt>
                <c:pt idx="8">
                  <c:v>446</c:v>
                </c:pt>
                <c:pt idx="9">
                  <c:v>599</c:v>
                </c:pt>
                <c:pt idx="10">
                  <c:v>539</c:v>
                </c:pt>
                <c:pt idx="11">
                  <c:v>42</c:v>
                </c:pt>
                <c:pt idx="12">
                  <c:v>29</c:v>
                </c:pt>
                <c:pt idx="13">
                  <c:v>52</c:v>
                </c:pt>
                <c:pt idx="14">
                  <c:v>61</c:v>
                </c:pt>
                <c:pt idx="15">
                  <c:v>47</c:v>
                </c:pt>
                <c:pt idx="16">
                  <c:v>63</c:v>
                </c:pt>
              </c:numCache>
            </c:numRef>
          </c:val>
          <c:shape val="cylinder"/>
          <c:extLst xmlns:c16r2="http://schemas.microsoft.com/office/drawing/2015/06/chart">
            <c:ext xmlns:c16="http://schemas.microsoft.com/office/drawing/2014/chart" uri="{C3380CC4-5D6E-409C-BE32-E72D297353CC}">
              <c16:uniqueId val="{00000002-920E-4FC0-90FD-D440B7ACA230}"/>
            </c:ext>
          </c:extLst>
        </c:ser>
        <c:ser>
          <c:idx val="3"/>
          <c:order val="1"/>
          <c:tx>
            <c:strRef>
              <c:f>'8.20'!$G$3:$I$3</c:f>
              <c:strCache>
                <c:ptCount val="1"/>
                <c:pt idx="0">
                  <c:v>Vehículos Recuperados</c:v>
                </c:pt>
              </c:strCache>
            </c:strRef>
          </c:tx>
          <c:spPr>
            <a:solidFill>
              <a:srgbClr val="3399FF"/>
            </a:solidFill>
          </c:spPr>
          <c:invertIfNegative val="0"/>
          <c:dLbls>
            <c:dLbl>
              <c:idx val="0"/>
              <c:layout>
                <c:manualLayout>
                  <c:x val="5.590496156533892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20E-4FC0-90FD-D440B7ACA230}"/>
                </c:ext>
                <c:ext xmlns:c15="http://schemas.microsoft.com/office/drawing/2012/chart" uri="{CE6537A1-D6FC-4f65-9D91-7224C49458BB}">
                  <c15:layout/>
                </c:ext>
              </c:extLst>
            </c:dLbl>
            <c:dLbl>
              <c:idx val="1"/>
              <c:layout>
                <c:manualLayout>
                  <c:x val="8.385744234800863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920E-4FC0-90FD-D440B7ACA230}"/>
                </c:ext>
                <c:ext xmlns:c15="http://schemas.microsoft.com/office/drawing/2012/chart" uri="{CE6537A1-D6FC-4f65-9D91-7224C49458BB}">
                  <c15:layout/>
                </c:ext>
              </c:extLst>
            </c:dLbl>
            <c:dLbl>
              <c:idx val="2"/>
              <c:layout>
                <c:manualLayout>
                  <c:x val="1.1180992313067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920E-4FC0-90FD-D440B7ACA230}"/>
                </c:ext>
                <c:ext xmlns:c15="http://schemas.microsoft.com/office/drawing/2012/chart" uri="{CE6537A1-D6FC-4f65-9D91-7224C49458BB}">
                  <c15:layout/>
                </c:ext>
              </c:extLst>
            </c:dLbl>
            <c:dLbl>
              <c:idx val="6"/>
              <c:layout>
                <c:manualLayout>
                  <c:x val="8.385744234800863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20E-4FC0-90FD-D440B7ACA230}"/>
                </c:ext>
                <c:ext xmlns:c15="http://schemas.microsoft.com/office/drawing/2012/chart" uri="{CE6537A1-D6FC-4f65-9D91-7224C49458BB}">
                  <c15:layout/>
                </c:ext>
              </c:extLst>
            </c:dLbl>
            <c:dLbl>
              <c:idx val="7"/>
              <c:layout>
                <c:manualLayout>
                  <c:x val="1.1180992313067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20E-4FC0-90FD-D440B7ACA230}"/>
                </c:ext>
                <c:ext xmlns:c15="http://schemas.microsoft.com/office/drawing/2012/chart" uri="{CE6537A1-D6FC-4f65-9D91-7224C49458BB}">
                  <c15:layout/>
                </c:ext>
              </c:extLst>
            </c:dLbl>
            <c:dLbl>
              <c:idx val="8"/>
              <c:layout>
                <c:manualLayout>
                  <c:x val="1.3972438189802905E-2"/>
                  <c:y val="-3.041762009775119E-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920E-4FC0-90FD-D440B7ACA230}"/>
                </c:ext>
                <c:ext xmlns:c15="http://schemas.microsoft.com/office/drawing/2012/chart" uri="{CE6537A1-D6FC-4f65-9D91-7224C49458BB}">
                  <c15:layout/>
                </c:ext>
              </c:extLst>
            </c:dLbl>
            <c:spPr>
              <a:noFill/>
              <a:ln>
                <a:noFill/>
              </a:ln>
              <a:effectLst/>
            </c:spPr>
            <c:txPr>
              <a:bodyPr/>
              <a:lstStyle/>
              <a:p>
                <a:pPr>
                  <a:defRPr sz="800">
                    <a:latin typeface="Arial Narrow" pitchFamily="34" charset="0"/>
                  </a:defRPr>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'8.20'!$A$21:$A$37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'8.20'!$I$21:$I$37</c:f>
              <c:numCache>
                <c:formatCode>0""</c:formatCode>
                <c:ptCount val="17"/>
                <c:pt idx="0">
                  <c:v>20</c:v>
                </c:pt>
                <c:pt idx="1">
                  <c:v>48</c:v>
                </c:pt>
                <c:pt idx="2">
                  <c:v>67</c:v>
                </c:pt>
                <c:pt idx="3" formatCode="General">
                  <c:v>70</c:v>
                </c:pt>
                <c:pt idx="4" formatCode="General">
                  <c:v>68</c:v>
                </c:pt>
                <c:pt idx="5" formatCode="General">
                  <c:v>67</c:v>
                </c:pt>
                <c:pt idx="6" formatCode="General">
                  <c:v>90</c:v>
                </c:pt>
                <c:pt idx="7" formatCode="General">
                  <c:v>61</c:v>
                </c:pt>
                <c:pt idx="8" formatCode="General">
                  <c:v>92</c:v>
                </c:pt>
                <c:pt idx="9" formatCode="General">
                  <c:v>99</c:v>
                </c:pt>
                <c:pt idx="10" formatCode="General">
                  <c:v>110</c:v>
                </c:pt>
                <c:pt idx="11" formatCode="General">
                  <c:v>47</c:v>
                </c:pt>
                <c:pt idx="12" formatCode="General">
                  <c:v>29</c:v>
                </c:pt>
                <c:pt idx="13" formatCode="General">
                  <c:v>46</c:v>
                </c:pt>
                <c:pt idx="14" formatCode="General">
                  <c:v>42</c:v>
                </c:pt>
                <c:pt idx="15" formatCode="General">
                  <c:v>80</c:v>
                </c:pt>
                <c:pt idx="16" formatCode="General">
                  <c:v>81</c:v>
                </c:pt>
              </c:numCache>
            </c:numRef>
          </c:val>
          <c:extLst xmlns:c16r2="http://schemas.microsoft.com/office/drawing/2015/06/chart">
            <c:ext xmlns:c16="http://schemas.microsoft.com/office/drawing/2014/chart" uri="{C3380CC4-5D6E-409C-BE32-E72D297353CC}">
              <c16:uniqueId val="{00000009-920E-4FC0-90FD-D440B7ACA230}"/>
            </c:ext>
          </c:extLst>
        </c:ser>
        <c:dLbls>
          <c:showLegendKey val="0"/>
          <c:showVal val="1"/>
          <c:showCatName val="0"/>
          <c:showSerName val="0"/>
          <c:showPercent val="0"/>
          <c:showBubbleSize val="0"/>
        </c:dLbls>
        <c:gapWidth val="0"/>
        <c:gapDepth val="214"/>
        <c:shape val="box"/>
        <c:axId val="-1663263840"/>
        <c:axId val="-1663266560"/>
        <c:axId val="0"/>
      </c:bar3DChart>
      <c:catAx>
        <c:axId val="-1663263840"/>
        <c:scaling>
          <c:orientation val="minMax"/>
        </c:scaling>
        <c:delete val="0"/>
        <c:axPos val="b"/>
        <c:title>
          <c:tx>
            <c:rich>
              <a:bodyPr/>
              <a:lstStyle/>
              <a:p>
                <a:pPr>
                  <a:defRPr sz="800">
                    <a:latin typeface="Arial Narrow" pitchFamily="34" charset="0"/>
                  </a:defRPr>
                </a:pPr>
                <a:r>
                  <a:rPr lang="es-PE" sz="700">
                    <a:latin typeface="Arial Narrow" pitchFamily="34" charset="0"/>
                  </a:rPr>
                  <a:t>Fuente: Compendio Estadistico Sector Interior 2023, Anuario Estadistico Policial 2023.</a:t>
                </a:r>
              </a:p>
            </c:rich>
          </c:tx>
          <c:layout>
            <c:manualLayout>
              <c:xMode val="edge"/>
              <c:yMode val="edge"/>
              <c:x val="9.9691237713591757E-2"/>
              <c:y val="0.9349433394586556"/>
            </c:manualLayout>
          </c:layout>
          <c:overlay val="0"/>
        </c:title>
        <c:numFmt formatCode="General" sourceLinked="1"/>
        <c:majorTickMark val="out"/>
        <c:minorTickMark val="none"/>
        <c:tickLblPos val="nextTo"/>
        <c:txPr>
          <a:bodyPr/>
          <a:lstStyle/>
          <a:p>
            <a:pPr>
              <a:defRPr sz="800">
                <a:latin typeface="Arial Narrow" pitchFamily="34" charset="0"/>
              </a:defRPr>
            </a:pPr>
            <a:endParaRPr lang="es-PE"/>
          </a:p>
        </c:txPr>
        <c:crossAx val="-1663266560"/>
        <c:crosses val="autoZero"/>
        <c:auto val="1"/>
        <c:lblAlgn val="ctr"/>
        <c:lblOffset val="100"/>
        <c:noMultiLvlLbl val="0"/>
      </c:catAx>
      <c:valAx>
        <c:axId val="-1663266560"/>
        <c:scaling>
          <c:orientation val="minMax"/>
        </c:scaling>
        <c:delete val="1"/>
        <c:axPos val="l"/>
        <c:numFmt formatCode="#\ ##0" sourceLinked="1"/>
        <c:majorTickMark val="out"/>
        <c:minorTickMark val="none"/>
        <c:tickLblPos val="nextTo"/>
        <c:crossAx val="-1663263840"/>
        <c:crosses val="autoZero"/>
        <c:crossBetween val="between"/>
      </c:valAx>
      <c:spPr>
        <a:ln>
          <a:noFill/>
        </a:ln>
      </c:spPr>
    </c:plotArea>
    <c:legend>
      <c:legendPos val="b"/>
      <c:layout>
        <c:manualLayout>
          <c:xMode val="edge"/>
          <c:yMode val="edge"/>
          <c:x val="0.38704655999466214"/>
          <c:y val="0.87013418318320379"/>
          <c:w val="0.54552884282004088"/>
          <c:h val="6.6435237582513046E-2"/>
        </c:manualLayout>
      </c:layout>
      <c:overlay val="0"/>
      <c:txPr>
        <a:bodyPr/>
        <a:lstStyle/>
        <a:p>
          <a:pPr>
            <a:defRPr sz="800" baseline="0">
              <a:latin typeface="Arial Narrow" panose="020B0606020202030204" pitchFamily="34" charset="0"/>
            </a:defRPr>
          </a:pPr>
          <a:endParaRPr lang="es-PE"/>
        </a:p>
      </c:txPr>
    </c:legend>
    <c:plotVisOnly val="1"/>
    <c:dispBlanksAs val="gap"/>
    <c:showDLblsOverMax val="0"/>
  </c:chart>
  <c:spPr>
    <a:ln>
      <a:noFill/>
      <a:miter lim="800000"/>
    </a:ln>
  </c:spPr>
  <c:printSettings>
    <c:headerFooter/>
    <c:pageMargins b="0.98425196850393659" l="0.98425196850393659" r="0.98425196850393659" t="0.98425196850393659" header="0" footer="0"/>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Narrow"/>
                <a:ea typeface="Arial Narrow"/>
                <a:cs typeface="Arial Narrow"/>
              </a:defRPr>
            </a:pPr>
            <a:r>
              <a:rPr lang="es-PE" sz="900"/>
              <a:t>PUNO: POBLACIÓN PENAL, 2009 - 2023</a:t>
            </a:r>
          </a:p>
        </c:rich>
      </c:tx>
      <c:layout>
        <c:manualLayout>
          <c:xMode val="edge"/>
          <c:yMode val="edge"/>
          <c:x val="0.3436396185947736"/>
          <c:y val="2.1196078218624799E-2"/>
        </c:manualLayout>
      </c:layout>
      <c:overlay val="0"/>
    </c:title>
    <c:autoTitleDeleted val="0"/>
    <c:plotArea>
      <c:layout>
        <c:manualLayout>
          <c:layoutTarget val="inner"/>
          <c:xMode val="edge"/>
          <c:yMode val="edge"/>
          <c:x val="0"/>
          <c:y val="8.8773432901407545E-2"/>
          <c:w val="0.99120871228205065"/>
          <c:h val="0.74879936472458308"/>
        </c:manualLayout>
      </c:layout>
      <c:barChart>
        <c:barDir val="col"/>
        <c:grouping val="clustered"/>
        <c:varyColors val="0"/>
        <c:ser>
          <c:idx val="0"/>
          <c:order val="0"/>
          <c:tx>
            <c:strRef>
              <c:f>'8.23'!$A$16:$A$30</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tx>
          <c:spPr>
            <a:solidFill>
              <a:srgbClr val="3399FF"/>
            </a:solidFill>
          </c:spPr>
          <c:invertIfNegative val="0"/>
          <c:dLbls>
            <c:spPr>
              <a:noFill/>
              <a:ln>
                <a:noFill/>
              </a:ln>
              <a:effectLst/>
            </c:spPr>
            <c:txPr>
              <a:bodyPr/>
              <a:lstStyle/>
              <a:p>
                <a:pPr>
                  <a:defRPr sz="800" b="0" i="0" u="none" strike="noStrike" baseline="0">
                    <a:solidFill>
                      <a:srgbClr val="000000"/>
                    </a:solidFill>
                    <a:latin typeface="Arial Narrow"/>
                    <a:ea typeface="Arial Narrow"/>
                    <a:cs typeface="Arial Narrow"/>
                  </a:defRPr>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'8.23'!$A$16:$A$30</c:f>
              <c:numCache>
                <c:formatCode>General</c:formatCode>
                <c:ptCount val="13"/>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numCache>
            </c:numRef>
          </c:cat>
          <c:val>
            <c:numRef>
              <c:f>'8.23'!$G$16:$G$30</c:f>
              <c:numCache>
                <c:formatCode>#\ ##0</c:formatCode>
                <c:ptCount val="13"/>
                <c:pt idx="0">
                  <c:v>1324</c:v>
                </c:pt>
                <c:pt idx="1">
                  <c:v>1525</c:v>
                </c:pt>
                <c:pt idx="2">
                  <c:v>1630</c:v>
                </c:pt>
                <c:pt idx="3">
                  <c:v>1614</c:v>
                </c:pt>
                <c:pt idx="4">
                  <c:v>1767</c:v>
                </c:pt>
                <c:pt idx="5">
                  <c:v>1904</c:v>
                </c:pt>
                <c:pt idx="6">
                  <c:v>1977</c:v>
                </c:pt>
                <c:pt idx="7" formatCode="#\ ###\ ##0;;&quot;-&quot;">
                  <c:v>2272</c:v>
                </c:pt>
                <c:pt idx="8" formatCode="#\ ###\ ##0;;&quot;-&quot;">
                  <c:v>2748</c:v>
                </c:pt>
                <c:pt idx="9" formatCode="#\ ###\ ##0;;&quot;-&quot;">
                  <c:v>2208</c:v>
                </c:pt>
                <c:pt idx="10" formatCode="#\ ###\ ##0;;&quot;-&quot;">
                  <c:v>2319</c:v>
                </c:pt>
                <c:pt idx="11" formatCode="#\ ###\ ##0;;&quot;-&quot;">
                  <c:v>2363</c:v>
                </c:pt>
                <c:pt idx="12" formatCode="#\ ###\ ##0;;&quot;-&quot;">
                  <c:v>2365</c:v>
                </c:pt>
              </c:numCache>
            </c:numRef>
          </c:val>
          <c:extLst xmlns:c16r2="http://schemas.microsoft.com/office/drawing/2015/06/chart">
            <c:ext xmlns:c16="http://schemas.microsoft.com/office/drawing/2014/chart" uri="{C3380CC4-5D6E-409C-BE32-E72D297353CC}">
              <c16:uniqueId val="{00000000-7C61-4E7A-8FCF-78813AACE25E}"/>
            </c:ext>
          </c:extLst>
        </c:ser>
        <c:dLbls>
          <c:showLegendKey val="0"/>
          <c:showVal val="0"/>
          <c:showCatName val="0"/>
          <c:showSerName val="0"/>
          <c:showPercent val="0"/>
          <c:showBubbleSize val="0"/>
        </c:dLbls>
        <c:gapWidth val="24"/>
        <c:axId val="-1663266016"/>
        <c:axId val="-1663263296"/>
      </c:barChart>
      <c:catAx>
        <c:axId val="-1663266016"/>
        <c:scaling>
          <c:orientation val="minMax"/>
        </c:scaling>
        <c:delete val="0"/>
        <c:axPos val="b"/>
        <c:title>
          <c:tx>
            <c:rich>
              <a:bodyPr/>
              <a:lstStyle/>
              <a:p>
                <a:pPr algn="l">
                  <a:defRPr/>
                </a:pPr>
                <a:endParaRPr lang="es-PE" sz="700">
                  <a:latin typeface="Arial Narrow" panose="020B0606020202030204" pitchFamily="34" charset="0"/>
                </a:endParaRPr>
              </a:p>
              <a:p>
                <a:pPr algn="l">
                  <a:defRPr/>
                </a:pPr>
                <a:r>
                  <a:rPr lang="es-PE" sz="700">
                    <a:latin typeface="Arial Narrow" panose="020B0606020202030204" pitchFamily="34" charset="0"/>
                  </a:rPr>
                  <a:t>Fuente: Ministerio Público - Oficina de Registro y Evaluación</a:t>
                </a:r>
                <a:r>
                  <a:rPr lang="es-PE" sz="700" baseline="0">
                    <a:latin typeface="Arial Narrow" panose="020B0606020202030204" pitchFamily="34" charset="0"/>
                  </a:rPr>
                  <a:t> de Fiscalías, INPE Sistemas de Información Estadistica. </a:t>
                </a:r>
                <a:endParaRPr lang="es-PE" sz="700">
                  <a:latin typeface="Arial Narrow" panose="020B0606020202030204" pitchFamily="34" charset="0"/>
                </a:endParaRPr>
              </a:p>
            </c:rich>
          </c:tx>
          <c:layout>
            <c:manualLayout>
              <c:xMode val="edge"/>
              <c:yMode val="edge"/>
              <c:x val="1.7068273451206931E-2"/>
              <c:y val="0.90852420529540845"/>
            </c:manualLayout>
          </c:layout>
          <c:overlay val="0"/>
        </c:title>
        <c:numFmt formatCode="General" sourceLinked="1"/>
        <c:majorTickMark val="out"/>
        <c:minorTickMark val="none"/>
        <c:tickLblPos val="nextTo"/>
        <c:txPr>
          <a:bodyPr rot="0" vert="horz"/>
          <a:lstStyle/>
          <a:p>
            <a:pPr>
              <a:defRPr sz="800" b="0" i="0" u="none" strike="noStrike" baseline="0">
                <a:solidFill>
                  <a:srgbClr val="000000"/>
                </a:solidFill>
                <a:latin typeface="Arial Narrow"/>
                <a:ea typeface="Arial Narrow"/>
                <a:cs typeface="Arial Narrow"/>
              </a:defRPr>
            </a:pPr>
            <a:endParaRPr lang="es-PE"/>
          </a:p>
        </c:txPr>
        <c:crossAx val="-1663263296"/>
        <c:crosses val="autoZero"/>
        <c:auto val="1"/>
        <c:lblAlgn val="ctr"/>
        <c:lblOffset val="100"/>
        <c:noMultiLvlLbl val="0"/>
      </c:catAx>
      <c:valAx>
        <c:axId val="-1663263296"/>
        <c:scaling>
          <c:orientation val="minMax"/>
        </c:scaling>
        <c:delete val="1"/>
        <c:axPos val="l"/>
        <c:numFmt formatCode="#\ ##0" sourceLinked="1"/>
        <c:majorTickMark val="out"/>
        <c:minorTickMark val="none"/>
        <c:tickLblPos val="nextTo"/>
        <c:crossAx val="-1663266016"/>
        <c:crosses val="autoZero"/>
        <c:crossBetween val="between"/>
      </c:valAx>
    </c:plotArea>
    <c:plotVisOnly val="1"/>
    <c:dispBlanksAs val="gap"/>
    <c:showDLblsOverMax val="0"/>
  </c:chart>
  <c:spPr>
    <a:ln w="19050">
      <a:noFill/>
    </a:ln>
  </c:spPr>
  <c:txPr>
    <a:bodyPr/>
    <a:lstStyle/>
    <a:p>
      <a:pPr>
        <a:defRPr sz="900" b="1" i="0" baseline="0">
          <a:latin typeface="Fuente: Ministerio Público, Oficina de Registro y Evaluación de Fiecalías"/>
        </a:defRPr>
      </a:pPr>
      <a:endParaRPr lang="es-PE"/>
    </a:p>
  </c:txPr>
  <c:printSettings>
    <c:headerFooter/>
    <c:pageMargins b="0.7480314960629928" l="0.70866141732283539" r="0.70866141732283539" t="0.7480314960629928" header="0.31496062992126039" footer="0.31496062992126039"/>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1" i="0" u="none" strike="noStrike" kern="1200" spc="0" baseline="0">
                <a:solidFill>
                  <a:sysClr val="windowText" lastClr="000000"/>
                </a:solidFill>
                <a:latin typeface="Arial Narrow" panose="020B0606020202030204" pitchFamily="34" charset="0"/>
                <a:ea typeface="+mn-ea"/>
                <a:cs typeface="+mn-cs"/>
              </a:defRPr>
            </a:pPr>
            <a:r>
              <a:rPr lang="es-PE" sz="800" b="1">
                <a:solidFill>
                  <a:sysClr val="windowText" lastClr="000000"/>
                </a:solidFill>
                <a:latin typeface="Arial Narrow" panose="020B0606020202030204" pitchFamily="34" charset="0"/>
              </a:rPr>
              <a:t>PUNO: POBLACIÓN PENAL SEGÚN NIVEL DE INSTRUCCIÓN, 2024</a:t>
            </a:r>
          </a:p>
        </c:rich>
      </c:tx>
      <c:layout/>
      <c:overlay val="0"/>
      <c:spPr>
        <a:noFill/>
        <a:ln>
          <a:noFill/>
        </a:ln>
        <a:effectLst/>
      </c:spPr>
    </c:title>
    <c:autoTitleDeleted val="0"/>
    <c:view3D>
      <c:rotX val="15"/>
      <c:rotY val="20"/>
      <c:depthPercent val="100"/>
      <c:rAngAx val="1"/>
    </c:view3D>
    <c:floor>
      <c:thickness val="0"/>
      <c:spPr>
        <a:solidFill>
          <a:schemeClr val="accent2">
            <a:lumMod val="20000"/>
            <a:lumOff val="80000"/>
          </a:schemeClr>
        </a:solidFill>
        <a:ln>
          <a:noFill/>
        </a:ln>
        <a:effectLst/>
        <a:sp3d/>
      </c:spPr>
    </c:floor>
    <c:sideWall>
      <c:thickness val="0"/>
      <c:spPr>
        <a:noFill/>
        <a:ln w="25400">
          <a:noFill/>
        </a:ln>
        <a:effectLst/>
        <a:sp3d/>
      </c:spPr>
    </c:sideWall>
    <c:backWall>
      <c:thickness val="0"/>
      <c:spPr>
        <a:noFill/>
        <a:ln w="25400">
          <a:noFill/>
        </a:ln>
        <a:effectLst/>
        <a:sp3d/>
      </c:spPr>
    </c:backWall>
    <c:plotArea>
      <c:layout>
        <c:manualLayout>
          <c:layoutTarget val="inner"/>
          <c:xMode val="edge"/>
          <c:yMode val="edge"/>
          <c:x val="1.4240990960467331E-3"/>
          <c:y val="0.12583333333333338"/>
          <c:w val="0.99857590090395332"/>
          <c:h val="0.63278543307086654"/>
        </c:manualLayout>
      </c:layout>
      <c:bar3DChart>
        <c:barDir val="col"/>
        <c:grouping val="clustered"/>
        <c:varyColors val="0"/>
        <c:ser>
          <c:idx val="0"/>
          <c:order val="0"/>
          <c:spPr>
            <a:solidFill>
              <a:schemeClr val="bg2">
                <a:lumMod val="75000"/>
              </a:schemeClr>
            </a:solidFill>
            <a:ln>
              <a:noFill/>
            </a:ln>
            <a:effectLst/>
            <a:sp3d/>
          </c:spPr>
          <c:invertIfNegative val="0"/>
          <c:dPt>
            <c:idx val="0"/>
            <c:invertIfNegative val="0"/>
            <c:bubble3D val="0"/>
            <c:spPr>
              <a:solidFill>
                <a:srgbClr val="3399FF"/>
              </a:solidFill>
              <a:ln>
                <a:noFill/>
              </a:ln>
              <a:effectLst/>
              <a:sp3d/>
            </c:spPr>
            <c:extLst xmlns:c16r2="http://schemas.microsoft.com/office/drawing/2015/06/chart">
              <c:ext xmlns:c16="http://schemas.microsoft.com/office/drawing/2014/chart" uri="{C3380CC4-5D6E-409C-BE32-E72D297353CC}">
                <c16:uniqueId val="{00000000-6BC7-4B86-88FF-BAB53799E9CB}"/>
              </c:ext>
            </c:extLst>
          </c:dPt>
          <c:dPt>
            <c:idx val="1"/>
            <c:invertIfNegative val="0"/>
            <c:bubble3D val="0"/>
            <c:spPr>
              <a:solidFill>
                <a:srgbClr val="FFFF66"/>
              </a:solidFill>
              <a:ln>
                <a:noFill/>
              </a:ln>
              <a:effectLst/>
              <a:sp3d/>
            </c:spPr>
            <c:extLst xmlns:c16r2="http://schemas.microsoft.com/office/drawing/2015/06/chart">
              <c:ext xmlns:c16="http://schemas.microsoft.com/office/drawing/2014/chart" uri="{C3380CC4-5D6E-409C-BE32-E72D297353CC}">
                <c16:uniqueId val="{00000001-6BC7-4B86-88FF-BAB53799E9CB}"/>
              </c:ext>
            </c:extLst>
          </c:dPt>
          <c:dPt>
            <c:idx val="2"/>
            <c:invertIfNegative val="0"/>
            <c:bubble3D val="0"/>
            <c:spPr>
              <a:solidFill>
                <a:srgbClr val="FF0000"/>
              </a:solidFill>
              <a:ln>
                <a:noFill/>
              </a:ln>
              <a:effectLst/>
              <a:sp3d/>
            </c:spPr>
            <c:extLst xmlns:c16r2="http://schemas.microsoft.com/office/drawing/2015/06/chart">
              <c:ext xmlns:c16="http://schemas.microsoft.com/office/drawing/2014/chart" uri="{C3380CC4-5D6E-409C-BE32-E72D297353CC}">
                <c16:uniqueId val="{00000002-6BC7-4B86-88FF-BAB53799E9CB}"/>
              </c:ext>
            </c:extLst>
          </c:dPt>
          <c:dPt>
            <c:idx val="3"/>
            <c:invertIfNegative val="0"/>
            <c:bubble3D val="0"/>
            <c:spPr>
              <a:solidFill>
                <a:srgbClr val="00B050"/>
              </a:solidFill>
              <a:ln>
                <a:noFill/>
              </a:ln>
              <a:effectLst/>
              <a:sp3d/>
            </c:spPr>
            <c:extLst xmlns:c16r2="http://schemas.microsoft.com/office/drawing/2015/06/chart">
              <c:ext xmlns:c16="http://schemas.microsoft.com/office/drawing/2014/chart" uri="{C3380CC4-5D6E-409C-BE32-E72D297353CC}">
                <c16:uniqueId val="{00000003-6BC7-4B86-88FF-BAB53799E9CB}"/>
              </c:ext>
            </c:extLst>
          </c:dPt>
          <c:dPt>
            <c:idx val="4"/>
            <c:invertIfNegative val="0"/>
            <c:bubble3D val="0"/>
            <c:spPr>
              <a:solidFill>
                <a:srgbClr val="9966FF"/>
              </a:solidFill>
              <a:ln>
                <a:noFill/>
              </a:ln>
              <a:effectLst/>
              <a:sp3d/>
            </c:spPr>
            <c:extLst xmlns:c16r2="http://schemas.microsoft.com/office/drawing/2015/06/chart">
              <c:ext xmlns:c16="http://schemas.microsoft.com/office/drawing/2014/chart" uri="{C3380CC4-5D6E-409C-BE32-E72D297353CC}">
                <c16:uniqueId val="{00000004-6BC7-4B86-88FF-BAB53799E9CB}"/>
              </c:ext>
            </c:extLst>
          </c:dPt>
          <c:dLbls>
            <c:dLbl>
              <c:idx val="0"/>
              <c:layout>
                <c:manualLayout>
                  <c:x val="1.4953271028037389E-2"/>
                  <c:y val="-2.322880371660859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BC7-4B86-88FF-BAB53799E9CB}"/>
                </c:ext>
                <c:ext xmlns:c15="http://schemas.microsoft.com/office/drawing/2012/chart" uri="{CE6537A1-D6FC-4f65-9D91-7224C49458BB}">
                  <c15:layout/>
                </c:ext>
              </c:extLst>
            </c:dLbl>
            <c:dLbl>
              <c:idx val="1"/>
              <c:layout>
                <c:manualLayout>
                  <c:x val="1.3805088008044432E-2"/>
                  <c:y val="-3.27997338219795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BC7-4B86-88FF-BAB53799E9CB}"/>
                </c:ext>
                <c:ext xmlns:c15="http://schemas.microsoft.com/office/drawing/2012/chart" uri="{CE6537A1-D6FC-4f65-9D91-7224C49458BB}">
                  <c15:layout/>
                </c:ext>
              </c:extLst>
            </c:dLbl>
            <c:dLbl>
              <c:idx val="2"/>
              <c:layout>
                <c:manualLayout>
                  <c:x val="1.2935792664471158E-2"/>
                  <c:y val="-2.419566066352432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BC7-4B86-88FF-BAB53799E9CB}"/>
                </c:ext>
                <c:ext xmlns:c15="http://schemas.microsoft.com/office/drawing/2012/chart" uri="{CE6537A1-D6FC-4f65-9D91-7224C49458BB}">
                  <c15:layout/>
                </c:ext>
              </c:extLst>
            </c:dLbl>
            <c:dLbl>
              <c:idx val="3"/>
              <c:layout>
                <c:manualLayout>
                  <c:x val="1.2078305987901886E-2"/>
                  <c:y val="-3.786480311907593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BC7-4B86-88FF-BAB53799E9CB}"/>
                </c:ext>
                <c:ext xmlns:c15="http://schemas.microsoft.com/office/drawing/2012/chart" uri="{CE6537A1-D6FC-4f65-9D91-7224C49458BB}">
                  <c15:layout/>
                </c:ext>
              </c:extLst>
            </c:dLbl>
            <c:dLbl>
              <c:idx val="4"/>
              <c:layout>
                <c:manualLayout>
                  <c:x val="1.4953214928851273E-2"/>
                  <c:y val="-3.631870741338327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BC7-4B86-88FF-BAB53799E9C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Narrow" panose="020B0606020202030204" pitchFamily="34" charset="0"/>
                    <a:ea typeface="+mn-ea"/>
                    <a:cs typeface="+mn-cs"/>
                  </a:defRPr>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'8.32'!$A$6:$A$10</c:f>
              <c:strCache>
                <c:ptCount val="5"/>
                <c:pt idx="0">
                  <c:v>Analfabeto</c:v>
                </c:pt>
                <c:pt idx="1">
                  <c:v>Primaria</c:v>
                </c:pt>
                <c:pt idx="2">
                  <c:v>Secundaria</c:v>
                </c:pt>
                <c:pt idx="3">
                  <c:v>Superior</c:v>
                </c:pt>
                <c:pt idx="4">
                  <c:v>No Especificado</c:v>
                </c:pt>
              </c:strCache>
            </c:strRef>
          </c:cat>
          <c:val>
            <c:numRef>
              <c:f>'8.32'!$Z$6:$Z$10</c:f>
              <c:numCache>
                <c:formatCode>General</c:formatCode>
                <c:ptCount val="5"/>
                <c:pt idx="0">
                  <c:v>30</c:v>
                </c:pt>
                <c:pt idx="1">
                  <c:v>489</c:v>
                </c:pt>
                <c:pt idx="2" formatCode="#\ ###\ ##0;;&quot;-&quot;">
                  <c:v>1770</c:v>
                </c:pt>
                <c:pt idx="3">
                  <c:v>292</c:v>
                </c:pt>
                <c:pt idx="4" formatCode="#\ ###\ ##0;;&quot;-&quot;">
                  <c:v>0</c:v>
                </c:pt>
              </c:numCache>
            </c:numRef>
          </c:val>
          <c:extLst xmlns:c16r2="http://schemas.microsoft.com/office/drawing/2015/06/chart">
            <c:ext xmlns:c16="http://schemas.microsoft.com/office/drawing/2014/chart" uri="{C3380CC4-5D6E-409C-BE32-E72D297353CC}">
              <c16:uniqueId val="{00000005-6BC7-4B86-88FF-BAB53799E9CB}"/>
            </c:ext>
          </c:extLst>
        </c:ser>
        <c:dLbls>
          <c:showLegendKey val="0"/>
          <c:showVal val="0"/>
          <c:showCatName val="0"/>
          <c:showSerName val="0"/>
          <c:showPercent val="0"/>
          <c:showBubbleSize val="0"/>
        </c:dLbls>
        <c:gapWidth val="150"/>
        <c:shape val="box"/>
        <c:axId val="-1522776032"/>
        <c:axId val="-1522772224"/>
        <c:axId val="0"/>
      </c:bar3DChart>
      <c:catAx>
        <c:axId val="-1522776032"/>
        <c:scaling>
          <c:orientation val="minMax"/>
        </c:scaling>
        <c:delete val="0"/>
        <c:axPos val="b"/>
        <c:title>
          <c:tx>
            <c:rich>
              <a:bodyPr rot="0" spcFirstLastPara="1" vertOverflow="ellipsis" vert="horz" wrap="square" anchor="ctr" anchorCtr="1"/>
              <a:lstStyle/>
              <a:p>
                <a:pPr algn="l">
                  <a:defRPr sz="800" b="1" i="0" u="none" strike="noStrike" kern="1200" baseline="0">
                    <a:solidFill>
                      <a:sysClr val="windowText" lastClr="000000"/>
                    </a:solidFill>
                    <a:latin typeface="Arial Narrow" panose="020B0606020202030204" pitchFamily="34" charset="0"/>
                    <a:ea typeface="+mn-ea"/>
                    <a:cs typeface="+mn-cs"/>
                  </a:defRPr>
                </a:pPr>
                <a:r>
                  <a:rPr lang="es-PE" sz="700" b="0">
                    <a:solidFill>
                      <a:sysClr val="windowText" lastClr="000000"/>
                    </a:solidFill>
                    <a:latin typeface="Arial Narrow" panose="020B0606020202030204" pitchFamily="34" charset="0"/>
                  </a:rPr>
                  <a:t>a/ Información a Setiembre del 2024.</a:t>
                </a:r>
              </a:p>
              <a:p>
                <a:pPr algn="l">
                  <a:defRPr sz="800" b="1" i="0" u="none" strike="noStrike" kern="1200" baseline="0">
                    <a:solidFill>
                      <a:sysClr val="windowText" lastClr="000000"/>
                    </a:solidFill>
                    <a:latin typeface="Arial Narrow" panose="020B0606020202030204" pitchFamily="34" charset="0"/>
                    <a:ea typeface="+mn-ea"/>
                    <a:cs typeface="+mn-cs"/>
                  </a:defRPr>
                </a:pPr>
                <a:r>
                  <a:rPr lang="es-PE" sz="700" b="1">
                    <a:solidFill>
                      <a:sysClr val="windowText" lastClr="000000"/>
                    </a:solidFill>
                    <a:latin typeface="Arial Narrow" panose="020B0606020202030204" pitchFamily="34" charset="0"/>
                  </a:rPr>
                  <a:t>Fuente:</a:t>
                </a:r>
                <a:r>
                  <a:rPr lang="es-PE" sz="700" b="1" baseline="0">
                    <a:solidFill>
                      <a:sysClr val="windowText" lastClr="000000"/>
                    </a:solidFill>
                    <a:latin typeface="Arial Narrow" panose="020B0606020202030204" pitchFamily="34" charset="0"/>
                  </a:rPr>
                  <a:t> Instituto Nacional Penitenciario  - Oficina General de Informática  - Puno</a:t>
                </a:r>
                <a:endParaRPr lang="es-PE" sz="700" b="1">
                  <a:solidFill>
                    <a:sysClr val="windowText" lastClr="000000"/>
                  </a:solidFill>
                  <a:latin typeface="Arial Narrow" panose="020B0606020202030204" pitchFamily="34" charset="0"/>
                </a:endParaRPr>
              </a:p>
            </c:rich>
          </c:tx>
          <c:layout>
            <c:manualLayout>
              <c:xMode val="edge"/>
              <c:yMode val="edge"/>
              <c:x val="3.0005905511811058E-2"/>
              <c:y val="0.93488735783027122"/>
            </c:manualLayout>
          </c:layout>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1" i="0" u="none" strike="noStrike" kern="1200" baseline="0">
                <a:solidFill>
                  <a:schemeClr val="tx1">
                    <a:lumMod val="65000"/>
                    <a:lumOff val="35000"/>
                  </a:schemeClr>
                </a:solidFill>
                <a:latin typeface="Arial Narrow" panose="020B0606020202030204" pitchFamily="34" charset="0"/>
                <a:ea typeface="+mn-ea"/>
                <a:cs typeface="+mn-cs"/>
              </a:defRPr>
            </a:pPr>
            <a:endParaRPr lang="es-PE"/>
          </a:p>
        </c:txPr>
        <c:crossAx val="-1522772224"/>
        <c:crosses val="autoZero"/>
        <c:auto val="1"/>
        <c:lblAlgn val="ctr"/>
        <c:lblOffset val="100"/>
        <c:noMultiLvlLbl val="0"/>
      </c:catAx>
      <c:valAx>
        <c:axId val="-1522772224"/>
        <c:scaling>
          <c:orientation val="minMax"/>
        </c:scaling>
        <c:delete val="1"/>
        <c:axPos val="l"/>
        <c:numFmt formatCode="General" sourceLinked="1"/>
        <c:majorTickMark val="out"/>
        <c:minorTickMark val="none"/>
        <c:tickLblPos val="nextTo"/>
        <c:crossAx val="-1522776032"/>
        <c:crosses val="autoZero"/>
        <c:crossBetween val="between"/>
      </c:valAx>
      <c:spPr>
        <a:noFill/>
        <a:ln>
          <a:noFill/>
        </a:ln>
        <a:effectLst/>
      </c:spPr>
    </c:plotArea>
    <c:plotVisOnly val="1"/>
    <c:dispBlanksAs val="gap"/>
    <c:showDLblsOverMax val="0"/>
  </c:chart>
  <c:spPr>
    <a:solidFill>
      <a:schemeClr val="bg1"/>
    </a:solidFill>
    <a:ln w="12700" cap="flat" cmpd="sng" algn="ctr">
      <a:noFill/>
      <a:round/>
    </a:ln>
    <a:effectLst/>
  </c:spPr>
  <c:txPr>
    <a:bodyPr/>
    <a:lstStyle/>
    <a:p>
      <a:pPr>
        <a:defRPr/>
      </a:pPr>
      <a:endParaRPr lang="es-PE"/>
    </a:p>
  </c:txPr>
  <c:printSettings>
    <c:headerFooter/>
    <c:pageMargins b="0.75000000000000022" l="0.70000000000000018" r="0.70000000000000018" t="0.75000000000000022" header="0.3000000000000001" footer="0.30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ysClr val="windowText" lastClr="000000"/>
                </a:solidFill>
                <a:latin typeface="+mn-lt"/>
                <a:ea typeface="+mn-ea"/>
                <a:cs typeface="+mn-cs"/>
              </a:defRPr>
            </a:pPr>
            <a:r>
              <a:rPr lang="en-US" sz="900" b="1">
                <a:solidFill>
                  <a:sysClr val="windowText" lastClr="000000"/>
                </a:solidFill>
                <a:latin typeface="Arial Narrow" panose="020B0606020202030204" pitchFamily="34" charset="0"/>
              </a:rPr>
              <a:t>PUNO: POBLACIÓN</a:t>
            </a:r>
            <a:r>
              <a:rPr lang="en-US" sz="900" b="1" baseline="0">
                <a:solidFill>
                  <a:sysClr val="windowText" lastClr="000000"/>
                </a:solidFill>
                <a:latin typeface="Arial Narrow" panose="020B0606020202030204" pitchFamily="34" charset="0"/>
              </a:rPr>
              <a:t> PENAL,</a:t>
            </a:r>
            <a:r>
              <a:rPr lang="en-US" sz="900" b="1">
                <a:solidFill>
                  <a:sysClr val="windowText" lastClr="000000"/>
                </a:solidFill>
                <a:latin typeface="Arial Narrow" panose="020B0606020202030204" pitchFamily="34" charset="0"/>
              </a:rPr>
              <a:t> 2011 - 2023</a:t>
            </a:r>
          </a:p>
        </c:rich>
      </c:tx>
      <c:layout/>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1"/>
          <c:order val="0"/>
          <c:tx>
            <c:strRef>
              <c:f>'8.34'!$B$4:$D$4</c:f>
              <c:strCache>
                <c:ptCount val="1"/>
                <c:pt idx="0">
                  <c:v>Población Penal</c:v>
                </c:pt>
              </c:strCache>
            </c:strRef>
          </c:tx>
          <c:spPr>
            <a:solidFill>
              <a:srgbClr val="99FF99"/>
            </a:solidFill>
            <a:ln>
              <a:noFill/>
            </a:ln>
            <a:effectLst/>
            <a:sp3d/>
          </c:spPr>
          <c:invertIfNegative val="0"/>
          <c:dLbls>
            <c:spPr>
              <a:noFill/>
              <a:ln>
                <a:noFill/>
              </a:ln>
              <a:effectLst/>
            </c:spPr>
            <c:txPr>
              <a:bodyPr wrap="square" lIns="38100" tIns="19050" rIns="38100" bIns="19050" anchor="ctr">
                <a:spAutoFit/>
              </a:bodyPr>
              <a:lstStyle/>
              <a:p>
                <a:pPr>
                  <a:defRPr sz="800">
                    <a:latin typeface="Arial Narrow" panose="020B0606020202030204" pitchFamily="34" charset="0"/>
                  </a:defRPr>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'8.34'!$A$16:$A$34</c:f>
              <c:strCache>
                <c:ptCount val="12"/>
                <c:pt idx="0">
                  <c:v>2013</c:v>
                </c:pt>
                <c:pt idx="1">
                  <c:v>2014</c:v>
                </c:pt>
                <c:pt idx="2">
                  <c:v>2015</c:v>
                </c:pt>
                <c:pt idx="3">
                  <c:v>2016</c:v>
                </c:pt>
                <c:pt idx="4">
                  <c:v>2017</c:v>
                </c:pt>
                <c:pt idx="5">
                  <c:v>2018</c:v>
                </c:pt>
                <c:pt idx="6">
                  <c:v>2019</c:v>
                </c:pt>
                <c:pt idx="7">
                  <c:v>2020</c:v>
                </c:pt>
                <c:pt idx="8">
                  <c:v>2021</c:v>
                </c:pt>
                <c:pt idx="9">
                  <c:v>2022</c:v>
                </c:pt>
                <c:pt idx="10">
                  <c:v>2023</c:v>
                </c:pt>
                <c:pt idx="11">
                  <c:v>2024 a/</c:v>
                </c:pt>
              </c:strCache>
            </c:strRef>
          </c:cat>
          <c:val>
            <c:numRef>
              <c:f>'8.34'!$C$16:$C$34</c:f>
              <c:numCache>
                <c:formatCode>#\ ###\ ##0</c:formatCode>
                <c:ptCount val="12"/>
                <c:pt idx="0">
                  <c:v>1462</c:v>
                </c:pt>
                <c:pt idx="1">
                  <c:v>1614</c:v>
                </c:pt>
                <c:pt idx="2">
                  <c:v>1641</c:v>
                </c:pt>
                <c:pt idx="3">
                  <c:v>1904</c:v>
                </c:pt>
                <c:pt idx="4">
                  <c:v>1977</c:v>
                </c:pt>
                <c:pt idx="5">
                  <c:v>2272</c:v>
                </c:pt>
                <c:pt idx="6">
                  <c:v>2408</c:v>
                </c:pt>
                <c:pt idx="7" formatCode="#\ ##0">
                  <c:v>2208</c:v>
                </c:pt>
                <c:pt idx="8" formatCode="#\ ##0">
                  <c:v>2297</c:v>
                </c:pt>
                <c:pt idx="9" formatCode="#\ ##0">
                  <c:v>2363</c:v>
                </c:pt>
                <c:pt idx="10" formatCode="#\ ##0">
                  <c:v>2514</c:v>
                </c:pt>
                <c:pt idx="11" formatCode="#\ ##0">
                  <c:v>2581</c:v>
                </c:pt>
              </c:numCache>
            </c:numRef>
          </c:val>
          <c:extLst xmlns:c16r2="http://schemas.microsoft.com/office/drawing/2015/06/chart">
            <c:ext xmlns:c16="http://schemas.microsoft.com/office/drawing/2014/chart" uri="{C3380CC4-5D6E-409C-BE32-E72D297353CC}">
              <c16:uniqueId val="{00000000-A8C5-4505-9EBD-582111BA8A30}"/>
            </c:ext>
          </c:extLst>
        </c:ser>
        <c:dLbls>
          <c:showLegendKey val="0"/>
          <c:showVal val="1"/>
          <c:showCatName val="0"/>
          <c:showSerName val="0"/>
          <c:showPercent val="0"/>
          <c:showBubbleSize val="0"/>
        </c:dLbls>
        <c:gapWidth val="150"/>
        <c:shape val="box"/>
        <c:axId val="-1522775488"/>
        <c:axId val="-1522777120"/>
        <c:axId val="0"/>
      </c:bar3DChart>
      <c:catAx>
        <c:axId val="-1522775488"/>
        <c:scaling>
          <c:orientation val="minMax"/>
        </c:scaling>
        <c:delete val="0"/>
        <c:axPos val="b"/>
        <c:title>
          <c:tx>
            <c:rich>
              <a:bodyPr/>
              <a:lstStyle/>
              <a:p>
                <a:pPr>
                  <a:defRPr sz="700">
                    <a:latin typeface="Arial Narrow" panose="020B0606020202030204" pitchFamily="34" charset="0"/>
                  </a:defRPr>
                </a:pPr>
                <a:r>
                  <a:rPr lang="es-PE" sz="700">
                    <a:latin typeface="Arial Narrow" panose="020B0606020202030204" pitchFamily="34" charset="0"/>
                  </a:rPr>
                  <a:t>Fuente: INPE Sistema de Información Estadistica Penitenciaria</a:t>
                </a:r>
              </a:p>
            </c:rich>
          </c:tx>
          <c:layout>
            <c:manualLayout>
              <c:xMode val="edge"/>
              <c:yMode val="edge"/>
              <c:x val="2.4926203904078133E-2"/>
              <c:y val="0.92219475358876235"/>
            </c:manualLayout>
          </c:layout>
          <c:overlay val="0"/>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Narrow" panose="020B0606020202030204" pitchFamily="34" charset="0"/>
                <a:ea typeface="+mn-ea"/>
                <a:cs typeface="+mn-cs"/>
              </a:defRPr>
            </a:pPr>
            <a:endParaRPr lang="es-PE"/>
          </a:p>
        </c:txPr>
        <c:crossAx val="-1522777120"/>
        <c:crosses val="autoZero"/>
        <c:auto val="1"/>
        <c:lblAlgn val="ctr"/>
        <c:lblOffset val="100"/>
        <c:noMultiLvlLbl val="0"/>
      </c:catAx>
      <c:valAx>
        <c:axId val="-1522777120"/>
        <c:scaling>
          <c:orientation val="minMax"/>
        </c:scaling>
        <c:delete val="1"/>
        <c:axPos val="l"/>
        <c:numFmt formatCode="#\ ###\ ##0" sourceLinked="1"/>
        <c:majorTickMark val="none"/>
        <c:minorTickMark val="none"/>
        <c:tickLblPos val="nextTo"/>
        <c:crossAx val="-152277548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PE"/>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xdr:from>
      <xdr:col>0</xdr:col>
      <xdr:colOff>0</xdr:colOff>
      <xdr:row>39</xdr:row>
      <xdr:rowOff>75466</xdr:rowOff>
    </xdr:from>
    <xdr:to>
      <xdr:col>2</xdr:col>
      <xdr:colOff>2034887</xdr:colOff>
      <xdr:row>58</xdr:row>
      <xdr:rowOff>138545</xdr:rowOff>
    </xdr:to>
    <xdr:graphicFrame macro="">
      <xdr:nvGraphicFramePr>
        <xdr:cNvPr id="3" name="2 Gráfico">
          <a:extLst>
            <a:ext uri="{FF2B5EF4-FFF2-40B4-BE49-F238E27FC236}">
              <a16:creationId xmlns=""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42</xdr:row>
      <xdr:rowOff>111125</xdr:rowOff>
    </xdr:from>
    <xdr:to>
      <xdr:col>3</xdr:col>
      <xdr:colOff>1285875</xdr:colOff>
      <xdr:row>63</xdr:row>
      <xdr:rowOff>74542</xdr:rowOff>
    </xdr:to>
    <xdr:graphicFrame macro="">
      <xdr:nvGraphicFramePr>
        <xdr:cNvPr id="5" name="4 Gráfico">
          <a:extLst>
            <a:ext uri="{FF2B5EF4-FFF2-40B4-BE49-F238E27FC236}">
              <a16:creationId xmlns="" xmlns:a16="http://schemas.microsoft.com/office/drawing/2014/main" id="{00000000-0008-0000-03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342900</xdr:colOff>
      <xdr:row>90</xdr:row>
      <xdr:rowOff>28575</xdr:rowOff>
    </xdr:from>
    <xdr:to>
      <xdr:col>22</xdr:col>
      <xdr:colOff>19051</xdr:colOff>
      <xdr:row>104</xdr:row>
      <xdr:rowOff>152400</xdr:rowOff>
    </xdr:to>
    <xdr:graphicFrame macro="">
      <xdr:nvGraphicFramePr>
        <xdr:cNvPr id="2" name="Gráfico 1">
          <a:extLst>
            <a:ext uri="{FF2B5EF4-FFF2-40B4-BE49-F238E27FC236}">
              <a16:creationId xmlns=""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133350</xdr:colOff>
      <xdr:row>24</xdr:row>
      <xdr:rowOff>85725</xdr:rowOff>
    </xdr:from>
    <xdr:to>
      <xdr:col>6</xdr:col>
      <xdr:colOff>85726</xdr:colOff>
      <xdr:row>45</xdr:row>
      <xdr:rowOff>107372</xdr:rowOff>
    </xdr:to>
    <xdr:graphicFrame macro="">
      <xdr:nvGraphicFramePr>
        <xdr:cNvPr id="6001" name="3 Gráfico">
          <a:extLst>
            <a:ext uri="{FF2B5EF4-FFF2-40B4-BE49-F238E27FC236}">
              <a16:creationId xmlns="" xmlns:a16="http://schemas.microsoft.com/office/drawing/2014/main" id="{00000000-0008-0000-0F00-0000711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52553</xdr:colOff>
      <xdr:row>41</xdr:row>
      <xdr:rowOff>68974</xdr:rowOff>
    </xdr:from>
    <xdr:to>
      <xdr:col>10</xdr:col>
      <xdr:colOff>373062</xdr:colOff>
      <xdr:row>59</xdr:row>
      <xdr:rowOff>25724</xdr:rowOff>
    </xdr:to>
    <xdr:graphicFrame macro="">
      <xdr:nvGraphicFramePr>
        <xdr:cNvPr id="3" name="2 Gráfico">
          <a:extLst>
            <a:ext uri="{FF2B5EF4-FFF2-40B4-BE49-F238E27FC236}">
              <a16:creationId xmlns="" xmlns:a16="http://schemas.microsoft.com/office/drawing/2014/main" id="{00000000-0008-0000-1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309563</xdr:colOff>
      <xdr:row>34</xdr:row>
      <xdr:rowOff>55966</xdr:rowOff>
    </xdr:from>
    <xdr:to>
      <xdr:col>9</xdr:col>
      <xdr:colOff>357188</xdr:colOff>
      <xdr:row>55</xdr:row>
      <xdr:rowOff>4863</xdr:rowOff>
    </xdr:to>
    <xdr:graphicFrame macro="">
      <xdr:nvGraphicFramePr>
        <xdr:cNvPr id="185316" name="2 Gráfico">
          <a:extLst>
            <a:ext uri="{FF2B5EF4-FFF2-40B4-BE49-F238E27FC236}">
              <a16:creationId xmlns="" xmlns:a16="http://schemas.microsoft.com/office/drawing/2014/main" id="{00000000-0008-0000-1500-0000E4D30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209550</xdr:colOff>
      <xdr:row>14</xdr:row>
      <xdr:rowOff>80963</xdr:rowOff>
    </xdr:from>
    <xdr:to>
      <xdr:col>23</xdr:col>
      <xdr:colOff>257175</xdr:colOff>
      <xdr:row>30</xdr:row>
      <xdr:rowOff>242888</xdr:rowOff>
    </xdr:to>
    <xdr:graphicFrame macro="">
      <xdr:nvGraphicFramePr>
        <xdr:cNvPr id="3" name="Gráfico 2">
          <a:extLst>
            <a:ext uri="{FF2B5EF4-FFF2-40B4-BE49-F238E27FC236}">
              <a16:creationId xmlns="" xmlns:a16="http://schemas.microsoft.com/office/drawing/2014/main" id="{00000000-0008-0000-1E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65809</xdr:colOff>
      <xdr:row>38</xdr:row>
      <xdr:rowOff>95250</xdr:rowOff>
    </xdr:from>
    <xdr:to>
      <xdr:col>4</xdr:col>
      <xdr:colOff>350520</xdr:colOff>
      <xdr:row>62</xdr:row>
      <xdr:rowOff>76200</xdr:rowOff>
    </xdr:to>
    <xdr:graphicFrame macro="">
      <xdr:nvGraphicFramePr>
        <xdr:cNvPr id="2" name="Gráfico 1">
          <a:extLst>
            <a:ext uri="{FF2B5EF4-FFF2-40B4-BE49-F238E27FC236}">
              <a16:creationId xmlns="" xmlns:a16="http://schemas.microsoft.com/office/drawing/2014/main" id="{00000000-0008-0000-2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16</xdr:col>
      <xdr:colOff>0</xdr:colOff>
      <xdr:row>81</xdr:row>
      <xdr:rowOff>0</xdr:rowOff>
    </xdr:from>
    <xdr:to>
      <xdr:col>16</xdr:col>
      <xdr:colOff>85725</xdr:colOff>
      <xdr:row>81</xdr:row>
      <xdr:rowOff>85725</xdr:rowOff>
    </xdr:to>
    <xdr:pic>
      <xdr:nvPicPr>
        <xdr:cNvPr id="18" name="Imagen 17" descr="+">
          <a:extLst>
            <a:ext uri="{FF2B5EF4-FFF2-40B4-BE49-F238E27FC236}">
              <a16:creationId xmlns="" xmlns:a16="http://schemas.microsoft.com/office/drawing/2014/main" id="{F3FCD04F-A31C-4BD0-958D-4F7871E87A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0" y="1219200"/>
          <a:ext cx="85725"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0</xdr:colOff>
      <xdr:row>81</xdr:row>
      <xdr:rowOff>0</xdr:rowOff>
    </xdr:from>
    <xdr:to>
      <xdr:col>16</xdr:col>
      <xdr:colOff>85725</xdr:colOff>
      <xdr:row>81</xdr:row>
      <xdr:rowOff>85725</xdr:rowOff>
    </xdr:to>
    <xdr:pic>
      <xdr:nvPicPr>
        <xdr:cNvPr id="19" name="Imagen 18" descr="+">
          <a:extLst>
            <a:ext uri="{FF2B5EF4-FFF2-40B4-BE49-F238E27FC236}">
              <a16:creationId xmlns="" xmlns:a16="http://schemas.microsoft.com/office/drawing/2014/main" id="{B1B6A0E5-AFC3-48C9-ACDC-FF84BCCBD7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0" y="1219200"/>
          <a:ext cx="85725"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0</xdr:colOff>
      <xdr:row>81</xdr:row>
      <xdr:rowOff>0</xdr:rowOff>
    </xdr:from>
    <xdr:to>
      <xdr:col>16</xdr:col>
      <xdr:colOff>85725</xdr:colOff>
      <xdr:row>81</xdr:row>
      <xdr:rowOff>85725</xdr:rowOff>
    </xdr:to>
    <xdr:pic>
      <xdr:nvPicPr>
        <xdr:cNvPr id="20" name="Imagen 19" descr="+">
          <a:extLst>
            <a:ext uri="{FF2B5EF4-FFF2-40B4-BE49-F238E27FC236}">
              <a16:creationId xmlns="" xmlns:a16="http://schemas.microsoft.com/office/drawing/2014/main" id="{E8DD8848-2EFC-4A28-82D9-850DE85D4B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0" y="1219200"/>
          <a:ext cx="85725"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0</xdr:colOff>
      <xdr:row>81</xdr:row>
      <xdr:rowOff>0</xdr:rowOff>
    </xdr:from>
    <xdr:to>
      <xdr:col>16</xdr:col>
      <xdr:colOff>85725</xdr:colOff>
      <xdr:row>81</xdr:row>
      <xdr:rowOff>85725</xdr:rowOff>
    </xdr:to>
    <xdr:pic>
      <xdr:nvPicPr>
        <xdr:cNvPr id="21" name="Imagen 20" descr="+">
          <a:extLst>
            <a:ext uri="{FF2B5EF4-FFF2-40B4-BE49-F238E27FC236}">
              <a16:creationId xmlns="" xmlns:a16="http://schemas.microsoft.com/office/drawing/2014/main" id="{BAC2989E-B342-4AAF-848C-1593C1BB94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0" y="1219200"/>
          <a:ext cx="85725"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0</xdr:colOff>
      <xdr:row>81</xdr:row>
      <xdr:rowOff>0</xdr:rowOff>
    </xdr:from>
    <xdr:to>
      <xdr:col>16</xdr:col>
      <xdr:colOff>85725</xdr:colOff>
      <xdr:row>81</xdr:row>
      <xdr:rowOff>85725</xdr:rowOff>
    </xdr:to>
    <xdr:pic>
      <xdr:nvPicPr>
        <xdr:cNvPr id="22" name="Imagen 21" descr="+">
          <a:extLst>
            <a:ext uri="{FF2B5EF4-FFF2-40B4-BE49-F238E27FC236}">
              <a16:creationId xmlns="" xmlns:a16="http://schemas.microsoft.com/office/drawing/2014/main" id="{037F52FA-36F4-45E0-BAC4-FCFBC25D08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0" y="1219200"/>
          <a:ext cx="85725"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0</xdr:colOff>
      <xdr:row>81</xdr:row>
      <xdr:rowOff>0</xdr:rowOff>
    </xdr:from>
    <xdr:to>
      <xdr:col>16</xdr:col>
      <xdr:colOff>85725</xdr:colOff>
      <xdr:row>81</xdr:row>
      <xdr:rowOff>85725</xdr:rowOff>
    </xdr:to>
    <xdr:pic>
      <xdr:nvPicPr>
        <xdr:cNvPr id="23" name="Imagen 22" descr="+">
          <a:extLst>
            <a:ext uri="{FF2B5EF4-FFF2-40B4-BE49-F238E27FC236}">
              <a16:creationId xmlns="" xmlns:a16="http://schemas.microsoft.com/office/drawing/2014/main" id="{6108D904-32E0-40E5-8410-E1FC6BCCFC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0" y="1219200"/>
          <a:ext cx="85725"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Cuadrícula">
  <a:themeElements>
    <a:clrScheme name="Cuadrícula">
      <a:dk1>
        <a:sysClr val="windowText" lastClr="000000"/>
      </a:dk1>
      <a:lt1>
        <a:sysClr val="window" lastClr="FFFFFF"/>
      </a:lt1>
      <a:dk2>
        <a:srgbClr val="534949"/>
      </a:dk2>
      <a:lt2>
        <a:srgbClr val="CCD1B9"/>
      </a:lt2>
      <a:accent1>
        <a:srgbClr val="C66951"/>
      </a:accent1>
      <a:accent2>
        <a:srgbClr val="BF974D"/>
      </a:accent2>
      <a:accent3>
        <a:srgbClr val="928B70"/>
      </a:accent3>
      <a:accent4>
        <a:srgbClr val="87706B"/>
      </a:accent4>
      <a:accent5>
        <a:srgbClr val="94734E"/>
      </a:accent5>
      <a:accent6>
        <a:srgbClr val="6F777D"/>
      </a:accent6>
      <a:hlink>
        <a:srgbClr val="CC9900"/>
      </a:hlink>
      <a:folHlink>
        <a:srgbClr val="C0C0C0"/>
      </a:folHlink>
    </a:clrScheme>
    <a:fontScheme name="Cuadrícula">
      <a:majorFont>
        <a:latin typeface="Franklin Gothic Medium"/>
        <a:ea typeface=""/>
        <a:cs typeface=""/>
        <a:font script="Jpan" typeface="HG創英角ｺﾞｼｯｸUB"/>
        <a:font script="Hang" typeface="HY견고딕"/>
        <a:font script="Hans" typeface="微软雅黑"/>
        <a:font script="Hant" typeface="微軟正黑體"/>
        <a:font script="Arab" typeface="Arial Bold"/>
        <a:font script="Hebr" typeface="Arial Bold"/>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Bold"/>
        <a:font script="Uigh" typeface="Microsoft Uighur"/>
        <a:font script="Geor" typeface="Sylfaen"/>
      </a:majorFont>
      <a:minorFont>
        <a:latin typeface="Franklin Gothic Medium"/>
        <a:ea typeface=""/>
        <a:cs typeface=""/>
        <a:font script="Jpan" typeface="HG創英角ｺﾞｼｯｸUB"/>
        <a:font script="Hang" typeface="HY견고딕"/>
        <a:font script="Hans" typeface="微软雅黑"/>
        <a:font script="Hant" typeface="微軟正黑體"/>
        <a:font script="Arab" typeface="Arial Bold"/>
        <a:font script="Hebr" typeface="Arial Bold"/>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Bold"/>
        <a:font script="Uigh" typeface="Microsoft Uighur"/>
        <a:font script="Geor" typeface="Sylfaen"/>
      </a:minorFont>
    </a:fontScheme>
    <a:fmtScheme name="Cuadrícula">
      <a:fillStyleLst>
        <a:solidFill>
          <a:schemeClr val="phClr"/>
        </a:solidFill>
        <a:solidFill>
          <a:schemeClr val="phClr">
            <a:tint val="50000"/>
          </a:schemeClr>
        </a:solidFill>
        <a:gradFill rotWithShape="1">
          <a:gsLst>
            <a:gs pos="0">
              <a:schemeClr val="phClr"/>
            </a:gs>
            <a:gs pos="90000">
              <a:schemeClr val="phClr">
                <a:shade val="100000"/>
              </a:schemeClr>
            </a:gs>
            <a:gs pos="100000">
              <a:schemeClr val="phClr">
                <a:shade val="85000"/>
              </a:schemeClr>
            </a:gs>
          </a:gsLst>
          <a:path path="circle">
            <a:fillToRect l="100000" t="100000" r="100000" b="100000"/>
          </a:path>
        </a:gra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effectStyle>
        <a:effectStyle>
          <a:effectLst>
            <a:outerShdw blurRad="31750" dist="25400" dir="5400000" rotWithShape="0">
              <a:srgbClr val="000000">
                <a:alpha val="50000"/>
              </a:srgbClr>
            </a:outerShdw>
          </a:effectLst>
        </a:effectStyle>
        <a:effectStyle>
          <a:effectLst>
            <a:outerShdw blurRad="38100" dist="25400" dir="5400000" rotWithShape="0">
              <a:srgbClr val="000000">
                <a:alpha val="45000"/>
              </a:srgbClr>
            </a:outerShdw>
          </a:effectLst>
          <a:scene3d>
            <a:camera prst="orthographicFront">
              <a:rot lat="0" lon="0" rev="0"/>
            </a:camera>
            <a:lightRig rig="brightRoom" dir="t"/>
          </a:scene3d>
          <a:sp3d extrusionH="12700" contourW="25400" prstMaterial="flat">
            <a:bevelT w="63500" h="152400" prst="angle"/>
            <a:contourClr>
              <a:schemeClr val="phClr">
                <a:shade val="30000"/>
              </a:schemeClr>
            </a:contourClr>
          </a:sp3d>
        </a:effectStyle>
      </a:effectStyleLst>
      <a:bgFillStyleLst>
        <a:solidFill>
          <a:schemeClr val="phClr"/>
        </a:solidFill>
        <a:solidFill>
          <a:schemeClr val="phClr">
            <a:tint val="90000"/>
            <a:shade val="93000"/>
            <a:satMod val="150000"/>
          </a:schemeClr>
        </a:solidFill>
        <a:blipFill rotWithShape="1">
          <a:blip xmlns:r="http://schemas.openxmlformats.org/officeDocument/2006/relationships" r:embed="rId1">
            <a:duotone>
              <a:schemeClr val="phClr">
                <a:tint val="95000"/>
              </a:schemeClr>
              <a:schemeClr val="phClr">
                <a:shade val="93000"/>
                <a:satMod val="11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74"/>
  <sheetViews>
    <sheetView showGridLines="0" tabSelected="1" zoomScaleNormal="100" workbookViewId="0"/>
  </sheetViews>
  <sheetFormatPr baseColWidth="10" defaultRowHeight="12.75"/>
  <cols>
    <col min="1" max="1" width="139.85546875" customWidth="1"/>
  </cols>
  <sheetData>
    <row r="1" spans="1:49" ht="18.75" customHeight="1">
      <c r="A1" s="168" t="s">
        <v>263</v>
      </c>
      <c r="B1" s="97"/>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c r="AT1" s="97"/>
      <c r="AU1" s="97"/>
      <c r="AV1" s="97"/>
      <c r="AW1" s="97"/>
    </row>
    <row r="2" spans="1:49" s="938" customFormat="1" ht="15.75" customHeight="1">
      <c r="A2" s="1304" t="str">
        <f>TRIM('8.1'!A1)</f>
        <v>8.1 PUNO: FALTAS Y DELITOS, SEGÚN ÁMBITO GEOGRÁFICO, 2018 - 2023</v>
      </c>
      <c r="B2" s="937"/>
      <c r="C2" s="937"/>
      <c r="D2" s="937"/>
      <c r="E2" s="937"/>
      <c r="F2" s="937"/>
      <c r="G2" s="937"/>
      <c r="H2" s="937"/>
      <c r="I2" s="937"/>
      <c r="J2" s="937"/>
      <c r="K2" s="937"/>
      <c r="L2" s="937"/>
      <c r="M2" s="937"/>
      <c r="N2" s="937"/>
      <c r="O2" s="937"/>
      <c r="P2" s="937"/>
      <c r="Q2" s="937"/>
      <c r="R2" s="937"/>
      <c r="S2" s="937"/>
      <c r="T2" s="937"/>
      <c r="U2" s="937"/>
      <c r="V2" s="937"/>
      <c r="W2" s="937"/>
      <c r="X2" s="937"/>
      <c r="Y2" s="937"/>
      <c r="Z2" s="937"/>
      <c r="AA2" s="937"/>
      <c r="AB2" s="937"/>
      <c r="AC2" s="937"/>
      <c r="AD2" s="937"/>
      <c r="AE2" s="937"/>
      <c r="AF2" s="937"/>
      <c r="AG2" s="937"/>
      <c r="AH2" s="937"/>
      <c r="AI2" s="937"/>
      <c r="AJ2" s="937"/>
      <c r="AK2" s="937"/>
      <c r="AL2" s="937"/>
      <c r="AM2" s="937"/>
      <c r="AN2" s="937"/>
      <c r="AO2" s="937"/>
      <c r="AP2" s="937"/>
      <c r="AQ2" s="937"/>
      <c r="AR2" s="937"/>
      <c r="AS2" s="937"/>
      <c r="AT2" s="937"/>
      <c r="AU2" s="937"/>
      <c r="AV2" s="937"/>
      <c r="AW2" s="937"/>
    </row>
    <row r="3" spans="1:49" s="938" customFormat="1" ht="15.75" customHeight="1">
      <c r="A3" s="1304" t="str">
        <f>TRIM('8.2'!A1)</f>
        <v>8.2 PUNO: DETENIDOS POR DELITOS Y FALTAS REGISTRADAS EN LA POLICÍA NACIONAL, 1994 - 2023</v>
      </c>
      <c r="B3" s="937"/>
      <c r="C3" s="937"/>
      <c r="D3" s="474"/>
      <c r="E3" s="937"/>
      <c r="F3" s="937"/>
      <c r="G3" s="937"/>
      <c r="H3" s="937"/>
      <c r="I3" s="937"/>
      <c r="J3" s="937"/>
      <c r="K3" s="937"/>
      <c r="L3" s="937"/>
      <c r="M3" s="937"/>
      <c r="N3" s="937"/>
      <c r="O3" s="937"/>
      <c r="P3" s="937"/>
      <c r="Q3" s="937"/>
      <c r="R3" s="937"/>
      <c r="S3" s="937"/>
      <c r="T3" s="937"/>
      <c r="U3" s="937"/>
      <c r="V3" s="937"/>
      <c r="W3" s="937"/>
      <c r="X3" s="937"/>
      <c r="Y3" s="937"/>
      <c r="Z3" s="937"/>
      <c r="AA3" s="937"/>
      <c r="AB3" s="937"/>
      <c r="AC3" s="937"/>
      <c r="AD3" s="937"/>
      <c r="AE3" s="937"/>
      <c r="AF3" s="937"/>
      <c r="AG3" s="937"/>
      <c r="AH3" s="937"/>
      <c r="AI3" s="937"/>
      <c r="AJ3" s="937"/>
      <c r="AK3" s="937"/>
      <c r="AL3" s="937"/>
      <c r="AM3" s="937"/>
      <c r="AN3" s="937"/>
      <c r="AO3" s="937"/>
      <c r="AP3" s="937"/>
      <c r="AQ3" s="937"/>
      <c r="AR3" s="937"/>
      <c r="AS3" s="937"/>
      <c r="AT3" s="937"/>
      <c r="AU3" s="937"/>
      <c r="AV3" s="937"/>
      <c r="AW3" s="937"/>
    </row>
    <row r="4" spans="1:49" s="938" customFormat="1" ht="15.75" customHeight="1">
      <c r="A4" s="1304" t="str">
        <f>TRIM('8.3'!A1&amp;'8.3'!A2)</f>
        <v>8.3 PUNO: DENUNCIAS POR DELITOS REGISTRADOS EN LA POLICÍA NACIONAL, EN EL PAÍS Y DEPARTAMENTO, 1994 - 2023</v>
      </c>
      <c r="B4" s="937"/>
      <c r="C4" s="937"/>
      <c r="D4" s="937"/>
      <c r="E4" s="937"/>
      <c r="F4" s="937"/>
      <c r="G4" s="937"/>
      <c r="H4" s="937"/>
      <c r="I4" s="937"/>
      <c r="J4" s="937"/>
      <c r="K4" s="937"/>
      <c r="L4" s="937"/>
      <c r="M4" s="937"/>
      <c r="N4" s="937"/>
      <c r="O4" s="937"/>
      <c r="P4" s="937"/>
      <c r="Q4" s="937"/>
      <c r="R4" s="937"/>
      <c r="S4" s="937"/>
      <c r="T4" s="937"/>
      <c r="U4" s="937"/>
      <c r="V4" s="937"/>
      <c r="W4" s="937"/>
      <c r="X4" s="937"/>
      <c r="Y4" s="937"/>
      <c r="Z4" s="937"/>
      <c r="AA4" s="937"/>
      <c r="AB4" s="937"/>
      <c r="AC4" s="937"/>
      <c r="AD4" s="937"/>
      <c r="AE4" s="937"/>
      <c r="AF4" s="937"/>
      <c r="AG4" s="937"/>
      <c r="AH4" s="937"/>
      <c r="AI4" s="937"/>
      <c r="AJ4" s="937"/>
      <c r="AK4" s="937"/>
      <c r="AL4" s="937"/>
      <c r="AM4" s="937"/>
      <c r="AN4" s="937"/>
      <c r="AO4" s="937"/>
      <c r="AP4" s="937"/>
      <c r="AQ4" s="937"/>
      <c r="AR4" s="937"/>
      <c r="AS4" s="937"/>
      <c r="AT4" s="937"/>
      <c r="AU4" s="937"/>
      <c r="AV4" s="937"/>
      <c r="AW4" s="937"/>
    </row>
    <row r="5" spans="1:49" s="938" customFormat="1" ht="15.75" customHeight="1">
      <c r="A5" s="1304" t="str">
        <f>TRIM('8.4'!A1)</f>
        <v>8.4 PUNO: DENUNCIAS REGISTRADAS EN LA POLICÍA NACIONAL, SEGÚN TIPO DE DELITO, 2018 - 2023</v>
      </c>
      <c r="B5" s="937"/>
      <c r="C5" s="937"/>
      <c r="D5" s="937"/>
      <c r="E5" s="937"/>
      <c r="F5" s="937"/>
      <c r="G5" s="937"/>
      <c r="H5" s="937"/>
      <c r="I5" s="937"/>
      <c r="J5" s="937"/>
      <c r="K5" s="937"/>
      <c r="L5" s="937"/>
      <c r="M5" s="937"/>
      <c r="N5" s="937"/>
      <c r="O5" s="937"/>
      <c r="P5" s="937"/>
      <c r="Q5" s="937"/>
      <c r="R5" s="937"/>
      <c r="S5" s="937"/>
      <c r="T5" s="937"/>
      <c r="U5" s="937"/>
      <c r="V5" s="937"/>
      <c r="W5" s="937"/>
      <c r="X5" s="937"/>
      <c r="Y5" s="937"/>
      <c r="Z5" s="937"/>
      <c r="AA5" s="937"/>
      <c r="AB5" s="937"/>
      <c r="AC5" s="937"/>
      <c r="AD5" s="937"/>
      <c r="AE5" s="937"/>
      <c r="AF5" s="937"/>
      <c r="AG5" s="937"/>
      <c r="AH5" s="937"/>
      <c r="AI5" s="937"/>
      <c r="AJ5" s="937"/>
      <c r="AK5" s="937"/>
      <c r="AL5" s="937"/>
      <c r="AM5" s="937"/>
      <c r="AN5" s="937"/>
      <c r="AO5" s="937"/>
      <c r="AP5" s="937"/>
      <c r="AQ5" s="937"/>
      <c r="AR5" s="937"/>
      <c r="AS5" s="937"/>
      <c r="AT5" s="937"/>
      <c r="AU5" s="937"/>
      <c r="AV5" s="937"/>
      <c r="AW5" s="937"/>
    </row>
    <row r="6" spans="1:49" s="938" customFormat="1" ht="15.75" customHeight="1">
      <c r="A6" s="1304" t="str">
        <f>TRIM('8.5'!A1)</f>
        <v>8.5 PUNO: FALTAS REGISTRADAS POR LA POLICÍA NACIONAL, SEGÚN TIPO DE FALTA, 2019 - 2023</v>
      </c>
      <c r="B6" s="937"/>
      <c r="C6" s="937"/>
      <c r="D6" s="937"/>
      <c r="E6" s="937"/>
      <c r="F6" s="937"/>
      <c r="G6" s="937"/>
      <c r="H6" s="937"/>
      <c r="I6" s="937"/>
      <c r="J6" s="937"/>
      <c r="K6" s="937"/>
      <c r="L6" s="937"/>
      <c r="M6" s="937"/>
      <c r="N6" s="937"/>
      <c r="O6" s="937"/>
      <c r="P6" s="937"/>
      <c r="Q6" s="937"/>
      <c r="R6" s="937"/>
      <c r="S6" s="937"/>
      <c r="T6" s="937"/>
      <c r="U6" s="937"/>
      <c r="V6" s="937"/>
      <c r="W6" s="937"/>
      <c r="X6" s="937"/>
      <c r="Y6" s="937"/>
      <c r="Z6" s="937"/>
      <c r="AA6" s="937"/>
      <c r="AB6" s="937"/>
      <c r="AC6" s="937"/>
      <c r="AD6" s="937"/>
      <c r="AE6" s="937"/>
      <c r="AF6" s="937"/>
      <c r="AG6" s="937"/>
      <c r="AH6" s="937"/>
      <c r="AI6" s="937"/>
      <c r="AJ6" s="937"/>
      <c r="AK6" s="937"/>
      <c r="AL6" s="937"/>
      <c r="AM6" s="937"/>
      <c r="AN6" s="937"/>
      <c r="AO6" s="937"/>
      <c r="AP6" s="937"/>
      <c r="AQ6" s="937"/>
      <c r="AR6" s="937"/>
      <c r="AS6" s="937"/>
      <c r="AT6" s="937"/>
      <c r="AU6" s="937"/>
      <c r="AV6" s="937"/>
      <c r="AW6" s="937"/>
    </row>
    <row r="7" spans="1:49" s="938" customFormat="1" ht="15.75" customHeight="1">
      <c r="A7" s="1304" t="str">
        <f>TRIM('8.6'!A1:L1)</f>
        <v>8.6 PUNO: BANDAS DELICTIVAS DESARTICULADAS, SEGÚN ÁMBITO GEOGRÁFICO, 2018 - 2023</v>
      </c>
      <c r="B7" s="937"/>
      <c r="C7" s="937"/>
      <c r="D7" s="937"/>
      <c r="E7" s="937"/>
      <c r="F7" s="937"/>
      <c r="G7" s="937"/>
      <c r="H7" s="937"/>
      <c r="I7" s="937"/>
      <c r="J7" s="937"/>
      <c r="K7" s="937"/>
      <c r="L7" s="937"/>
      <c r="M7" s="937"/>
      <c r="N7" s="937"/>
      <c r="O7" s="937"/>
      <c r="P7" s="937"/>
      <c r="Q7" s="937"/>
      <c r="R7" s="937"/>
      <c r="S7" s="937"/>
      <c r="T7" s="937"/>
      <c r="U7" s="937"/>
      <c r="V7" s="937"/>
      <c r="W7" s="937"/>
      <c r="X7" s="937"/>
      <c r="Y7" s="937"/>
      <c r="Z7" s="937"/>
      <c r="AA7" s="937"/>
      <c r="AB7" s="937"/>
      <c r="AC7" s="937"/>
      <c r="AD7" s="937"/>
      <c r="AE7" s="937"/>
      <c r="AF7" s="937"/>
      <c r="AG7" s="937"/>
      <c r="AH7" s="937"/>
      <c r="AI7" s="937"/>
      <c r="AJ7" s="937"/>
      <c r="AK7" s="937"/>
      <c r="AL7" s="937"/>
      <c r="AM7" s="937"/>
      <c r="AN7" s="937"/>
      <c r="AO7" s="937"/>
      <c r="AP7" s="937"/>
      <c r="AQ7" s="937"/>
      <c r="AR7" s="937"/>
      <c r="AS7" s="937"/>
      <c r="AT7" s="937"/>
      <c r="AU7" s="937"/>
      <c r="AV7" s="937"/>
      <c r="AW7" s="937"/>
    </row>
    <row r="8" spans="1:49" s="938" customFormat="1" ht="15.75" customHeight="1">
      <c r="A8" s="1304" t="str">
        <f>TRIM('8.7'!A1:N1)</f>
        <v>8.7 PUNO: DENUNCIAS REGISTRADAS POR DELITO DE TRATA DE PERSONAS, SEGÚN DISTRITO
 FISCAL, 2018 - 2023</v>
      </c>
      <c r="B8" s="937"/>
      <c r="C8" s="937"/>
      <c r="D8" s="937"/>
      <c r="E8" s="937"/>
      <c r="F8" s="937"/>
      <c r="G8" s="937"/>
      <c r="H8" s="937"/>
      <c r="I8" s="937"/>
      <c r="J8" s="937"/>
      <c r="K8" s="937"/>
      <c r="L8" s="937"/>
      <c r="M8" s="937"/>
      <c r="N8" s="937"/>
      <c r="O8" s="937"/>
      <c r="P8" s="937"/>
      <c r="Q8" s="937"/>
      <c r="R8" s="937"/>
      <c r="S8" s="937"/>
      <c r="T8" s="937"/>
      <c r="U8" s="937"/>
      <c r="V8" s="937"/>
      <c r="W8" s="937"/>
      <c r="X8" s="937"/>
      <c r="Y8" s="937"/>
      <c r="Z8" s="937"/>
      <c r="AA8" s="937"/>
      <c r="AB8" s="937"/>
      <c r="AC8" s="937"/>
      <c r="AD8" s="937"/>
      <c r="AE8" s="937"/>
      <c r="AF8" s="937"/>
      <c r="AG8" s="937"/>
      <c r="AH8" s="937"/>
      <c r="AI8" s="937"/>
      <c r="AJ8" s="937"/>
      <c r="AK8" s="937"/>
      <c r="AL8" s="937"/>
      <c r="AM8" s="937"/>
      <c r="AN8" s="937"/>
      <c r="AO8" s="937"/>
      <c r="AP8" s="937"/>
      <c r="AQ8" s="937"/>
      <c r="AR8" s="937"/>
      <c r="AS8" s="937"/>
      <c r="AT8" s="937"/>
      <c r="AU8" s="937"/>
      <c r="AV8" s="937"/>
      <c r="AW8" s="937"/>
    </row>
    <row r="9" spans="1:49" s="938" customFormat="1" ht="15.75" customHeight="1">
      <c r="A9" s="1304" t="str">
        <f>TRIM('8.8'!A1:L1)</f>
        <v>8.8 PUNO: PERSONAS DESAPARECIDAS, SEGÚN ÁMBITO GEOGRÁFICO, 2016 - 2023</v>
      </c>
      <c r="B9" s="937"/>
      <c r="C9" s="937"/>
      <c r="D9" s="937"/>
      <c r="E9" s="937"/>
      <c r="F9" s="937"/>
      <c r="G9" s="937"/>
      <c r="H9" s="937"/>
      <c r="I9" s="937"/>
      <c r="J9" s="937"/>
      <c r="K9" s="937"/>
      <c r="L9" s="937"/>
      <c r="M9" s="937"/>
      <c r="N9" s="937"/>
      <c r="O9" s="937"/>
      <c r="P9" s="937"/>
      <c r="Q9" s="937"/>
      <c r="R9" s="937"/>
      <c r="S9" s="937"/>
      <c r="T9" s="937"/>
      <c r="U9" s="937"/>
      <c r="V9" s="937"/>
      <c r="W9" s="937"/>
      <c r="X9" s="937"/>
      <c r="Y9" s="937"/>
      <c r="Z9" s="937"/>
      <c r="AA9" s="937"/>
      <c r="AB9" s="937"/>
      <c r="AC9" s="937"/>
      <c r="AD9" s="937"/>
      <c r="AE9" s="937"/>
      <c r="AF9" s="937"/>
      <c r="AG9" s="937"/>
      <c r="AH9" s="937"/>
      <c r="AI9" s="937"/>
      <c r="AJ9" s="937"/>
      <c r="AK9" s="937"/>
      <c r="AL9" s="937"/>
      <c r="AM9" s="937"/>
      <c r="AN9" s="937"/>
      <c r="AO9" s="937"/>
      <c r="AP9" s="937"/>
      <c r="AQ9" s="937"/>
      <c r="AR9" s="937"/>
      <c r="AS9" s="937"/>
      <c r="AT9" s="937"/>
      <c r="AU9" s="937"/>
      <c r="AV9" s="937"/>
      <c r="AW9" s="937"/>
    </row>
    <row r="10" spans="1:49" s="938" customFormat="1" ht="15.75" customHeight="1">
      <c r="A10" s="1304" t="str">
        <f>TRIM('8.9'!A1:N1)</f>
        <v>8.9 PUNO: DENUNCIAS DE VIOLENCIA FAMILIAR, SEGÚN ÁMBITO GEOGRÁFICO Y TIPO, 2019 - 2023</v>
      </c>
      <c r="B10" s="937"/>
      <c r="C10" s="937"/>
      <c r="D10" s="937"/>
      <c r="E10" s="937"/>
      <c r="F10" s="937"/>
      <c r="G10" s="937"/>
      <c r="H10" s="937"/>
      <c r="I10" s="937"/>
      <c r="J10" s="937"/>
      <c r="K10" s="937"/>
      <c r="L10" s="937"/>
      <c r="M10" s="937"/>
      <c r="N10" s="937"/>
      <c r="O10" s="937"/>
      <c r="P10" s="937"/>
      <c r="Q10" s="937"/>
      <c r="R10" s="937"/>
      <c r="S10" s="937"/>
      <c r="T10" s="937"/>
      <c r="U10" s="937"/>
      <c r="V10" s="937"/>
      <c r="W10" s="937"/>
      <c r="X10" s="937"/>
      <c r="Y10" s="937"/>
      <c r="Z10" s="937"/>
      <c r="AA10" s="937"/>
      <c r="AB10" s="937"/>
      <c r="AC10" s="937"/>
      <c r="AD10" s="937"/>
      <c r="AE10" s="937"/>
      <c r="AF10" s="937"/>
      <c r="AG10" s="937"/>
      <c r="AH10" s="937"/>
      <c r="AI10" s="937"/>
      <c r="AJ10" s="937"/>
      <c r="AK10" s="937"/>
      <c r="AL10" s="937"/>
      <c r="AM10" s="937"/>
      <c r="AN10" s="937"/>
      <c r="AO10" s="937"/>
      <c r="AP10" s="937"/>
      <c r="AQ10" s="937"/>
      <c r="AR10" s="937"/>
      <c r="AS10" s="937"/>
      <c r="AT10" s="937"/>
      <c r="AU10" s="937"/>
      <c r="AV10" s="937"/>
      <c r="AW10" s="937"/>
    </row>
    <row r="11" spans="1:49" s="938" customFormat="1" ht="15.75" customHeight="1">
      <c r="A11" s="1304" t="str">
        <f>TRIM('8.10'!A1:L1)</f>
        <v>8.10 PUNO: DENUNCIAS POR VIOLENCIA SEXUAL A PERSONAS MENORES DE 18 AÑOS DE EDAD, SEGÚN ÁMBITO
 GEOGRÁFICO Y SEXO DE LA VÍCTIMA, 2018 - 2023</v>
      </c>
      <c r="B11" s="937"/>
      <c r="C11" s="937"/>
      <c r="D11" s="937"/>
      <c r="E11" s="937"/>
      <c r="F11" s="937"/>
      <c r="G11" s="937"/>
      <c r="H11" s="937"/>
      <c r="I11" s="937"/>
      <c r="J11" s="937"/>
      <c r="K11" s="937"/>
      <c r="L11" s="937"/>
      <c r="M11" s="937"/>
      <c r="N11" s="937"/>
      <c r="O11" s="937"/>
      <c r="P11" s="937"/>
      <c r="Q11" s="937"/>
      <c r="R11" s="937"/>
      <c r="S11" s="937"/>
      <c r="T11" s="937"/>
      <c r="U11" s="937"/>
      <c r="V11" s="937"/>
      <c r="W11" s="937"/>
      <c r="X11" s="937"/>
      <c r="Y11" s="937"/>
      <c r="Z11" s="937"/>
      <c r="AA11" s="937"/>
      <c r="AB11" s="937"/>
      <c r="AC11" s="937"/>
      <c r="AD11" s="937"/>
      <c r="AE11" s="937"/>
      <c r="AF11" s="937"/>
      <c r="AG11" s="937"/>
      <c r="AH11" s="937"/>
      <c r="AI11" s="937"/>
      <c r="AJ11" s="937"/>
      <c r="AK11" s="937"/>
      <c r="AL11" s="937"/>
      <c r="AM11" s="937"/>
      <c r="AN11" s="937"/>
      <c r="AO11" s="937"/>
      <c r="AP11" s="937"/>
      <c r="AQ11" s="937"/>
      <c r="AR11" s="937"/>
      <c r="AS11" s="937"/>
      <c r="AT11" s="937"/>
      <c r="AU11" s="937"/>
      <c r="AV11" s="937"/>
      <c r="AW11" s="937"/>
    </row>
    <row r="12" spans="1:49" s="938" customFormat="1" ht="15.75" customHeight="1">
      <c r="A12" s="1304" t="str">
        <f>TRIM('8.11-8.13'!A1:M1)</f>
        <v>8.11 PUNO: DENUNCIAS POR VIOLENCIA SEXUAL A PERSONAS DE 18 Y MÁS AÑOS DE EDAD, SEGÚN
 ÁMBITO GEOGRÁFICO Y SEXO DE LA VÍCTIMA, 2018 - 2023</v>
      </c>
      <c r="B12" s="937"/>
      <c r="C12" s="937"/>
      <c r="D12" s="937"/>
      <c r="E12" s="937"/>
      <c r="F12" s="937"/>
      <c r="G12" s="937"/>
      <c r="H12" s="937"/>
      <c r="I12" s="937"/>
      <c r="J12" s="937"/>
      <c r="K12" s="937"/>
      <c r="L12" s="937"/>
      <c r="M12" s="937"/>
      <c r="N12" s="937"/>
      <c r="O12" s="937"/>
      <c r="P12" s="937"/>
      <c r="Q12" s="937"/>
      <c r="R12" s="937"/>
      <c r="S12" s="937"/>
      <c r="T12" s="937"/>
      <c r="U12" s="937"/>
      <c r="V12" s="937"/>
      <c r="W12" s="937"/>
      <c r="X12" s="937"/>
      <c r="Y12" s="937"/>
      <c r="Z12" s="937"/>
      <c r="AA12" s="937"/>
      <c r="AB12" s="937"/>
      <c r="AC12" s="937"/>
      <c r="AD12" s="937"/>
      <c r="AE12" s="937"/>
      <c r="AF12" s="937"/>
      <c r="AG12" s="937"/>
      <c r="AH12" s="937"/>
      <c r="AI12" s="937"/>
      <c r="AJ12" s="937"/>
      <c r="AK12" s="937"/>
      <c r="AL12" s="937"/>
      <c r="AM12" s="937"/>
      <c r="AN12" s="937"/>
      <c r="AO12" s="937"/>
      <c r="AP12" s="937"/>
      <c r="AQ12" s="937"/>
      <c r="AR12" s="937"/>
      <c r="AS12" s="937"/>
      <c r="AT12" s="937"/>
      <c r="AU12" s="937"/>
      <c r="AV12" s="937"/>
      <c r="AW12" s="937"/>
    </row>
    <row r="13" spans="1:49" s="938" customFormat="1" ht="15.75" customHeight="1">
      <c r="A13" s="1304" t="str">
        <f>TRIM('8.11-8.13'!A18&amp;'8.11-8.13'!A19&amp;'8.11-8.13'!A20)</f>
        <v>8.12 PUNO: MUJERES DE 15 A 49 AÑOS DE EDAD QUE SUFRIERON VIOLENCIA FÍSICA Y/O SEXUAL POR PARTE DEL ESPOSO O COMPAÑERO, EN LOS ÚLTIMOS 12 MESES, SEGÚN ÁMBITO GEOGRÁFICO Y ÁREA DE RESIDENCIA, 2018 - 2023</v>
      </c>
      <c r="B13" s="937"/>
      <c r="C13" s="937"/>
      <c r="D13" s="937"/>
      <c r="E13" s="937"/>
      <c r="F13" s="937"/>
      <c r="G13" s="937"/>
      <c r="H13" s="937"/>
      <c r="I13" s="937"/>
      <c r="J13" s="937"/>
      <c r="K13" s="937"/>
      <c r="L13" s="937"/>
      <c r="M13" s="937"/>
      <c r="N13" s="937"/>
      <c r="O13" s="937"/>
      <c r="P13" s="937"/>
      <c r="Q13" s="937"/>
      <c r="R13" s="937"/>
      <c r="S13" s="937"/>
      <c r="T13" s="937"/>
      <c r="U13" s="937"/>
      <c r="V13" s="937"/>
      <c r="W13" s="937"/>
      <c r="X13" s="937"/>
      <c r="Y13" s="937"/>
      <c r="Z13" s="937"/>
      <c r="AA13" s="937"/>
      <c r="AB13" s="937"/>
      <c r="AC13" s="937"/>
      <c r="AD13" s="937"/>
      <c r="AE13" s="937"/>
      <c r="AF13" s="937"/>
      <c r="AG13" s="937"/>
      <c r="AH13" s="937"/>
      <c r="AI13" s="937"/>
      <c r="AJ13" s="937"/>
      <c r="AK13" s="937"/>
      <c r="AL13" s="937"/>
      <c r="AM13" s="937"/>
      <c r="AN13" s="937"/>
      <c r="AO13" s="937"/>
      <c r="AP13" s="937"/>
      <c r="AQ13" s="937"/>
      <c r="AR13" s="937"/>
      <c r="AS13" s="937"/>
      <c r="AT13" s="937"/>
      <c r="AU13" s="937"/>
      <c r="AV13" s="937"/>
      <c r="AW13" s="937"/>
    </row>
    <row r="14" spans="1:49" s="938" customFormat="1" ht="15.75" customHeight="1">
      <c r="A14" s="1304" t="str">
        <f>TRIM('8.11-8.13'!A36)</f>
        <v>8.13 PUNO: VÍCTIMAS DE FEMINICIDIO, SEGÚN ÁMBITO GEOGRÁFICO, 2018 - 2023</v>
      </c>
      <c r="B14" s="937"/>
      <c r="C14" s="937"/>
      <c r="D14" s="937"/>
      <c r="E14" s="937"/>
      <c r="F14" s="937"/>
      <c r="G14" s="937"/>
      <c r="H14" s="937"/>
      <c r="I14" s="937"/>
      <c r="J14" s="937"/>
      <c r="K14" s="937"/>
      <c r="L14" s="937"/>
      <c r="M14" s="937"/>
      <c r="N14" s="937"/>
      <c r="O14" s="937"/>
      <c r="P14" s="937"/>
      <c r="Q14" s="937"/>
      <c r="R14" s="937"/>
      <c r="S14" s="937"/>
      <c r="T14" s="937"/>
      <c r="U14" s="937"/>
      <c r="V14" s="937"/>
      <c r="W14" s="937"/>
      <c r="X14" s="937"/>
      <c r="Y14" s="937"/>
      <c r="Z14" s="937"/>
      <c r="AA14" s="937"/>
      <c r="AB14" s="937"/>
      <c r="AC14" s="937"/>
      <c r="AD14" s="937"/>
      <c r="AE14" s="937"/>
      <c r="AF14" s="937"/>
      <c r="AG14" s="937"/>
      <c r="AH14" s="937"/>
      <c r="AI14" s="937"/>
      <c r="AJ14" s="937"/>
      <c r="AK14" s="937"/>
      <c r="AL14" s="937"/>
      <c r="AM14" s="937"/>
      <c r="AN14" s="937"/>
      <c r="AO14" s="937"/>
      <c r="AP14" s="937"/>
      <c r="AQ14" s="937"/>
      <c r="AR14" s="937"/>
      <c r="AS14" s="937"/>
      <c r="AT14" s="937"/>
      <c r="AU14" s="937"/>
      <c r="AV14" s="937"/>
      <c r="AW14" s="937"/>
    </row>
    <row r="15" spans="1:49" s="938" customFormat="1" ht="15.75" customHeight="1">
      <c r="A15" s="1304" t="str">
        <f>TRIM('8.14-8.15'!A1)</f>
        <v>8.14 PUNO: ACCIONES TERRORISTAS, SEGÚN ÁMBITO GEOGRÁFICO, 2018 - 2023</v>
      </c>
      <c r="B15" s="937"/>
      <c r="C15" s="937"/>
      <c r="D15" s="937"/>
      <c r="E15" s="937"/>
      <c r="F15" s="937"/>
      <c r="G15" s="937"/>
      <c r="H15" s="937"/>
      <c r="I15" s="937"/>
      <c r="J15" s="937"/>
      <c r="K15" s="937"/>
      <c r="L15" s="937"/>
      <c r="M15" s="937"/>
      <c r="N15" s="937"/>
      <c r="O15" s="937"/>
      <c r="P15" s="937"/>
      <c r="Q15" s="937"/>
      <c r="R15" s="937"/>
      <c r="S15" s="937"/>
      <c r="T15" s="937"/>
      <c r="U15" s="937"/>
      <c r="V15" s="937"/>
      <c r="W15" s="937"/>
      <c r="X15" s="937"/>
      <c r="Y15" s="937"/>
      <c r="Z15" s="937"/>
      <c r="AA15" s="937"/>
      <c r="AB15" s="937"/>
      <c r="AC15" s="937"/>
      <c r="AD15" s="937"/>
      <c r="AE15" s="937"/>
      <c r="AF15" s="937"/>
      <c r="AG15" s="937"/>
      <c r="AH15" s="937"/>
      <c r="AI15" s="937"/>
      <c r="AJ15" s="937"/>
      <c r="AK15" s="937"/>
      <c r="AL15" s="937"/>
      <c r="AM15" s="937"/>
      <c r="AN15" s="937"/>
      <c r="AO15" s="937"/>
      <c r="AP15" s="937"/>
      <c r="AQ15" s="937"/>
      <c r="AR15" s="937"/>
      <c r="AS15" s="937"/>
      <c r="AT15" s="937"/>
      <c r="AU15" s="937"/>
      <c r="AV15" s="937"/>
      <c r="AW15" s="937"/>
    </row>
    <row r="16" spans="1:49" s="938" customFormat="1" ht="15.75" customHeight="1">
      <c r="A16" s="1304" t="str">
        <f>TRIM('8.14-8.15'!A13)</f>
        <v>8.15 PUNO: PERSONAS DETENIDAS POR TERRORISMO, SEGÚN ÁMBITO GEOGRÁFICO, 2018 - 2023</v>
      </c>
      <c r="B16" s="937"/>
      <c r="C16" s="937"/>
      <c r="D16" s="937"/>
      <c r="E16" s="937"/>
      <c r="F16" s="937"/>
      <c r="G16" s="937"/>
      <c r="H16" s="937"/>
      <c r="I16" s="937"/>
      <c r="J16" s="937"/>
      <c r="K16" s="937"/>
      <c r="L16" s="937"/>
      <c r="M16" s="937"/>
      <c r="N16" s="937"/>
      <c r="O16" s="937"/>
      <c r="P16" s="937"/>
      <c r="Q16" s="937"/>
      <c r="R16" s="937"/>
      <c r="S16" s="937"/>
      <c r="T16" s="937"/>
      <c r="U16" s="937"/>
      <c r="V16" s="937"/>
      <c r="W16" s="937"/>
      <c r="X16" s="937"/>
      <c r="Y16" s="937"/>
      <c r="Z16" s="937"/>
      <c r="AA16" s="937"/>
      <c r="AB16" s="937"/>
      <c r="AC16" s="937"/>
      <c r="AD16" s="937"/>
      <c r="AE16" s="937"/>
      <c r="AF16" s="937"/>
      <c r="AG16" s="937"/>
      <c r="AH16" s="937"/>
      <c r="AI16" s="937"/>
      <c r="AJ16" s="937"/>
      <c r="AK16" s="937"/>
      <c r="AL16" s="937"/>
      <c r="AM16" s="937"/>
      <c r="AN16" s="937"/>
      <c r="AO16" s="937"/>
      <c r="AP16" s="937"/>
      <c r="AQ16" s="937"/>
      <c r="AR16" s="937"/>
      <c r="AS16" s="937"/>
      <c r="AT16" s="937"/>
      <c r="AU16" s="937"/>
      <c r="AV16" s="937"/>
      <c r="AW16" s="937"/>
    </row>
    <row r="17" spans="1:49" s="938" customFormat="1" ht="15.75" customHeight="1">
      <c r="A17" s="1304" t="str">
        <f>TRIM('8.16'!A1:Y1)</f>
        <v>8.16 PUNO: PERSONAS INTERVENIDAS, SEGÚN TRÁFICO, CONSUMO ILÍCITO Y MICROCOMERCIALIZACIÓN
 DE DROGAS, REGISTRADAS EN LA POLICÍA NACIONAL, 2019 - 2023</v>
      </c>
      <c r="B17" s="937"/>
      <c r="C17" s="937"/>
      <c r="D17" s="937"/>
      <c r="E17" s="937"/>
      <c r="F17" s="937"/>
      <c r="G17" s="937"/>
      <c r="H17" s="937"/>
      <c r="I17" s="937"/>
      <c r="J17" s="937"/>
      <c r="K17" s="937"/>
      <c r="L17" s="937"/>
      <c r="M17" s="937"/>
      <c r="N17" s="937"/>
      <c r="O17" s="937"/>
      <c r="P17" s="937"/>
      <c r="Q17" s="937"/>
      <c r="R17" s="937"/>
      <c r="S17" s="937"/>
      <c r="T17" s="937"/>
      <c r="U17" s="937"/>
      <c r="V17" s="937"/>
      <c r="W17" s="937"/>
      <c r="X17" s="937"/>
      <c r="Y17" s="937"/>
      <c r="Z17" s="937"/>
      <c r="AA17" s="937"/>
      <c r="AB17" s="937"/>
      <c r="AC17" s="937"/>
      <c r="AD17" s="937"/>
      <c r="AE17" s="937"/>
      <c r="AF17" s="937"/>
      <c r="AG17" s="937"/>
      <c r="AH17" s="937"/>
      <c r="AI17" s="937"/>
      <c r="AJ17" s="937"/>
      <c r="AK17" s="937"/>
      <c r="AL17" s="937"/>
      <c r="AM17" s="937"/>
      <c r="AN17" s="937"/>
      <c r="AO17" s="937"/>
      <c r="AP17" s="937"/>
      <c r="AQ17" s="937"/>
      <c r="AR17" s="937"/>
      <c r="AS17" s="937"/>
      <c r="AT17" s="937"/>
      <c r="AU17" s="937"/>
      <c r="AV17" s="937"/>
      <c r="AW17" s="937"/>
    </row>
    <row r="18" spans="1:49" s="938" customFormat="1" ht="15.75" customHeight="1">
      <c r="A18" s="1304" t="str">
        <f>TRIM('8.17'!A1:B1)</f>
        <v>8.17 PUNO: ACCIDENTES DE TRÁNSITO REGISTRADOS, 1998 - 2023</v>
      </c>
      <c r="B18" s="937"/>
      <c r="C18" s="937"/>
      <c r="D18" s="937"/>
      <c r="E18" s="937"/>
      <c r="F18" s="937"/>
      <c r="G18" s="937"/>
      <c r="H18" s="937"/>
      <c r="I18" s="937"/>
      <c r="J18" s="937"/>
      <c r="K18" s="937"/>
      <c r="L18" s="937"/>
      <c r="M18" s="937"/>
      <c r="N18" s="937"/>
      <c r="O18" s="937"/>
      <c r="P18" s="937"/>
      <c r="Q18" s="937"/>
      <c r="R18" s="937"/>
      <c r="S18" s="937"/>
      <c r="T18" s="937"/>
      <c r="U18" s="937"/>
      <c r="V18" s="937"/>
      <c r="W18" s="937"/>
      <c r="X18" s="937"/>
      <c r="Y18" s="937"/>
      <c r="Z18" s="937"/>
      <c r="AA18" s="937"/>
      <c r="AB18" s="937"/>
      <c r="AC18" s="937"/>
      <c r="AD18" s="937"/>
      <c r="AE18" s="937"/>
      <c r="AF18" s="937"/>
      <c r="AG18" s="937"/>
      <c r="AH18" s="937"/>
      <c r="AI18" s="937"/>
      <c r="AJ18" s="937"/>
      <c r="AK18" s="937"/>
      <c r="AL18" s="937"/>
      <c r="AM18" s="937"/>
      <c r="AN18" s="937"/>
      <c r="AO18" s="937"/>
      <c r="AP18" s="937"/>
      <c r="AQ18" s="937"/>
      <c r="AR18" s="937"/>
      <c r="AS18" s="937"/>
      <c r="AT18" s="937"/>
      <c r="AU18" s="937"/>
      <c r="AV18" s="937"/>
      <c r="AW18" s="937"/>
    </row>
    <row r="19" spans="1:49" s="938" customFormat="1" ht="15.75" customHeight="1">
      <c r="A19" s="1304" t="str">
        <f>TRIM('8.18 - 8.19'!A1:U1)</f>
        <v>8.18 PUNO: ACCIDENTES DE TRÁNSITO REGISTRADOS, SEGÚN ESPECIFICACIÓN, 2018 - 2023</v>
      </c>
      <c r="B19" s="937"/>
      <c r="C19" s="937"/>
      <c r="D19" s="937"/>
      <c r="E19" s="937"/>
      <c r="F19" s="937"/>
      <c r="G19" s="937"/>
      <c r="H19" s="937"/>
      <c r="I19" s="937"/>
      <c r="J19" s="937"/>
      <c r="K19" s="937"/>
      <c r="L19" s="937"/>
      <c r="M19" s="937"/>
      <c r="N19" s="937"/>
      <c r="O19" s="937"/>
      <c r="P19" s="937"/>
      <c r="Q19" s="937"/>
      <c r="R19" s="937"/>
      <c r="S19" s="937"/>
      <c r="T19" s="937"/>
      <c r="U19" s="937"/>
      <c r="V19" s="937"/>
      <c r="W19" s="937"/>
      <c r="X19" s="937"/>
      <c r="Y19" s="937"/>
      <c r="Z19" s="937"/>
      <c r="AA19" s="937"/>
      <c r="AB19" s="937"/>
      <c r="AC19" s="937"/>
      <c r="AD19" s="937"/>
      <c r="AE19" s="937"/>
      <c r="AF19" s="937"/>
      <c r="AG19" s="937"/>
      <c r="AH19" s="937"/>
      <c r="AI19" s="937"/>
      <c r="AJ19" s="937"/>
      <c r="AK19" s="937"/>
      <c r="AL19" s="937"/>
      <c r="AM19" s="937"/>
      <c r="AN19" s="937"/>
      <c r="AO19" s="937"/>
      <c r="AP19" s="937"/>
      <c r="AQ19" s="937"/>
      <c r="AR19" s="937"/>
      <c r="AS19" s="937"/>
      <c r="AT19" s="937"/>
      <c r="AU19" s="937"/>
      <c r="AV19" s="937"/>
      <c r="AW19" s="937"/>
    </row>
    <row r="20" spans="1:49" s="938" customFormat="1" ht="15.75" customHeight="1">
      <c r="A20" s="1304" t="str">
        <f>TRIM('8.18 - 8.19'!A29:V29)</f>
        <v>8.19 PUNO: INFRACCIONES DE TRÁNSITO REGISTRADAS EN LA POLICÍA NACIONAL, SEGÚN
 ESPECIFICACIÓN, 2018 - 2023</v>
      </c>
      <c r="B20" s="937"/>
      <c r="C20" s="937"/>
      <c r="D20" s="937"/>
      <c r="E20" s="937"/>
      <c r="F20" s="937"/>
      <c r="G20" s="937"/>
      <c r="H20" s="937"/>
      <c r="I20" s="937"/>
      <c r="J20" s="937"/>
      <c r="K20" s="937"/>
      <c r="L20" s="937"/>
      <c r="M20" s="937"/>
      <c r="N20" s="937"/>
      <c r="O20" s="937"/>
      <c r="P20" s="937"/>
      <c r="Q20" s="937"/>
      <c r="R20" s="937"/>
      <c r="S20" s="937"/>
      <c r="T20" s="937"/>
      <c r="U20" s="937"/>
      <c r="V20" s="937"/>
      <c r="W20" s="937"/>
      <c r="X20" s="937"/>
      <c r="Y20" s="937"/>
      <c r="Z20" s="937"/>
      <c r="AA20" s="937"/>
      <c r="AB20" s="937"/>
      <c r="AC20" s="937"/>
      <c r="AD20" s="937"/>
      <c r="AE20" s="937"/>
      <c r="AF20" s="937"/>
      <c r="AG20" s="937"/>
      <c r="AH20" s="937"/>
      <c r="AI20" s="937"/>
      <c r="AJ20" s="937"/>
      <c r="AK20" s="937"/>
      <c r="AL20" s="937"/>
      <c r="AM20" s="937"/>
      <c r="AN20" s="937"/>
      <c r="AO20" s="937"/>
      <c r="AP20" s="937"/>
      <c r="AQ20" s="937"/>
      <c r="AR20" s="937"/>
      <c r="AS20" s="937"/>
      <c r="AT20" s="937"/>
      <c r="AU20" s="937"/>
      <c r="AV20" s="937"/>
      <c r="AW20" s="937"/>
    </row>
    <row r="21" spans="1:49" s="938" customFormat="1" ht="15.75" customHeight="1">
      <c r="A21" s="1304" t="str">
        <f>TRIM('8.20'!A1)</f>
        <v>8.20 PUNO: VEHÍCULOS ROBADOS Y RECUPERADOS, 2001 - 2023</v>
      </c>
      <c r="B21" s="937"/>
      <c r="C21" s="937"/>
      <c r="D21" s="937"/>
      <c r="E21" s="937"/>
      <c r="F21" s="937"/>
      <c r="G21" s="937"/>
      <c r="H21" s="937"/>
      <c r="I21" s="937"/>
      <c r="J21" s="937"/>
      <c r="K21" s="937"/>
      <c r="L21" s="937"/>
      <c r="M21" s="937"/>
      <c r="N21" s="937"/>
      <c r="O21" s="937"/>
      <c r="P21" s="937"/>
      <c r="Q21" s="937"/>
      <c r="R21" s="937"/>
      <c r="S21" s="937"/>
      <c r="T21" s="937"/>
      <c r="U21" s="937"/>
      <c r="V21" s="937"/>
      <c r="W21" s="937"/>
      <c r="X21" s="937"/>
      <c r="Y21" s="937"/>
      <c r="Z21" s="937"/>
      <c r="AA21" s="937"/>
      <c r="AB21" s="937"/>
      <c r="AC21" s="937"/>
      <c r="AD21" s="937"/>
      <c r="AE21" s="937"/>
      <c r="AF21" s="937"/>
      <c r="AG21" s="937"/>
      <c r="AH21" s="937"/>
      <c r="AI21" s="937"/>
      <c r="AJ21" s="937"/>
      <c r="AK21" s="937"/>
      <c r="AL21" s="937"/>
      <c r="AM21" s="937"/>
      <c r="AN21" s="937"/>
      <c r="AO21" s="937"/>
      <c r="AP21" s="937"/>
      <c r="AQ21" s="937"/>
      <c r="AR21" s="937"/>
      <c r="AS21" s="937"/>
      <c r="AT21" s="937"/>
      <c r="AU21" s="937"/>
      <c r="AV21" s="937"/>
      <c r="AW21" s="937"/>
    </row>
    <row r="22" spans="1:49" s="938" customFormat="1" ht="15.75" customHeight="1">
      <c r="A22" s="1304" t="str">
        <f>TRIM('8.21'!A1)</f>
        <v>8.21 PUNO: DENUNCIAS DE ACCIDENTES DE TRÁNSITO NO FATALES, SEGÚN TIPO, 2018 - 2023</v>
      </c>
      <c r="B22" s="937"/>
      <c r="C22" s="937"/>
      <c r="D22" s="937"/>
      <c r="E22" s="937"/>
      <c r="F22" s="937"/>
      <c r="G22" s="937"/>
      <c r="H22" s="937"/>
      <c r="I22" s="937"/>
      <c r="J22" s="937"/>
      <c r="K22" s="937"/>
      <c r="L22" s="937"/>
      <c r="M22" s="937"/>
      <c r="N22" s="937"/>
      <c r="O22" s="937"/>
      <c r="P22" s="937"/>
      <c r="Q22" s="937"/>
      <c r="R22" s="937"/>
      <c r="S22" s="937"/>
      <c r="T22" s="937"/>
      <c r="U22" s="937"/>
      <c r="V22" s="937"/>
      <c r="W22" s="937"/>
      <c r="X22" s="937"/>
      <c r="Y22" s="937"/>
      <c r="Z22" s="937"/>
      <c r="AA22" s="937"/>
      <c r="AB22" s="937"/>
      <c r="AC22" s="937"/>
      <c r="AD22" s="937"/>
      <c r="AE22" s="937"/>
      <c r="AF22" s="937"/>
      <c r="AG22" s="937"/>
      <c r="AH22" s="937"/>
      <c r="AI22" s="937"/>
      <c r="AJ22" s="937"/>
      <c r="AK22" s="937"/>
      <c r="AL22" s="937"/>
      <c r="AM22" s="937"/>
      <c r="AN22" s="937"/>
      <c r="AO22" s="937"/>
      <c r="AP22" s="937"/>
      <c r="AQ22" s="937"/>
      <c r="AR22" s="937"/>
      <c r="AS22" s="937"/>
      <c r="AT22" s="937"/>
      <c r="AU22" s="937"/>
      <c r="AV22" s="937"/>
      <c r="AW22" s="937"/>
    </row>
    <row r="23" spans="1:49" s="938" customFormat="1" ht="15.75" customHeight="1">
      <c r="A23" s="1304" t="str">
        <f>TRIM('8.22'!A1:H1)</f>
        <v>8.22 PUNO: DELITOS INGRESADOS EN LAS FISCALÍAS PROVINCIALES PENALES Y MIXTAS, SEGÚN DISTRITO 
 FISCAL, 2018 - 2023</v>
      </c>
      <c r="B23" s="937"/>
      <c r="C23" s="937"/>
      <c r="D23" s="937"/>
      <c r="E23" s="937"/>
      <c r="F23" s="937"/>
      <c r="G23" s="937"/>
      <c r="H23" s="937"/>
      <c r="I23" s="937"/>
      <c r="J23" s="937"/>
      <c r="K23" s="937"/>
      <c r="L23" s="937"/>
      <c r="M23" s="937"/>
      <c r="N23" s="937"/>
      <c r="O23" s="937"/>
      <c r="P23" s="937"/>
      <c r="Q23" s="937"/>
      <c r="R23" s="937"/>
      <c r="S23" s="937"/>
      <c r="T23" s="937"/>
      <c r="U23" s="937"/>
      <c r="V23" s="937"/>
      <c r="W23" s="937"/>
      <c r="X23" s="937"/>
      <c r="Y23" s="937"/>
      <c r="Z23" s="937"/>
      <c r="AA23" s="937"/>
      <c r="AB23" s="937"/>
      <c r="AC23" s="937"/>
      <c r="AD23" s="937"/>
      <c r="AE23" s="937"/>
      <c r="AF23" s="937"/>
      <c r="AG23" s="937"/>
      <c r="AH23" s="937"/>
      <c r="AI23" s="937"/>
      <c r="AJ23" s="937"/>
      <c r="AK23" s="937"/>
      <c r="AL23" s="937"/>
      <c r="AM23" s="937"/>
      <c r="AN23" s="937"/>
      <c r="AO23" s="937"/>
      <c r="AP23" s="937"/>
      <c r="AQ23" s="937"/>
      <c r="AR23" s="937"/>
      <c r="AS23" s="937"/>
      <c r="AT23" s="937"/>
      <c r="AU23" s="937"/>
      <c r="AV23" s="937"/>
      <c r="AW23" s="937"/>
    </row>
    <row r="24" spans="1:49" s="938" customFormat="1" ht="15.75" customHeight="1">
      <c r="A24" s="1304" t="str">
        <f>TRIM('8.23'!$A$1:$I$1)</f>
        <v>8.23 PUNO: SALAS DE JUZGADOS DE PRIMERA INSTANCIA Y DE PAZ LETRADO, CENTROS PENITENCIARIOS Y
 POBLACIÓN PENAL, 2011 - 2023</v>
      </c>
      <c r="B24" s="937"/>
      <c r="C24" s="937"/>
      <c r="D24" s="937"/>
      <c r="E24" s="937"/>
      <c r="F24" s="937"/>
      <c r="G24" s="937"/>
      <c r="H24" s="937"/>
      <c r="I24" s="937"/>
      <c r="J24" s="937"/>
      <c r="K24" s="937"/>
      <c r="L24" s="937"/>
      <c r="M24" s="937"/>
      <c r="N24" s="937"/>
      <c r="O24" s="937"/>
      <c r="P24" s="937"/>
      <c r="Q24" s="937"/>
      <c r="R24" s="937"/>
      <c r="S24" s="937"/>
      <c r="T24" s="937"/>
      <c r="U24" s="937"/>
      <c r="V24" s="937"/>
      <c r="W24" s="937"/>
      <c r="X24" s="937"/>
      <c r="Y24" s="937"/>
      <c r="Z24" s="937"/>
      <c r="AA24" s="937"/>
      <c r="AB24" s="937"/>
      <c r="AC24" s="937"/>
      <c r="AD24" s="937"/>
      <c r="AE24" s="937"/>
      <c r="AF24" s="937"/>
      <c r="AG24" s="937"/>
      <c r="AH24" s="937"/>
      <c r="AI24" s="937"/>
      <c r="AJ24" s="937"/>
      <c r="AK24" s="937"/>
      <c r="AL24" s="937"/>
      <c r="AM24" s="937"/>
      <c r="AN24" s="937"/>
      <c r="AO24" s="937"/>
      <c r="AP24" s="937"/>
      <c r="AQ24" s="937"/>
      <c r="AR24" s="937"/>
      <c r="AS24" s="937"/>
      <c r="AT24" s="937"/>
      <c r="AU24" s="937"/>
      <c r="AV24" s="937"/>
      <c r="AW24" s="937"/>
    </row>
    <row r="25" spans="1:49" s="938" customFormat="1" ht="15.75" customHeight="1">
      <c r="A25" s="1304" t="str">
        <f>TRIM('8.24'!A1:K1)</f>
        <v>8.24 PUNO: FISCALÍAS OPERATIVAS DEL MINISTERIO PÚBLICO POR CATEGORÍA Y PERSONAL A CARGO, SEGÚN 
 ÁMBITO GEOGRÁFICO, 2018 - 2023</v>
      </c>
      <c r="B25" s="937"/>
      <c r="C25" s="937"/>
      <c r="D25" s="937"/>
      <c r="E25" s="937"/>
      <c r="F25" s="937"/>
      <c r="G25" s="937"/>
      <c r="H25" s="937"/>
      <c r="I25" s="937"/>
      <c r="J25" s="937"/>
      <c r="K25" s="937"/>
      <c r="L25" s="937"/>
      <c r="M25" s="937"/>
      <c r="N25" s="937"/>
      <c r="O25" s="937"/>
      <c r="P25" s="937"/>
      <c r="Q25" s="937"/>
      <c r="R25" s="937"/>
      <c r="S25" s="937"/>
      <c r="T25" s="937"/>
      <c r="U25" s="937"/>
      <c r="V25" s="937"/>
      <c r="W25" s="937"/>
      <c r="X25" s="937"/>
      <c r="Y25" s="937"/>
      <c r="Z25" s="937"/>
      <c r="AA25" s="937"/>
      <c r="AB25" s="937"/>
      <c r="AC25" s="937"/>
      <c r="AD25" s="937"/>
      <c r="AE25" s="937"/>
      <c r="AF25" s="937"/>
      <c r="AG25" s="937"/>
      <c r="AH25" s="937"/>
      <c r="AI25" s="937"/>
      <c r="AJ25" s="937"/>
      <c r="AK25" s="937"/>
      <c r="AL25" s="937"/>
      <c r="AM25" s="937"/>
      <c r="AN25" s="937"/>
      <c r="AO25" s="937"/>
      <c r="AP25" s="937"/>
      <c r="AQ25" s="937"/>
      <c r="AR25" s="937"/>
      <c r="AS25" s="937"/>
      <c r="AT25" s="937"/>
      <c r="AU25" s="937"/>
      <c r="AV25" s="937"/>
      <c r="AW25" s="937"/>
    </row>
    <row r="26" spans="1:49" s="938" customFormat="1" ht="15.75" customHeight="1">
      <c r="A26" s="1304" t="str">
        <f>TRIM('8.25'!A1)</f>
        <v>8.25 PUNO: FISCALÍAS DEL MINISTERIO PÚBLICO POR CATEGORÍA, SEGÚN ÁMBITO GEOGRÁFICO, 2013 - 2023</v>
      </c>
      <c r="B26" s="937"/>
      <c r="C26" s="937"/>
      <c r="D26" s="937"/>
      <c r="E26" s="937"/>
      <c r="F26" s="937"/>
      <c r="G26" s="937"/>
      <c r="H26" s="937"/>
      <c r="I26" s="937"/>
      <c r="J26" s="937"/>
      <c r="K26" s="937"/>
      <c r="L26" s="937"/>
      <c r="M26" s="937"/>
      <c r="N26" s="937"/>
      <c r="O26" s="937"/>
      <c r="P26" s="937"/>
      <c r="Q26" s="937"/>
      <c r="R26" s="937"/>
      <c r="S26" s="937"/>
      <c r="T26" s="937"/>
      <c r="U26" s="937"/>
      <c r="V26" s="937"/>
      <c r="W26" s="937"/>
      <c r="X26" s="937"/>
      <c r="Y26" s="937"/>
      <c r="Z26" s="937"/>
      <c r="AA26" s="937"/>
      <c r="AB26" s="937"/>
      <c r="AC26" s="937"/>
      <c r="AD26" s="937"/>
      <c r="AE26" s="937"/>
      <c r="AF26" s="937"/>
      <c r="AG26" s="937"/>
      <c r="AH26" s="937"/>
      <c r="AI26" s="937"/>
      <c r="AJ26" s="937"/>
      <c r="AK26" s="937"/>
      <c r="AL26" s="937"/>
      <c r="AM26" s="937"/>
      <c r="AN26" s="937"/>
      <c r="AO26" s="937"/>
      <c r="AP26" s="937"/>
      <c r="AQ26" s="937"/>
      <c r="AR26" s="937"/>
      <c r="AS26" s="937"/>
      <c r="AT26" s="937"/>
      <c r="AU26" s="937"/>
      <c r="AV26" s="937"/>
      <c r="AW26" s="937"/>
    </row>
    <row r="27" spans="1:49" s="938" customFormat="1" ht="15.75" customHeight="1">
      <c r="A27" s="1304" t="str">
        <f>TRIM('8.26'!A1)</f>
        <v>8.26 PERÚ: NÚMERO DE FISCALÍAS DEL MINISTERIO PÚBLICO, SEGÚN CATEGORÍA Y ESPECIALIDAD, 2018 - 2023</v>
      </c>
      <c r="B27" s="937"/>
      <c r="C27" s="937"/>
      <c r="D27" s="937"/>
      <c r="E27" s="937"/>
      <c r="F27" s="937"/>
      <c r="G27" s="937"/>
      <c r="H27" s="937"/>
      <c r="I27" s="937"/>
      <c r="J27" s="937"/>
      <c r="K27" s="937"/>
      <c r="L27" s="937"/>
      <c r="M27" s="937"/>
      <c r="N27" s="937"/>
      <c r="O27" s="937"/>
      <c r="P27" s="937"/>
      <c r="Q27" s="937"/>
      <c r="R27" s="937"/>
      <c r="S27" s="937"/>
      <c r="T27" s="937"/>
      <c r="U27" s="937"/>
      <c r="V27" s="937"/>
      <c r="W27" s="937"/>
      <c r="X27" s="937"/>
      <c r="Y27" s="937"/>
      <c r="Z27" s="937"/>
      <c r="AA27" s="937"/>
      <c r="AB27" s="937"/>
      <c r="AC27" s="937"/>
      <c r="AD27" s="937"/>
      <c r="AE27" s="937"/>
      <c r="AF27" s="937"/>
      <c r="AG27" s="937"/>
      <c r="AH27" s="937"/>
      <c r="AI27" s="937"/>
      <c r="AJ27" s="937"/>
      <c r="AK27" s="937"/>
      <c r="AL27" s="937"/>
      <c r="AM27" s="937"/>
      <c r="AN27" s="937"/>
      <c r="AO27" s="937"/>
      <c r="AP27" s="937"/>
      <c r="AQ27" s="937"/>
      <c r="AR27" s="937"/>
      <c r="AS27" s="937"/>
      <c r="AT27" s="937"/>
      <c r="AU27" s="937"/>
      <c r="AV27" s="937"/>
      <c r="AW27" s="937"/>
    </row>
    <row r="28" spans="1:49" s="938" customFormat="1" ht="15.75" customHeight="1">
      <c r="A28" s="1304" t="str">
        <f>TRIM('8.27'!A1:Q1)</f>
        <v>8.27 PUNO: FISCALES DEL MINISTERIO PÚBLICO, SEGÚN DISTRITO FISCAL, 2017 - 2023</v>
      </c>
      <c r="B28" s="937"/>
      <c r="C28" s="937"/>
      <c r="D28" s="937"/>
      <c r="E28" s="937"/>
      <c r="F28" s="937"/>
      <c r="G28" s="937"/>
      <c r="H28" s="937"/>
      <c r="I28" s="937"/>
      <c r="J28" s="937"/>
      <c r="K28" s="937"/>
      <c r="L28" s="937"/>
      <c r="M28" s="937"/>
      <c r="N28" s="937"/>
      <c r="O28" s="937"/>
      <c r="P28" s="937"/>
      <c r="Q28" s="937"/>
      <c r="R28" s="937"/>
      <c r="S28" s="937"/>
      <c r="T28" s="937"/>
      <c r="U28" s="937"/>
      <c r="V28" s="937"/>
      <c r="W28" s="937"/>
      <c r="X28" s="937"/>
      <c r="Y28" s="937"/>
      <c r="Z28" s="937"/>
      <c r="AA28" s="937"/>
      <c r="AB28" s="937"/>
      <c r="AC28" s="937"/>
      <c r="AD28" s="937"/>
      <c r="AE28" s="937"/>
      <c r="AF28" s="937"/>
      <c r="AG28" s="937"/>
      <c r="AH28" s="937"/>
      <c r="AI28" s="937"/>
      <c r="AJ28" s="937"/>
      <c r="AK28" s="937"/>
      <c r="AL28" s="937"/>
      <c r="AM28" s="937"/>
      <c r="AN28" s="937"/>
      <c r="AO28" s="937"/>
      <c r="AP28" s="937"/>
      <c r="AQ28" s="937"/>
      <c r="AR28" s="937"/>
      <c r="AS28" s="937"/>
      <c r="AT28" s="937"/>
      <c r="AU28" s="937"/>
      <c r="AV28" s="937"/>
      <c r="AW28" s="937"/>
    </row>
    <row r="29" spans="1:49" s="938" customFormat="1" ht="15.75" customHeight="1">
      <c r="A29" s="1304" t="str">
        <f>TRIM('8.28'!L28)</f>
        <v>8.28 PUNO: EXPEDIENTES INGRESADOS EN LAS FISCALÍAS SUPERIORES PENALES, 2018 - 2023</v>
      </c>
      <c r="B29" s="937"/>
      <c r="C29" s="937"/>
      <c r="D29" s="937"/>
      <c r="E29" s="937"/>
      <c r="F29" s="937"/>
      <c r="G29" s="937"/>
      <c r="H29" s="937"/>
      <c r="I29" s="937"/>
      <c r="J29" s="937"/>
      <c r="K29" s="937"/>
      <c r="L29" s="937"/>
      <c r="M29" s="937"/>
      <c r="N29" s="937"/>
      <c r="O29" s="937"/>
      <c r="P29" s="937"/>
      <c r="Q29" s="937"/>
      <c r="R29" s="937"/>
      <c r="S29" s="937"/>
      <c r="T29" s="937"/>
      <c r="U29" s="937"/>
      <c r="V29" s="937"/>
      <c r="W29" s="937"/>
      <c r="X29" s="937"/>
      <c r="Y29" s="937"/>
      <c r="Z29" s="937"/>
      <c r="AA29" s="937"/>
      <c r="AB29" s="937"/>
      <c r="AC29" s="937"/>
      <c r="AD29" s="937"/>
      <c r="AE29" s="937"/>
      <c r="AF29" s="937"/>
      <c r="AG29" s="937"/>
      <c r="AH29" s="937"/>
      <c r="AI29" s="937"/>
      <c r="AJ29" s="937"/>
      <c r="AK29" s="937"/>
      <c r="AL29" s="937"/>
      <c r="AM29" s="937"/>
      <c r="AN29" s="937"/>
      <c r="AO29" s="937"/>
      <c r="AP29" s="937"/>
      <c r="AQ29" s="937"/>
      <c r="AR29" s="937"/>
      <c r="AS29" s="937"/>
      <c r="AT29" s="937"/>
      <c r="AU29" s="937"/>
      <c r="AV29" s="937"/>
      <c r="AW29" s="937"/>
    </row>
    <row r="30" spans="1:49" s="938" customFormat="1" ht="15.75" customHeight="1">
      <c r="A30" s="1304" t="str">
        <f>TRIM('8.29'!A1:AJ1)</f>
        <v>8.29 PUNO: DENUNCIAS Y EXPEDIENTES INGRESADOS EN LAS FISCALÍAS CIVIL, DE FAMILIA Y MIXTAS, SOBRE 
 INFRACCIONES COMETIDAS POR ADOLESCENTES, 2021-2023</v>
      </c>
      <c r="B30" s="937"/>
      <c r="C30" s="937"/>
      <c r="D30" s="937"/>
      <c r="E30" s="937"/>
      <c r="F30" s="937"/>
      <c r="G30" s="937"/>
      <c r="H30" s="937"/>
      <c r="I30" s="937"/>
      <c r="J30" s="937"/>
      <c r="K30" s="937"/>
      <c r="L30" s="937"/>
      <c r="M30" s="937"/>
      <c r="N30" s="937"/>
      <c r="O30" s="937"/>
      <c r="P30" s="937"/>
      <c r="Q30" s="937"/>
      <c r="R30" s="937"/>
      <c r="S30" s="937"/>
      <c r="T30" s="937"/>
      <c r="U30" s="937"/>
      <c r="V30" s="937"/>
      <c r="W30" s="937"/>
      <c r="X30" s="937"/>
      <c r="Y30" s="937"/>
      <c r="Z30" s="937"/>
      <c r="AA30" s="937"/>
      <c r="AB30" s="937"/>
      <c r="AC30" s="937"/>
      <c r="AD30" s="937"/>
      <c r="AE30" s="937"/>
      <c r="AF30" s="937"/>
      <c r="AG30" s="937"/>
      <c r="AH30" s="937"/>
      <c r="AI30" s="937"/>
      <c r="AJ30" s="937"/>
      <c r="AK30" s="937"/>
      <c r="AL30" s="937"/>
      <c r="AM30" s="937"/>
      <c r="AN30" s="937"/>
      <c r="AO30" s="937"/>
      <c r="AP30" s="937"/>
      <c r="AQ30" s="937"/>
      <c r="AR30" s="937"/>
      <c r="AS30" s="937"/>
      <c r="AT30" s="937"/>
      <c r="AU30" s="937"/>
      <c r="AV30" s="937"/>
      <c r="AW30" s="937"/>
    </row>
    <row r="31" spans="1:49" s="938" customFormat="1" ht="15.75" customHeight="1">
      <c r="A31" s="1304" t="str">
        <f>TRIM('8.30'!A227&amp;'8.30'!A228)</f>
        <v>8.30 PUNO: POBLACIÓN PENAL REGISTRADA EN LA POLICÍA NACIONAL POR LOCAL PENITENCIARIO, SEGÚN TIPO DE DELITO, SITUACIÓN JURÍDICA, SEXO, NIVEL DE INSTRUCCIÓN Y ESTADO CIVIL, 2017 - 2024</v>
      </c>
      <c r="B31" s="937"/>
      <c r="C31" s="937"/>
      <c r="D31" s="937"/>
      <c r="E31" s="937"/>
      <c r="F31" s="937"/>
      <c r="G31" s="937"/>
      <c r="H31" s="937"/>
      <c r="I31" s="937"/>
      <c r="J31" s="937"/>
      <c r="K31" s="937"/>
      <c r="L31" s="937"/>
      <c r="M31" s="937"/>
      <c r="N31" s="937"/>
      <c r="O31" s="937"/>
      <c r="P31" s="937"/>
      <c r="Q31" s="937"/>
      <c r="R31" s="937"/>
      <c r="S31" s="937"/>
      <c r="T31" s="937"/>
      <c r="U31" s="937"/>
      <c r="V31" s="937"/>
      <c r="W31" s="937"/>
      <c r="X31" s="937"/>
      <c r="Y31" s="937"/>
      <c r="Z31" s="937"/>
      <c r="AA31" s="937"/>
      <c r="AB31" s="937"/>
      <c r="AC31" s="937"/>
      <c r="AD31" s="937"/>
      <c r="AE31" s="937"/>
      <c r="AF31" s="937"/>
      <c r="AG31" s="937"/>
      <c r="AH31" s="937"/>
      <c r="AI31" s="937"/>
      <c r="AJ31" s="937"/>
      <c r="AK31" s="937"/>
      <c r="AL31" s="937"/>
      <c r="AM31" s="937"/>
      <c r="AN31" s="937"/>
      <c r="AO31" s="937"/>
      <c r="AP31" s="937"/>
      <c r="AQ31" s="937"/>
      <c r="AR31" s="937"/>
      <c r="AS31" s="937"/>
      <c r="AT31" s="937"/>
      <c r="AU31" s="937"/>
      <c r="AV31" s="937"/>
      <c r="AW31" s="937"/>
    </row>
    <row r="32" spans="1:49" s="938" customFormat="1" ht="15.75" customHeight="1">
      <c r="A32" s="1304" t="str">
        <f>TRIM('8.31'!A1)</f>
        <v>8.31 PUNO: POBLACIÓN PENAL REGISTRADA EN LA POLICÍA NACIONAL, SEGÚN TIPO DE DELITO, 2018 - 2024</v>
      </c>
      <c r="B32" s="937"/>
      <c r="C32" s="937"/>
      <c r="D32" s="937"/>
      <c r="E32" s="937"/>
      <c r="F32" s="937"/>
      <c r="G32" s="937"/>
      <c r="H32" s="937"/>
      <c r="I32" s="937"/>
      <c r="J32" s="937"/>
      <c r="K32" s="937"/>
      <c r="L32" s="937"/>
      <c r="M32" s="937"/>
      <c r="N32" s="937"/>
      <c r="O32" s="937"/>
      <c r="P32" s="937"/>
      <c r="Q32" s="937"/>
      <c r="R32" s="937"/>
      <c r="S32" s="937"/>
      <c r="T32" s="937"/>
      <c r="U32" s="937"/>
      <c r="V32" s="937"/>
      <c r="W32" s="937"/>
      <c r="X32" s="937"/>
      <c r="Y32" s="937"/>
      <c r="Z32" s="937"/>
      <c r="AA32" s="937"/>
      <c r="AB32" s="937"/>
      <c r="AC32" s="937"/>
      <c r="AD32" s="937"/>
      <c r="AE32" s="937"/>
      <c r="AF32" s="937"/>
      <c r="AG32" s="937"/>
      <c r="AH32" s="937"/>
      <c r="AI32" s="937"/>
      <c r="AJ32" s="937"/>
      <c r="AK32" s="937"/>
      <c r="AL32" s="937"/>
      <c r="AM32" s="937"/>
      <c r="AN32" s="937"/>
      <c r="AO32" s="937"/>
      <c r="AP32" s="937"/>
      <c r="AQ32" s="937"/>
      <c r="AR32" s="937"/>
      <c r="AS32" s="937"/>
      <c r="AT32" s="937"/>
      <c r="AU32" s="937"/>
      <c r="AV32" s="937"/>
      <c r="AW32" s="937"/>
    </row>
    <row r="33" spans="1:49" s="938" customFormat="1" ht="15.75" customHeight="1">
      <c r="A33" s="1304" t="str">
        <f>TRIM('8.32'!A1:T1)</f>
        <v>8.32 PUNO: POBLACIÓN PENAL, SEGÚN NIVEL DE INSTRUCCIÓN, 2018 - 2024</v>
      </c>
      <c r="B33" s="937"/>
      <c r="C33" s="937"/>
      <c r="D33" s="937"/>
      <c r="E33" s="937"/>
      <c r="F33" s="937"/>
      <c r="G33" s="937"/>
      <c r="H33" s="937"/>
      <c r="I33" s="937"/>
      <c r="J33" s="937"/>
      <c r="K33" s="937"/>
      <c r="L33" s="937"/>
      <c r="M33" s="937"/>
      <c r="N33" s="937"/>
      <c r="O33" s="937"/>
      <c r="P33" s="937"/>
      <c r="Q33" s="937"/>
      <c r="R33" s="937"/>
      <c r="S33" s="937"/>
      <c r="T33" s="937"/>
      <c r="U33" s="937"/>
      <c r="V33" s="937"/>
      <c r="W33" s="937"/>
      <c r="X33" s="937"/>
      <c r="Y33" s="937"/>
      <c r="Z33" s="937"/>
      <c r="AA33" s="937"/>
      <c r="AB33" s="937"/>
      <c r="AC33" s="937"/>
      <c r="AD33" s="937"/>
      <c r="AE33" s="937"/>
      <c r="AF33" s="937"/>
      <c r="AG33" s="937"/>
      <c r="AH33" s="937"/>
      <c r="AI33" s="937"/>
      <c r="AJ33" s="937"/>
      <c r="AK33" s="937"/>
      <c r="AL33" s="937"/>
      <c r="AM33" s="937"/>
      <c r="AN33" s="937"/>
      <c r="AO33" s="937"/>
      <c r="AP33" s="937"/>
      <c r="AQ33" s="937"/>
      <c r="AR33" s="937"/>
      <c r="AS33" s="937"/>
      <c r="AT33" s="937"/>
      <c r="AU33" s="937"/>
      <c r="AV33" s="937"/>
      <c r="AW33" s="937"/>
    </row>
    <row r="34" spans="1:49" s="938" customFormat="1" ht="15.75" customHeight="1">
      <c r="A34" s="1304" t="str">
        <f>TRIM('8.33'!A90&amp;'8.33'!A91)</f>
        <v>8.33 PUNO: POBLACIÓN PENAL EN LOS ESTABLECIMIENTOS PENITENCIARIOS POR SITUACIÓN JURÍDICA Y SEXO,
 SEGÚN TIPO DE DELITO, 2017 - 2022</v>
      </c>
      <c r="B34" s="937"/>
      <c r="C34" s="937"/>
      <c r="D34" s="937"/>
      <c r="E34" s="937"/>
      <c r="F34" s="937"/>
      <c r="G34" s="937"/>
      <c r="H34" s="937"/>
      <c r="I34" s="937"/>
      <c r="J34" s="937"/>
      <c r="K34" s="937"/>
      <c r="L34" s="937"/>
      <c r="M34" s="937"/>
      <c r="N34" s="937"/>
      <c r="O34" s="937"/>
      <c r="P34" s="937"/>
      <c r="Q34" s="937"/>
      <c r="R34" s="937"/>
      <c r="S34" s="937"/>
      <c r="T34" s="937"/>
      <c r="U34" s="937"/>
      <c r="V34" s="937"/>
      <c r="W34" s="937"/>
      <c r="X34" s="937"/>
      <c r="Y34" s="937"/>
      <c r="Z34" s="937"/>
      <c r="AA34" s="937"/>
      <c r="AB34" s="937"/>
      <c r="AC34" s="937"/>
      <c r="AD34" s="937"/>
      <c r="AE34" s="937"/>
      <c r="AF34" s="937"/>
      <c r="AG34" s="937"/>
      <c r="AH34" s="937"/>
      <c r="AI34" s="937"/>
      <c r="AJ34" s="937"/>
      <c r="AK34" s="937"/>
      <c r="AL34" s="937"/>
      <c r="AM34" s="937"/>
      <c r="AN34" s="937"/>
      <c r="AO34" s="937"/>
      <c r="AP34" s="937"/>
      <c r="AQ34" s="937"/>
      <c r="AR34" s="937"/>
      <c r="AS34" s="937"/>
      <c r="AT34" s="937"/>
      <c r="AU34" s="937"/>
      <c r="AV34" s="937"/>
      <c r="AW34" s="937"/>
    </row>
    <row r="35" spans="1:49" s="938" customFormat="1" ht="15.75" customHeight="1">
      <c r="A35" s="1304" t="str">
        <f>TRIM('8.34'!A1:D1)</f>
        <v>8.34 PUNO: POBLACIÓN PENITENCIARÍA EN EL TERRITORIO, 2013 - 2024</v>
      </c>
      <c r="B35" s="937"/>
      <c r="C35" s="937"/>
      <c r="D35" s="937"/>
      <c r="E35" s="937"/>
      <c r="F35" s="937"/>
      <c r="G35" s="937"/>
      <c r="H35" s="937"/>
      <c r="I35" s="937"/>
      <c r="J35" s="937"/>
      <c r="K35" s="937"/>
      <c r="L35" s="937"/>
      <c r="M35" s="937"/>
      <c r="N35" s="937"/>
      <c r="O35" s="937"/>
      <c r="P35" s="937"/>
      <c r="Q35" s="937"/>
      <c r="R35" s="937"/>
      <c r="S35" s="937"/>
      <c r="T35" s="937"/>
      <c r="U35" s="937"/>
      <c r="V35" s="937"/>
      <c r="W35" s="937"/>
      <c r="X35" s="937"/>
      <c r="Y35" s="937"/>
      <c r="Z35" s="937"/>
      <c r="AA35" s="937"/>
      <c r="AB35" s="937"/>
      <c r="AC35" s="937"/>
      <c r="AD35" s="937"/>
      <c r="AE35" s="937"/>
      <c r="AF35" s="937"/>
      <c r="AG35" s="937"/>
      <c r="AH35" s="937"/>
      <c r="AI35" s="937"/>
      <c r="AJ35" s="937"/>
      <c r="AK35" s="937"/>
      <c r="AL35" s="937"/>
      <c r="AM35" s="937"/>
      <c r="AN35" s="937"/>
      <c r="AO35" s="937"/>
      <c r="AP35" s="937"/>
      <c r="AQ35" s="937"/>
      <c r="AR35" s="937"/>
      <c r="AS35" s="937"/>
      <c r="AT35" s="937"/>
      <c r="AU35" s="937"/>
      <c r="AV35" s="937"/>
      <c r="AW35" s="937"/>
    </row>
    <row r="36" spans="1:49" s="938" customFormat="1" ht="15.75" customHeight="1">
      <c r="A36" s="1304" t="str">
        <f>TRIM('8.35'!A40&amp;'8.35'!A41)</f>
        <v>8.35 PUNO: POBLACIÓN PENAL, SITUACIÓN JURÍDICA POR SEXO Y CAPACIDAD DE ALBERGUE SEGÚN 
 ESTABLECIMIENTO PENITENCIARIO, 2019 - 2024</v>
      </c>
      <c r="B36" s="937"/>
      <c r="C36" s="937"/>
      <c r="D36" s="937"/>
      <c r="E36" s="937"/>
      <c r="F36" s="937"/>
      <c r="G36" s="937"/>
      <c r="H36" s="937"/>
      <c r="I36" s="937"/>
      <c r="J36" s="937"/>
      <c r="K36" s="937"/>
      <c r="L36" s="937"/>
      <c r="M36" s="937"/>
      <c r="N36" s="937"/>
      <c r="O36" s="937"/>
      <c r="P36" s="937"/>
      <c r="Q36" s="937"/>
      <c r="R36" s="937"/>
      <c r="S36" s="937"/>
      <c r="T36" s="937"/>
      <c r="U36" s="937"/>
      <c r="V36" s="937"/>
      <c r="W36" s="937"/>
      <c r="X36" s="937"/>
      <c r="Y36" s="937"/>
      <c r="Z36" s="937"/>
      <c r="AA36" s="937"/>
      <c r="AB36" s="937"/>
      <c r="AC36" s="937"/>
      <c r="AD36" s="937"/>
      <c r="AE36" s="937"/>
      <c r="AF36" s="937"/>
      <c r="AG36" s="937"/>
      <c r="AH36" s="937"/>
      <c r="AI36" s="937"/>
      <c r="AJ36" s="937"/>
      <c r="AK36" s="937"/>
      <c r="AL36" s="937"/>
      <c r="AM36" s="937"/>
      <c r="AN36" s="937"/>
      <c r="AO36" s="937"/>
      <c r="AP36" s="937"/>
      <c r="AQ36" s="937"/>
      <c r="AR36" s="937"/>
      <c r="AS36" s="937"/>
      <c r="AT36" s="937"/>
      <c r="AU36" s="937"/>
      <c r="AV36" s="937"/>
      <c r="AW36" s="937"/>
    </row>
    <row r="37" spans="1:49">
      <c r="A37" s="16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7"/>
      <c r="AS37" s="97"/>
      <c r="AT37" s="97"/>
      <c r="AU37" s="97"/>
      <c r="AV37" s="97"/>
      <c r="AW37" s="97"/>
    </row>
    <row r="38" spans="1:49">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row>
    <row r="39" spans="1:49">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row>
    <row r="40" spans="1:49">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row>
    <row r="41" spans="1:49">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7"/>
      <c r="AS41" s="97"/>
      <c r="AT41" s="97"/>
      <c r="AU41" s="97"/>
      <c r="AV41" s="97"/>
      <c r="AW41" s="97"/>
    </row>
    <row r="42" spans="1:49">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row>
    <row r="43" spans="1:49">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row>
    <row r="44" spans="1:49">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row>
    <row r="45" spans="1:49">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7"/>
      <c r="AS45" s="97"/>
      <c r="AT45" s="97"/>
      <c r="AU45" s="97"/>
      <c r="AV45" s="97"/>
      <c r="AW45" s="97"/>
    </row>
    <row r="46" spans="1:49">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row>
    <row r="47" spans="1:49">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row>
    <row r="48" spans="1:49">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row>
    <row r="49" spans="1:49">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row>
    <row r="50" spans="1:49">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row>
    <row r="51" spans="1:49">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7"/>
      <c r="AS51" s="97"/>
      <c r="AT51" s="97"/>
      <c r="AU51" s="97"/>
      <c r="AV51" s="97"/>
      <c r="AW51" s="97"/>
    </row>
    <row r="52" spans="1:49">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row>
    <row r="53" spans="1:49">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7"/>
      <c r="AS53" s="97"/>
      <c r="AT53" s="97"/>
      <c r="AU53" s="97"/>
      <c r="AV53" s="97"/>
      <c r="AW53" s="97"/>
    </row>
    <row r="54" spans="1:49">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c r="AO54" s="97"/>
      <c r="AP54" s="97"/>
      <c r="AQ54" s="97"/>
      <c r="AR54" s="97"/>
      <c r="AS54" s="97"/>
      <c r="AT54" s="97"/>
      <c r="AU54" s="97"/>
      <c r="AV54" s="97"/>
      <c r="AW54" s="97"/>
    </row>
    <row r="55" spans="1:49">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7"/>
      <c r="AS55" s="97"/>
      <c r="AT55" s="97"/>
      <c r="AU55" s="97"/>
      <c r="AV55" s="97"/>
      <c r="AW55" s="97"/>
    </row>
    <row r="56" spans="1:49">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97"/>
      <c r="AL56" s="97"/>
      <c r="AM56" s="97"/>
      <c r="AN56" s="97"/>
      <c r="AO56" s="97"/>
      <c r="AP56" s="97"/>
      <c r="AQ56" s="97"/>
      <c r="AR56" s="97"/>
      <c r="AS56" s="97"/>
      <c r="AT56" s="97"/>
      <c r="AU56" s="97"/>
      <c r="AV56" s="97"/>
      <c r="AW56" s="97"/>
    </row>
    <row r="57" spans="1:49">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7"/>
      <c r="AS57" s="97"/>
      <c r="AT57" s="97"/>
      <c r="AU57" s="97"/>
      <c r="AV57" s="97"/>
      <c r="AW57" s="97"/>
    </row>
    <row r="58" spans="1:49">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row>
    <row r="59" spans="1:49">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row>
    <row r="60" spans="1:49">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row>
    <row r="61" spans="1:49">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row>
    <row r="62" spans="1:49">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c r="AC62" s="97"/>
      <c r="AD62" s="97"/>
      <c r="AE62" s="97"/>
      <c r="AF62" s="97"/>
      <c r="AG62" s="97"/>
      <c r="AH62" s="97"/>
      <c r="AI62" s="97"/>
      <c r="AJ62" s="97"/>
      <c r="AK62" s="97"/>
      <c r="AL62" s="97"/>
      <c r="AM62" s="97"/>
      <c r="AN62" s="97"/>
      <c r="AO62" s="97"/>
      <c r="AP62" s="97"/>
      <c r="AQ62" s="97"/>
      <c r="AR62" s="97"/>
      <c r="AS62" s="97"/>
      <c r="AT62" s="97"/>
      <c r="AU62" s="97"/>
      <c r="AV62" s="97"/>
      <c r="AW62" s="97"/>
    </row>
    <row r="63" spans="1:49">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c r="AW63" s="97"/>
    </row>
    <row r="64" spans="1:49">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row>
    <row r="65" spans="1:49">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row>
    <row r="66" spans="1:49">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c r="AC66" s="97"/>
      <c r="AD66" s="97"/>
      <c r="AE66" s="97"/>
      <c r="AF66" s="97"/>
      <c r="AG66" s="97"/>
      <c r="AH66" s="97"/>
      <c r="AI66" s="97"/>
      <c r="AJ66" s="97"/>
      <c r="AK66" s="97"/>
      <c r="AL66" s="97"/>
      <c r="AM66" s="97"/>
      <c r="AN66" s="97"/>
      <c r="AO66" s="97"/>
      <c r="AP66" s="97"/>
      <c r="AQ66" s="97"/>
      <c r="AR66" s="97"/>
      <c r="AS66" s="97"/>
      <c r="AT66" s="97"/>
      <c r="AU66" s="97"/>
      <c r="AV66" s="97"/>
      <c r="AW66" s="97"/>
    </row>
    <row r="67" spans="1:49">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7"/>
      <c r="AS67" s="97"/>
      <c r="AT67" s="97"/>
      <c r="AU67" s="97"/>
      <c r="AV67" s="97"/>
      <c r="AW67" s="97"/>
    </row>
    <row r="68" spans="1:49">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row>
    <row r="69" spans="1:49">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row>
    <row r="70" spans="1:49">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97"/>
      <c r="AU70" s="97"/>
      <c r="AV70" s="97"/>
      <c r="AW70" s="97"/>
    </row>
    <row r="71" spans="1:49">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97"/>
      <c r="AU71" s="97"/>
      <c r="AV71" s="97"/>
      <c r="AW71" s="97"/>
    </row>
    <row r="72" spans="1:49">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97"/>
      <c r="AU72" s="97"/>
      <c r="AV72" s="97"/>
      <c r="AW72" s="97"/>
    </row>
    <row r="73" spans="1:49">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7"/>
      <c r="AS73" s="97"/>
      <c r="AT73" s="97"/>
      <c r="AU73" s="97"/>
      <c r="AV73" s="97"/>
      <c r="AW73" s="97"/>
    </row>
    <row r="74" spans="1:49">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97"/>
      <c r="AU74" s="97"/>
      <c r="AV74" s="97"/>
      <c r="AW74" s="97"/>
    </row>
  </sheetData>
  <hyperlinks>
    <hyperlink ref="A2" location="'8.1'!A1" display="'8.1'!A1"/>
    <hyperlink ref="A7" location="'8.6'!A1" display="'8.6'!A1"/>
    <hyperlink ref="A18" location="'8.17'!A1" display="'8.17'!A1"/>
    <hyperlink ref="A19" location="'8.18 - 8.19'!A1" display="'8.18 - 8.19'!A1"/>
    <hyperlink ref="A23" location="'Fiscalias 8.22'!A1" display="'Fiscalias 8.22'!A1"/>
    <hyperlink ref="A24" location="'8.23'!A1" display="'8.23'!A1"/>
    <hyperlink ref="A25" location="'8.24'!A1" display="'8.24'!A1"/>
    <hyperlink ref="A26" location="'8.25'!A1" display="'8.25'!A1"/>
    <hyperlink ref="A28" location="'8.27'!A1" display="'8.27'!A1"/>
    <hyperlink ref="A29" location="'8.28'!A28" display="'8.28'!A28"/>
    <hyperlink ref="A32" location="'8.31'!A1" display="'8.31'!A1"/>
    <hyperlink ref="A33" location="'8.32'!A1" display="'8.32'!A1"/>
    <hyperlink ref="A34" location="'8.33'!A90" display="'8.33'!A90"/>
    <hyperlink ref="A36" location="'8.35'!A40" display="'8.35'!A40"/>
    <hyperlink ref="A21" location="'8.20'!A1" display="'8.20'!A1"/>
    <hyperlink ref="A8" location="'8.7'!A1" display="'8.7'!A1"/>
    <hyperlink ref="A9" location="'8.8'!A1" display="'8.8'!A1"/>
    <hyperlink ref="A10" location="'8.9'!A1" display="'8.9'!A1"/>
    <hyperlink ref="A12" location="'8.11-8.13'!A1" display="'8.11-8.13'!A1"/>
    <hyperlink ref="A15" location="'8.14-8.15'!A1" display="'8.14-8.15'!A1"/>
    <hyperlink ref="A17" location="'8.16'!A1" display="'8.16'!A1"/>
    <hyperlink ref="A35" location="'8.34'!A1" display="'8.34'!A1"/>
    <hyperlink ref="A5" location="'8.4'!A1" display="'8.4'!A1"/>
    <hyperlink ref="A6" location="'8.5'!A1" display="'8.5'!A1"/>
    <hyperlink ref="A30" location="'8.29'!A1" display="'8.29'!A1"/>
    <hyperlink ref="A11" location="'8.10'!A1" display="'8.10'!A1"/>
    <hyperlink ref="A3" location="'8.2'!A1" display="'8.2'!A1"/>
    <hyperlink ref="A4" location="'8.3'!A1" display="'8.3'!A1"/>
    <hyperlink ref="A14" location="'8.11-8.13'!A36" display="'8.11-8.13'!A36"/>
    <hyperlink ref="A16" location="'8.14-8.15'!A13" display="'8.14-8.15'!A13"/>
    <hyperlink ref="A20" location="'8.18 - 8.19'!A29" display="'8.18 - 8.19'!A29"/>
    <hyperlink ref="A22" location="'8.21'!A1" display="'8.21'!A1"/>
    <hyperlink ref="A27" location="'8.26'!A1" display="'8.26'!A1"/>
    <hyperlink ref="A31" location="'PENAL 8.30'!A358" display="'PENAL 8.30'!A358"/>
    <hyperlink ref="A13" location="'8.11-8.13'!A18" display="'8.11-8.13'!A18"/>
  </hyperlinks>
  <pageMargins left="0.70866141732283472" right="0.70866141732283472" top="0.74803149606299213" bottom="0.74803149606299213" header="0.31496062992125984" footer="0.31496062992125984"/>
  <pageSetup scale="65"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zoomScaleNormal="100" workbookViewId="0">
      <selection sqref="A1:Q1"/>
    </sheetView>
  </sheetViews>
  <sheetFormatPr baseColWidth="10" defaultColWidth="11.42578125" defaultRowHeight="12.75"/>
  <cols>
    <col min="1" max="1" width="14.7109375" style="97" customWidth="1"/>
    <col min="2" max="2" width="11.42578125" style="97" hidden="1" customWidth="1"/>
    <col min="3" max="8" width="11.85546875" style="97" hidden="1" customWidth="1"/>
    <col min="9" max="9" width="11.42578125" style="97" hidden="1" customWidth="1"/>
    <col min="10" max="11" width="7.5703125" style="97" hidden="1" customWidth="1"/>
    <col min="12" max="17" width="11.7109375" style="97" customWidth="1"/>
    <col min="18" max="16384" width="11.42578125" style="97"/>
  </cols>
  <sheetData>
    <row r="1" spans="1:23" ht="13.5" customHeight="1">
      <c r="A1" s="1159" t="s">
        <v>496</v>
      </c>
      <c r="B1" s="1159"/>
      <c r="C1" s="1159"/>
      <c r="D1" s="1159"/>
      <c r="E1" s="1159"/>
      <c r="F1" s="1159"/>
      <c r="G1" s="1159"/>
      <c r="H1" s="1159"/>
      <c r="I1" s="1159"/>
      <c r="J1" s="1159"/>
      <c r="K1" s="1159"/>
      <c r="L1" s="1159"/>
      <c r="M1" s="1159"/>
      <c r="N1" s="1159"/>
      <c r="O1" s="1159"/>
      <c r="P1" s="1159"/>
      <c r="Q1" s="1159"/>
    </row>
    <row r="2" spans="1:23" s="915" customFormat="1" ht="9.75" customHeight="1">
      <c r="A2" s="834" t="s">
        <v>532</v>
      </c>
      <c r="B2" s="834"/>
      <c r="C2" s="834"/>
      <c r="D2" s="834"/>
      <c r="E2" s="914"/>
      <c r="F2" s="834"/>
      <c r="G2" s="834"/>
      <c r="H2" s="834"/>
      <c r="I2" s="834"/>
      <c r="J2" s="834"/>
      <c r="K2" s="834"/>
      <c r="L2" s="834"/>
    </row>
    <row r="3" spans="1:23" ht="5.0999999999999996" customHeight="1">
      <c r="A3" s="370"/>
      <c r="B3" s="371"/>
      <c r="C3" s="371"/>
      <c r="D3" s="334"/>
      <c r="E3" s="334"/>
      <c r="F3" s="103"/>
      <c r="G3" s="103"/>
      <c r="H3" s="103"/>
      <c r="I3" s="103"/>
      <c r="J3" s="103"/>
      <c r="K3" s="103"/>
      <c r="L3" s="103"/>
    </row>
    <row r="4" spans="1:23" ht="20.25" customHeight="1">
      <c r="A4" s="1156" t="s">
        <v>349</v>
      </c>
      <c r="B4" s="1158">
        <v>2008</v>
      </c>
      <c r="C4" s="1158">
        <v>2009</v>
      </c>
      <c r="D4" s="1158">
        <v>2010</v>
      </c>
      <c r="E4" s="1158">
        <v>2011</v>
      </c>
      <c r="F4" s="1158">
        <v>2012</v>
      </c>
      <c r="G4" s="1158">
        <v>2013</v>
      </c>
      <c r="H4" s="1158">
        <v>2014</v>
      </c>
      <c r="I4" s="1158">
        <v>2015</v>
      </c>
      <c r="J4" s="1158">
        <v>2016</v>
      </c>
      <c r="K4" s="1158">
        <v>2017</v>
      </c>
      <c r="L4" s="1151">
        <v>2018</v>
      </c>
      <c r="M4" s="1158">
        <v>2019</v>
      </c>
      <c r="N4" s="1158">
        <v>2020</v>
      </c>
      <c r="O4" s="1158">
        <v>2021</v>
      </c>
      <c r="P4" s="1158">
        <v>2022</v>
      </c>
      <c r="Q4" s="1158">
        <v>2023</v>
      </c>
      <c r="W4" s="167"/>
    </row>
    <row r="5" spans="1:23" ht="6" customHeight="1">
      <c r="A5" s="1157"/>
      <c r="B5" s="1147"/>
      <c r="C5" s="1147"/>
      <c r="D5" s="1147"/>
      <c r="E5" s="1147"/>
      <c r="F5" s="1147"/>
      <c r="G5" s="1147"/>
      <c r="H5" s="1147"/>
      <c r="I5" s="1147"/>
      <c r="J5" s="1147"/>
      <c r="K5" s="1147"/>
      <c r="L5" s="1152"/>
      <c r="M5" s="1147"/>
      <c r="N5" s="1147"/>
      <c r="O5" s="1147"/>
      <c r="P5" s="1147"/>
      <c r="Q5" s="1147"/>
    </row>
    <row r="6" spans="1:23" ht="6" customHeight="1">
      <c r="A6" s="504"/>
      <c r="B6" s="507"/>
      <c r="C6" s="507"/>
      <c r="D6" s="507"/>
      <c r="E6" s="507"/>
      <c r="F6" s="507"/>
      <c r="G6" s="507"/>
      <c r="H6" s="507"/>
      <c r="I6" s="507"/>
      <c r="J6" s="507"/>
      <c r="K6" s="507"/>
      <c r="L6" s="1034"/>
      <c r="M6" s="507"/>
      <c r="N6" s="507"/>
      <c r="O6" s="507"/>
      <c r="P6" s="507"/>
      <c r="Q6" s="507"/>
    </row>
    <row r="7" spans="1:23" ht="45" customHeight="1">
      <c r="A7" s="477" t="s">
        <v>462</v>
      </c>
      <c r="B7" s="369">
        <v>5138</v>
      </c>
      <c r="C7" s="369">
        <v>4055</v>
      </c>
      <c r="D7" s="369">
        <v>3790</v>
      </c>
      <c r="E7" s="369">
        <v>3157</v>
      </c>
      <c r="F7" s="369">
        <v>3341</v>
      </c>
      <c r="G7" s="369">
        <v>3529</v>
      </c>
      <c r="H7" s="369">
        <v>4499</v>
      </c>
      <c r="I7" s="369">
        <v>4152</v>
      </c>
      <c r="J7" s="369">
        <v>4343</v>
      </c>
      <c r="K7" s="369">
        <v>4692</v>
      </c>
      <c r="L7" s="1035">
        <v>12485</v>
      </c>
      <c r="M7" s="369">
        <v>9637</v>
      </c>
      <c r="N7" s="369">
        <v>8535</v>
      </c>
      <c r="O7" s="369">
        <v>20141</v>
      </c>
      <c r="P7" s="369">
        <v>18862</v>
      </c>
      <c r="Q7" s="369">
        <f>7375+10817</f>
        <v>18192</v>
      </c>
    </row>
    <row r="8" spans="1:23" ht="45" customHeight="1">
      <c r="A8" s="378" t="s">
        <v>4</v>
      </c>
      <c r="B8" s="344">
        <v>355</v>
      </c>
      <c r="C8" s="387">
        <v>258</v>
      </c>
      <c r="D8" s="103">
        <v>332</v>
      </c>
      <c r="E8" s="103">
        <v>149</v>
      </c>
      <c r="F8" s="344">
        <v>317</v>
      </c>
      <c r="G8" s="103">
        <v>312</v>
      </c>
      <c r="H8" s="103">
        <v>577</v>
      </c>
      <c r="I8" s="103">
        <v>406</v>
      </c>
      <c r="J8" s="103">
        <v>64</v>
      </c>
      <c r="K8" s="103">
        <v>522</v>
      </c>
      <c r="L8" s="1036">
        <v>220</v>
      </c>
      <c r="M8" s="103">
        <v>218</v>
      </c>
      <c r="N8" s="103">
        <v>101</v>
      </c>
      <c r="O8" s="103">
        <v>809</v>
      </c>
      <c r="P8" s="103">
        <v>659</v>
      </c>
      <c r="Q8" s="103">
        <f>248+481</f>
        <v>729</v>
      </c>
    </row>
    <row r="9" spans="1:23" ht="45" customHeight="1">
      <c r="A9" s="378" t="s">
        <v>334</v>
      </c>
      <c r="B9" s="344">
        <f t="shared" ref="B9:O9" si="0">+B7-B8</f>
        <v>4783</v>
      </c>
      <c r="C9" s="344">
        <f t="shared" si="0"/>
        <v>3797</v>
      </c>
      <c r="D9" s="344">
        <f t="shared" si="0"/>
        <v>3458</v>
      </c>
      <c r="E9" s="344">
        <f t="shared" si="0"/>
        <v>3008</v>
      </c>
      <c r="F9" s="344">
        <f t="shared" si="0"/>
        <v>3024</v>
      </c>
      <c r="G9" s="344">
        <f t="shared" si="0"/>
        <v>3217</v>
      </c>
      <c r="H9" s="344">
        <f t="shared" si="0"/>
        <v>3922</v>
      </c>
      <c r="I9" s="344">
        <f t="shared" si="0"/>
        <v>3746</v>
      </c>
      <c r="J9" s="344">
        <f t="shared" si="0"/>
        <v>4279</v>
      </c>
      <c r="K9" s="344">
        <f t="shared" si="0"/>
        <v>4170</v>
      </c>
      <c r="L9" s="1031">
        <f t="shared" si="0"/>
        <v>12265</v>
      </c>
      <c r="M9" s="344">
        <f t="shared" si="0"/>
        <v>9419</v>
      </c>
      <c r="N9" s="344">
        <f t="shared" si="0"/>
        <v>8434</v>
      </c>
      <c r="O9" s="344">
        <f t="shared" si="0"/>
        <v>19332</v>
      </c>
      <c r="P9" s="344">
        <f>+P7-P8</f>
        <v>18203</v>
      </c>
      <c r="Q9" s="344">
        <f>+Q7-Q8</f>
        <v>17463</v>
      </c>
    </row>
    <row r="10" spans="1:23" ht="5.0999999999999996" customHeight="1">
      <c r="A10" s="379"/>
      <c r="B10" s="388"/>
      <c r="C10" s="380"/>
      <c r="D10" s="380"/>
      <c r="E10" s="380"/>
      <c r="F10" s="380"/>
      <c r="G10" s="389"/>
      <c r="H10" s="374"/>
      <c r="I10" s="374"/>
      <c r="J10" s="380"/>
      <c r="K10" s="380"/>
      <c r="L10" s="986"/>
      <c r="M10" s="374"/>
      <c r="N10" s="374"/>
      <c r="O10" s="374"/>
      <c r="P10" s="374"/>
      <c r="Q10" s="374"/>
    </row>
    <row r="11" spans="1:23" ht="11.1" customHeight="1">
      <c r="A11" s="1160" t="s">
        <v>569</v>
      </c>
      <c r="B11" s="1160"/>
      <c r="C11" s="1160"/>
      <c r="D11" s="1160"/>
      <c r="E11" s="1160"/>
      <c r="F11" s="1160"/>
      <c r="G11" s="1160"/>
      <c r="H11" s="1160"/>
      <c r="I11" s="1160"/>
      <c r="J11" s="1160"/>
      <c r="K11" s="1160"/>
      <c r="L11" s="1160"/>
      <c r="M11" s="1160"/>
      <c r="N11" s="1160"/>
      <c r="O11" s="1160"/>
      <c r="P11" s="1160"/>
      <c r="Q11" s="1160"/>
    </row>
    <row r="12" spans="1:23" ht="11.1" customHeight="1">
      <c r="A12" s="845" t="s">
        <v>570</v>
      </c>
      <c r="B12" s="846"/>
      <c r="C12" s="846"/>
      <c r="D12" s="846"/>
      <c r="E12" s="846"/>
      <c r="F12" s="846"/>
      <c r="G12" s="846"/>
      <c r="H12" s="846"/>
      <c r="I12" s="846"/>
      <c r="J12" s="846"/>
      <c r="K12" s="846"/>
      <c r="L12" s="846"/>
      <c r="M12" s="846"/>
      <c r="N12" s="846"/>
      <c r="O12" s="846"/>
    </row>
    <row r="20" spans="14:14">
      <c r="N20" s="167"/>
    </row>
  </sheetData>
  <mergeCells count="19">
    <mergeCell ref="F4:F5"/>
    <mergeCell ref="A1:Q1"/>
    <mergeCell ref="A11:Q11"/>
    <mergeCell ref="Q4:Q5"/>
    <mergeCell ref="P4:P5"/>
    <mergeCell ref="L4:L5"/>
    <mergeCell ref="K4:K5"/>
    <mergeCell ref="N4:N5"/>
    <mergeCell ref="M4:M5"/>
    <mergeCell ref="O4:O5"/>
    <mergeCell ref="G4:G5"/>
    <mergeCell ref="H4:H5"/>
    <mergeCell ref="I4:I5"/>
    <mergeCell ref="J4:J5"/>
    <mergeCell ref="A4:A5"/>
    <mergeCell ref="B4:B5"/>
    <mergeCell ref="C4:C5"/>
    <mergeCell ref="D4:D5"/>
    <mergeCell ref="E4:E5"/>
  </mergeCells>
  <pageMargins left="0.78740157480314965" right="0.78740157480314965" top="0.98425196850393704" bottom="0.98425196850393704" header="0.31496062992125984" footer="0"/>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zoomScaleNormal="100" workbookViewId="0">
      <selection sqref="A1:S1"/>
    </sheetView>
  </sheetViews>
  <sheetFormatPr baseColWidth="10" defaultColWidth="11.42578125" defaultRowHeight="12.75"/>
  <cols>
    <col min="1" max="1" width="30" style="97" customWidth="1"/>
    <col min="2" max="5" width="7.140625" style="97" hidden="1" customWidth="1"/>
    <col min="6" max="6" width="5.42578125" style="97" hidden="1" customWidth="1"/>
    <col min="7" max="10" width="6.7109375" style="97" hidden="1" customWidth="1"/>
    <col min="11" max="12" width="8.85546875" style="97" hidden="1" customWidth="1"/>
    <col min="13" max="14" width="10.7109375" style="97" hidden="1" customWidth="1"/>
    <col min="15" max="18" width="10.7109375" style="97" customWidth="1"/>
    <col min="19" max="16384" width="11.42578125" style="97"/>
  </cols>
  <sheetData>
    <row r="1" spans="1:20" ht="15" customHeight="1">
      <c r="A1" s="1159" t="s">
        <v>533</v>
      </c>
      <c r="B1" s="1159"/>
      <c r="C1" s="1159"/>
      <c r="D1" s="1159"/>
      <c r="E1" s="1159"/>
      <c r="F1" s="1159"/>
      <c r="G1" s="1159"/>
      <c r="H1" s="1159"/>
      <c r="I1" s="1159"/>
      <c r="J1" s="1159"/>
      <c r="K1" s="1159"/>
      <c r="L1" s="1159"/>
      <c r="M1" s="1159"/>
      <c r="N1" s="1159"/>
      <c r="O1" s="1159"/>
      <c r="P1" s="1159"/>
      <c r="Q1" s="1159"/>
      <c r="R1" s="1159"/>
      <c r="S1" s="1159"/>
    </row>
    <row r="2" spans="1:20" ht="13.5">
      <c r="A2" s="1037" t="s">
        <v>469</v>
      </c>
      <c r="B2" s="103"/>
      <c r="C2" s="103"/>
      <c r="D2" s="93"/>
      <c r="E2" s="93"/>
    </row>
    <row r="3" spans="1:20" ht="5.0999999999999996" customHeight="1">
      <c r="A3" s="398"/>
      <c r="B3" s="398"/>
      <c r="C3" s="398"/>
    </row>
    <row r="4" spans="1:20" ht="21" customHeight="1">
      <c r="A4" s="1041" t="s">
        <v>463</v>
      </c>
      <c r="B4" s="1042">
        <v>2005</v>
      </c>
      <c r="C4" s="1042">
        <v>2006</v>
      </c>
      <c r="D4" s="1043">
        <v>2007</v>
      </c>
      <c r="E4" s="1043">
        <v>2008</v>
      </c>
      <c r="F4" s="1044">
        <v>2009</v>
      </c>
      <c r="G4" s="1043">
        <v>2011</v>
      </c>
      <c r="H4" s="1043">
        <v>2012</v>
      </c>
      <c r="I4" s="1043">
        <v>2013</v>
      </c>
      <c r="J4" s="1043">
        <v>2014</v>
      </c>
      <c r="K4" s="1043">
        <v>2015</v>
      </c>
      <c r="L4" s="1043">
        <v>2016</v>
      </c>
      <c r="M4" s="1043">
        <v>2017</v>
      </c>
      <c r="N4" s="1043">
        <v>2018</v>
      </c>
      <c r="O4" s="1045">
        <v>2019</v>
      </c>
      <c r="P4" s="1043">
        <v>2020</v>
      </c>
      <c r="Q4" s="1043">
        <v>2021</v>
      </c>
      <c r="R4" s="1043">
        <v>2022</v>
      </c>
      <c r="S4" s="1043">
        <v>2023</v>
      </c>
    </row>
    <row r="5" spans="1:20" ht="12" customHeight="1">
      <c r="A5" s="582" t="s">
        <v>348</v>
      </c>
      <c r="B5" s="178"/>
      <c r="C5" s="178"/>
      <c r="D5" s="508"/>
      <c r="E5" s="488"/>
      <c r="F5" s="509"/>
      <c r="G5" s="508"/>
      <c r="H5" s="508"/>
      <c r="I5" s="508"/>
      <c r="J5" s="508"/>
      <c r="K5" s="324"/>
      <c r="L5" s="324"/>
      <c r="M5" s="324"/>
      <c r="N5" s="324"/>
      <c r="O5" s="1028"/>
      <c r="P5" s="324"/>
      <c r="Q5" s="324"/>
      <c r="R5" s="324"/>
      <c r="S5" s="324"/>
    </row>
    <row r="6" spans="1:20" s="908" customFormat="1" ht="12.95" customHeight="1">
      <c r="A6" s="582" t="s">
        <v>462</v>
      </c>
      <c r="B6" s="491">
        <v>76255</v>
      </c>
      <c r="C6" s="491">
        <v>86147</v>
      </c>
      <c r="D6" s="491">
        <v>87292</v>
      </c>
      <c r="E6" s="491">
        <v>91929</v>
      </c>
      <c r="F6" s="510">
        <v>95749</v>
      </c>
      <c r="G6" s="511">
        <v>110844</v>
      </c>
      <c r="H6" s="491">
        <v>124057</v>
      </c>
      <c r="I6" s="491">
        <v>122901</v>
      </c>
      <c r="J6" s="491">
        <v>135874</v>
      </c>
      <c r="K6" s="491">
        <v>137742</v>
      </c>
      <c r="L6" s="491">
        <v>164488</v>
      </c>
      <c r="M6" s="491">
        <v>187270</v>
      </c>
      <c r="N6" s="491">
        <v>222376</v>
      </c>
      <c r="O6" s="1035">
        <v>276322</v>
      </c>
      <c r="P6" s="369">
        <v>238704</v>
      </c>
      <c r="Q6" s="369">
        <v>240875</v>
      </c>
      <c r="R6" s="369">
        <v>231553</v>
      </c>
      <c r="S6" s="369">
        <v>233590</v>
      </c>
    </row>
    <row r="7" spans="1:20" ht="12.95" customHeight="1">
      <c r="A7" s="584" t="s">
        <v>4</v>
      </c>
      <c r="B7" s="339">
        <v>1615</v>
      </c>
      <c r="C7" s="339">
        <v>1826</v>
      </c>
      <c r="D7" s="339">
        <v>2447</v>
      </c>
      <c r="E7" s="339">
        <v>1851</v>
      </c>
      <c r="F7" s="392">
        <v>2052</v>
      </c>
      <c r="G7" s="339">
        <v>2198</v>
      </c>
      <c r="H7" s="339">
        <v>1898</v>
      </c>
      <c r="I7" s="339">
        <v>2135</v>
      </c>
      <c r="J7" s="339">
        <v>2791</v>
      </c>
      <c r="K7" s="339">
        <v>3351</v>
      </c>
      <c r="L7" s="339">
        <v>3651</v>
      </c>
      <c r="M7" s="339">
        <v>3427</v>
      </c>
      <c r="N7" s="339">
        <v>3414</v>
      </c>
      <c r="O7" s="1031">
        <v>4804</v>
      </c>
      <c r="P7" s="344">
        <v>5131</v>
      </c>
      <c r="Q7" s="344">
        <v>5350</v>
      </c>
      <c r="R7" s="344">
        <v>5066</v>
      </c>
      <c r="S7" s="344">
        <v>4273</v>
      </c>
    </row>
    <row r="8" spans="1:20" ht="12.95" customHeight="1">
      <c r="A8" s="584" t="s">
        <v>334</v>
      </c>
      <c r="B8" s="339"/>
      <c r="C8" s="339"/>
      <c r="D8" s="339"/>
      <c r="E8" s="339"/>
      <c r="F8" s="392"/>
      <c r="G8" s="339">
        <f t="shared" ref="G8:L8" si="0">+G6-G7</f>
        <v>108646</v>
      </c>
      <c r="H8" s="339">
        <f t="shared" si="0"/>
        <v>122159</v>
      </c>
      <c r="I8" s="339">
        <f t="shared" si="0"/>
        <v>120766</v>
      </c>
      <c r="J8" s="339">
        <f t="shared" si="0"/>
        <v>133083</v>
      </c>
      <c r="K8" s="339">
        <f t="shared" si="0"/>
        <v>134391</v>
      </c>
      <c r="L8" s="339">
        <f t="shared" si="0"/>
        <v>160837</v>
      </c>
      <c r="M8" s="339">
        <f>+M6-M7</f>
        <v>183843</v>
      </c>
      <c r="N8" s="339">
        <f t="shared" ref="N8:S8" si="1">N6-N7</f>
        <v>218962</v>
      </c>
      <c r="O8" s="1031">
        <f t="shared" si="1"/>
        <v>271518</v>
      </c>
      <c r="P8" s="344">
        <f t="shared" si="1"/>
        <v>233573</v>
      </c>
      <c r="Q8" s="344">
        <f t="shared" si="1"/>
        <v>235525</v>
      </c>
      <c r="R8" s="344">
        <f t="shared" si="1"/>
        <v>226487</v>
      </c>
      <c r="S8" s="344">
        <f t="shared" si="1"/>
        <v>229317</v>
      </c>
    </row>
    <row r="9" spans="1:20" ht="12.95" customHeight="1">
      <c r="A9" s="582" t="s">
        <v>347</v>
      </c>
      <c r="B9" s="339"/>
      <c r="C9" s="339"/>
      <c r="D9" s="339"/>
      <c r="E9" s="339"/>
      <c r="F9" s="392"/>
      <c r="G9" s="339"/>
      <c r="H9" s="339"/>
      <c r="I9" s="339"/>
      <c r="J9" s="339"/>
      <c r="K9" s="339"/>
      <c r="L9" s="339"/>
      <c r="M9" s="339"/>
      <c r="N9" s="324"/>
      <c r="O9" s="1038"/>
      <c r="P9" s="516"/>
      <c r="Q9" s="516"/>
      <c r="R9" s="516"/>
      <c r="S9" s="516"/>
    </row>
    <row r="10" spans="1:20" s="908" customFormat="1" ht="12.95" customHeight="1">
      <c r="A10" s="582" t="s">
        <v>462</v>
      </c>
      <c r="B10" s="491">
        <v>50020</v>
      </c>
      <c r="C10" s="491">
        <v>55029</v>
      </c>
      <c r="D10" s="491">
        <v>54265</v>
      </c>
      <c r="E10" s="491">
        <v>54356</v>
      </c>
      <c r="F10" s="512">
        <v>55291</v>
      </c>
      <c r="G10" s="511">
        <v>57819</v>
      </c>
      <c r="H10" s="491">
        <v>64948</v>
      </c>
      <c r="I10" s="491">
        <v>61651</v>
      </c>
      <c r="J10" s="491">
        <v>65380</v>
      </c>
      <c r="K10" s="491">
        <v>67006</v>
      </c>
      <c r="L10" s="491">
        <v>73413</v>
      </c>
      <c r="M10" s="491">
        <v>76011</v>
      </c>
      <c r="N10" s="369">
        <v>111428</v>
      </c>
      <c r="O10" s="1035">
        <v>116458</v>
      </c>
      <c r="P10" s="369">
        <v>97088</v>
      </c>
      <c r="Q10" s="369">
        <v>97541</v>
      </c>
      <c r="R10" s="369">
        <v>92724</v>
      </c>
      <c r="S10" s="369">
        <v>93277</v>
      </c>
    </row>
    <row r="11" spans="1:20" ht="12.95" customHeight="1">
      <c r="A11" s="584" t="s">
        <v>4</v>
      </c>
      <c r="B11" s="339">
        <v>835</v>
      </c>
      <c r="C11" s="339">
        <v>904</v>
      </c>
      <c r="D11" s="339">
        <v>1118</v>
      </c>
      <c r="E11" s="339">
        <v>931</v>
      </c>
      <c r="F11" s="397">
        <v>985</v>
      </c>
      <c r="G11" s="339">
        <v>1064</v>
      </c>
      <c r="H11" s="339">
        <v>773</v>
      </c>
      <c r="I11" s="339">
        <v>1116</v>
      </c>
      <c r="J11" s="339">
        <v>2182</v>
      </c>
      <c r="K11" s="339">
        <v>2639</v>
      </c>
      <c r="L11" s="339">
        <v>2871</v>
      </c>
      <c r="M11" s="339">
        <v>2468</v>
      </c>
      <c r="N11" s="344">
        <v>2432</v>
      </c>
      <c r="O11" s="1031">
        <v>2237</v>
      </c>
      <c r="P11" s="344">
        <v>1433</v>
      </c>
      <c r="Q11" s="344">
        <v>1359</v>
      </c>
      <c r="R11" s="344">
        <v>2191</v>
      </c>
      <c r="S11" s="344">
        <v>1761</v>
      </c>
      <c r="T11" s="591"/>
    </row>
    <row r="12" spans="1:20" ht="12.95" customHeight="1">
      <c r="A12" s="584" t="s">
        <v>334</v>
      </c>
      <c r="B12" s="339"/>
      <c r="C12" s="339"/>
      <c r="D12" s="339"/>
      <c r="E12" s="339"/>
      <c r="F12" s="392"/>
      <c r="G12" s="339">
        <f t="shared" ref="G12:L12" si="2">+G10-G11</f>
        <v>56755</v>
      </c>
      <c r="H12" s="339">
        <f t="shared" si="2"/>
        <v>64175</v>
      </c>
      <c r="I12" s="339">
        <f t="shared" si="2"/>
        <v>60535</v>
      </c>
      <c r="J12" s="339">
        <f t="shared" si="2"/>
        <v>63198</v>
      </c>
      <c r="K12" s="339">
        <f t="shared" si="2"/>
        <v>64367</v>
      </c>
      <c r="L12" s="339">
        <f t="shared" si="2"/>
        <v>70542</v>
      </c>
      <c r="M12" s="339">
        <f t="shared" ref="M12:R12" si="3">+M10-M11</f>
        <v>73543</v>
      </c>
      <c r="N12" s="339">
        <f t="shared" si="3"/>
        <v>108996</v>
      </c>
      <c r="O12" s="1031">
        <f t="shared" si="3"/>
        <v>114221</v>
      </c>
      <c r="P12" s="344">
        <f t="shared" si="3"/>
        <v>95655</v>
      </c>
      <c r="Q12" s="344">
        <f t="shared" si="3"/>
        <v>96182</v>
      </c>
      <c r="R12" s="344">
        <f t="shared" si="3"/>
        <v>90533</v>
      </c>
      <c r="S12" s="344">
        <f t="shared" ref="S12" si="4">+S10-S11</f>
        <v>91516</v>
      </c>
    </row>
    <row r="13" spans="1:20" ht="12.95" customHeight="1">
      <c r="A13" s="582" t="s">
        <v>366</v>
      </c>
      <c r="B13" s="339"/>
      <c r="C13" s="339"/>
      <c r="D13" s="339"/>
      <c r="E13" s="339"/>
      <c r="F13" s="392"/>
      <c r="G13" s="339"/>
      <c r="H13" s="339"/>
      <c r="I13" s="339"/>
      <c r="J13" s="339"/>
      <c r="K13" s="339"/>
      <c r="L13" s="339"/>
      <c r="M13" s="339"/>
      <c r="N13" s="324"/>
      <c r="O13" s="1038"/>
      <c r="P13" s="516"/>
      <c r="Q13" s="516"/>
      <c r="R13" s="516"/>
      <c r="S13" s="516"/>
    </row>
    <row r="14" spans="1:20" s="908" customFormat="1" ht="12.95" customHeight="1">
      <c r="A14" s="582" t="s">
        <v>462</v>
      </c>
      <c r="B14" s="491">
        <v>22300</v>
      </c>
      <c r="C14" s="491">
        <v>25169</v>
      </c>
      <c r="D14" s="491">
        <v>25981</v>
      </c>
      <c r="E14" s="491">
        <v>28361</v>
      </c>
      <c r="F14" s="491">
        <v>29326</v>
      </c>
      <c r="G14" s="491">
        <v>38366</v>
      </c>
      <c r="H14" s="491">
        <v>39030</v>
      </c>
      <c r="I14" s="491">
        <v>37958</v>
      </c>
      <c r="J14" s="491">
        <v>42829</v>
      </c>
      <c r="K14" s="491">
        <v>42468</v>
      </c>
      <c r="L14" s="491">
        <v>54927</v>
      </c>
      <c r="M14" s="491">
        <v>69969</v>
      </c>
      <c r="N14" s="491">
        <v>97308</v>
      </c>
      <c r="O14" s="1035">
        <v>133653</v>
      </c>
      <c r="P14" s="369">
        <v>124157</v>
      </c>
      <c r="Q14" s="369">
        <v>125326</v>
      </c>
      <c r="R14" s="369">
        <v>119145</v>
      </c>
      <c r="S14" s="369">
        <v>120144</v>
      </c>
    </row>
    <row r="15" spans="1:20" ht="12.95" customHeight="1">
      <c r="A15" s="584" t="s">
        <v>4</v>
      </c>
      <c r="B15" s="339">
        <v>452</v>
      </c>
      <c r="C15" s="339">
        <v>402</v>
      </c>
      <c r="D15" s="394">
        <v>670</v>
      </c>
      <c r="E15" s="394">
        <v>473</v>
      </c>
      <c r="F15" s="339">
        <v>513</v>
      </c>
      <c r="G15" s="339">
        <v>468</v>
      </c>
      <c r="H15" s="339">
        <v>511</v>
      </c>
      <c r="I15" s="339">
        <v>433</v>
      </c>
      <c r="J15" s="339">
        <v>310</v>
      </c>
      <c r="K15" s="339">
        <v>609</v>
      </c>
      <c r="L15" s="339">
        <v>681</v>
      </c>
      <c r="M15" s="339">
        <v>927</v>
      </c>
      <c r="N15" s="344">
        <v>878</v>
      </c>
      <c r="O15" s="1031">
        <v>1397</v>
      </c>
      <c r="P15" s="344">
        <v>1849</v>
      </c>
      <c r="Q15" s="344">
        <v>1968</v>
      </c>
      <c r="R15" s="344">
        <v>1905</v>
      </c>
      <c r="S15" s="344">
        <v>1752</v>
      </c>
    </row>
    <row r="16" spans="1:20" ht="12.95" customHeight="1">
      <c r="A16" s="584" t="s">
        <v>334</v>
      </c>
      <c r="B16" s="339"/>
      <c r="C16" s="339"/>
      <c r="D16" s="339"/>
      <c r="E16" s="339"/>
      <c r="F16" s="392"/>
      <c r="G16" s="339">
        <f>G14-G15</f>
        <v>37898</v>
      </c>
      <c r="H16" s="339">
        <f t="shared" ref="H16:M16" si="5">H14-H15</f>
        <v>38519</v>
      </c>
      <c r="I16" s="339">
        <f t="shared" si="5"/>
        <v>37525</v>
      </c>
      <c r="J16" s="339">
        <f t="shared" si="5"/>
        <v>42519</v>
      </c>
      <c r="K16" s="339">
        <f t="shared" si="5"/>
        <v>41859</v>
      </c>
      <c r="L16" s="339">
        <f t="shared" si="5"/>
        <v>54246</v>
      </c>
      <c r="M16" s="339">
        <f t="shared" si="5"/>
        <v>69042</v>
      </c>
      <c r="N16" s="339">
        <f t="shared" ref="N16:S16" si="6">N14-N15</f>
        <v>96430</v>
      </c>
      <c r="O16" s="1031">
        <f t="shared" si="6"/>
        <v>132256</v>
      </c>
      <c r="P16" s="344">
        <f t="shared" si="6"/>
        <v>122308</v>
      </c>
      <c r="Q16" s="344">
        <f t="shared" si="6"/>
        <v>123358</v>
      </c>
      <c r="R16" s="344">
        <f t="shared" si="6"/>
        <v>117240</v>
      </c>
      <c r="S16" s="344">
        <f t="shared" si="6"/>
        <v>118392</v>
      </c>
    </row>
    <row r="17" spans="1:22" ht="12.95" customHeight="1">
      <c r="A17" s="582" t="s">
        <v>346</v>
      </c>
      <c r="B17" s="339"/>
      <c r="C17" s="339"/>
      <c r="D17" s="339"/>
      <c r="E17" s="339"/>
      <c r="F17" s="392"/>
      <c r="G17" s="466"/>
      <c r="H17" s="339"/>
      <c r="I17" s="339"/>
      <c r="J17" s="339"/>
      <c r="K17" s="339"/>
      <c r="L17" s="339"/>
      <c r="M17" s="339"/>
      <c r="N17" s="324"/>
      <c r="O17" s="1038"/>
      <c r="P17" s="516"/>
      <c r="Q17" s="516"/>
      <c r="R17" s="516"/>
      <c r="S17" s="516"/>
    </row>
    <row r="18" spans="1:22" s="908" customFormat="1" ht="12.95" customHeight="1">
      <c r="A18" s="582" t="s">
        <v>462</v>
      </c>
      <c r="B18" s="369">
        <v>71476</v>
      </c>
      <c r="C18" s="369">
        <v>43392</v>
      </c>
      <c r="D18" s="369">
        <v>46448</v>
      </c>
      <c r="E18" s="513">
        <v>50326</v>
      </c>
      <c r="F18" s="369">
        <v>51874</v>
      </c>
      <c r="G18" s="471">
        <v>61163</v>
      </c>
      <c r="H18" s="369">
        <v>70753</v>
      </c>
      <c r="I18" s="369">
        <v>71737</v>
      </c>
      <c r="J18" s="369">
        <v>79000</v>
      </c>
      <c r="K18" s="369">
        <v>80626</v>
      </c>
      <c r="L18" s="369">
        <v>99197</v>
      </c>
      <c r="M18" s="369">
        <v>112371</v>
      </c>
      <c r="N18" s="369">
        <v>133568</v>
      </c>
      <c r="O18" s="1035">
        <f>87434+83446</f>
        <v>170880</v>
      </c>
      <c r="P18" s="369">
        <v>155038</v>
      </c>
      <c r="Q18" s="369">
        <f>69443+88645</f>
        <v>158088</v>
      </c>
      <c r="R18" s="369">
        <f>69654+79254</f>
        <v>148908</v>
      </c>
      <c r="S18" s="369">
        <v>150101</v>
      </c>
    </row>
    <row r="19" spans="1:22" ht="12.95" customHeight="1">
      <c r="A19" s="583" t="s">
        <v>4</v>
      </c>
      <c r="B19" s="369"/>
      <c r="C19" s="394">
        <v>1136</v>
      </c>
      <c r="D19" s="394">
        <v>1017</v>
      </c>
      <c r="E19" s="396">
        <v>1109</v>
      </c>
      <c r="F19" s="395">
        <v>1324</v>
      </c>
      <c r="G19" s="337">
        <v>1224</v>
      </c>
      <c r="H19" s="337">
        <v>948</v>
      </c>
      <c r="I19" s="337">
        <v>1129</v>
      </c>
      <c r="J19" s="337">
        <v>1218</v>
      </c>
      <c r="K19" s="337">
        <v>2127</v>
      </c>
      <c r="L19" s="337">
        <v>2418</v>
      </c>
      <c r="M19" s="337">
        <v>1934</v>
      </c>
      <c r="N19" s="337">
        <v>2223</v>
      </c>
      <c r="O19" s="1039">
        <f>1550+1501</f>
        <v>3051</v>
      </c>
      <c r="P19" s="338">
        <v>3240</v>
      </c>
      <c r="Q19" s="338">
        <f>1576+2040</f>
        <v>3616</v>
      </c>
      <c r="R19" s="344">
        <f>1765+1637</f>
        <v>3402</v>
      </c>
      <c r="S19" s="344">
        <v>2624</v>
      </c>
    </row>
    <row r="20" spans="1:22" ht="12.95" customHeight="1">
      <c r="A20" s="584" t="s">
        <v>334</v>
      </c>
      <c r="B20" s="339"/>
      <c r="C20" s="339"/>
      <c r="D20" s="339"/>
      <c r="E20" s="339"/>
      <c r="F20" s="392"/>
      <c r="G20" s="339">
        <f t="shared" ref="G20:L20" si="7">+G18-G19</f>
        <v>59939</v>
      </c>
      <c r="H20" s="339">
        <f t="shared" si="7"/>
        <v>69805</v>
      </c>
      <c r="I20" s="339">
        <f t="shared" si="7"/>
        <v>70608</v>
      </c>
      <c r="J20" s="339">
        <f t="shared" si="7"/>
        <v>77782</v>
      </c>
      <c r="K20" s="339">
        <f t="shared" si="7"/>
        <v>78499</v>
      </c>
      <c r="L20" s="339">
        <f t="shared" si="7"/>
        <v>96779</v>
      </c>
      <c r="M20" s="339">
        <f t="shared" ref="M20:R20" si="8">+M18-M19</f>
        <v>110437</v>
      </c>
      <c r="N20" s="339">
        <f t="shared" si="8"/>
        <v>131345</v>
      </c>
      <c r="O20" s="1031">
        <f t="shared" si="8"/>
        <v>167829</v>
      </c>
      <c r="P20" s="344">
        <f t="shared" si="8"/>
        <v>151798</v>
      </c>
      <c r="Q20" s="344">
        <f t="shared" si="8"/>
        <v>154472</v>
      </c>
      <c r="R20" s="344">
        <f t="shared" si="8"/>
        <v>145506</v>
      </c>
      <c r="S20" s="344">
        <f t="shared" ref="S20" si="9">+S18-S19</f>
        <v>147477</v>
      </c>
    </row>
    <row r="21" spans="1:22" ht="12.95" customHeight="1">
      <c r="A21" s="582" t="s">
        <v>345</v>
      </c>
      <c r="B21" s="339"/>
      <c r="C21" s="339"/>
      <c r="D21" s="339"/>
      <c r="E21" s="339"/>
      <c r="F21" s="392"/>
      <c r="G21" s="466"/>
      <c r="H21" s="339"/>
      <c r="I21" s="339"/>
      <c r="J21" s="339"/>
      <c r="K21" s="339"/>
      <c r="L21" s="339"/>
      <c r="M21" s="339"/>
      <c r="N21" s="324"/>
      <c r="O21" s="1038"/>
      <c r="P21" s="516"/>
      <c r="Q21" s="516"/>
      <c r="R21" s="516"/>
      <c r="S21" s="516"/>
    </row>
    <row r="22" spans="1:22" s="908" customFormat="1" ht="12.95" customHeight="1">
      <c r="A22" s="582" t="s">
        <v>462</v>
      </c>
      <c r="B22" s="491">
        <v>14618</v>
      </c>
      <c r="C22" s="491">
        <v>14638</v>
      </c>
      <c r="D22" s="510">
        <v>23298</v>
      </c>
      <c r="E22" s="491">
        <v>17226</v>
      </c>
      <c r="F22" s="369">
        <v>16366</v>
      </c>
      <c r="G22" s="514" t="s">
        <v>117</v>
      </c>
      <c r="H22" s="515" t="s">
        <v>117</v>
      </c>
      <c r="I22" s="491">
        <v>13699</v>
      </c>
      <c r="J22" s="491">
        <v>15310</v>
      </c>
      <c r="K22" s="491">
        <v>15764</v>
      </c>
      <c r="L22" s="491">
        <v>18841</v>
      </c>
      <c r="M22" s="491">
        <v>20034</v>
      </c>
      <c r="N22" s="491">
        <v>22921</v>
      </c>
      <c r="O22" s="1035">
        <f>19929+3679</f>
        <v>23608</v>
      </c>
      <c r="P22" s="369">
        <v>20714</v>
      </c>
      <c r="Q22" s="369">
        <v>20223</v>
      </c>
      <c r="R22" s="369">
        <f>15216+2727</f>
        <v>17943</v>
      </c>
      <c r="S22" s="369">
        <v>8713</v>
      </c>
    </row>
    <row r="23" spans="1:22" ht="12.95" customHeight="1">
      <c r="A23" s="583" t="s">
        <v>4</v>
      </c>
      <c r="B23" s="394">
        <v>443</v>
      </c>
      <c r="C23" s="394">
        <v>290</v>
      </c>
      <c r="D23" s="393">
        <v>523</v>
      </c>
      <c r="E23" s="338">
        <v>196</v>
      </c>
      <c r="F23" s="337">
        <v>156</v>
      </c>
      <c r="G23" s="516" t="s">
        <v>117</v>
      </c>
      <c r="H23" s="516" t="s">
        <v>117</v>
      </c>
      <c r="I23" s="337">
        <v>248</v>
      </c>
      <c r="J23" s="337">
        <v>266</v>
      </c>
      <c r="K23" s="337">
        <v>341</v>
      </c>
      <c r="L23" s="337">
        <v>390</v>
      </c>
      <c r="M23" s="337">
        <v>412</v>
      </c>
      <c r="N23" s="337">
        <v>323</v>
      </c>
      <c r="O23" s="1039">
        <f>346+132</f>
        <v>478</v>
      </c>
      <c r="P23" s="338">
        <v>542</v>
      </c>
      <c r="Q23" s="338">
        <v>526</v>
      </c>
      <c r="R23" s="338">
        <f>303+84</f>
        <v>387</v>
      </c>
      <c r="S23" s="338">
        <v>306</v>
      </c>
    </row>
    <row r="24" spans="1:22" ht="12.95" customHeight="1">
      <c r="A24" s="584" t="s">
        <v>334</v>
      </c>
      <c r="B24" s="339"/>
      <c r="C24" s="339"/>
      <c r="D24" s="339"/>
      <c r="E24" s="339"/>
      <c r="F24" s="392"/>
      <c r="G24" s="516" t="s">
        <v>117</v>
      </c>
      <c r="H24" s="516" t="s">
        <v>117</v>
      </c>
      <c r="I24" s="339">
        <f t="shared" ref="I24:O24" si="10">+I22-I23</f>
        <v>13451</v>
      </c>
      <c r="J24" s="339">
        <f t="shared" si="10"/>
        <v>15044</v>
      </c>
      <c r="K24" s="339">
        <f t="shared" si="10"/>
        <v>15423</v>
      </c>
      <c r="L24" s="339">
        <f t="shared" si="10"/>
        <v>18451</v>
      </c>
      <c r="M24" s="339">
        <f t="shared" si="10"/>
        <v>19622</v>
      </c>
      <c r="N24" s="339">
        <f t="shared" si="10"/>
        <v>22598</v>
      </c>
      <c r="O24" s="1031">
        <f t="shared" si="10"/>
        <v>23130</v>
      </c>
      <c r="P24" s="344">
        <f>+P22-P23</f>
        <v>20172</v>
      </c>
      <c r="Q24" s="344">
        <f>+Q22-Q23</f>
        <v>19697</v>
      </c>
      <c r="R24" s="344">
        <f>+R22-R23</f>
        <v>17556</v>
      </c>
      <c r="S24" s="344">
        <f>+S22-S23</f>
        <v>8407</v>
      </c>
    </row>
    <row r="25" spans="1:22" ht="12.95" customHeight="1">
      <c r="A25" s="582" t="s">
        <v>344</v>
      </c>
      <c r="B25" s="339"/>
      <c r="C25" s="339"/>
      <c r="D25" s="339"/>
      <c r="E25" s="339"/>
      <c r="F25" s="392"/>
      <c r="G25" s="324"/>
      <c r="H25" s="324"/>
      <c r="I25" s="339"/>
      <c r="J25" s="339"/>
      <c r="K25" s="339"/>
      <c r="L25" s="339"/>
      <c r="M25" s="339"/>
      <c r="N25" s="324"/>
      <c r="O25" s="1038"/>
      <c r="P25" s="516"/>
      <c r="Q25" s="516"/>
      <c r="R25" s="516"/>
      <c r="S25" s="516"/>
    </row>
    <row r="26" spans="1:22" s="908" customFormat="1" ht="12.95" customHeight="1">
      <c r="A26" s="582" t="s">
        <v>462</v>
      </c>
      <c r="B26" s="369">
        <v>13306</v>
      </c>
      <c r="C26" s="369">
        <v>14675</v>
      </c>
      <c r="D26" s="517">
        <v>8376</v>
      </c>
      <c r="E26" s="369">
        <v>15852</v>
      </c>
      <c r="F26" s="369">
        <v>17871</v>
      </c>
      <c r="G26" s="514" t="s">
        <v>117</v>
      </c>
      <c r="H26" s="515" t="s">
        <v>117</v>
      </c>
      <c r="I26" s="369">
        <v>19246</v>
      </c>
      <c r="J26" s="369">
        <v>21285</v>
      </c>
      <c r="K26" s="369">
        <v>20031</v>
      </c>
      <c r="L26" s="369">
        <v>22037</v>
      </c>
      <c r="M26" s="369">
        <v>24577</v>
      </c>
      <c r="N26" s="369">
        <v>29755</v>
      </c>
      <c r="O26" s="1035">
        <v>35308</v>
      </c>
      <c r="P26" s="369">
        <v>25519</v>
      </c>
      <c r="Q26" s="369">
        <v>27675</v>
      </c>
      <c r="R26" s="369">
        <v>28473</v>
      </c>
      <c r="S26" s="369">
        <v>26731</v>
      </c>
    </row>
    <row r="27" spans="1:22" ht="12.95" customHeight="1">
      <c r="A27" s="583" t="s">
        <v>4</v>
      </c>
      <c r="B27" s="165">
        <v>410</v>
      </c>
      <c r="C27" s="165">
        <v>744</v>
      </c>
      <c r="D27" s="393">
        <v>199</v>
      </c>
      <c r="E27" s="338">
        <v>325</v>
      </c>
      <c r="F27" s="337">
        <v>404</v>
      </c>
      <c r="G27" s="516" t="s">
        <v>117</v>
      </c>
      <c r="H27" s="516" t="s">
        <v>117</v>
      </c>
      <c r="I27" s="165">
        <v>437</v>
      </c>
      <c r="J27" s="165">
        <v>643</v>
      </c>
      <c r="K27" s="165">
        <v>307</v>
      </c>
      <c r="L27" s="165">
        <v>290</v>
      </c>
      <c r="M27" s="338">
        <v>581</v>
      </c>
      <c r="N27" s="338">
        <v>464</v>
      </c>
      <c r="O27" s="1039">
        <v>683</v>
      </c>
      <c r="P27" s="338">
        <v>460</v>
      </c>
      <c r="Q27" s="338">
        <v>379</v>
      </c>
      <c r="R27" s="338">
        <v>651</v>
      </c>
      <c r="S27" s="338">
        <v>601</v>
      </c>
      <c r="T27" s="591"/>
    </row>
    <row r="28" spans="1:22" ht="12.95" customHeight="1">
      <c r="A28" s="584" t="s">
        <v>334</v>
      </c>
      <c r="B28" s="339"/>
      <c r="C28" s="339"/>
      <c r="D28" s="339"/>
      <c r="E28" s="339"/>
      <c r="F28" s="392"/>
      <c r="G28" s="516" t="s">
        <v>117</v>
      </c>
      <c r="H28" s="516" t="s">
        <v>117</v>
      </c>
      <c r="I28" s="339">
        <f t="shared" ref="I28:N28" si="11">+I26-I27</f>
        <v>18809</v>
      </c>
      <c r="J28" s="339">
        <f t="shared" si="11"/>
        <v>20642</v>
      </c>
      <c r="K28" s="339">
        <f t="shared" si="11"/>
        <v>19724</v>
      </c>
      <c r="L28" s="339">
        <f t="shared" si="11"/>
        <v>21747</v>
      </c>
      <c r="M28" s="339">
        <f t="shared" si="11"/>
        <v>23996</v>
      </c>
      <c r="N28" s="339">
        <f t="shared" si="11"/>
        <v>29291</v>
      </c>
      <c r="O28" s="1031">
        <f>+O26-O27</f>
        <v>34625</v>
      </c>
      <c r="P28" s="344">
        <f>+P26-P27</f>
        <v>25059</v>
      </c>
      <c r="Q28" s="344">
        <f>+Q26-Q27</f>
        <v>27296</v>
      </c>
      <c r="R28" s="344">
        <f>+R26-R27</f>
        <v>27822</v>
      </c>
      <c r="S28" s="344">
        <f>+S26-S27</f>
        <v>26130</v>
      </c>
      <c r="V28" s="591"/>
    </row>
    <row r="29" spans="1:22" ht="5.25" customHeight="1">
      <c r="A29" s="585"/>
      <c r="B29" s="374"/>
      <c r="C29" s="374"/>
      <c r="D29" s="381"/>
      <c r="E29" s="381"/>
      <c r="F29" s="391"/>
      <c r="G29" s="381"/>
      <c r="H29" s="381"/>
      <c r="I29" s="381"/>
      <c r="J29" s="381"/>
      <c r="K29" s="381"/>
      <c r="L29" s="381"/>
      <c r="M29" s="381"/>
      <c r="N29" s="381"/>
      <c r="O29" s="1040"/>
      <c r="P29" s="381"/>
      <c r="Q29" s="381"/>
      <c r="R29" s="381"/>
      <c r="S29" s="381"/>
    </row>
    <row r="30" spans="1:22" ht="11.1" customHeight="1">
      <c r="A30" s="149" t="s">
        <v>365</v>
      </c>
      <c r="B30" s="149"/>
      <c r="C30" s="149"/>
      <c r="D30" s="340"/>
      <c r="E30" s="390"/>
      <c r="F30" s="390"/>
      <c r="G30" s="340"/>
      <c r="H30" s="340"/>
      <c r="I30" s="390"/>
      <c r="J30" s="390"/>
    </row>
    <row r="31" spans="1:22" ht="10.5" customHeight="1">
      <c r="A31" s="1161" t="s">
        <v>571</v>
      </c>
      <c r="B31" s="1161"/>
      <c r="C31" s="1161"/>
      <c r="D31" s="1161"/>
      <c r="E31" s="1161"/>
      <c r="F31" s="1161"/>
      <c r="G31" s="1161"/>
      <c r="H31" s="1161"/>
      <c r="I31" s="1161"/>
      <c r="J31" s="1161"/>
      <c r="K31" s="1161"/>
      <c r="L31" s="1161"/>
      <c r="M31" s="1161"/>
      <c r="N31" s="1161"/>
      <c r="O31" s="1161"/>
      <c r="P31" s="1161"/>
      <c r="Q31" s="1161"/>
      <c r="R31" s="1161"/>
      <c r="S31" s="1161"/>
    </row>
    <row r="32" spans="1:22" ht="11.1" customHeight="1">
      <c r="A32" s="845" t="s">
        <v>572</v>
      </c>
    </row>
  </sheetData>
  <mergeCells count="2">
    <mergeCell ref="A31:S31"/>
    <mergeCell ref="A1:S1"/>
  </mergeCells>
  <pageMargins left="0.78740157480314965" right="0.78740157480314965" top="0.98425196850393704" bottom="0.98425196850393704" header="0.31496062992125984" footer="0"/>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zoomScaleNormal="100" workbookViewId="0">
      <selection sqref="A1:N1"/>
    </sheetView>
  </sheetViews>
  <sheetFormatPr baseColWidth="10" defaultColWidth="11.42578125" defaultRowHeight="12.75"/>
  <cols>
    <col min="1" max="1" width="14.28515625" style="97" customWidth="1"/>
    <col min="2" max="4" width="8.85546875" style="97" hidden="1" customWidth="1"/>
    <col min="5" max="5" width="3.85546875" style="97" hidden="1" customWidth="1"/>
    <col min="6" max="8" width="10" style="97" hidden="1" customWidth="1"/>
    <col min="9" max="14" width="11.7109375" style="97" customWidth="1"/>
    <col min="15" max="16384" width="11.42578125" style="97"/>
  </cols>
  <sheetData>
    <row r="1" spans="1:15" s="103" customFormat="1" ht="26.1" customHeight="1">
      <c r="A1" s="1164" t="s">
        <v>534</v>
      </c>
      <c r="B1" s="1164"/>
      <c r="C1" s="1164"/>
      <c r="D1" s="1164"/>
      <c r="E1" s="1164"/>
      <c r="F1" s="1164"/>
      <c r="G1" s="1164"/>
      <c r="H1" s="1164"/>
      <c r="I1" s="1164"/>
      <c r="J1" s="1164"/>
      <c r="K1" s="1164"/>
      <c r="L1" s="1164"/>
      <c r="M1" s="1164"/>
      <c r="N1" s="1164"/>
    </row>
    <row r="2" spans="1:15" s="398" customFormat="1">
      <c r="A2" s="398" t="s">
        <v>535</v>
      </c>
      <c r="K2" s="97"/>
    </row>
    <row r="3" spans="1:15" s="103" customFormat="1" ht="5.0999999999999996" customHeight="1">
      <c r="A3" s="423"/>
      <c r="K3" s="97"/>
    </row>
    <row r="4" spans="1:15" s="103" customFormat="1" ht="20.100000000000001" customHeight="1">
      <c r="A4" s="1162" t="s">
        <v>464</v>
      </c>
      <c r="B4" s="518">
        <v>2011</v>
      </c>
      <c r="C4" s="519">
        <v>2012</v>
      </c>
      <c r="D4" s="519">
        <v>2013</v>
      </c>
      <c r="E4" s="519">
        <v>2014</v>
      </c>
      <c r="F4" s="519">
        <v>2015</v>
      </c>
      <c r="G4" s="519">
        <v>2016</v>
      </c>
      <c r="H4" s="518">
        <v>2017</v>
      </c>
      <c r="I4" s="1046">
        <v>2018</v>
      </c>
      <c r="J4" s="519">
        <v>2019</v>
      </c>
      <c r="K4" s="519">
        <v>2020</v>
      </c>
      <c r="L4" s="519">
        <v>2021</v>
      </c>
      <c r="M4" s="519">
        <v>2022</v>
      </c>
      <c r="N4" s="519">
        <v>2023</v>
      </c>
    </row>
    <row r="5" spans="1:15" s="103" customFormat="1" ht="5.25" customHeight="1">
      <c r="A5" s="1163"/>
      <c r="B5" s="520"/>
      <c r="C5" s="520"/>
      <c r="D5" s="520"/>
      <c r="E5" s="520"/>
      <c r="I5" s="806"/>
    </row>
    <row r="6" spans="1:15" s="135" customFormat="1" ht="21.95" customHeight="1">
      <c r="A6" s="607" t="s">
        <v>462</v>
      </c>
      <c r="B6" s="369">
        <v>4045</v>
      </c>
      <c r="C6" s="369">
        <v>4567</v>
      </c>
      <c r="D6" s="369">
        <v>4295</v>
      </c>
      <c r="E6" s="369">
        <v>4043</v>
      </c>
      <c r="F6" s="369">
        <v>4088</v>
      </c>
      <c r="G6" s="369">
        <f>G7+G8</f>
        <v>4090</v>
      </c>
      <c r="H6" s="369">
        <f>H7+H8</f>
        <v>4872</v>
      </c>
      <c r="I6" s="471">
        <f>I7+I8</f>
        <v>5055</v>
      </c>
      <c r="J6" s="369">
        <f>84+131+159+176+785+3941</f>
        <v>5276</v>
      </c>
      <c r="K6" s="369">
        <v>5196</v>
      </c>
      <c r="L6" s="369">
        <f>73+149+221+207+937+4676</f>
        <v>6263</v>
      </c>
      <c r="M6" s="369">
        <f>75+157+223+183+1057+4967</f>
        <v>6662</v>
      </c>
      <c r="N6" s="369">
        <f>+N7+N8</f>
        <v>6442</v>
      </c>
    </row>
    <row r="7" spans="1:15" s="135" customFormat="1" ht="21.95" customHeight="1">
      <c r="A7" s="608" t="s">
        <v>91</v>
      </c>
      <c r="B7" s="344">
        <v>217</v>
      </c>
      <c r="C7" s="344">
        <v>305</v>
      </c>
      <c r="D7" s="344">
        <v>288</v>
      </c>
      <c r="E7" s="344">
        <v>353</v>
      </c>
      <c r="F7" s="344">
        <v>335</v>
      </c>
      <c r="G7" s="344">
        <v>322</v>
      </c>
      <c r="H7" s="344">
        <v>386</v>
      </c>
      <c r="I7" s="1024">
        <v>414</v>
      </c>
      <c r="J7" s="344">
        <f>84+131+159</f>
        <v>374</v>
      </c>
      <c r="K7" s="344">
        <v>372</v>
      </c>
      <c r="L7" s="344">
        <f>73+149+221</f>
        <v>443</v>
      </c>
      <c r="M7" s="344">
        <f>75+157+223</f>
        <v>455</v>
      </c>
      <c r="N7" s="344">
        <f>70+152+226</f>
        <v>448</v>
      </c>
    </row>
    <row r="8" spans="1:15" s="135" customFormat="1" ht="21.95" customHeight="1">
      <c r="A8" s="608" t="s">
        <v>92</v>
      </c>
      <c r="B8" s="344">
        <v>3828</v>
      </c>
      <c r="C8" s="344">
        <v>4262</v>
      </c>
      <c r="D8" s="344">
        <v>4007</v>
      </c>
      <c r="E8" s="344">
        <v>3690</v>
      </c>
      <c r="F8" s="344">
        <v>3753</v>
      </c>
      <c r="G8" s="344">
        <v>3768</v>
      </c>
      <c r="H8" s="344">
        <v>4486</v>
      </c>
      <c r="I8" s="1024">
        <v>4641</v>
      </c>
      <c r="J8" s="344">
        <f>176+785+3941</f>
        <v>4902</v>
      </c>
      <c r="K8" s="344">
        <v>4824</v>
      </c>
      <c r="L8" s="344">
        <f>207+937+4676</f>
        <v>5820</v>
      </c>
      <c r="M8" s="344">
        <f>+M6-M7</f>
        <v>6207</v>
      </c>
      <c r="N8" s="344">
        <f>193+941+4860</f>
        <v>5994</v>
      </c>
    </row>
    <row r="9" spans="1:15" s="103" customFormat="1" ht="21.95" customHeight="1">
      <c r="A9" s="609" t="s">
        <v>4</v>
      </c>
      <c r="B9" s="369">
        <v>55</v>
      </c>
      <c r="C9" s="369">
        <v>40</v>
      </c>
      <c r="D9" s="369">
        <v>17</v>
      </c>
      <c r="E9" s="369">
        <v>43</v>
      </c>
      <c r="F9" s="135">
        <v>91</v>
      </c>
      <c r="G9" s="135">
        <f>G10+G11</f>
        <v>59</v>
      </c>
      <c r="H9" s="135">
        <v>94</v>
      </c>
      <c r="I9" s="1047">
        <v>46</v>
      </c>
      <c r="J9" s="138">
        <f>0+1+2+0+9+32</f>
        <v>44</v>
      </c>
      <c r="K9" s="138">
        <v>83</v>
      </c>
      <c r="L9" s="138">
        <v>141</v>
      </c>
      <c r="M9" s="138">
        <f>1+1+2+7+11+158</f>
        <v>180</v>
      </c>
      <c r="N9" s="138">
        <f>+N10+N11</f>
        <v>189</v>
      </c>
    </row>
    <row r="10" spans="1:15" s="103" customFormat="1" ht="21.95" customHeight="1">
      <c r="A10" s="608" t="s">
        <v>91</v>
      </c>
      <c r="B10" s="344">
        <v>2</v>
      </c>
      <c r="C10" s="344">
        <v>1</v>
      </c>
      <c r="D10" s="344">
        <v>2</v>
      </c>
      <c r="E10" s="344">
        <v>2</v>
      </c>
      <c r="F10" s="103">
        <v>4</v>
      </c>
      <c r="G10" s="103">
        <v>4</v>
      </c>
      <c r="H10" s="103">
        <v>1</v>
      </c>
      <c r="I10" s="905">
        <v>3</v>
      </c>
      <c r="J10" s="165">
        <f>0+1+2</f>
        <v>3</v>
      </c>
      <c r="K10" s="165">
        <v>1</v>
      </c>
      <c r="L10" s="165">
        <f>2+2</f>
        <v>4</v>
      </c>
      <c r="M10" s="165">
        <f>1+1+2</f>
        <v>4</v>
      </c>
      <c r="N10" s="165">
        <f>1+2+12</f>
        <v>15</v>
      </c>
    </row>
    <row r="11" spans="1:15" s="103" customFormat="1" ht="21.95" customHeight="1">
      <c r="A11" s="608" t="s">
        <v>92</v>
      </c>
      <c r="B11" s="344">
        <v>53</v>
      </c>
      <c r="C11" s="344">
        <v>39</v>
      </c>
      <c r="D11" s="344">
        <v>15</v>
      </c>
      <c r="E11" s="344">
        <v>41</v>
      </c>
      <c r="F11" s="103">
        <v>87</v>
      </c>
      <c r="G11" s="103">
        <v>55</v>
      </c>
      <c r="H11" s="103">
        <v>93</v>
      </c>
      <c r="I11" s="905">
        <v>43</v>
      </c>
      <c r="J11" s="165">
        <f>0+9+32</f>
        <v>41</v>
      </c>
      <c r="K11" s="165">
        <v>82</v>
      </c>
      <c r="L11" s="165">
        <f>2+15+120</f>
        <v>137</v>
      </c>
      <c r="M11" s="165">
        <f>+M9-M10</f>
        <v>176</v>
      </c>
      <c r="N11" s="165">
        <f>2+13+159</f>
        <v>174</v>
      </c>
    </row>
    <row r="12" spans="1:15" s="103" customFormat="1" ht="21.95" customHeight="1">
      <c r="A12" s="609" t="s">
        <v>334</v>
      </c>
      <c r="B12" s="369">
        <f t="shared" ref="B12:K14" si="0">B6-B9</f>
        <v>3990</v>
      </c>
      <c r="C12" s="369">
        <f t="shared" si="0"/>
        <v>4527</v>
      </c>
      <c r="D12" s="369">
        <f t="shared" si="0"/>
        <v>4278</v>
      </c>
      <c r="E12" s="369">
        <f t="shared" si="0"/>
        <v>4000</v>
      </c>
      <c r="F12" s="369">
        <f t="shared" si="0"/>
        <v>3997</v>
      </c>
      <c r="G12" s="369">
        <f t="shared" si="0"/>
        <v>4031</v>
      </c>
      <c r="H12" s="369">
        <f t="shared" si="0"/>
        <v>4778</v>
      </c>
      <c r="I12" s="471">
        <f t="shared" si="0"/>
        <v>5009</v>
      </c>
      <c r="J12" s="369">
        <f t="shared" si="0"/>
        <v>5232</v>
      </c>
      <c r="K12" s="369">
        <f t="shared" si="0"/>
        <v>5113</v>
      </c>
      <c r="L12" s="369">
        <f>L6-L9</f>
        <v>6122</v>
      </c>
      <c r="M12" s="369">
        <f t="shared" ref="M12:N14" si="1">+M6-M9</f>
        <v>6482</v>
      </c>
      <c r="N12" s="369">
        <f t="shared" si="1"/>
        <v>6253</v>
      </c>
      <c r="O12" s="339"/>
    </row>
    <row r="13" spans="1:15" s="103" customFormat="1" ht="21.95" customHeight="1">
      <c r="A13" s="608" t="s">
        <v>91</v>
      </c>
      <c r="B13" s="344">
        <f t="shared" ref="B13:E14" si="2">B7-B10</f>
        <v>215</v>
      </c>
      <c r="C13" s="344">
        <f t="shared" si="2"/>
        <v>304</v>
      </c>
      <c r="D13" s="344">
        <f t="shared" si="2"/>
        <v>286</v>
      </c>
      <c r="E13" s="344">
        <f t="shared" si="2"/>
        <v>351</v>
      </c>
      <c r="F13" s="339">
        <f t="shared" si="0"/>
        <v>331</v>
      </c>
      <c r="G13" s="339">
        <f t="shared" si="0"/>
        <v>318</v>
      </c>
      <c r="H13" s="339">
        <f t="shared" si="0"/>
        <v>385</v>
      </c>
      <c r="I13" s="1024">
        <f t="shared" si="0"/>
        <v>411</v>
      </c>
      <c r="J13" s="344">
        <f t="shared" si="0"/>
        <v>371</v>
      </c>
      <c r="K13" s="344">
        <f t="shared" si="0"/>
        <v>371</v>
      </c>
      <c r="L13" s="344">
        <f>L7-L10</f>
        <v>439</v>
      </c>
      <c r="M13" s="344">
        <f t="shared" si="1"/>
        <v>451</v>
      </c>
      <c r="N13" s="344">
        <f t="shared" si="1"/>
        <v>433</v>
      </c>
    </row>
    <row r="14" spans="1:15" s="103" customFormat="1" ht="21.95" customHeight="1">
      <c r="A14" s="608" t="s">
        <v>92</v>
      </c>
      <c r="B14" s="344">
        <f t="shared" si="2"/>
        <v>3775</v>
      </c>
      <c r="C14" s="344">
        <f t="shared" si="2"/>
        <v>4223</v>
      </c>
      <c r="D14" s="344">
        <f t="shared" si="2"/>
        <v>3992</v>
      </c>
      <c r="E14" s="344">
        <f t="shared" si="2"/>
        <v>3649</v>
      </c>
      <c r="F14" s="339">
        <f t="shared" si="0"/>
        <v>3666</v>
      </c>
      <c r="G14" s="339">
        <f t="shared" si="0"/>
        <v>3713</v>
      </c>
      <c r="H14" s="339">
        <f t="shared" si="0"/>
        <v>4393</v>
      </c>
      <c r="I14" s="1024">
        <f t="shared" si="0"/>
        <v>4598</v>
      </c>
      <c r="J14" s="344">
        <f t="shared" si="0"/>
        <v>4861</v>
      </c>
      <c r="K14" s="344">
        <f t="shared" si="0"/>
        <v>4742</v>
      </c>
      <c r="L14" s="344">
        <f>L8-L11</f>
        <v>5683</v>
      </c>
      <c r="M14" s="344">
        <f t="shared" si="1"/>
        <v>6031</v>
      </c>
      <c r="N14" s="344">
        <f t="shared" si="1"/>
        <v>5820</v>
      </c>
    </row>
    <row r="15" spans="1:15" s="103" customFormat="1" ht="5.0999999999999996" customHeight="1">
      <c r="A15" s="610"/>
      <c r="B15" s="380"/>
      <c r="C15" s="380"/>
      <c r="D15" s="380"/>
      <c r="E15" s="380"/>
      <c r="F15" s="374"/>
      <c r="G15" s="374"/>
      <c r="H15" s="374"/>
      <c r="I15" s="906"/>
      <c r="J15" s="374"/>
      <c r="K15" s="374"/>
      <c r="L15" s="374"/>
      <c r="M15" s="374"/>
      <c r="N15" s="374"/>
    </row>
    <row r="16" spans="1:15" s="103" customFormat="1" ht="11.1" customHeight="1">
      <c r="A16" s="521" t="s">
        <v>497</v>
      </c>
      <c r="B16" s="521"/>
      <c r="C16" s="521"/>
      <c r="D16" s="521"/>
      <c r="E16" s="521"/>
      <c r="F16" s="521"/>
      <c r="G16" s="521"/>
      <c r="H16" s="521"/>
      <c r="I16" s="521"/>
      <c r="J16" s="521"/>
      <c r="K16" s="521"/>
    </row>
    <row r="17" spans="1:12">
      <c r="A17" s="522"/>
      <c r="B17" s="354"/>
      <c r="C17" s="354"/>
      <c r="D17" s="354"/>
      <c r="E17" s="354"/>
      <c r="F17" s="354"/>
      <c r="G17" s="354"/>
      <c r="H17" s="354"/>
      <c r="I17" s="354"/>
      <c r="J17" s="354"/>
      <c r="K17" s="354"/>
      <c r="L17" s="591"/>
    </row>
    <row r="19" spans="1:12">
      <c r="A19" s="811"/>
      <c r="F19" s="167"/>
    </row>
  </sheetData>
  <mergeCells count="2">
    <mergeCell ref="A4:A5"/>
    <mergeCell ref="A1:N1"/>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8"/>
  <sheetViews>
    <sheetView showGridLines="0" zoomScaleNormal="100" workbookViewId="0">
      <selection activeCell="A36" sqref="A36:O36"/>
    </sheetView>
  </sheetViews>
  <sheetFormatPr baseColWidth="10" defaultColWidth="11.42578125" defaultRowHeight="12.75"/>
  <cols>
    <col min="1" max="1" width="14.5703125" style="97" customWidth="1"/>
    <col min="2" max="6" width="8.28515625" style="97" hidden="1" customWidth="1"/>
    <col min="7" max="7" width="11" style="97" hidden="1" customWidth="1"/>
    <col min="8" max="9" width="11.5703125" style="97" hidden="1" customWidth="1"/>
    <col min="10" max="15" width="11.7109375" style="97" customWidth="1"/>
    <col min="16" max="16384" width="11.42578125" style="97"/>
  </cols>
  <sheetData>
    <row r="1" spans="1:16" s="103" customFormat="1" ht="25.5" customHeight="1">
      <c r="A1" s="1178" t="s">
        <v>536</v>
      </c>
      <c r="B1" s="1178"/>
      <c r="C1" s="1178"/>
      <c r="D1" s="1178"/>
      <c r="E1" s="1178"/>
      <c r="F1" s="1178"/>
      <c r="G1" s="1178"/>
      <c r="H1" s="1178"/>
      <c r="I1" s="1178"/>
      <c r="J1" s="1178"/>
      <c r="K1" s="1178"/>
      <c r="L1" s="1178"/>
      <c r="M1" s="1178"/>
      <c r="N1" s="1178"/>
      <c r="O1" s="1178"/>
    </row>
    <row r="2" spans="1:16" s="103" customFormat="1" ht="13.5">
      <c r="A2" s="398" t="s">
        <v>343</v>
      </c>
      <c r="B2" s="422"/>
      <c r="C2" s="398"/>
      <c r="D2" s="398"/>
      <c r="E2" s="398"/>
      <c r="F2" s="398"/>
      <c r="G2" s="398"/>
    </row>
    <row r="3" spans="1:16" s="103" customFormat="1" ht="2.25" customHeight="1">
      <c r="A3" s="421"/>
      <c r="B3" s="336"/>
    </row>
    <row r="4" spans="1:16" s="103" customFormat="1" ht="25.5">
      <c r="A4" s="276" t="s">
        <v>464</v>
      </c>
      <c r="B4" s="519">
        <v>2010</v>
      </c>
      <c r="C4" s="519">
        <v>2011</v>
      </c>
      <c r="D4" s="519">
        <v>2012</v>
      </c>
      <c r="E4" s="519">
        <v>2013</v>
      </c>
      <c r="F4" s="519">
        <v>2014</v>
      </c>
      <c r="G4" s="519">
        <v>2015</v>
      </c>
      <c r="H4" s="519">
        <v>2016</v>
      </c>
      <c r="I4" s="518">
        <v>2017</v>
      </c>
      <c r="J4" s="494">
        <v>2018</v>
      </c>
      <c r="K4" s="357">
        <v>2019</v>
      </c>
      <c r="L4" s="357">
        <v>2020</v>
      </c>
      <c r="M4" s="357">
        <v>2021</v>
      </c>
      <c r="N4" s="357">
        <v>2022</v>
      </c>
      <c r="O4" s="357">
        <v>2023</v>
      </c>
    </row>
    <row r="5" spans="1:16" s="103" customFormat="1" ht="6.75" customHeight="1">
      <c r="A5" s="606"/>
      <c r="J5" s="806"/>
    </row>
    <row r="6" spans="1:16" s="103" customFormat="1" ht="17.100000000000001" customHeight="1">
      <c r="A6" s="607" t="s">
        <v>462</v>
      </c>
      <c r="B6" s="369">
        <v>1223</v>
      </c>
      <c r="C6" s="369">
        <v>1276</v>
      </c>
      <c r="D6" s="369">
        <v>1605</v>
      </c>
      <c r="E6" s="369">
        <v>1512</v>
      </c>
      <c r="F6" s="369">
        <v>1571</v>
      </c>
      <c r="G6" s="369">
        <v>1614</v>
      </c>
      <c r="H6" s="369">
        <v>1593</v>
      </c>
      <c r="I6" s="369">
        <v>2241</v>
      </c>
      <c r="J6" s="471">
        <f>SUM(J7:J8)</f>
        <v>2734</v>
      </c>
      <c r="K6" s="369">
        <f>84+32+5+2105+703+50</f>
        <v>2979</v>
      </c>
      <c r="L6" s="369">
        <v>2791</v>
      </c>
      <c r="M6" s="369">
        <f>114+58+5+2488+852+60</f>
        <v>3577</v>
      </c>
      <c r="N6" s="369">
        <f>108+54+5+2506+920+65</f>
        <v>3658</v>
      </c>
      <c r="O6" s="369">
        <f>+O7+O8</f>
        <v>4104</v>
      </c>
      <c r="P6" s="339"/>
    </row>
    <row r="7" spans="1:16" s="103" customFormat="1" ht="17.100000000000001" customHeight="1">
      <c r="A7" s="608" t="s">
        <v>91</v>
      </c>
      <c r="B7" s="344">
        <v>39</v>
      </c>
      <c r="C7" s="344">
        <v>55</v>
      </c>
      <c r="D7" s="344">
        <v>72</v>
      </c>
      <c r="E7" s="344">
        <v>81</v>
      </c>
      <c r="F7" s="344">
        <v>60</v>
      </c>
      <c r="G7" s="165">
        <v>56</v>
      </c>
      <c r="H7" s="103">
        <v>73</v>
      </c>
      <c r="I7" s="103">
        <v>106</v>
      </c>
      <c r="J7" s="806">
        <v>113</v>
      </c>
      <c r="K7" s="344">
        <f>84+32+5</f>
        <v>121</v>
      </c>
      <c r="L7" s="344">
        <v>114</v>
      </c>
      <c r="M7" s="344">
        <f>114+58+5</f>
        <v>177</v>
      </c>
      <c r="N7" s="344">
        <f>108+54+5</f>
        <v>167</v>
      </c>
      <c r="O7" s="344">
        <f>144+123+12</f>
        <v>279</v>
      </c>
    </row>
    <row r="8" spans="1:16" s="103" customFormat="1" ht="17.100000000000001" customHeight="1">
      <c r="A8" s="608" t="s">
        <v>92</v>
      </c>
      <c r="B8" s="344">
        <v>1184</v>
      </c>
      <c r="C8" s="344">
        <v>1221</v>
      </c>
      <c r="D8" s="344">
        <v>1533</v>
      </c>
      <c r="E8" s="344">
        <v>1431</v>
      </c>
      <c r="F8" s="344">
        <v>1511</v>
      </c>
      <c r="G8" s="344">
        <v>1558</v>
      </c>
      <c r="H8" s="344">
        <v>1520</v>
      </c>
      <c r="I8" s="344">
        <v>2135</v>
      </c>
      <c r="J8" s="1024">
        <v>2621</v>
      </c>
      <c r="K8" s="344">
        <f>2105+703+50</f>
        <v>2858</v>
      </c>
      <c r="L8" s="344">
        <v>2677</v>
      </c>
      <c r="M8" s="344">
        <f>2488+852+60</f>
        <v>3400</v>
      </c>
      <c r="N8" s="344">
        <f>+N6-N7</f>
        <v>3491</v>
      </c>
      <c r="O8" s="344">
        <f>2740+1021+64</f>
        <v>3825</v>
      </c>
    </row>
    <row r="9" spans="1:16" s="103" customFormat="1" ht="17.100000000000001" customHeight="1">
      <c r="A9" s="609" t="s">
        <v>4</v>
      </c>
      <c r="B9" s="369">
        <v>22</v>
      </c>
      <c r="C9" s="369">
        <v>37</v>
      </c>
      <c r="D9" s="369">
        <v>43</v>
      </c>
      <c r="E9" s="369">
        <v>17</v>
      </c>
      <c r="F9" s="369">
        <v>24</v>
      </c>
      <c r="G9" s="138">
        <v>46</v>
      </c>
      <c r="H9" s="135">
        <f>H10+H11</f>
        <v>28</v>
      </c>
      <c r="I9" s="135">
        <v>63</v>
      </c>
      <c r="J9" s="471">
        <f>SUM(J10:J11)</f>
        <v>35</v>
      </c>
      <c r="K9" s="369">
        <f>1+28+13+1</f>
        <v>43</v>
      </c>
      <c r="L9" s="369">
        <v>85</v>
      </c>
      <c r="M9" s="369">
        <v>82</v>
      </c>
      <c r="N9" s="369">
        <f>5+55+19+7</f>
        <v>86</v>
      </c>
      <c r="O9" s="369">
        <f>5+55+19+7</f>
        <v>86</v>
      </c>
    </row>
    <row r="10" spans="1:16" s="103" customFormat="1" ht="17.100000000000001" customHeight="1">
      <c r="A10" s="608" t="s">
        <v>91</v>
      </c>
      <c r="B10" s="344" t="s">
        <v>0</v>
      </c>
      <c r="C10" s="344">
        <v>9</v>
      </c>
      <c r="D10" s="344">
        <v>15</v>
      </c>
      <c r="E10" s="344">
        <v>1</v>
      </c>
      <c r="F10" s="344">
        <v>1</v>
      </c>
      <c r="G10" s="165" t="s">
        <v>0</v>
      </c>
      <c r="H10" s="103">
        <v>1</v>
      </c>
      <c r="I10" s="103">
        <v>1</v>
      </c>
      <c r="J10" s="806">
        <v>1</v>
      </c>
      <c r="K10" s="344">
        <f>1</f>
        <v>1</v>
      </c>
      <c r="L10" s="165" t="s">
        <v>0</v>
      </c>
      <c r="M10" s="165">
        <v>2</v>
      </c>
      <c r="N10" s="165">
        <v>5</v>
      </c>
      <c r="O10" s="165">
        <f>6+3+0</f>
        <v>9</v>
      </c>
    </row>
    <row r="11" spans="1:16" s="103" customFormat="1" ht="17.100000000000001" customHeight="1">
      <c r="A11" s="608" t="s">
        <v>92</v>
      </c>
      <c r="B11" s="344">
        <v>22</v>
      </c>
      <c r="C11" s="344">
        <v>28</v>
      </c>
      <c r="D11" s="344">
        <v>28</v>
      </c>
      <c r="E11" s="344">
        <v>16</v>
      </c>
      <c r="F11" s="344">
        <v>23</v>
      </c>
      <c r="G11" s="165">
        <v>46</v>
      </c>
      <c r="H11" s="103">
        <v>27</v>
      </c>
      <c r="I11" s="103">
        <v>62</v>
      </c>
      <c r="J11" s="806">
        <v>34</v>
      </c>
      <c r="K11" s="344">
        <f>28+13+1</f>
        <v>42</v>
      </c>
      <c r="L11" s="344">
        <v>85</v>
      </c>
      <c r="M11" s="344">
        <f>53+23+4</f>
        <v>80</v>
      </c>
      <c r="N11" s="344">
        <f>+N9-N10</f>
        <v>81</v>
      </c>
      <c r="O11" s="344">
        <f>68+22+2</f>
        <v>92</v>
      </c>
    </row>
    <row r="12" spans="1:16" s="103" customFormat="1" ht="17.100000000000001" customHeight="1">
      <c r="A12" s="609" t="s">
        <v>334</v>
      </c>
      <c r="B12" s="369">
        <f>B6-B9</f>
        <v>1201</v>
      </c>
      <c r="C12" s="369">
        <f t="shared" ref="C12:L12" si="0">C6-C9</f>
        <v>1239</v>
      </c>
      <c r="D12" s="369">
        <f t="shared" si="0"/>
        <v>1562</v>
      </c>
      <c r="E12" s="369">
        <f t="shared" si="0"/>
        <v>1495</v>
      </c>
      <c r="F12" s="369">
        <f t="shared" si="0"/>
        <v>1547</v>
      </c>
      <c r="G12" s="369">
        <f t="shared" si="0"/>
        <v>1568</v>
      </c>
      <c r="H12" s="369">
        <f t="shared" si="0"/>
        <v>1565</v>
      </c>
      <c r="I12" s="369">
        <f t="shared" si="0"/>
        <v>2178</v>
      </c>
      <c r="J12" s="471">
        <f t="shared" si="0"/>
        <v>2699</v>
      </c>
      <c r="K12" s="369">
        <f t="shared" si="0"/>
        <v>2936</v>
      </c>
      <c r="L12" s="369">
        <f t="shared" si="0"/>
        <v>2706</v>
      </c>
      <c r="M12" s="369">
        <f>M6-M9</f>
        <v>3495</v>
      </c>
      <c r="N12" s="369">
        <f t="shared" ref="N12:O14" si="1">+N6-N9</f>
        <v>3572</v>
      </c>
      <c r="O12" s="369">
        <f t="shared" si="1"/>
        <v>4018</v>
      </c>
      <c r="P12" s="339"/>
    </row>
    <row r="13" spans="1:16" s="103" customFormat="1" ht="17.100000000000001" customHeight="1">
      <c r="A13" s="608" t="s">
        <v>91</v>
      </c>
      <c r="B13" s="344">
        <f>B7-0</f>
        <v>39</v>
      </c>
      <c r="C13" s="344">
        <f>C7-C10</f>
        <v>46</v>
      </c>
      <c r="D13" s="344">
        <f t="shared" ref="D13:K13" si="2">D7-D10</f>
        <v>57</v>
      </c>
      <c r="E13" s="344">
        <f t="shared" si="2"/>
        <v>80</v>
      </c>
      <c r="F13" s="344">
        <f t="shared" si="2"/>
        <v>59</v>
      </c>
      <c r="G13" s="344">
        <f>G7-0</f>
        <v>56</v>
      </c>
      <c r="H13" s="344">
        <f t="shared" si="2"/>
        <v>72</v>
      </c>
      <c r="I13" s="344">
        <f t="shared" si="2"/>
        <v>105</v>
      </c>
      <c r="J13" s="1024">
        <f t="shared" si="2"/>
        <v>112</v>
      </c>
      <c r="K13" s="344">
        <f t="shared" si="2"/>
        <v>120</v>
      </c>
      <c r="L13" s="344">
        <v>114</v>
      </c>
      <c r="M13" s="344">
        <f>+M7-M10</f>
        <v>175</v>
      </c>
      <c r="N13" s="344">
        <f t="shared" si="1"/>
        <v>162</v>
      </c>
      <c r="O13" s="344">
        <f t="shared" si="1"/>
        <v>270</v>
      </c>
    </row>
    <row r="14" spans="1:16" s="103" customFormat="1" ht="17.100000000000001" customHeight="1">
      <c r="A14" s="608" t="s">
        <v>92</v>
      </c>
      <c r="B14" s="344">
        <f t="shared" ref="B14:G14" si="3">B8-B11</f>
        <v>1162</v>
      </c>
      <c r="C14" s="344">
        <f>C8-C11</f>
        <v>1193</v>
      </c>
      <c r="D14" s="344">
        <f>D8-D11</f>
        <v>1505</v>
      </c>
      <c r="E14" s="344">
        <f t="shared" si="3"/>
        <v>1415</v>
      </c>
      <c r="F14" s="344">
        <f t="shared" si="3"/>
        <v>1488</v>
      </c>
      <c r="G14" s="344">
        <f t="shared" si="3"/>
        <v>1512</v>
      </c>
      <c r="H14" s="344">
        <f>+H8-H11</f>
        <v>1493</v>
      </c>
      <c r="I14" s="344">
        <f>+I8-I11</f>
        <v>2073</v>
      </c>
      <c r="J14" s="1024">
        <f>+J8-J11</f>
        <v>2587</v>
      </c>
      <c r="K14" s="344">
        <f>+K8-K11</f>
        <v>2816</v>
      </c>
      <c r="L14" s="344">
        <f>+L8-L11</f>
        <v>2592</v>
      </c>
      <c r="M14" s="344">
        <f>+M8-M11</f>
        <v>3320</v>
      </c>
      <c r="N14" s="344">
        <f t="shared" si="1"/>
        <v>3410</v>
      </c>
      <c r="O14" s="344">
        <f t="shared" si="1"/>
        <v>3733</v>
      </c>
    </row>
    <row r="15" spans="1:16" s="103" customFormat="1" ht="4.5" customHeight="1">
      <c r="A15" s="611"/>
      <c r="B15" s="380"/>
      <c r="C15" s="380"/>
      <c r="D15" s="380"/>
      <c r="E15" s="380"/>
      <c r="F15" s="380"/>
      <c r="G15" s="388"/>
      <c r="H15" s="388"/>
      <c r="I15" s="374"/>
      <c r="J15" s="906"/>
      <c r="K15" s="374"/>
      <c r="L15" s="374"/>
      <c r="M15" s="374"/>
      <c r="N15" s="374"/>
      <c r="O15" s="374"/>
    </row>
    <row r="16" spans="1:16" s="103" customFormat="1" ht="11.1" customHeight="1">
      <c r="A16" s="536" t="s">
        <v>499</v>
      </c>
      <c r="B16" s="521"/>
      <c r="C16" s="521"/>
      <c r="D16" s="521"/>
      <c r="E16" s="521"/>
      <c r="F16" s="521"/>
      <c r="G16" s="521"/>
      <c r="H16" s="521"/>
      <c r="I16" s="521"/>
      <c r="J16" s="521"/>
      <c r="K16" s="521"/>
      <c r="L16" s="521"/>
    </row>
    <row r="17" spans="1:28" s="535" customFormat="1" ht="21" customHeight="1">
      <c r="A17" s="533"/>
      <c r="B17" s="534"/>
      <c r="C17" s="534"/>
    </row>
    <row r="18" spans="1:28" ht="12.95" customHeight="1">
      <c r="A18" s="1159" t="s">
        <v>477</v>
      </c>
      <c r="B18" s="1159"/>
      <c r="C18" s="1159"/>
      <c r="D18" s="1159"/>
      <c r="E18" s="1159"/>
      <c r="F18" s="1159"/>
      <c r="G18" s="1159"/>
      <c r="H18" s="1159"/>
      <c r="I18" s="1159"/>
      <c r="J18" s="1159"/>
      <c r="K18" s="1159"/>
      <c r="L18" s="1159"/>
      <c r="M18" s="1159"/>
      <c r="N18" s="1159"/>
      <c r="O18" s="1159"/>
    </row>
    <row r="19" spans="1:28" ht="12.95" customHeight="1">
      <c r="A19" s="1135" t="s">
        <v>480</v>
      </c>
      <c r="B19" s="1135"/>
      <c r="C19" s="1135"/>
      <c r="D19" s="1135"/>
      <c r="E19" s="1135"/>
      <c r="F19" s="1135"/>
      <c r="G19" s="1135"/>
      <c r="H19" s="1135"/>
      <c r="I19" s="1135"/>
      <c r="J19" s="1135"/>
      <c r="K19" s="1135"/>
      <c r="L19" s="1135"/>
      <c r="M19" s="1135"/>
      <c r="N19" s="1135"/>
      <c r="O19" s="1135"/>
    </row>
    <row r="20" spans="1:28" ht="12.95" customHeight="1">
      <c r="A20" s="1135" t="s">
        <v>502</v>
      </c>
      <c r="B20" s="1135"/>
      <c r="C20" s="1135"/>
      <c r="D20" s="1135"/>
      <c r="E20" s="1135"/>
      <c r="F20" s="1135"/>
      <c r="G20" s="1135"/>
      <c r="H20" s="1135"/>
      <c r="I20" s="1135"/>
      <c r="J20" s="1135"/>
      <c r="K20" s="1135"/>
      <c r="L20" s="1135"/>
      <c r="M20" s="1135"/>
      <c r="N20" s="1135"/>
      <c r="O20" s="1135"/>
    </row>
    <row r="21" spans="1:28">
      <c r="A21" s="420" t="s">
        <v>353</v>
      </c>
      <c r="B21" s="419"/>
      <c r="C21" s="419"/>
      <c r="D21" s="419"/>
      <c r="E21" s="418"/>
      <c r="F21" s="418"/>
      <c r="G21" s="418"/>
    </row>
    <row r="22" spans="1:28" ht="5.0999999999999996" customHeight="1">
      <c r="A22" s="417"/>
      <c r="B22" s="416"/>
      <c r="C22" s="416"/>
      <c r="D22" s="416"/>
    </row>
    <row r="23" spans="1:28" ht="13.5">
      <c r="A23" s="1168" t="s">
        <v>537</v>
      </c>
      <c r="B23" s="523" t="s">
        <v>374</v>
      </c>
      <c r="C23" s="411"/>
      <c r="D23" s="411"/>
      <c r="E23" s="411"/>
      <c r="F23" s="410"/>
      <c r="G23" s="936"/>
      <c r="H23" s="1170">
        <v>2016</v>
      </c>
      <c r="I23" s="1170">
        <v>2017</v>
      </c>
      <c r="J23" s="1172">
        <v>2018</v>
      </c>
      <c r="K23" s="1170">
        <v>2019</v>
      </c>
      <c r="L23" s="1170">
        <v>2020</v>
      </c>
      <c r="M23" s="1170">
        <v>2021</v>
      </c>
      <c r="N23" s="1170">
        <v>2022</v>
      </c>
      <c r="O23" s="1170">
        <v>2023</v>
      </c>
      <c r="P23" s="981"/>
      <c r="Q23" s="415"/>
      <c r="R23" s="415"/>
      <c r="S23" s="415"/>
      <c r="T23" s="415"/>
      <c r="U23" s="415"/>
      <c r="V23" s="415"/>
      <c r="W23" s="415"/>
      <c r="X23" s="415"/>
      <c r="Y23" s="415"/>
      <c r="Z23" s="415"/>
      <c r="AA23" s="165"/>
      <c r="AB23" s="415"/>
    </row>
    <row r="24" spans="1:28">
      <c r="A24" s="1169"/>
      <c r="B24" s="524">
        <v>2010</v>
      </c>
      <c r="C24" s="524">
        <v>2011</v>
      </c>
      <c r="D24" s="524">
        <v>2012</v>
      </c>
      <c r="E24" s="524">
        <v>2013</v>
      </c>
      <c r="F24" s="524">
        <v>2014</v>
      </c>
      <c r="G24" s="524">
        <v>2015</v>
      </c>
      <c r="H24" s="1171"/>
      <c r="I24" s="1171"/>
      <c r="J24" s="1173"/>
      <c r="K24" s="1171"/>
      <c r="L24" s="1171"/>
      <c r="M24" s="1171"/>
      <c r="N24" s="1171"/>
      <c r="O24" s="1171"/>
      <c r="R24" s="1165"/>
    </row>
    <row r="25" spans="1:28" ht="5.25" customHeight="1">
      <c r="A25" s="612"/>
      <c r="B25" s="525"/>
      <c r="C25" s="526"/>
      <c r="D25" s="526"/>
      <c r="E25" s="526"/>
      <c r="F25" s="323"/>
      <c r="G25" s="324"/>
      <c r="H25" s="324"/>
      <c r="I25" s="324"/>
      <c r="J25" s="1028"/>
      <c r="K25" s="324"/>
      <c r="L25" s="324"/>
      <c r="M25" s="324"/>
      <c r="N25" s="324"/>
      <c r="O25" s="324"/>
      <c r="R25" s="1165"/>
    </row>
    <row r="26" spans="1:28" ht="18.75" customHeight="1">
      <c r="A26" s="607" t="s">
        <v>462</v>
      </c>
      <c r="B26" s="507">
        <v>13.9</v>
      </c>
      <c r="C26" s="507">
        <v>13.6</v>
      </c>
      <c r="D26" s="415">
        <v>12.9</v>
      </c>
      <c r="E26" s="507">
        <v>12.1</v>
      </c>
      <c r="F26" s="507">
        <v>12.8</v>
      </c>
      <c r="G26" s="415">
        <v>11.694150927849195</v>
      </c>
      <c r="H26" s="415">
        <v>10.8</v>
      </c>
      <c r="I26" s="415">
        <v>10.590059982687883</v>
      </c>
      <c r="J26" s="1048">
        <v>10.915321152763251</v>
      </c>
      <c r="K26" s="415">
        <v>9.9780145664680724</v>
      </c>
      <c r="L26" s="415">
        <v>8.8000000000000007</v>
      </c>
      <c r="M26" s="415">
        <v>7.6</v>
      </c>
      <c r="N26" s="415">
        <v>8.6</v>
      </c>
      <c r="O26" s="415">
        <v>8.3000000000000007</v>
      </c>
    </row>
    <row r="27" spans="1:28" ht="18.75" customHeight="1">
      <c r="A27" s="523" t="s">
        <v>4</v>
      </c>
      <c r="B27" s="355">
        <v>15.2</v>
      </c>
      <c r="C27" s="355">
        <v>16.7</v>
      </c>
      <c r="D27" s="355">
        <v>15.8</v>
      </c>
      <c r="E27" s="355">
        <v>14.1</v>
      </c>
      <c r="F27" s="355">
        <v>16.899999999999999</v>
      </c>
      <c r="G27" s="355">
        <v>16.513972219201005</v>
      </c>
      <c r="H27" s="355">
        <v>17.023737860470341</v>
      </c>
      <c r="I27" s="355">
        <v>11.94590141402092</v>
      </c>
      <c r="J27" s="1049">
        <v>13.520280321577735</v>
      </c>
      <c r="K27" s="355">
        <v>11.982965621436744</v>
      </c>
      <c r="L27" s="165" t="s">
        <v>0</v>
      </c>
      <c r="M27" s="355">
        <v>11.8</v>
      </c>
      <c r="N27" s="355">
        <v>8.5</v>
      </c>
      <c r="O27" s="355">
        <v>9.3000000000000007</v>
      </c>
    </row>
    <row r="28" spans="1:28" ht="18.75" customHeight="1">
      <c r="A28" s="697" t="s">
        <v>465</v>
      </c>
      <c r="B28" s="507"/>
      <c r="C28" s="507"/>
      <c r="D28" s="415"/>
      <c r="E28" s="507"/>
      <c r="F28" s="507"/>
      <c r="G28" s="415"/>
      <c r="H28" s="909"/>
      <c r="I28" s="415"/>
      <c r="J28" s="1048"/>
      <c r="K28" s="415"/>
      <c r="L28" s="415"/>
      <c r="M28" s="415"/>
      <c r="N28" s="415"/>
      <c r="O28" s="415"/>
    </row>
    <row r="29" spans="1:28" ht="18.75" customHeight="1">
      <c r="A29" s="523" t="s">
        <v>352</v>
      </c>
      <c r="B29" s="355">
        <v>14</v>
      </c>
      <c r="C29" s="355">
        <v>14.1</v>
      </c>
      <c r="D29" s="355">
        <v>13</v>
      </c>
      <c r="E29" s="355">
        <v>12.5</v>
      </c>
      <c r="F29" s="355">
        <v>12.8</v>
      </c>
      <c r="G29" s="355">
        <v>11.94101639319859</v>
      </c>
      <c r="H29" s="355">
        <v>11.062102899359701</v>
      </c>
      <c r="I29" s="355">
        <v>10.565760823289301</v>
      </c>
      <c r="J29" s="1049">
        <v>11.010384039842677</v>
      </c>
      <c r="K29" s="355">
        <v>9.7845168774083895</v>
      </c>
      <c r="L29" s="355">
        <v>8.7706445460146405</v>
      </c>
      <c r="M29" s="355">
        <v>7.1</v>
      </c>
      <c r="N29" s="355">
        <v>8.4</v>
      </c>
      <c r="O29" s="355">
        <v>8.1999999999999993</v>
      </c>
    </row>
    <row r="30" spans="1:28" ht="18.75" customHeight="1">
      <c r="A30" s="523" t="s">
        <v>351</v>
      </c>
      <c r="B30" s="355">
        <v>13.7</v>
      </c>
      <c r="C30" s="355">
        <v>12.4</v>
      </c>
      <c r="D30" s="355">
        <v>12.5</v>
      </c>
      <c r="E30" s="355">
        <v>11.1</v>
      </c>
      <c r="F30" s="355">
        <v>12.9</v>
      </c>
      <c r="G30" s="355">
        <v>10.910986592704793</v>
      </c>
      <c r="H30" s="355">
        <v>9.9801011834259388</v>
      </c>
      <c r="I30" s="355">
        <v>10.672108827170272</v>
      </c>
      <c r="J30" s="1049">
        <v>10.571433135613443</v>
      </c>
      <c r="K30" s="355">
        <v>10.701151592360242</v>
      </c>
      <c r="L30" s="355">
        <v>8.9899455525668301</v>
      </c>
      <c r="M30" s="355">
        <v>9.1999999999999993</v>
      </c>
      <c r="N30" s="355">
        <v>9.1</v>
      </c>
      <c r="O30" s="355">
        <v>8.4</v>
      </c>
    </row>
    <row r="31" spans="1:28" ht="5.0999999999999996" customHeight="1">
      <c r="A31" s="613"/>
      <c r="B31" s="413"/>
      <c r="C31" s="413"/>
      <c r="D31" s="413"/>
      <c r="E31" s="414"/>
      <c r="F31" s="413"/>
      <c r="G31" s="413"/>
      <c r="H31" s="413"/>
      <c r="I31" s="413"/>
      <c r="J31" s="1050"/>
      <c r="K31" s="413"/>
      <c r="L31" s="413"/>
      <c r="M31" s="413"/>
      <c r="N31" s="413"/>
      <c r="O31" s="413"/>
    </row>
    <row r="32" spans="1:28" ht="11.1" customHeight="1">
      <c r="A32" s="412" t="s">
        <v>350</v>
      </c>
      <c r="B32" s="411"/>
      <c r="C32" s="411"/>
      <c r="D32" s="411"/>
      <c r="E32" s="410"/>
      <c r="F32" s="409"/>
      <c r="G32" s="409"/>
      <c r="J32" s="288"/>
      <c r="K32" s="288"/>
    </row>
    <row r="33" spans="1:18" ht="11.1" customHeight="1">
      <c r="A33" s="980" t="s">
        <v>499</v>
      </c>
      <c r="B33" s="354"/>
      <c r="C33" s="354"/>
      <c r="D33" s="354"/>
      <c r="E33" s="354"/>
      <c r="F33" s="354"/>
      <c r="G33" s="354"/>
      <c r="H33" s="354"/>
      <c r="I33" s="354"/>
      <c r="J33" s="354"/>
    </row>
    <row r="34" spans="1:18" ht="12" customHeight="1"/>
    <row r="35" spans="1:18" s="399" customFormat="1" ht="2.25" customHeight="1">
      <c r="A35" s="1167"/>
      <c r="B35" s="1167"/>
      <c r="C35" s="1167"/>
      <c r="D35" s="1167"/>
      <c r="E35" s="1167"/>
      <c r="F35" s="1167"/>
      <c r="G35" s="1167"/>
      <c r="H35" s="1167"/>
      <c r="I35" s="468"/>
    </row>
    <row r="36" spans="1:18" s="399" customFormat="1" ht="15" customHeight="1">
      <c r="A36" s="1174" t="s">
        <v>501</v>
      </c>
      <c r="B36" s="1174"/>
      <c r="C36" s="1174"/>
      <c r="D36" s="1174"/>
      <c r="E36" s="1174"/>
      <c r="F36" s="1174"/>
      <c r="G36" s="1174"/>
      <c r="H36" s="1174"/>
      <c r="I36" s="1174"/>
      <c r="J36" s="1174"/>
      <c r="K36" s="1174"/>
      <c r="L36" s="1174"/>
      <c r="M36" s="1174"/>
      <c r="N36" s="1174"/>
      <c r="O36" s="1174"/>
    </row>
    <row r="37" spans="1:18" s="399" customFormat="1" ht="9.75" customHeight="1">
      <c r="A37" s="408" t="s">
        <v>343</v>
      </c>
      <c r="B37" s="407"/>
      <c r="C37" s="406"/>
      <c r="D37" s="405"/>
      <c r="E37" s="405"/>
      <c r="F37" s="405"/>
      <c r="G37" s="405"/>
    </row>
    <row r="38" spans="1:18" s="399" customFormat="1" ht="5.0999999999999996" customHeight="1">
      <c r="A38" s="1166"/>
      <c r="B38" s="1166"/>
      <c r="C38" s="1166"/>
      <c r="D38" s="1166"/>
      <c r="E38" s="1166"/>
      <c r="F38" s="1166"/>
      <c r="G38" s="404"/>
    </row>
    <row r="39" spans="1:18" s="399" customFormat="1" ht="24" customHeight="1">
      <c r="A39" s="614" t="s">
        <v>349</v>
      </c>
      <c r="B39" s="527">
        <v>2010</v>
      </c>
      <c r="C39" s="527">
        <v>2011</v>
      </c>
      <c r="D39" s="527">
        <v>2012</v>
      </c>
      <c r="E39" s="527">
        <v>2013</v>
      </c>
      <c r="F39" s="527">
        <v>2014</v>
      </c>
      <c r="G39" s="527">
        <v>2015</v>
      </c>
      <c r="H39" s="824">
        <v>2016</v>
      </c>
      <c r="I39" s="824">
        <v>2017</v>
      </c>
      <c r="J39" s="1053">
        <v>2018</v>
      </c>
      <c r="K39" s="824">
        <v>2019</v>
      </c>
      <c r="L39" s="824">
        <v>2020</v>
      </c>
      <c r="M39" s="824">
        <v>2021</v>
      </c>
      <c r="N39" s="943">
        <v>2022</v>
      </c>
      <c r="O39" s="943">
        <v>2023</v>
      </c>
    </row>
    <row r="40" spans="1:18" s="399" customFormat="1" ht="6.75" customHeight="1">
      <c r="A40" s="615"/>
      <c r="B40" s="528"/>
      <c r="C40" s="528"/>
      <c r="D40" s="528"/>
      <c r="E40" s="528"/>
      <c r="F40" s="529"/>
      <c r="G40" s="530"/>
      <c r="H40" s="530"/>
      <c r="I40" s="530"/>
      <c r="J40" s="1054"/>
      <c r="K40" s="530"/>
      <c r="L40" s="530"/>
      <c r="M40" s="530"/>
      <c r="N40" s="944"/>
      <c r="O40" s="944"/>
    </row>
    <row r="41" spans="1:18" s="399" customFormat="1" ht="20.100000000000001" customHeight="1">
      <c r="A41" s="607" t="s">
        <v>462</v>
      </c>
      <c r="B41" s="531">
        <v>139</v>
      </c>
      <c r="C41" s="531">
        <v>123</v>
      </c>
      <c r="D41" s="531">
        <v>122</v>
      </c>
      <c r="E41" s="531">
        <v>111</v>
      </c>
      <c r="F41" s="531">
        <v>100</v>
      </c>
      <c r="G41" s="531">
        <v>84</v>
      </c>
      <c r="H41" s="531">
        <v>106</v>
      </c>
      <c r="I41" s="1051">
        <v>131</v>
      </c>
      <c r="J41" s="1055">
        <v>150</v>
      </c>
      <c r="K41" s="531">
        <v>148</v>
      </c>
      <c r="L41" s="531">
        <v>137</v>
      </c>
      <c r="M41" s="531">
        <v>141</v>
      </c>
      <c r="N41" s="531">
        <v>147</v>
      </c>
      <c r="O41" s="531">
        <v>146</v>
      </c>
    </row>
    <row r="42" spans="1:18" s="399" customFormat="1" ht="20.100000000000001" customHeight="1">
      <c r="A42" s="617" t="s">
        <v>4</v>
      </c>
      <c r="B42" s="472">
        <v>5</v>
      </c>
      <c r="C42" s="532">
        <v>7</v>
      </c>
      <c r="D42" s="532">
        <v>7</v>
      </c>
      <c r="E42" s="532">
        <v>3</v>
      </c>
      <c r="F42" s="532">
        <v>8</v>
      </c>
      <c r="G42" s="532">
        <v>3</v>
      </c>
      <c r="H42" s="532">
        <v>1</v>
      </c>
      <c r="I42" s="532">
        <v>8</v>
      </c>
      <c r="J42" s="1056">
        <v>10</v>
      </c>
      <c r="K42" s="532">
        <v>8</v>
      </c>
      <c r="L42" s="532">
        <v>6</v>
      </c>
      <c r="M42" s="532">
        <v>5</v>
      </c>
      <c r="N42" s="532">
        <v>10</v>
      </c>
      <c r="O42" s="532">
        <v>6</v>
      </c>
      <c r="P42" s="97"/>
      <c r="Q42" s="97"/>
      <c r="R42" s="97"/>
    </row>
    <row r="43" spans="1:18" s="399" customFormat="1" ht="20.100000000000001" customHeight="1">
      <c r="A43" s="617" t="s">
        <v>334</v>
      </c>
      <c r="B43" s="473">
        <f t="shared" ref="B43:K43" si="4">B41-B42</f>
        <v>134</v>
      </c>
      <c r="C43" s="403">
        <f t="shared" si="4"/>
        <v>116</v>
      </c>
      <c r="D43" s="403">
        <f t="shared" si="4"/>
        <v>115</v>
      </c>
      <c r="E43" s="403">
        <f t="shared" si="4"/>
        <v>108</v>
      </c>
      <c r="F43" s="403">
        <f t="shared" si="4"/>
        <v>92</v>
      </c>
      <c r="G43" s="403">
        <f t="shared" si="4"/>
        <v>81</v>
      </c>
      <c r="H43" s="403">
        <f t="shared" si="4"/>
        <v>105</v>
      </c>
      <c r="I43" s="1052">
        <f t="shared" si="4"/>
        <v>123</v>
      </c>
      <c r="J43" s="1057">
        <f t="shared" si="4"/>
        <v>140</v>
      </c>
      <c r="K43" s="403">
        <f t="shared" si="4"/>
        <v>140</v>
      </c>
      <c r="L43" s="403">
        <f>L41-L42</f>
        <v>131</v>
      </c>
      <c r="M43" s="403">
        <f>M41-M42</f>
        <v>136</v>
      </c>
      <c r="N43" s="403">
        <f>N41-N42</f>
        <v>137</v>
      </c>
      <c r="O43" s="403">
        <f>O41-O42</f>
        <v>140</v>
      </c>
    </row>
    <row r="44" spans="1:18" s="399" customFormat="1" ht="5.0999999999999996" customHeight="1">
      <c r="A44" s="618"/>
      <c r="B44" s="402"/>
      <c r="C44" s="401"/>
      <c r="D44" s="401"/>
      <c r="E44" s="401"/>
      <c r="F44" s="401"/>
      <c r="G44" s="401"/>
      <c r="H44" s="401"/>
      <c r="I44" s="401"/>
      <c r="J44" s="1058"/>
      <c r="K44" s="401"/>
      <c r="L44" s="401"/>
      <c r="M44" s="401"/>
      <c r="N44" s="945"/>
      <c r="O44" s="945"/>
    </row>
    <row r="45" spans="1:18" s="399" customFormat="1" ht="54.75" customHeight="1">
      <c r="A45" s="1177" t="s">
        <v>573</v>
      </c>
      <c r="B45" s="1177"/>
      <c r="C45" s="1177"/>
      <c r="D45" s="1177"/>
      <c r="E45" s="1177"/>
      <c r="F45" s="1177"/>
      <c r="G45" s="1177"/>
      <c r="H45" s="1177"/>
      <c r="I45" s="1177"/>
      <c r="J45" s="1177"/>
      <c r="K45" s="1177"/>
      <c r="L45" s="1177"/>
      <c r="M45" s="1177"/>
      <c r="N45" s="1177"/>
      <c r="O45" s="1177"/>
    </row>
    <row r="46" spans="1:18" s="399" customFormat="1" ht="11.1" customHeight="1">
      <c r="A46" s="1175" t="s">
        <v>500</v>
      </c>
      <c r="B46" s="1175"/>
      <c r="C46" s="1175"/>
      <c r="D46" s="1175"/>
      <c r="E46" s="1175"/>
      <c r="F46" s="1175"/>
      <c r="G46" s="1175"/>
      <c r="H46" s="1175"/>
      <c r="I46" s="1175"/>
      <c r="J46" s="1175"/>
      <c r="K46" s="1175"/>
      <c r="L46" s="1175"/>
      <c r="M46" s="1175"/>
      <c r="N46" s="1175"/>
      <c r="O46" s="1175"/>
    </row>
    <row r="47" spans="1:18" s="399" customFormat="1" ht="11.1" customHeight="1">
      <c r="A47" s="1176" t="s">
        <v>574</v>
      </c>
      <c r="B47" s="1176"/>
      <c r="C47" s="1176"/>
      <c r="D47" s="1176"/>
      <c r="E47" s="1176"/>
      <c r="F47" s="1176"/>
      <c r="G47" s="1176"/>
      <c r="H47" s="1176"/>
      <c r="I47" s="1176"/>
      <c r="J47" s="1176"/>
      <c r="K47" s="1176"/>
    </row>
    <row r="48" spans="1:18">
      <c r="I48" s="400"/>
    </row>
  </sheetData>
  <mergeCells count="20">
    <mergeCell ref="A46:O46"/>
    <mergeCell ref="A47:K47"/>
    <mergeCell ref="A45:O45"/>
    <mergeCell ref="A1:O1"/>
    <mergeCell ref="A18:O18"/>
    <mergeCell ref="A19:O19"/>
    <mergeCell ref="A20:O20"/>
    <mergeCell ref="R24:R25"/>
    <mergeCell ref="A38:F38"/>
    <mergeCell ref="A35:H35"/>
    <mergeCell ref="A23:A24"/>
    <mergeCell ref="M23:M24"/>
    <mergeCell ref="L23:L24"/>
    <mergeCell ref="K23:K24"/>
    <mergeCell ref="J23:J24"/>
    <mergeCell ref="I23:I24"/>
    <mergeCell ref="H23:H24"/>
    <mergeCell ref="N23:N24"/>
    <mergeCell ref="O23:O24"/>
    <mergeCell ref="A36:O36"/>
  </mergeCells>
  <pageMargins left="0.78740157480314965" right="0.78740157480314965" top="0.98425196850393704" bottom="0.98425196850393704" header="0.31496062992125984" footer="0"/>
  <pageSetup paperSize="9" orientation="portrait" verticalDpi="300" r:id="rId1"/>
  <ignoredErrors>
    <ignoredError sqref="B13 G13"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2"/>
  <sheetViews>
    <sheetView showGridLines="0" zoomScaleNormal="100" zoomScaleSheetLayoutView="115" workbookViewId="0">
      <selection activeCell="A13" sqref="A13:Y13"/>
    </sheetView>
  </sheetViews>
  <sheetFormatPr baseColWidth="10" defaultColWidth="10.7109375" defaultRowHeight="12.75"/>
  <cols>
    <col min="1" max="1" width="12.140625" style="9" customWidth="1"/>
    <col min="2" max="10" width="6.7109375" style="9" hidden="1" customWidth="1"/>
    <col min="11" max="15" width="11.7109375" style="9" hidden="1" customWidth="1"/>
    <col min="16" max="17" width="10" style="9" hidden="1" customWidth="1"/>
    <col min="18" max="19" width="8.85546875" style="103" hidden="1" customWidth="1"/>
    <col min="20" max="24" width="11.7109375" style="103" customWidth="1"/>
    <col min="25" max="25" width="11.7109375" style="9" customWidth="1"/>
    <col min="26" max="16384" width="10.7109375" style="9"/>
  </cols>
  <sheetData>
    <row r="1" spans="1:25" ht="13.5" customHeight="1">
      <c r="A1" s="1179" t="s">
        <v>513</v>
      </c>
      <c r="B1" s="1179"/>
      <c r="C1" s="1179"/>
      <c r="D1" s="1179"/>
      <c r="E1" s="1179"/>
      <c r="F1" s="1179"/>
      <c r="G1" s="1179"/>
      <c r="H1" s="1179"/>
      <c r="I1" s="1179"/>
      <c r="J1" s="1179"/>
      <c r="K1" s="1179"/>
      <c r="L1" s="1179"/>
      <c r="M1" s="1179"/>
      <c r="N1" s="1179"/>
      <c r="O1" s="1179"/>
      <c r="P1" s="1179"/>
      <c r="Q1" s="1179"/>
      <c r="R1" s="1179"/>
      <c r="S1" s="1179"/>
      <c r="T1" s="1179"/>
      <c r="U1" s="1179"/>
      <c r="V1" s="1179"/>
      <c r="W1" s="1179"/>
      <c r="X1" s="1179"/>
      <c r="Y1" s="1179"/>
    </row>
    <row r="2" spans="1:25">
      <c r="A2" s="105" t="s">
        <v>470</v>
      </c>
      <c r="B2" s="110"/>
      <c r="C2" s="110"/>
      <c r="D2" s="110"/>
      <c r="E2" s="109"/>
      <c r="F2" s="109"/>
      <c r="G2" s="356"/>
      <c r="H2" s="356"/>
      <c r="I2" s="356"/>
      <c r="J2" s="356"/>
      <c r="K2" s="92"/>
      <c r="L2" s="92"/>
      <c r="M2"/>
      <c r="N2"/>
      <c r="O2"/>
    </row>
    <row r="3" spans="1:25" ht="5.0999999999999996" customHeight="1">
      <c r="A3" s="110"/>
      <c r="B3" s="110"/>
      <c r="C3" s="110"/>
      <c r="D3" s="110"/>
      <c r="E3" s="109"/>
      <c r="F3" s="109"/>
      <c r="G3" s="356"/>
      <c r="H3" s="356"/>
      <c r="I3" s="356"/>
      <c r="J3" s="356"/>
      <c r="K3" s="92"/>
      <c r="L3" s="92"/>
      <c r="M3"/>
      <c r="N3"/>
      <c r="O3"/>
    </row>
    <row r="4" spans="1:25" ht="18" customHeight="1">
      <c r="A4" s="1180" t="s">
        <v>349</v>
      </c>
      <c r="B4" s="357">
        <v>2000</v>
      </c>
      <c r="C4" s="357">
        <v>2001</v>
      </c>
      <c r="D4" s="357">
        <v>2002</v>
      </c>
      <c r="E4" s="357">
        <v>2003</v>
      </c>
      <c r="F4" s="357">
        <v>2004</v>
      </c>
      <c r="G4" s="357">
        <v>2005</v>
      </c>
      <c r="H4" s="357">
        <v>2006</v>
      </c>
      <c r="I4" s="357">
        <v>2007</v>
      </c>
      <c r="J4" s="357">
        <v>2008</v>
      </c>
      <c r="K4" s="357">
        <v>2009</v>
      </c>
      <c r="L4" s="357">
        <v>2010</v>
      </c>
      <c r="M4" s="357">
        <v>2011</v>
      </c>
      <c r="N4" s="357">
        <v>2012</v>
      </c>
      <c r="O4" s="357">
        <v>2013</v>
      </c>
      <c r="P4" s="357">
        <v>2014</v>
      </c>
      <c r="Q4" s="357">
        <v>2015</v>
      </c>
      <c r="R4" s="357">
        <v>2016</v>
      </c>
      <c r="S4" s="357">
        <v>2017</v>
      </c>
      <c r="T4" s="1188">
        <v>2018</v>
      </c>
      <c r="U4" s="1190">
        <v>2019</v>
      </c>
      <c r="V4" s="1190">
        <v>2020</v>
      </c>
      <c r="W4" s="1190">
        <v>2021</v>
      </c>
      <c r="X4" s="1190">
        <v>2022</v>
      </c>
      <c r="Y4" s="1190" t="s">
        <v>512</v>
      </c>
    </row>
    <row r="5" spans="1:25" ht="11.1" customHeight="1">
      <c r="A5" s="1181"/>
      <c r="B5" s="537"/>
      <c r="C5" s="127"/>
      <c r="D5" s="127"/>
      <c r="E5" s="66"/>
      <c r="F5" s="66"/>
      <c r="G5" s="66"/>
      <c r="H5" s="66"/>
      <c r="I5" s="66"/>
      <c r="J5" s="66"/>
      <c r="K5" s="538"/>
      <c r="L5" s="538"/>
      <c r="M5" s="538"/>
      <c r="N5" s="538"/>
      <c r="O5" s="538"/>
      <c r="T5" s="1189"/>
      <c r="U5" s="1191"/>
      <c r="V5" s="1191"/>
      <c r="W5" s="1191"/>
      <c r="X5" s="1191"/>
      <c r="Y5" s="1191"/>
    </row>
    <row r="6" spans="1:25" ht="18" customHeight="1">
      <c r="A6" s="616" t="s">
        <v>462</v>
      </c>
      <c r="B6" s="111">
        <v>187</v>
      </c>
      <c r="C6" s="111">
        <v>204</v>
      </c>
      <c r="D6" s="111">
        <v>339</v>
      </c>
      <c r="E6" s="111">
        <v>251</v>
      </c>
      <c r="F6" s="111">
        <v>50</v>
      </c>
      <c r="G6" s="111">
        <v>88</v>
      </c>
      <c r="H6" s="111">
        <v>357</v>
      </c>
      <c r="I6" s="111">
        <v>395</v>
      </c>
      <c r="J6" s="111">
        <v>264</v>
      </c>
      <c r="K6" s="111">
        <v>886</v>
      </c>
      <c r="L6" s="111">
        <v>1742</v>
      </c>
      <c r="M6" s="111">
        <v>2069</v>
      </c>
      <c r="N6" s="111">
        <v>1850</v>
      </c>
      <c r="O6" s="111">
        <v>827</v>
      </c>
      <c r="P6" s="111">
        <v>661</v>
      </c>
      <c r="Q6" s="111">
        <v>722</v>
      </c>
      <c r="R6" s="369">
        <v>531</v>
      </c>
      <c r="S6" s="369">
        <v>429</v>
      </c>
      <c r="T6" s="1059">
        <v>773</v>
      </c>
      <c r="U6" s="135">
        <v>1097</v>
      </c>
      <c r="V6" s="135">
        <v>41</v>
      </c>
      <c r="W6" s="135">
        <v>135</v>
      </c>
      <c r="X6" s="135">
        <v>160</v>
      </c>
      <c r="Y6" s="135">
        <f>17+93</f>
        <v>110</v>
      </c>
    </row>
    <row r="7" spans="1:25" ht="18" customHeight="1">
      <c r="A7" s="620" t="s">
        <v>4</v>
      </c>
      <c r="B7" s="127">
        <v>2</v>
      </c>
      <c r="C7" s="127">
        <v>1</v>
      </c>
      <c r="D7" s="113">
        <v>1</v>
      </c>
      <c r="E7" s="127">
        <v>1</v>
      </c>
      <c r="F7" s="113">
        <v>10</v>
      </c>
      <c r="G7" s="127" t="s">
        <v>0</v>
      </c>
      <c r="H7" s="127">
        <v>8</v>
      </c>
      <c r="I7" s="127">
        <v>3</v>
      </c>
      <c r="J7" s="127">
        <v>1</v>
      </c>
      <c r="K7" s="127" t="s">
        <v>0</v>
      </c>
      <c r="L7" s="127">
        <v>5</v>
      </c>
      <c r="M7" s="127">
        <v>2</v>
      </c>
      <c r="N7" s="127">
        <v>2</v>
      </c>
      <c r="O7" s="127">
        <v>2</v>
      </c>
      <c r="P7" s="127" t="s">
        <v>0</v>
      </c>
      <c r="Q7" s="127" t="s">
        <v>0</v>
      </c>
      <c r="R7" s="165">
        <v>1</v>
      </c>
      <c r="S7" s="165" t="s">
        <v>0</v>
      </c>
      <c r="T7" s="905" t="s">
        <v>0</v>
      </c>
      <c r="U7" s="165" t="s">
        <v>0</v>
      </c>
      <c r="V7" s="165" t="s">
        <v>0</v>
      </c>
      <c r="W7" s="165" t="s">
        <v>0</v>
      </c>
      <c r="X7" s="165" t="s">
        <v>0</v>
      </c>
      <c r="Y7" s="165" t="s">
        <v>0</v>
      </c>
    </row>
    <row r="8" spans="1:25" ht="18" customHeight="1">
      <c r="A8" s="620" t="s">
        <v>26</v>
      </c>
      <c r="B8" s="113">
        <f>B6-B7</f>
        <v>185</v>
      </c>
      <c r="C8" s="113">
        <f>C6-C7</f>
        <v>203</v>
      </c>
      <c r="D8" s="113">
        <f>D6-D7</f>
        <v>338</v>
      </c>
      <c r="E8" s="113">
        <f>E6-E7</f>
        <v>250</v>
      </c>
      <c r="F8" s="113">
        <f>F6-F7</f>
        <v>40</v>
      </c>
      <c r="G8" s="113">
        <f>G6</f>
        <v>88</v>
      </c>
      <c r="H8" s="113">
        <f>H6-H7</f>
        <v>349</v>
      </c>
      <c r="I8" s="113">
        <f>I6-I7</f>
        <v>392</v>
      </c>
      <c r="J8" s="113">
        <f>J6-J7</f>
        <v>263</v>
      </c>
      <c r="K8" s="113">
        <f>K6</f>
        <v>886</v>
      </c>
      <c r="L8" s="113">
        <f>L6-L7</f>
        <v>1737</v>
      </c>
      <c r="M8" s="113">
        <f>M6-M7</f>
        <v>2067</v>
      </c>
      <c r="N8" s="113">
        <f>N6-N7</f>
        <v>1848</v>
      </c>
      <c r="O8" s="113">
        <f>O6-O7</f>
        <v>825</v>
      </c>
      <c r="P8" s="113">
        <f>P6</f>
        <v>661</v>
      </c>
      <c r="Q8" s="113">
        <f>Q6</f>
        <v>722</v>
      </c>
      <c r="R8" s="344">
        <f>R6-R7</f>
        <v>530</v>
      </c>
      <c r="S8" s="344">
        <f t="shared" ref="S8:X8" si="0">+S6</f>
        <v>429</v>
      </c>
      <c r="T8" s="1024">
        <f t="shared" si="0"/>
        <v>773</v>
      </c>
      <c r="U8" s="344">
        <f t="shared" si="0"/>
        <v>1097</v>
      </c>
      <c r="V8" s="344">
        <f t="shared" si="0"/>
        <v>41</v>
      </c>
      <c r="W8" s="344">
        <f t="shared" si="0"/>
        <v>135</v>
      </c>
      <c r="X8" s="344">
        <f t="shared" si="0"/>
        <v>160</v>
      </c>
      <c r="Y8" s="344">
        <f t="shared" ref="Y8" si="1">+Y6</f>
        <v>110</v>
      </c>
    </row>
    <row r="9" spans="1:25" ht="5.0999999999999996" customHeight="1">
      <c r="A9" s="621"/>
      <c r="B9" s="358"/>
      <c r="C9" s="358"/>
      <c r="D9" s="358"/>
      <c r="E9" s="359"/>
      <c r="F9" s="359"/>
      <c r="G9" s="359"/>
      <c r="H9" s="359"/>
      <c r="I9" s="359"/>
      <c r="J9" s="360"/>
      <c r="K9" s="361"/>
      <c r="L9" s="361"/>
      <c r="M9" s="361"/>
      <c r="N9" s="361"/>
      <c r="O9" s="361"/>
      <c r="P9" s="360"/>
      <c r="Q9" s="360"/>
      <c r="R9" s="374"/>
      <c r="S9" s="374"/>
      <c r="T9" s="906"/>
      <c r="U9" s="374"/>
      <c r="V9" s="374"/>
      <c r="W9" s="374"/>
      <c r="X9" s="374"/>
      <c r="Y9" s="374"/>
    </row>
    <row r="10" spans="1:25" ht="11.1" customHeight="1">
      <c r="A10" s="17" t="s">
        <v>481</v>
      </c>
      <c r="B10" s="362"/>
      <c r="C10" s="362"/>
      <c r="D10" s="362"/>
      <c r="E10" s="104"/>
      <c r="F10" s="104"/>
      <c r="G10" s="104"/>
      <c r="H10" s="363"/>
      <c r="I10" s="363"/>
      <c r="J10" s="104"/>
      <c r="K10" s="364"/>
      <c r="L10"/>
      <c r="M10"/>
      <c r="N10"/>
      <c r="O10"/>
      <c r="P10"/>
      <c r="Q10"/>
    </row>
    <row r="11" spans="1:25" ht="11.1" customHeight="1">
      <c r="A11" s="16" t="s">
        <v>494</v>
      </c>
      <c r="B11" s="362"/>
      <c r="C11" s="362"/>
      <c r="D11" s="362"/>
      <c r="E11" s="104"/>
      <c r="F11" s="104"/>
      <c r="G11" s="104"/>
      <c r="H11" s="363"/>
      <c r="I11" s="363"/>
      <c r="J11" s="104"/>
      <c r="K11" s="364"/>
      <c r="L11"/>
      <c r="M11"/>
      <c r="N11"/>
      <c r="O11"/>
      <c r="P11"/>
      <c r="Q11"/>
    </row>
    <row r="12" spans="1:25" ht="6.75" customHeight="1">
      <c r="A12" s="16"/>
    </row>
    <row r="13" spans="1:25" ht="12.75" customHeight="1">
      <c r="A13" s="1135" t="s">
        <v>538</v>
      </c>
      <c r="B13" s="1135"/>
      <c r="C13" s="1135"/>
      <c r="D13" s="1135"/>
      <c r="E13" s="1135"/>
      <c r="F13" s="1135"/>
      <c r="G13" s="1135"/>
      <c r="H13" s="1135"/>
      <c r="I13" s="1135"/>
      <c r="J13" s="1135"/>
      <c r="K13" s="1135"/>
      <c r="L13" s="1135"/>
      <c r="M13" s="1135"/>
      <c r="N13" s="1135"/>
      <c r="O13" s="1135"/>
      <c r="P13" s="1135"/>
      <c r="Q13" s="1135"/>
      <c r="R13" s="1135"/>
      <c r="S13" s="1135"/>
      <c r="T13" s="1135"/>
      <c r="U13" s="1135"/>
      <c r="V13" s="1135"/>
      <c r="W13" s="1135"/>
      <c r="X13" s="1135"/>
      <c r="Y13" s="1135"/>
    </row>
    <row r="14" spans="1:25">
      <c r="A14" s="105" t="s">
        <v>470</v>
      </c>
      <c r="B14" s="333"/>
      <c r="C14" s="334"/>
      <c r="D14" s="334"/>
      <c r="E14" s="334"/>
      <c r="F14" s="334"/>
      <c r="G14" s="335"/>
      <c r="H14" s="335"/>
      <c r="I14" s="97"/>
      <c r="J14" s="97"/>
      <c r="K14" s="97"/>
      <c r="L14" s="97"/>
      <c r="M14"/>
      <c r="N14"/>
      <c r="O14"/>
    </row>
    <row r="15" spans="1:25" ht="5.0999999999999996" customHeight="1">
      <c r="A15" s="105"/>
      <c r="B15" s="365"/>
      <c r="C15" s="366"/>
      <c r="D15" s="366"/>
      <c r="E15" s="366"/>
      <c r="F15" s="366"/>
      <c r="G15" s="367"/>
      <c r="H15" s="367"/>
      <c r="I15" s="368"/>
      <c r="J15" s="368"/>
      <c r="K15" s="368"/>
      <c r="L15" s="97"/>
      <c r="M15"/>
      <c r="N15"/>
      <c r="O15"/>
    </row>
    <row r="16" spans="1:25" ht="18" customHeight="1">
      <c r="A16" s="1180" t="s">
        <v>349</v>
      </c>
      <c r="B16" s="290">
        <v>2000</v>
      </c>
      <c r="C16" s="357">
        <v>2001</v>
      </c>
      <c r="D16" s="357">
        <v>2002</v>
      </c>
      <c r="E16" s="357">
        <v>2003</v>
      </c>
      <c r="F16" s="357">
        <v>2004</v>
      </c>
      <c r="G16" s="290">
        <v>2005</v>
      </c>
      <c r="H16" s="290">
        <v>2006</v>
      </c>
      <c r="I16" s="290">
        <v>2007</v>
      </c>
      <c r="J16" s="290">
        <v>2008</v>
      </c>
      <c r="K16" s="290">
        <v>2009</v>
      </c>
      <c r="L16" s="290">
        <v>2010</v>
      </c>
      <c r="M16" s="290">
        <v>2011</v>
      </c>
      <c r="N16" s="290">
        <v>2012</v>
      </c>
      <c r="O16" s="290">
        <v>2013</v>
      </c>
      <c r="P16" s="290">
        <v>2014</v>
      </c>
      <c r="Q16" s="290">
        <v>2015</v>
      </c>
      <c r="R16" s="290">
        <v>2016</v>
      </c>
      <c r="S16" s="290">
        <v>2017</v>
      </c>
      <c r="T16" s="1182">
        <v>2018</v>
      </c>
      <c r="U16" s="1184">
        <v>2019</v>
      </c>
      <c r="V16" s="1184">
        <v>2020</v>
      </c>
      <c r="W16" s="1184">
        <v>2021</v>
      </c>
      <c r="X16" s="1186">
        <v>2022</v>
      </c>
      <c r="Y16" s="1186">
        <v>2023</v>
      </c>
    </row>
    <row r="17" spans="1:25" ht="11.1" customHeight="1">
      <c r="A17" s="1181"/>
      <c r="B17" s="479"/>
      <c r="C17" s="479"/>
      <c r="D17" s="479"/>
      <c r="E17" s="479"/>
      <c r="F17" s="479"/>
      <c r="G17" s="479"/>
      <c r="H17" s="479"/>
      <c r="I17" s="479"/>
      <c r="J17" s="479"/>
      <c r="K17" s="479"/>
      <c r="L17" s="479"/>
      <c r="M17" s="479"/>
      <c r="N17" s="479"/>
      <c r="O17" s="479"/>
      <c r="P17" s="479"/>
      <c r="Q17" s="479"/>
      <c r="R17" s="479"/>
      <c r="S17" s="479"/>
      <c r="T17" s="1183"/>
      <c r="U17" s="1185"/>
      <c r="V17" s="1185"/>
      <c r="W17" s="1185"/>
      <c r="X17" s="1187"/>
      <c r="Y17" s="1187"/>
    </row>
    <row r="18" spans="1:25" ht="18" customHeight="1">
      <c r="A18" s="616" t="s">
        <v>462</v>
      </c>
      <c r="B18" s="369">
        <v>187</v>
      </c>
      <c r="C18" s="73" t="s">
        <v>117</v>
      </c>
      <c r="D18" s="73" t="s">
        <v>117</v>
      </c>
      <c r="E18" s="73" t="s">
        <v>117</v>
      </c>
      <c r="F18" s="73" t="s">
        <v>117</v>
      </c>
      <c r="G18" s="369">
        <v>195</v>
      </c>
      <c r="H18" s="369">
        <v>198</v>
      </c>
      <c r="I18" s="369">
        <v>183</v>
      </c>
      <c r="J18" s="369">
        <v>59</v>
      </c>
      <c r="K18" s="369">
        <v>68</v>
      </c>
      <c r="L18" s="369">
        <v>121</v>
      </c>
      <c r="M18" s="369">
        <v>218</v>
      </c>
      <c r="N18" s="369">
        <v>244</v>
      </c>
      <c r="O18" s="369">
        <v>117</v>
      </c>
      <c r="P18" s="369">
        <v>154</v>
      </c>
      <c r="Q18" s="369">
        <v>93</v>
      </c>
      <c r="R18" s="369">
        <v>130</v>
      </c>
      <c r="S18" s="369">
        <v>86</v>
      </c>
      <c r="T18" s="1060">
        <v>57</v>
      </c>
      <c r="U18" s="135">
        <v>56</v>
      </c>
      <c r="V18" s="135">
        <v>109</v>
      </c>
      <c r="W18" s="135">
        <v>39</v>
      </c>
      <c r="X18" s="75">
        <v>44</v>
      </c>
      <c r="Y18" s="75">
        <v>46</v>
      </c>
    </row>
    <row r="19" spans="1:25" ht="18" customHeight="1">
      <c r="A19" s="583" t="s">
        <v>4</v>
      </c>
      <c r="B19" s="344">
        <v>2</v>
      </c>
      <c r="C19" s="73" t="s">
        <v>117</v>
      </c>
      <c r="D19" s="73" t="s">
        <v>117</v>
      </c>
      <c r="E19" s="73" t="s">
        <v>117</v>
      </c>
      <c r="F19" s="73" t="s">
        <v>117</v>
      </c>
      <c r="G19" s="337">
        <v>3</v>
      </c>
      <c r="H19" s="338" t="s">
        <v>0</v>
      </c>
      <c r="I19" s="337">
        <v>2</v>
      </c>
      <c r="J19" s="323" t="s">
        <v>0</v>
      </c>
      <c r="K19" s="113" t="s">
        <v>0</v>
      </c>
      <c r="L19" s="113" t="s">
        <v>0</v>
      </c>
      <c r="M19" s="113">
        <v>9</v>
      </c>
      <c r="N19" s="113">
        <v>8</v>
      </c>
      <c r="O19" s="113">
        <v>1</v>
      </c>
      <c r="P19" s="113">
        <v>2</v>
      </c>
      <c r="Q19" s="113">
        <v>2</v>
      </c>
      <c r="R19" s="344">
        <v>4</v>
      </c>
      <c r="S19" s="344">
        <v>1</v>
      </c>
      <c r="T19" s="1031" t="s">
        <v>0</v>
      </c>
      <c r="U19" s="344">
        <v>1</v>
      </c>
      <c r="V19" s="344">
        <v>3</v>
      </c>
      <c r="W19" s="344" t="s">
        <v>0</v>
      </c>
      <c r="X19" s="113" t="s">
        <v>0</v>
      </c>
      <c r="Y19" s="113" t="s">
        <v>0</v>
      </c>
    </row>
    <row r="20" spans="1:25" ht="18" customHeight="1">
      <c r="A20" s="620" t="s">
        <v>26</v>
      </c>
      <c r="B20" s="113">
        <f>+B18-B19</f>
        <v>185</v>
      </c>
      <c r="C20" s="73" t="s">
        <v>117</v>
      </c>
      <c r="D20" s="73" t="s">
        <v>117</v>
      </c>
      <c r="E20" s="73" t="s">
        <v>117</v>
      </c>
      <c r="F20" s="73" t="s">
        <v>117</v>
      </c>
      <c r="G20" s="113">
        <f>+G18-G19</f>
        <v>192</v>
      </c>
      <c r="H20" s="113">
        <f>+H18</f>
        <v>198</v>
      </c>
      <c r="I20" s="113">
        <f>+I18-I19</f>
        <v>181</v>
      </c>
      <c r="J20" s="113">
        <f>+J18</f>
        <v>59</v>
      </c>
      <c r="K20" s="113">
        <f>+K18</f>
        <v>68</v>
      </c>
      <c r="L20" s="113">
        <f>+L18</f>
        <v>121</v>
      </c>
      <c r="M20" s="113">
        <f t="shared" ref="M20:S20" si="2">+M18-M19</f>
        <v>209</v>
      </c>
      <c r="N20" s="113">
        <f t="shared" si="2"/>
        <v>236</v>
      </c>
      <c r="O20" s="113">
        <f t="shared" si="2"/>
        <v>116</v>
      </c>
      <c r="P20" s="113">
        <f t="shared" si="2"/>
        <v>152</v>
      </c>
      <c r="Q20" s="113">
        <f t="shared" si="2"/>
        <v>91</v>
      </c>
      <c r="R20" s="344">
        <f t="shared" si="2"/>
        <v>126</v>
      </c>
      <c r="S20" s="344">
        <f t="shared" si="2"/>
        <v>85</v>
      </c>
      <c r="T20" s="1031">
        <f t="shared" ref="T20:Y20" si="3">T18-0</f>
        <v>57</v>
      </c>
      <c r="U20" s="344">
        <f t="shared" si="3"/>
        <v>56</v>
      </c>
      <c r="V20" s="344">
        <f t="shared" si="3"/>
        <v>109</v>
      </c>
      <c r="W20" s="344">
        <f t="shared" si="3"/>
        <v>39</v>
      </c>
      <c r="X20" s="113">
        <f t="shared" si="3"/>
        <v>44</v>
      </c>
      <c r="Y20" s="113">
        <f t="shared" si="3"/>
        <v>46</v>
      </c>
    </row>
    <row r="21" spans="1:25" ht="3.95" customHeight="1">
      <c r="A21" s="621"/>
      <c r="B21" s="358"/>
      <c r="C21" s="358"/>
      <c r="D21" s="358"/>
      <c r="E21" s="359"/>
      <c r="F21" s="359"/>
      <c r="G21" s="359"/>
      <c r="H21" s="359"/>
      <c r="I21" s="359"/>
      <c r="J21" s="360"/>
      <c r="K21" s="361"/>
      <c r="L21" s="361"/>
      <c r="M21" s="361"/>
      <c r="N21" s="361"/>
      <c r="O21" s="361"/>
      <c r="P21" s="360"/>
      <c r="Q21" s="360"/>
      <c r="R21" s="374"/>
      <c r="S21" s="374"/>
      <c r="T21" s="986"/>
      <c r="U21" s="374"/>
      <c r="V21" s="374"/>
      <c r="W21" s="374"/>
      <c r="X21" s="374"/>
      <c r="Y21" s="374"/>
    </row>
    <row r="22" spans="1:25" ht="11.1" customHeight="1">
      <c r="A22" s="16" t="s">
        <v>482</v>
      </c>
      <c r="B22" s="16"/>
      <c r="C22" s="16"/>
      <c r="D22" s="16"/>
      <c r="E22" s="16"/>
      <c r="F22" s="16"/>
      <c r="G22" s="16"/>
      <c r="H22" s="16"/>
      <c r="I22" s="16"/>
      <c r="J22" s="16"/>
      <c r="K22" s="16"/>
      <c r="L22" s="16"/>
      <c r="M22" s="16"/>
      <c r="N22" s="16"/>
      <c r="O22" s="16"/>
      <c r="P22" s="16"/>
      <c r="Q22" s="16"/>
      <c r="R22" s="723"/>
      <c r="S22" s="723"/>
    </row>
  </sheetData>
  <mergeCells count="16">
    <mergeCell ref="A1:Y1"/>
    <mergeCell ref="A13:Y13"/>
    <mergeCell ref="A4:A5"/>
    <mergeCell ref="A16:A17"/>
    <mergeCell ref="T16:T17"/>
    <mergeCell ref="U16:U17"/>
    <mergeCell ref="V16:V17"/>
    <mergeCell ref="W16:W17"/>
    <mergeCell ref="Y16:Y17"/>
    <mergeCell ref="X16:X17"/>
    <mergeCell ref="T4:T5"/>
    <mergeCell ref="U4:U5"/>
    <mergeCell ref="V4:V5"/>
    <mergeCell ref="W4:W5"/>
    <mergeCell ref="X4:X5"/>
    <mergeCell ref="Y4:Y5"/>
  </mergeCells>
  <pageMargins left="0.78740157480314965" right="0.78740157480314965" top="0.98425196850393704" bottom="0.98425196850393704" header="0.31496062992125984" footer="0"/>
  <pageSetup paperSize="9" orientation="portrait" r:id="rId1"/>
  <headerFooter alignWithMargins="0"/>
  <ignoredErrors>
    <ignoredError sqref="H20 G8 K8" 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7"/>
  <sheetViews>
    <sheetView showGridLines="0" zoomScaleNormal="100" zoomScaleSheetLayoutView="100" workbookViewId="0">
      <selection sqref="A1:AA1"/>
    </sheetView>
  </sheetViews>
  <sheetFormatPr baseColWidth="10" defaultColWidth="9.7109375" defaultRowHeight="12.75"/>
  <cols>
    <col min="1" max="1" width="21.7109375" style="9" customWidth="1"/>
    <col min="2" max="2" width="7.140625" style="9" hidden="1" customWidth="1"/>
    <col min="3" max="3" width="6" style="18" hidden="1" customWidth="1"/>
    <col min="4" max="4" width="6.28515625" style="9" hidden="1" customWidth="1"/>
    <col min="5" max="5" width="5.85546875" style="9" hidden="1" customWidth="1"/>
    <col min="6" max="7" width="5.42578125" style="9" hidden="1" customWidth="1"/>
    <col min="8" max="8" width="6.42578125" style="9" hidden="1" customWidth="1"/>
    <col min="9" max="10" width="5.42578125" style="9" hidden="1" customWidth="1"/>
    <col min="11" max="11" width="5.7109375" style="9" hidden="1" customWidth="1"/>
    <col min="12" max="12" width="6" style="9" hidden="1" customWidth="1"/>
    <col min="13" max="13" width="11.28515625" style="9" hidden="1" customWidth="1"/>
    <col min="14" max="22" width="8.7109375" style="9" hidden="1" customWidth="1"/>
    <col min="23" max="27" width="12.7109375" style="9" customWidth="1"/>
    <col min="28" max="16384" width="9.7109375" style="9"/>
  </cols>
  <sheetData>
    <row r="1" spans="1:27" ht="26.1" customHeight="1">
      <c r="A1" s="1192" t="s">
        <v>539</v>
      </c>
      <c r="B1" s="1192"/>
      <c r="C1" s="1192"/>
      <c r="D1" s="1192"/>
      <c r="E1" s="1192"/>
      <c r="F1" s="1192"/>
      <c r="G1" s="1192"/>
      <c r="H1" s="1192"/>
      <c r="I1" s="1192"/>
      <c r="J1" s="1192"/>
      <c r="K1" s="1192"/>
      <c r="L1" s="1192"/>
      <c r="M1" s="1192"/>
      <c r="N1" s="1192"/>
      <c r="O1" s="1192"/>
      <c r="P1" s="1192"/>
      <c r="Q1" s="1192"/>
      <c r="R1" s="1192"/>
      <c r="S1" s="1192"/>
      <c r="T1" s="1192"/>
      <c r="U1" s="1192"/>
      <c r="V1" s="1192"/>
      <c r="W1" s="1192"/>
      <c r="X1" s="1192"/>
      <c r="Y1" s="1192"/>
      <c r="Z1" s="1192"/>
      <c r="AA1" s="1192"/>
    </row>
    <row r="2" spans="1:27" s="33" customFormat="1">
      <c r="A2" s="916" t="s">
        <v>470</v>
      </c>
      <c r="B2" s="23"/>
      <c r="C2" s="917"/>
      <c r="D2" s="23"/>
      <c r="E2" s="23"/>
      <c r="F2" s="23"/>
      <c r="G2" s="23"/>
    </row>
    <row r="3" spans="1:27" s="33" customFormat="1" ht="5.0999999999999996" customHeight="1">
      <c r="A3" s="916"/>
      <c r="B3" s="23"/>
      <c r="C3" s="917"/>
      <c r="D3" s="23"/>
      <c r="E3" s="23"/>
      <c r="F3" s="23"/>
      <c r="G3" s="23"/>
    </row>
    <row r="4" spans="1:27" ht="24.75" customHeight="1">
      <c r="A4" s="487" t="s">
        <v>466</v>
      </c>
      <c r="B4" s="272">
        <v>1998</v>
      </c>
      <c r="C4" s="272">
        <v>1999</v>
      </c>
      <c r="D4" s="272">
        <v>2000</v>
      </c>
      <c r="E4" s="272">
        <v>2001</v>
      </c>
      <c r="F4" s="272">
        <v>2002</v>
      </c>
      <c r="G4" s="272">
        <v>2003</v>
      </c>
      <c r="H4" s="272">
        <v>2004</v>
      </c>
      <c r="I4" s="272">
        <v>2005</v>
      </c>
      <c r="J4" s="272">
        <v>2006</v>
      </c>
      <c r="K4" s="272">
        <v>2007</v>
      </c>
      <c r="L4" s="272">
        <v>2008</v>
      </c>
      <c r="M4" s="272">
        <v>2009</v>
      </c>
      <c r="N4" s="272">
        <v>2010</v>
      </c>
      <c r="O4" s="272">
        <v>2011</v>
      </c>
      <c r="P4" s="272">
        <v>2012</v>
      </c>
      <c r="Q4" s="272">
        <v>2013</v>
      </c>
      <c r="R4" s="272">
        <v>2014</v>
      </c>
      <c r="S4" s="272">
        <v>2015</v>
      </c>
      <c r="T4" s="272">
        <v>2016</v>
      </c>
      <c r="U4" s="272">
        <v>2017</v>
      </c>
      <c r="V4" s="272">
        <v>2018</v>
      </c>
      <c r="W4" s="1021">
        <v>2019</v>
      </c>
      <c r="X4" s="272">
        <v>2020</v>
      </c>
      <c r="Y4" s="272">
        <v>2021</v>
      </c>
      <c r="Z4" s="272">
        <v>2022</v>
      </c>
      <c r="AA4" s="272">
        <v>2023</v>
      </c>
    </row>
    <row r="5" spans="1:27" ht="5.0999999999999996" customHeight="1">
      <c r="A5" s="269"/>
      <c r="B5" s="82"/>
      <c r="C5" s="73"/>
      <c r="D5" s="73"/>
      <c r="E5" s="73"/>
      <c r="F5" s="73"/>
      <c r="G5" s="73"/>
      <c r="H5" s="73"/>
      <c r="I5" s="73"/>
      <c r="J5" s="73"/>
      <c r="K5" s="73"/>
      <c r="W5" s="1061"/>
    </row>
    <row r="6" spans="1:27" s="16" customFormat="1" ht="19.5" customHeight="1">
      <c r="A6" s="269" t="s">
        <v>2</v>
      </c>
      <c r="B6" s="539">
        <f t="shared" ref="B6:R6" si="0">SUM(B7,B21)</f>
        <v>54</v>
      </c>
      <c r="C6" s="539">
        <f t="shared" si="0"/>
        <v>52</v>
      </c>
      <c r="D6" s="70">
        <f t="shared" si="0"/>
        <v>54</v>
      </c>
      <c r="E6" s="70">
        <f t="shared" si="0"/>
        <v>130</v>
      </c>
      <c r="F6" s="70">
        <f t="shared" si="0"/>
        <v>53</v>
      </c>
      <c r="G6" s="70">
        <f t="shared" si="0"/>
        <v>47</v>
      </c>
      <c r="H6" s="70">
        <f t="shared" si="0"/>
        <v>35</v>
      </c>
      <c r="I6" s="70">
        <f t="shared" si="0"/>
        <v>63</v>
      </c>
      <c r="J6" s="70">
        <f t="shared" si="0"/>
        <v>55</v>
      </c>
      <c r="K6" s="70">
        <f t="shared" si="0"/>
        <v>152</v>
      </c>
      <c r="L6" s="70">
        <f t="shared" si="0"/>
        <v>189</v>
      </c>
      <c r="M6" s="70">
        <f t="shared" si="0"/>
        <v>141</v>
      </c>
      <c r="N6" s="70">
        <f t="shared" si="0"/>
        <v>91</v>
      </c>
      <c r="O6" s="70">
        <f t="shared" si="0"/>
        <v>151</v>
      </c>
      <c r="P6" s="70">
        <f t="shared" si="0"/>
        <v>102</v>
      </c>
      <c r="Q6" s="70">
        <f t="shared" si="0"/>
        <v>88</v>
      </c>
      <c r="R6" s="70">
        <f t="shared" si="0"/>
        <v>52</v>
      </c>
      <c r="S6" s="70">
        <v>73</v>
      </c>
      <c r="T6" s="70">
        <v>111</v>
      </c>
      <c r="U6" s="70">
        <v>103</v>
      </c>
      <c r="V6" s="70">
        <v>117</v>
      </c>
      <c r="W6" s="1062">
        <v>164</v>
      </c>
      <c r="X6" s="70">
        <v>180</v>
      </c>
      <c r="Y6" s="70">
        <v>134</v>
      </c>
      <c r="Z6" s="70">
        <f>+Z7+Z14+Z21</f>
        <v>98</v>
      </c>
      <c r="AA6" s="70">
        <f>+AA7+AA14+AA21</f>
        <v>112</v>
      </c>
    </row>
    <row r="7" spans="1:27" s="17" customFormat="1" ht="15" customHeight="1">
      <c r="A7" s="540" t="s">
        <v>19</v>
      </c>
      <c r="B7" s="91">
        <f>B8+B11</f>
        <v>50</v>
      </c>
      <c r="C7" s="91">
        <v>40</v>
      </c>
      <c r="D7" s="70">
        <f t="shared" ref="D7:R7" si="1">D8+D11</f>
        <v>49</v>
      </c>
      <c r="E7" s="70">
        <f t="shared" si="1"/>
        <v>102</v>
      </c>
      <c r="F7" s="70">
        <f t="shared" si="1"/>
        <v>43</v>
      </c>
      <c r="G7" s="70">
        <f t="shared" si="1"/>
        <v>39</v>
      </c>
      <c r="H7" s="70">
        <v>33</v>
      </c>
      <c r="I7" s="70">
        <f t="shared" si="1"/>
        <v>62</v>
      </c>
      <c r="J7" s="70">
        <f t="shared" si="1"/>
        <v>54</v>
      </c>
      <c r="K7" s="70">
        <f t="shared" si="1"/>
        <v>126</v>
      </c>
      <c r="L7" s="70">
        <f t="shared" si="1"/>
        <v>188</v>
      </c>
      <c r="M7" s="70">
        <f t="shared" si="1"/>
        <v>139</v>
      </c>
      <c r="N7" s="70">
        <f t="shared" si="1"/>
        <v>91</v>
      </c>
      <c r="O7" s="70">
        <f t="shared" si="1"/>
        <v>151</v>
      </c>
      <c r="P7" s="70">
        <f t="shared" si="1"/>
        <v>102</v>
      </c>
      <c r="Q7" s="70">
        <f t="shared" si="1"/>
        <v>88</v>
      </c>
      <c r="R7" s="70">
        <f t="shared" si="1"/>
        <v>52</v>
      </c>
      <c r="S7" s="70">
        <f t="shared" ref="S7:AA7" si="2">S8+S11</f>
        <v>67</v>
      </c>
      <c r="T7" s="70">
        <f t="shared" si="2"/>
        <v>111</v>
      </c>
      <c r="U7" s="70">
        <f t="shared" si="2"/>
        <v>98</v>
      </c>
      <c r="V7" s="70">
        <f t="shared" si="2"/>
        <v>112</v>
      </c>
      <c r="W7" s="1062">
        <f t="shared" si="2"/>
        <v>158</v>
      </c>
      <c r="X7" s="70">
        <f t="shared" si="2"/>
        <v>103</v>
      </c>
      <c r="Y7" s="70">
        <f t="shared" si="2"/>
        <v>86</v>
      </c>
      <c r="Z7" s="70">
        <v>76</v>
      </c>
      <c r="AA7" s="70">
        <f t="shared" si="2"/>
        <v>83</v>
      </c>
    </row>
    <row r="8" spans="1:27" s="17" customFormat="1" ht="15" customHeight="1">
      <c r="A8" s="540" t="s">
        <v>20</v>
      </c>
      <c r="B8" s="74">
        <v>41</v>
      </c>
      <c r="C8" s="74">
        <v>32</v>
      </c>
      <c r="D8" s="67">
        <v>38</v>
      </c>
      <c r="E8" s="67">
        <v>90</v>
      </c>
      <c r="F8" s="67">
        <f>SUM(F9:F10)</f>
        <v>32</v>
      </c>
      <c r="G8" s="67">
        <f>SUM(G9:G10)</f>
        <v>32</v>
      </c>
      <c r="H8" s="67">
        <f>SUM(H9:H10)</f>
        <v>25</v>
      </c>
      <c r="I8" s="67">
        <v>43</v>
      </c>
      <c r="J8" s="67">
        <v>37</v>
      </c>
      <c r="K8" s="67">
        <v>94</v>
      </c>
      <c r="L8" s="67">
        <v>148</v>
      </c>
      <c r="M8" s="67">
        <f>SUM(M9:M10)</f>
        <v>114</v>
      </c>
      <c r="N8" s="67">
        <f>SUM(N9:N10)</f>
        <v>76</v>
      </c>
      <c r="O8" s="67">
        <v>120</v>
      </c>
      <c r="P8" s="67">
        <v>65</v>
      </c>
      <c r="Q8" s="67">
        <v>59</v>
      </c>
      <c r="R8" s="67">
        <v>28</v>
      </c>
      <c r="S8" s="67">
        <v>52</v>
      </c>
      <c r="T8" s="67">
        <v>98</v>
      </c>
      <c r="U8" s="67">
        <v>77</v>
      </c>
      <c r="V8" s="67">
        <v>97</v>
      </c>
      <c r="W8" s="1063">
        <v>129</v>
      </c>
      <c r="X8" s="67">
        <v>81</v>
      </c>
      <c r="Y8" s="67">
        <f>SUM(Y9:Y10)</f>
        <v>67</v>
      </c>
      <c r="Z8" s="67">
        <v>65</v>
      </c>
      <c r="AA8" s="67">
        <v>68</v>
      </c>
    </row>
    <row r="9" spans="1:27" s="17" customFormat="1" ht="14.1" customHeight="1">
      <c r="A9" s="271" t="s">
        <v>24</v>
      </c>
      <c r="B9" s="67" t="s">
        <v>56</v>
      </c>
      <c r="C9" s="74">
        <v>3</v>
      </c>
      <c r="D9" s="67" t="s">
        <v>57</v>
      </c>
      <c r="E9" s="67">
        <v>1</v>
      </c>
      <c r="F9" s="67">
        <v>31</v>
      </c>
      <c r="G9" s="67">
        <v>1</v>
      </c>
      <c r="H9" s="67" t="s">
        <v>56</v>
      </c>
      <c r="I9" s="67">
        <v>2</v>
      </c>
      <c r="J9" s="67" t="s">
        <v>56</v>
      </c>
      <c r="K9" s="67" t="s">
        <v>56</v>
      </c>
      <c r="L9" s="67">
        <v>2</v>
      </c>
      <c r="M9" s="67">
        <v>2</v>
      </c>
      <c r="N9" s="67" t="s">
        <v>56</v>
      </c>
      <c r="O9" s="67" t="s">
        <v>117</v>
      </c>
      <c r="P9" s="67" t="s">
        <v>117</v>
      </c>
      <c r="Q9" s="67" t="s">
        <v>117</v>
      </c>
      <c r="R9" s="67" t="s">
        <v>117</v>
      </c>
      <c r="S9" s="67" t="s">
        <v>55</v>
      </c>
      <c r="T9" s="67">
        <v>2</v>
      </c>
      <c r="U9" s="67">
        <v>1</v>
      </c>
      <c r="V9" s="67" t="s">
        <v>117</v>
      </c>
      <c r="W9" s="1063">
        <v>5</v>
      </c>
      <c r="X9" s="67" t="s">
        <v>0</v>
      </c>
      <c r="Y9" s="67">
        <v>4</v>
      </c>
      <c r="Z9" s="67" t="s">
        <v>117</v>
      </c>
      <c r="AA9" s="67" t="s">
        <v>117</v>
      </c>
    </row>
    <row r="10" spans="1:27" s="17" customFormat="1" ht="14.1" customHeight="1">
      <c r="A10" s="271" t="s">
        <v>25</v>
      </c>
      <c r="B10" s="74">
        <v>41</v>
      </c>
      <c r="C10" s="74">
        <v>29</v>
      </c>
      <c r="D10" s="67">
        <v>38</v>
      </c>
      <c r="E10" s="67">
        <v>89</v>
      </c>
      <c r="F10" s="67">
        <v>1</v>
      </c>
      <c r="G10" s="67">
        <v>31</v>
      </c>
      <c r="H10" s="67">
        <v>25</v>
      </c>
      <c r="I10" s="67">
        <v>41</v>
      </c>
      <c r="J10" s="67">
        <v>37</v>
      </c>
      <c r="K10" s="67">
        <v>94</v>
      </c>
      <c r="L10" s="67">
        <v>146</v>
      </c>
      <c r="M10" s="67">
        <v>112</v>
      </c>
      <c r="N10" s="67">
        <v>76</v>
      </c>
      <c r="O10" s="67" t="s">
        <v>117</v>
      </c>
      <c r="P10" s="67" t="s">
        <v>117</v>
      </c>
      <c r="Q10" s="67" t="s">
        <v>117</v>
      </c>
      <c r="R10" s="67" t="s">
        <v>117</v>
      </c>
      <c r="S10" s="67" t="s">
        <v>117</v>
      </c>
      <c r="T10" s="67">
        <v>96</v>
      </c>
      <c r="U10" s="67">
        <v>76</v>
      </c>
      <c r="V10" s="67" t="s">
        <v>117</v>
      </c>
      <c r="W10" s="1063">
        <v>124</v>
      </c>
      <c r="X10" s="67" t="s">
        <v>0</v>
      </c>
      <c r="Y10" s="67">
        <v>63</v>
      </c>
      <c r="Z10" s="67">
        <v>65</v>
      </c>
      <c r="AA10" s="67"/>
    </row>
    <row r="11" spans="1:27" s="17" customFormat="1" ht="15" customHeight="1">
      <c r="A11" s="540" t="s">
        <v>21</v>
      </c>
      <c r="B11" s="74">
        <v>9</v>
      </c>
      <c r="C11" s="74">
        <f>SUM(C13)</f>
        <v>8</v>
      </c>
      <c r="D11" s="67">
        <v>11</v>
      </c>
      <c r="E11" s="67">
        <v>12</v>
      </c>
      <c r="F11" s="67">
        <f>SUM(F12:F13)</f>
        <v>11</v>
      </c>
      <c r="G11" s="67">
        <v>7</v>
      </c>
      <c r="H11" s="67">
        <v>8</v>
      </c>
      <c r="I11" s="67">
        <v>19</v>
      </c>
      <c r="J11" s="67">
        <v>17</v>
      </c>
      <c r="K11" s="67">
        <v>32</v>
      </c>
      <c r="L11" s="67">
        <v>40</v>
      </c>
      <c r="M11" s="67">
        <f>SUM(M12:M13)</f>
        <v>25</v>
      </c>
      <c r="N11" s="67">
        <f>SUM(N12:N13)</f>
        <v>15</v>
      </c>
      <c r="O11" s="67">
        <v>31</v>
      </c>
      <c r="P11" s="67">
        <v>37</v>
      </c>
      <c r="Q11" s="67">
        <v>29</v>
      </c>
      <c r="R11" s="67">
        <v>24</v>
      </c>
      <c r="S11" s="67">
        <v>15</v>
      </c>
      <c r="T11" s="67">
        <v>13</v>
      </c>
      <c r="U11" s="67">
        <v>21</v>
      </c>
      <c r="V11" s="67">
        <v>15</v>
      </c>
      <c r="W11" s="1063">
        <v>29</v>
      </c>
      <c r="X11" s="67">
        <v>22</v>
      </c>
      <c r="Y11" s="67">
        <f>SUM(Y12:Y13)</f>
        <v>19</v>
      </c>
      <c r="Z11" s="67">
        <v>11</v>
      </c>
      <c r="AA11" s="67">
        <v>15</v>
      </c>
    </row>
    <row r="12" spans="1:27" s="17" customFormat="1" ht="14.1" customHeight="1">
      <c r="A12" s="271" t="s">
        <v>24</v>
      </c>
      <c r="B12" s="67" t="s">
        <v>56</v>
      </c>
      <c r="C12" s="74" t="s">
        <v>65</v>
      </c>
      <c r="D12" s="67" t="s">
        <v>65</v>
      </c>
      <c r="E12" s="67" t="s">
        <v>65</v>
      </c>
      <c r="F12" s="67">
        <v>11</v>
      </c>
      <c r="G12" s="67" t="s">
        <v>56</v>
      </c>
      <c r="H12" s="67" t="s">
        <v>56</v>
      </c>
      <c r="I12" s="67" t="s">
        <v>56</v>
      </c>
      <c r="J12" s="67" t="s">
        <v>54</v>
      </c>
      <c r="K12" s="67" t="s">
        <v>56</v>
      </c>
      <c r="L12" s="67">
        <v>2</v>
      </c>
      <c r="M12" s="67">
        <v>2</v>
      </c>
      <c r="N12" s="67" t="s">
        <v>97</v>
      </c>
      <c r="O12" s="67" t="s">
        <v>117</v>
      </c>
      <c r="P12" s="67" t="s">
        <v>117</v>
      </c>
      <c r="Q12" s="67" t="s">
        <v>117</v>
      </c>
      <c r="R12" s="67" t="s">
        <v>117</v>
      </c>
      <c r="S12" s="67" t="s">
        <v>117</v>
      </c>
      <c r="T12" s="67">
        <v>1</v>
      </c>
      <c r="U12" s="67" t="s">
        <v>0</v>
      </c>
      <c r="V12" s="67" t="s">
        <v>117</v>
      </c>
      <c r="W12" s="1063" t="s">
        <v>56</v>
      </c>
      <c r="X12" s="67" t="s">
        <v>56</v>
      </c>
      <c r="Y12" s="67">
        <v>1</v>
      </c>
      <c r="Z12" s="67" t="s">
        <v>117</v>
      </c>
      <c r="AA12" s="67" t="s">
        <v>117</v>
      </c>
    </row>
    <row r="13" spans="1:27" s="17" customFormat="1" ht="14.1" customHeight="1">
      <c r="A13" s="271" t="s">
        <v>25</v>
      </c>
      <c r="B13" s="74">
        <v>9</v>
      </c>
      <c r="C13" s="74">
        <v>8</v>
      </c>
      <c r="D13" s="67">
        <v>11</v>
      </c>
      <c r="E13" s="67">
        <v>12</v>
      </c>
      <c r="F13" s="67" t="s">
        <v>57</v>
      </c>
      <c r="G13" s="67">
        <v>7</v>
      </c>
      <c r="H13" s="67">
        <v>8</v>
      </c>
      <c r="I13" s="67">
        <v>19</v>
      </c>
      <c r="J13" s="67">
        <v>17</v>
      </c>
      <c r="K13" s="67">
        <v>32</v>
      </c>
      <c r="L13" s="67">
        <v>38</v>
      </c>
      <c r="M13" s="67">
        <v>23</v>
      </c>
      <c r="N13" s="67">
        <v>15</v>
      </c>
      <c r="O13" s="67" t="s">
        <v>117</v>
      </c>
      <c r="P13" s="67" t="s">
        <v>117</v>
      </c>
      <c r="Q13" s="67" t="s">
        <v>117</v>
      </c>
      <c r="R13" s="67" t="s">
        <v>117</v>
      </c>
      <c r="S13" s="67" t="s">
        <v>117</v>
      </c>
      <c r="T13" s="67">
        <v>12</v>
      </c>
      <c r="U13" s="67">
        <v>21</v>
      </c>
      <c r="V13" s="67" t="s">
        <v>117</v>
      </c>
      <c r="W13" s="1063">
        <v>29</v>
      </c>
      <c r="X13" s="67" t="s">
        <v>56</v>
      </c>
      <c r="Y13" s="67">
        <v>18</v>
      </c>
      <c r="Z13" s="67">
        <v>11</v>
      </c>
      <c r="AA13" s="67"/>
    </row>
    <row r="14" spans="1:27" s="17" customFormat="1" ht="15" customHeight="1">
      <c r="A14" s="540" t="s">
        <v>22</v>
      </c>
      <c r="B14" s="91">
        <v>4</v>
      </c>
      <c r="C14" s="91">
        <v>12</v>
      </c>
      <c r="D14" s="70">
        <v>5</v>
      </c>
      <c r="E14" s="70">
        <v>28</v>
      </c>
      <c r="F14" s="70">
        <v>10</v>
      </c>
      <c r="G14" s="70">
        <v>8</v>
      </c>
      <c r="H14" s="70">
        <v>2</v>
      </c>
      <c r="I14" s="70">
        <v>1</v>
      </c>
      <c r="J14" s="70">
        <v>1</v>
      </c>
      <c r="K14" s="70">
        <f>SUM(K17,K20)</f>
        <v>26</v>
      </c>
      <c r="L14" s="70">
        <v>1</v>
      </c>
      <c r="M14" s="70">
        <v>2</v>
      </c>
      <c r="N14" s="70">
        <v>3</v>
      </c>
      <c r="O14" s="70">
        <v>3</v>
      </c>
      <c r="P14" s="70">
        <v>4</v>
      </c>
      <c r="Q14" s="70">
        <v>2</v>
      </c>
      <c r="R14" s="70">
        <v>1</v>
      </c>
      <c r="S14" s="70">
        <v>6</v>
      </c>
      <c r="T14" s="70" t="s">
        <v>0</v>
      </c>
      <c r="U14" s="70">
        <f>U15+U18</f>
        <v>5</v>
      </c>
      <c r="V14" s="70">
        <f>V15+V18</f>
        <v>5</v>
      </c>
      <c r="W14" s="1062" t="s">
        <v>56</v>
      </c>
      <c r="X14" s="70">
        <v>3</v>
      </c>
      <c r="Y14" s="70">
        <f>+Y15+Y18</f>
        <v>20</v>
      </c>
      <c r="Z14" s="70">
        <v>3</v>
      </c>
      <c r="AA14" s="70">
        <v>25</v>
      </c>
    </row>
    <row r="15" spans="1:27" s="17" customFormat="1" ht="15" customHeight="1">
      <c r="A15" s="540" t="s">
        <v>20</v>
      </c>
      <c r="B15" s="74">
        <v>3</v>
      </c>
      <c r="C15" s="74">
        <v>8</v>
      </c>
      <c r="D15" s="67">
        <v>3</v>
      </c>
      <c r="E15" s="67">
        <v>25</v>
      </c>
      <c r="F15" s="67" t="s">
        <v>57</v>
      </c>
      <c r="G15" s="67">
        <v>5</v>
      </c>
      <c r="H15" s="67" t="s">
        <v>56</v>
      </c>
      <c r="I15" s="67" t="s">
        <v>56</v>
      </c>
      <c r="J15" s="67" t="s">
        <v>56</v>
      </c>
      <c r="K15" s="67">
        <v>22</v>
      </c>
      <c r="L15" s="67">
        <v>1</v>
      </c>
      <c r="M15" s="67">
        <v>2</v>
      </c>
      <c r="N15" s="67">
        <v>2</v>
      </c>
      <c r="O15" s="67">
        <v>3</v>
      </c>
      <c r="P15" s="67">
        <v>3</v>
      </c>
      <c r="Q15" s="67">
        <v>1</v>
      </c>
      <c r="R15" s="67">
        <v>1</v>
      </c>
      <c r="S15" s="67">
        <v>4</v>
      </c>
      <c r="T15" s="67" t="s">
        <v>0</v>
      </c>
      <c r="U15" s="67">
        <v>3</v>
      </c>
      <c r="V15" s="67">
        <v>4</v>
      </c>
      <c r="W15" s="1063" t="s">
        <v>56</v>
      </c>
      <c r="X15" s="67">
        <v>3</v>
      </c>
      <c r="Y15" s="67">
        <f>SUM(Y16:Y17)</f>
        <v>19</v>
      </c>
      <c r="Z15" s="67" t="s">
        <v>117</v>
      </c>
      <c r="AA15" s="67">
        <v>22</v>
      </c>
    </row>
    <row r="16" spans="1:27" s="17" customFormat="1" ht="14.1" customHeight="1">
      <c r="A16" s="271" t="s">
        <v>24</v>
      </c>
      <c r="B16" s="67" t="s">
        <v>56</v>
      </c>
      <c r="C16" s="74">
        <v>4</v>
      </c>
      <c r="D16" s="67" t="s">
        <v>65</v>
      </c>
      <c r="E16" s="67" t="s">
        <v>57</v>
      </c>
      <c r="F16" s="67" t="s">
        <v>57</v>
      </c>
      <c r="G16" s="67" t="s">
        <v>56</v>
      </c>
      <c r="H16" s="67" t="s">
        <v>56</v>
      </c>
      <c r="I16" s="67" t="s">
        <v>56</v>
      </c>
      <c r="J16" s="67" t="s">
        <v>56</v>
      </c>
      <c r="K16" s="67" t="s">
        <v>56</v>
      </c>
      <c r="L16" s="67" t="s">
        <v>54</v>
      </c>
      <c r="M16" s="67" t="s">
        <v>97</v>
      </c>
      <c r="N16" s="67" t="s">
        <v>97</v>
      </c>
      <c r="O16" s="67" t="s">
        <v>117</v>
      </c>
      <c r="P16" s="67" t="s">
        <v>117</v>
      </c>
      <c r="Q16" s="67" t="s">
        <v>117</v>
      </c>
      <c r="R16" s="67" t="s">
        <v>97</v>
      </c>
      <c r="S16" s="67">
        <v>4</v>
      </c>
      <c r="T16" s="67" t="s">
        <v>0</v>
      </c>
      <c r="U16" s="67" t="s">
        <v>117</v>
      </c>
      <c r="V16" s="67" t="s">
        <v>117</v>
      </c>
      <c r="W16" s="1063" t="s">
        <v>56</v>
      </c>
      <c r="X16" s="67" t="s">
        <v>56</v>
      </c>
      <c r="Y16" s="67" t="s">
        <v>117</v>
      </c>
      <c r="Z16" s="67">
        <v>3</v>
      </c>
      <c r="AA16" s="67"/>
    </row>
    <row r="17" spans="1:27" s="17" customFormat="1" ht="14.1" customHeight="1">
      <c r="A17" s="271" t="s">
        <v>25</v>
      </c>
      <c r="B17" s="74">
        <v>3</v>
      </c>
      <c r="C17" s="74">
        <v>4</v>
      </c>
      <c r="D17" s="67">
        <v>3</v>
      </c>
      <c r="E17" s="67">
        <v>25</v>
      </c>
      <c r="F17" s="67" t="s">
        <v>57</v>
      </c>
      <c r="G17" s="67" t="s">
        <v>56</v>
      </c>
      <c r="H17" s="67" t="s">
        <v>56</v>
      </c>
      <c r="I17" s="67">
        <v>1</v>
      </c>
      <c r="J17" s="67" t="s">
        <v>56</v>
      </c>
      <c r="K17" s="67">
        <v>22</v>
      </c>
      <c r="L17" s="67" t="s">
        <v>54</v>
      </c>
      <c r="M17" s="67" t="s">
        <v>97</v>
      </c>
      <c r="N17" s="67" t="s">
        <v>97</v>
      </c>
      <c r="O17" s="67" t="s">
        <v>117</v>
      </c>
      <c r="P17" s="67" t="s">
        <v>117</v>
      </c>
      <c r="Q17" s="67" t="s">
        <v>117</v>
      </c>
      <c r="R17" s="67" t="s">
        <v>97</v>
      </c>
      <c r="S17" s="67" t="s">
        <v>97</v>
      </c>
      <c r="T17" s="67" t="s">
        <v>0</v>
      </c>
      <c r="U17" s="67" t="s">
        <v>117</v>
      </c>
      <c r="V17" s="67" t="s">
        <v>117</v>
      </c>
      <c r="W17" s="1063" t="s">
        <v>56</v>
      </c>
      <c r="X17" s="67" t="s">
        <v>56</v>
      </c>
      <c r="Y17" s="67">
        <v>19</v>
      </c>
      <c r="Z17" s="67" t="s">
        <v>117</v>
      </c>
      <c r="AA17" s="67" t="s">
        <v>117</v>
      </c>
    </row>
    <row r="18" spans="1:27" s="17" customFormat="1" ht="15" customHeight="1">
      <c r="A18" s="540" t="s">
        <v>21</v>
      </c>
      <c r="B18" s="74">
        <v>1</v>
      </c>
      <c r="C18" s="74">
        <v>4</v>
      </c>
      <c r="D18" s="67">
        <v>2</v>
      </c>
      <c r="E18" s="67">
        <v>3</v>
      </c>
      <c r="F18" s="67" t="s">
        <v>57</v>
      </c>
      <c r="G18" s="67" t="s">
        <v>56</v>
      </c>
      <c r="H18" s="67" t="s">
        <v>56</v>
      </c>
      <c r="I18" s="67" t="s">
        <v>56</v>
      </c>
      <c r="J18" s="67" t="s">
        <v>56</v>
      </c>
      <c r="K18" s="67">
        <v>4</v>
      </c>
      <c r="L18" s="67" t="s">
        <v>54</v>
      </c>
      <c r="M18" s="67" t="s">
        <v>97</v>
      </c>
      <c r="N18" s="67">
        <v>1</v>
      </c>
      <c r="O18" s="67" t="s">
        <v>117</v>
      </c>
      <c r="P18" s="67">
        <v>1</v>
      </c>
      <c r="Q18" s="67">
        <v>1</v>
      </c>
      <c r="R18" s="67" t="s">
        <v>97</v>
      </c>
      <c r="S18" s="67">
        <v>2</v>
      </c>
      <c r="T18" s="67" t="s">
        <v>0</v>
      </c>
      <c r="U18" s="67">
        <v>2</v>
      </c>
      <c r="V18" s="67">
        <v>1</v>
      </c>
      <c r="W18" s="1063" t="s">
        <v>56</v>
      </c>
      <c r="X18" s="67" t="s">
        <v>56</v>
      </c>
      <c r="Y18" s="67">
        <f>SUM(Y19:Y20)</f>
        <v>1</v>
      </c>
      <c r="Z18" s="67" t="s">
        <v>117</v>
      </c>
      <c r="AA18" s="67">
        <v>3</v>
      </c>
    </row>
    <row r="19" spans="1:27" s="17" customFormat="1" ht="14.1" customHeight="1">
      <c r="A19" s="271" t="s">
        <v>24</v>
      </c>
      <c r="B19" s="67" t="s">
        <v>56</v>
      </c>
      <c r="C19" s="74" t="s">
        <v>65</v>
      </c>
      <c r="D19" s="67" t="s">
        <v>65</v>
      </c>
      <c r="E19" s="67" t="s">
        <v>57</v>
      </c>
      <c r="F19" s="67" t="s">
        <v>57</v>
      </c>
      <c r="G19" s="67" t="s">
        <v>56</v>
      </c>
      <c r="H19" s="67" t="s">
        <v>56</v>
      </c>
      <c r="I19" s="67" t="s">
        <v>56</v>
      </c>
      <c r="J19" s="67" t="s">
        <v>56</v>
      </c>
      <c r="K19" s="67" t="s">
        <v>56</v>
      </c>
      <c r="L19" s="67" t="s">
        <v>54</v>
      </c>
      <c r="M19" s="67" t="s">
        <v>97</v>
      </c>
      <c r="N19" s="67" t="s">
        <v>97</v>
      </c>
      <c r="O19" s="67" t="s">
        <v>117</v>
      </c>
      <c r="P19" s="67" t="s">
        <v>117</v>
      </c>
      <c r="Q19" s="67" t="s">
        <v>117</v>
      </c>
      <c r="R19" s="67" t="s">
        <v>117</v>
      </c>
      <c r="S19" s="67" t="s">
        <v>97</v>
      </c>
      <c r="T19" s="67" t="s">
        <v>0</v>
      </c>
      <c r="U19" s="67" t="s">
        <v>117</v>
      </c>
      <c r="V19" s="67" t="s">
        <v>117</v>
      </c>
      <c r="W19" s="1063" t="s">
        <v>56</v>
      </c>
      <c r="X19" s="67" t="s">
        <v>56</v>
      </c>
      <c r="Y19" s="67" t="s">
        <v>117</v>
      </c>
      <c r="Z19" s="67" t="s">
        <v>117</v>
      </c>
      <c r="AA19" s="67" t="s">
        <v>117</v>
      </c>
    </row>
    <row r="20" spans="1:27" s="17" customFormat="1" ht="14.1" customHeight="1">
      <c r="A20" s="271" t="s">
        <v>25</v>
      </c>
      <c r="B20" s="74">
        <v>1</v>
      </c>
      <c r="C20" s="74">
        <v>4</v>
      </c>
      <c r="D20" s="67">
        <v>2</v>
      </c>
      <c r="E20" s="67">
        <v>3</v>
      </c>
      <c r="F20" s="67" t="s">
        <v>57</v>
      </c>
      <c r="G20" s="67">
        <v>3</v>
      </c>
      <c r="H20" s="67" t="s">
        <v>56</v>
      </c>
      <c r="I20" s="67" t="s">
        <v>56</v>
      </c>
      <c r="J20" s="67">
        <v>1</v>
      </c>
      <c r="K20" s="67">
        <v>4</v>
      </c>
      <c r="L20" s="67" t="s">
        <v>54</v>
      </c>
      <c r="M20" s="67" t="s">
        <v>97</v>
      </c>
      <c r="N20" s="67" t="s">
        <v>97</v>
      </c>
      <c r="O20" s="67" t="s">
        <v>117</v>
      </c>
      <c r="P20" s="67" t="s">
        <v>117</v>
      </c>
      <c r="Q20" s="67" t="s">
        <v>117</v>
      </c>
      <c r="R20" s="67" t="s">
        <v>117</v>
      </c>
      <c r="S20" s="67">
        <v>2</v>
      </c>
      <c r="T20" s="67" t="s">
        <v>0</v>
      </c>
      <c r="U20" s="67" t="s">
        <v>117</v>
      </c>
      <c r="V20" s="67" t="s">
        <v>117</v>
      </c>
      <c r="W20" s="1063" t="s">
        <v>56</v>
      </c>
      <c r="X20" s="67" t="s">
        <v>56</v>
      </c>
      <c r="Y20" s="67">
        <v>1</v>
      </c>
      <c r="Z20" s="67" t="s">
        <v>117</v>
      </c>
      <c r="AA20" s="67" t="s">
        <v>117</v>
      </c>
    </row>
    <row r="21" spans="1:27" s="17" customFormat="1" ht="15" customHeight="1">
      <c r="A21" s="540" t="s">
        <v>370</v>
      </c>
      <c r="B21" s="91">
        <v>4</v>
      </c>
      <c r="C21" s="91">
        <v>12</v>
      </c>
      <c r="D21" s="70">
        <v>5</v>
      </c>
      <c r="E21" s="70">
        <v>28</v>
      </c>
      <c r="F21" s="70">
        <v>10</v>
      </c>
      <c r="G21" s="70">
        <v>8</v>
      </c>
      <c r="H21" s="70">
        <v>2</v>
      </c>
      <c r="I21" s="70">
        <v>1</v>
      </c>
      <c r="J21" s="70">
        <v>1</v>
      </c>
      <c r="K21" s="70">
        <f>SUM(K24,K27)</f>
        <v>26</v>
      </c>
      <c r="L21" s="70">
        <v>1</v>
      </c>
      <c r="M21" s="70">
        <v>2</v>
      </c>
      <c r="N21" s="67" t="s">
        <v>97</v>
      </c>
      <c r="O21" s="67" t="s">
        <v>97</v>
      </c>
      <c r="P21" s="67" t="s">
        <v>97</v>
      </c>
      <c r="Q21" s="67" t="s">
        <v>97</v>
      </c>
      <c r="R21" s="67" t="s">
        <v>97</v>
      </c>
      <c r="S21" s="70" t="s">
        <v>97</v>
      </c>
      <c r="T21" s="70" t="s">
        <v>97</v>
      </c>
      <c r="U21" s="70" t="s">
        <v>97</v>
      </c>
      <c r="V21" s="70" t="s">
        <v>97</v>
      </c>
      <c r="W21" s="1062">
        <v>6</v>
      </c>
      <c r="X21" s="70">
        <v>9</v>
      </c>
      <c r="Y21" s="70">
        <f>+Y22+Y25</f>
        <v>28</v>
      </c>
      <c r="Z21" s="70">
        <f>+Z22+Z25</f>
        <v>19</v>
      </c>
      <c r="AA21" s="70">
        <v>4</v>
      </c>
    </row>
    <row r="22" spans="1:27" s="17" customFormat="1" ht="15" customHeight="1">
      <c r="A22" s="540" t="s">
        <v>20</v>
      </c>
      <c r="B22" s="74">
        <v>3</v>
      </c>
      <c r="C22" s="74">
        <v>8</v>
      </c>
      <c r="D22" s="67">
        <v>3</v>
      </c>
      <c r="E22" s="67">
        <v>25</v>
      </c>
      <c r="F22" s="67" t="s">
        <v>57</v>
      </c>
      <c r="G22" s="67">
        <v>5</v>
      </c>
      <c r="H22" s="67" t="s">
        <v>56</v>
      </c>
      <c r="I22" s="67" t="s">
        <v>56</v>
      </c>
      <c r="J22" s="67" t="s">
        <v>56</v>
      </c>
      <c r="K22" s="67">
        <v>22</v>
      </c>
      <c r="L22" s="67">
        <v>1</v>
      </c>
      <c r="M22" s="67">
        <v>2</v>
      </c>
      <c r="N22" s="67" t="s">
        <v>97</v>
      </c>
      <c r="O22" s="67" t="s">
        <v>97</v>
      </c>
      <c r="P22" s="67" t="s">
        <v>97</v>
      </c>
      <c r="Q22" s="67" t="s">
        <v>97</v>
      </c>
      <c r="R22" s="67" t="s">
        <v>97</v>
      </c>
      <c r="S22" s="67" t="s">
        <v>97</v>
      </c>
      <c r="T22" s="67" t="s">
        <v>97</v>
      </c>
      <c r="U22" s="67" t="s">
        <v>97</v>
      </c>
      <c r="V22" s="67" t="s">
        <v>97</v>
      </c>
      <c r="W22" s="1063">
        <v>4</v>
      </c>
      <c r="X22" s="67" t="s">
        <v>56</v>
      </c>
      <c r="Y22" s="67">
        <f>SUM(Y23:Y24)</f>
        <v>25</v>
      </c>
      <c r="Z22" s="67">
        <v>17</v>
      </c>
      <c r="AA22" s="67">
        <v>4</v>
      </c>
    </row>
    <row r="23" spans="1:27" s="17" customFormat="1" ht="14.1" customHeight="1">
      <c r="A23" s="271" t="s">
        <v>24</v>
      </c>
      <c r="B23" s="67" t="s">
        <v>56</v>
      </c>
      <c r="C23" s="74">
        <v>4</v>
      </c>
      <c r="D23" s="67" t="s">
        <v>65</v>
      </c>
      <c r="E23" s="67" t="s">
        <v>57</v>
      </c>
      <c r="F23" s="67" t="s">
        <v>57</v>
      </c>
      <c r="G23" s="67" t="s">
        <v>56</v>
      </c>
      <c r="H23" s="67" t="s">
        <v>56</v>
      </c>
      <c r="I23" s="67" t="s">
        <v>56</v>
      </c>
      <c r="J23" s="67" t="s">
        <v>56</v>
      </c>
      <c r="K23" s="67" t="s">
        <v>56</v>
      </c>
      <c r="L23" s="67" t="s">
        <v>54</v>
      </c>
      <c r="M23" s="67" t="s">
        <v>97</v>
      </c>
      <c r="N23" s="67" t="s">
        <v>97</v>
      </c>
      <c r="O23" s="67" t="s">
        <v>97</v>
      </c>
      <c r="P23" s="67" t="s">
        <v>97</v>
      </c>
      <c r="Q23" s="67" t="s">
        <v>97</v>
      </c>
      <c r="R23" s="67" t="s">
        <v>97</v>
      </c>
      <c r="S23" s="67" t="s">
        <v>97</v>
      </c>
      <c r="T23" s="67" t="s">
        <v>97</v>
      </c>
      <c r="U23" s="67" t="s">
        <v>97</v>
      </c>
      <c r="V23" s="67" t="s">
        <v>97</v>
      </c>
      <c r="W23" s="1063" t="s">
        <v>56</v>
      </c>
      <c r="X23" s="67" t="s">
        <v>56</v>
      </c>
      <c r="Y23" s="67" t="s">
        <v>117</v>
      </c>
      <c r="Z23" s="67" t="s">
        <v>117</v>
      </c>
      <c r="AA23" s="67" t="s">
        <v>117</v>
      </c>
    </row>
    <row r="24" spans="1:27" s="17" customFormat="1" ht="14.1" customHeight="1">
      <c r="A24" s="271" t="s">
        <v>25</v>
      </c>
      <c r="B24" s="74">
        <v>3</v>
      </c>
      <c r="C24" s="74">
        <v>4</v>
      </c>
      <c r="D24" s="67">
        <v>3</v>
      </c>
      <c r="E24" s="67">
        <v>25</v>
      </c>
      <c r="F24" s="67" t="s">
        <v>57</v>
      </c>
      <c r="G24" s="67" t="s">
        <v>56</v>
      </c>
      <c r="H24" s="67" t="s">
        <v>56</v>
      </c>
      <c r="I24" s="67">
        <v>1</v>
      </c>
      <c r="J24" s="67" t="s">
        <v>56</v>
      </c>
      <c r="K24" s="67">
        <v>22</v>
      </c>
      <c r="L24" s="67" t="s">
        <v>54</v>
      </c>
      <c r="M24" s="67" t="s">
        <v>97</v>
      </c>
      <c r="N24" s="67" t="s">
        <v>97</v>
      </c>
      <c r="O24" s="67" t="s">
        <v>97</v>
      </c>
      <c r="P24" s="67" t="s">
        <v>97</v>
      </c>
      <c r="Q24" s="67" t="s">
        <v>97</v>
      </c>
      <c r="R24" s="67" t="s">
        <v>97</v>
      </c>
      <c r="S24" s="67" t="s">
        <v>97</v>
      </c>
      <c r="T24" s="67" t="s">
        <v>97</v>
      </c>
      <c r="U24" s="67" t="s">
        <v>97</v>
      </c>
      <c r="V24" s="67" t="s">
        <v>97</v>
      </c>
      <c r="W24" s="1063">
        <v>4</v>
      </c>
      <c r="X24" s="67">
        <v>9</v>
      </c>
      <c r="Y24" s="67">
        <v>25</v>
      </c>
      <c r="Z24" s="67">
        <v>17</v>
      </c>
      <c r="AA24" s="67" t="s">
        <v>117</v>
      </c>
    </row>
    <row r="25" spans="1:27" s="17" customFormat="1" ht="15" customHeight="1">
      <c r="A25" s="540" t="s">
        <v>21</v>
      </c>
      <c r="B25" s="74">
        <v>1</v>
      </c>
      <c r="C25" s="74">
        <v>4</v>
      </c>
      <c r="D25" s="67">
        <v>2</v>
      </c>
      <c r="E25" s="67">
        <v>3</v>
      </c>
      <c r="F25" s="67" t="s">
        <v>57</v>
      </c>
      <c r="G25" s="67" t="s">
        <v>56</v>
      </c>
      <c r="H25" s="67" t="s">
        <v>56</v>
      </c>
      <c r="I25" s="67" t="s">
        <v>56</v>
      </c>
      <c r="J25" s="67" t="s">
        <v>56</v>
      </c>
      <c r="K25" s="67">
        <v>4</v>
      </c>
      <c r="L25" s="67" t="s">
        <v>54</v>
      </c>
      <c r="M25" s="67" t="s">
        <v>97</v>
      </c>
      <c r="N25" s="67" t="s">
        <v>97</v>
      </c>
      <c r="O25" s="67" t="s">
        <v>97</v>
      </c>
      <c r="P25" s="67" t="s">
        <v>97</v>
      </c>
      <c r="Q25" s="67" t="s">
        <v>97</v>
      </c>
      <c r="R25" s="67" t="s">
        <v>97</v>
      </c>
      <c r="S25" s="67" t="s">
        <v>97</v>
      </c>
      <c r="T25" s="67" t="s">
        <v>97</v>
      </c>
      <c r="U25" s="67" t="s">
        <v>97</v>
      </c>
      <c r="V25" s="67" t="s">
        <v>97</v>
      </c>
      <c r="W25" s="1063">
        <v>2</v>
      </c>
      <c r="X25" s="67">
        <v>1</v>
      </c>
      <c r="Y25" s="67">
        <f>SUM(Y26:Y27)</f>
        <v>3</v>
      </c>
      <c r="Z25" s="67">
        <v>2</v>
      </c>
      <c r="AA25" s="67" t="s">
        <v>117</v>
      </c>
    </row>
    <row r="26" spans="1:27" s="17" customFormat="1" ht="14.1" customHeight="1">
      <c r="A26" s="271" t="s">
        <v>24</v>
      </c>
      <c r="B26" s="67" t="s">
        <v>56</v>
      </c>
      <c r="C26" s="74" t="s">
        <v>65</v>
      </c>
      <c r="D26" s="67" t="s">
        <v>65</v>
      </c>
      <c r="E26" s="67" t="s">
        <v>57</v>
      </c>
      <c r="F26" s="67" t="s">
        <v>57</v>
      </c>
      <c r="G26" s="67" t="s">
        <v>56</v>
      </c>
      <c r="H26" s="67" t="s">
        <v>56</v>
      </c>
      <c r="I26" s="67" t="s">
        <v>56</v>
      </c>
      <c r="J26" s="67" t="s">
        <v>56</v>
      </c>
      <c r="K26" s="67" t="s">
        <v>56</v>
      </c>
      <c r="L26" s="67" t="s">
        <v>54</v>
      </c>
      <c r="M26" s="67" t="s">
        <v>97</v>
      </c>
      <c r="N26" s="67" t="s">
        <v>97</v>
      </c>
      <c r="O26" s="67" t="s">
        <v>97</v>
      </c>
      <c r="P26" s="67" t="s">
        <v>97</v>
      </c>
      <c r="Q26" s="67" t="s">
        <v>97</v>
      </c>
      <c r="R26" s="67" t="s">
        <v>97</v>
      </c>
      <c r="S26" s="67" t="s">
        <v>97</v>
      </c>
      <c r="T26" s="67" t="s">
        <v>97</v>
      </c>
      <c r="U26" s="67" t="s">
        <v>97</v>
      </c>
      <c r="V26" s="67" t="s">
        <v>97</v>
      </c>
      <c r="W26" s="1063">
        <v>1</v>
      </c>
      <c r="X26" s="67" t="s">
        <v>117</v>
      </c>
      <c r="Y26" s="67" t="s">
        <v>117</v>
      </c>
      <c r="Z26" s="67" t="s">
        <v>117</v>
      </c>
      <c r="AA26" s="67" t="s">
        <v>117</v>
      </c>
    </row>
    <row r="27" spans="1:27" s="17" customFormat="1" ht="14.1" customHeight="1">
      <c r="A27" s="271" t="s">
        <v>25</v>
      </c>
      <c r="B27" s="74">
        <v>1</v>
      </c>
      <c r="C27" s="74">
        <v>4</v>
      </c>
      <c r="D27" s="67">
        <v>2</v>
      </c>
      <c r="E27" s="67">
        <v>3</v>
      </c>
      <c r="F27" s="67" t="s">
        <v>57</v>
      </c>
      <c r="G27" s="67">
        <v>3</v>
      </c>
      <c r="H27" s="67" t="s">
        <v>56</v>
      </c>
      <c r="I27" s="67" t="s">
        <v>56</v>
      </c>
      <c r="J27" s="67">
        <v>1</v>
      </c>
      <c r="K27" s="67">
        <v>4</v>
      </c>
      <c r="L27" s="67" t="s">
        <v>54</v>
      </c>
      <c r="M27" s="67" t="s">
        <v>97</v>
      </c>
      <c r="N27" s="67" t="s">
        <v>97</v>
      </c>
      <c r="O27" s="67" t="s">
        <v>97</v>
      </c>
      <c r="P27" s="67" t="s">
        <v>97</v>
      </c>
      <c r="Q27" s="67" t="s">
        <v>97</v>
      </c>
      <c r="R27" s="67" t="s">
        <v>97</v>
      </c>
      <c r="S27" s="67" t="s">
        <v>97</v>
      </c>
      <c r="T27" s="67" t="s">
        <v>97</v>
      </c>
      <c r="U27" s="67" t="s">
        <v>97</v>
      </c>
      <c r="V27" s="67" t="s">
        <v>97</v>
      </c>
      <c r="W27" s="1063">
        <v>1</v>
      </c>
      <c r="X27" s="67">
        <v>1</v>
      </c>
      <c r="Y27" s="67">
        <v>3</v>
      </c>
      <c r="Z27" s="67">
        <v>2</v>
      </c>
      <c r="AA27" s="67" t="s">
        <v>117</v>
      </c>
    </row>
    <row r="28" spans="1:27" ht="5.0999999999999996" customHeight="1">
      <c r="A28" s="264"/>
      <c r="B28" s="1064"/>
      <c r="C28" s="1064"/>
      <c r="D28" s="1064"/>
      <c r="E28" s="1064"/>
      <c r="F28" s="1064"/>
      <c r="G28" s="1064"/>
      <c r="H28" s="1064"/>
      <c r="I28" s="1064"/>
      <c r="J28" s="1064"/>
      <c r="K28" s="1064"/>
      <c r="L28" s="1064"/>
      <c r="M28" s="1064"/>
      <c r="N28" s="1064"/>
      <c r="O28" s="1064"/>
      <c r="P28" s="1064"/>
      <c r="Q28" s="1064"/>
      <c r="R28" s="1064"/>
      <c r="S28" s="1064"/>
      <c r="T28" s="1064"/>
      <c r="U28" s="1064"/>
      <c r="V28" s="1064"/>
      <c r="W28" s="1065"/>
      <c r="X28" s="1064"/>
      <c r="Y28" s="1064"/>
      <c r="Z28" s="1064"/>
      <c r="AA28" s="1064"/>
    </row>
    <row r="29" spans="1:27" ht="11.1" customHeight="1">
      <c r="A29" s="1193" t="s">
        <v>575</v>
      </c>
      <c r="B29" s="1193"/>
      <c r="C29" s="1193"/>
      <c r="D29" s="1193"/>
      <c r="E29" s="1193"/>
      <c r="F29" s="1193"/>
      <c r="G29" s="1193"/>
      <c r="H29" s="1193"/>
      <c r="I29" s="1193"/>
      <c r="J29" s="1193"/>
      <c r="K29" s="1193"/>
      <c r="L29" s="1193"/>
      <c r="M29" s="1193"/>
      <c r="N29" s="1193"/>
      <c r="O29" s="1193"/>
      <c r="P29" s="1193"/>
      <c r="Q29" s="1193"/>
      <c r="R29" s="1193"/>
      <c r="S29" s="1193"/>
      <c r="T29" s="1193"/>
      <c r="U29" s="1193"/>
      <c r="V29" s="1193"/>
      <c r="W29" s="1193"/>
      <c r="X29" s="1193"/>
      <c r="Y29" s="1193"/>
      <c r="Z29" s="1193"/>
      <c r="AA29" s="1193"/>
    </row>
    <row r="30" spans="1:27" ht="11.1" customHeight="1">
      <c r="A30" s="541" t="s">
        <v>576</v>
      </c>
      <c r="B30" s="16"/>
      <c r="C30" s="16"/>
      <c r="D30" s="16"/>
      <c r="E30" s="16"/>
      <c r="F30" s="16"/>
      <c r="G30" s="16"/>
      <c r="H30" s="16"/>
      <c r="I30" s="16"/>
      <c r="J30" s="16"/>
      <c r="K30" s="16"/>
      <c r="L30" s="16"/>
      <c r="M30" s="16"/>
      <c r="N30" s="16"/>
      <c r="O30" s="16"/>
      <c r="P30" s="16"/>
      <c r="Q30" s="16"/>
      <c r="R30" s="16"/>
      <c r="S30" s="16"/>
      <c r="T30" s="16"/>
      <c r="U30" s="16"/>
      <c r="V30" s="16"/>
      <c r="W30" s="16"/>
      <c r="X30" s="16"/>
    </row>
    <row r="45" spans="2:5">
      <c r="B45" s="68"/>
    </row>
    <row r="47" spans="2:5">
      <c r="B47" s="14"/>
      <c r="C47" s="69"/>
      <c r="D47" s="14"/>
      <c r="E47" s="14"/>
    </row>
  </sheetData>
  <mergeCells count="2">
    <mergeCell ref="A1:AA1"/>
    <mergeCell ref="A29:AA29"/>
  </mergeCells>
  <phoneticPr fontId="0" type="noConversion"/>
  <pageMargins left="0.59055118110236227" right="0.59055118110236227" top="0.59055118110236227" bottom="0.59055118110236227" header="0" footer="0"/>
  <pageSetup paperSize="9" orientation="portrait" r:id="rId1"/>
  <headerFooter alignWithMargins="0"/>
  <ignoredErrors>
    <ignoredError sqref="G8" formulaRange="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zoomScaleNormal="100" zoomScaleSheetLayoutView="100" workbookViewId="0">
      <selection sqref="A1:E1"/>
    </sheetView>
  </sheetViews>
  <sheetFormatPr baseColWidth="10" defaultColWidth="9.7109375" defaultRowHeight="11.25"/>
  <cols>
    <col min="1" max="1" width="9.7109375" style="5" customWidth="1"/>
    <col min="2" max="2" width="26" style="5" customWidth="1"/>
    <col min="3" max="3" width="10.42578125" style="5" customWidth="1"/>
    <col min="4" max="4" width="9.7109375" style="5" customWidth="1"/>
    <col min="5" max="5" width="26" style="5" customWidth="1"/>
    <col min="6" max="6" width="0" style="5" hidden="1" customWidth="1"/>
    <col min="7" max="16384" width="9.7109375" style="5"/>
  </cols>
  <sheetData>
    <row r="1" spans="1:7" ht="15" customHeight="1">
      <c r="A1" s="1137" t="s">
        <v>514</v>
      </c>
      <c r="B1" s="1137"/>
      <c r="C1" s="1137"/>
      <c r="D1" s="1137"/>
      <c r="E1" s="1137"/>
    </row>
    <row r="2" spans="1:7" ht="9.75" customHeight="1">
      <c r="A2" s="3"/>
      <c r="B2" s="3"/>
      <c r="E2" s="122" t="s">
        <v>516</v>
      </c>
    </row>
    <row r="3" spans="1:7" ht="21.75" customHeight="1">
      <c r="A3" s="1066" t="s">
        <v>1</v>
      </c>
      <c r="B3" s="1069" t="s">
        <v>31</v>
      </c>
      <c r="D3" s="1066" t="s">
        <v>1</v>
      </c>
      <c r="E3" s="1069" t="s">
        <v>31</v>
      </c>
    </row>
    <row r="4" spans="1:7" ht="8.25" customHeight="1">
      <c r="A4" s="1067"/>
      <c r="B4" s="1070"/>
      <c r="D4" s="1067"/>
      <c r="E4" s="1070"/>
    </row>
    <row r="5" spans="1:7" ht="15" hidden="1" customHeight="1">
      <c r="A5" s="34">
        <v>1995</v>
      </c>
      <c r="B5" s="1071">
        <v>1226</v>
      </c>
      <c r="E5" s="1074"/>
    </row>
    <row r="6" spans="1:7" ht="15" hidden="1" customHeight="1">
      <c r="A6" s="34">
        <v>1996</v>
      </c>
      <c r="B6" s="1071">
        <v>1123</v>
      </c>
      <c r="E6" s="1074"/>
    </row>
    <row r="7" spans="1:7" ht="14.1" hidden="1" customHeight="1">
      <c r="A7" s="825">
        <v>1997</v>
      </c>
      <c r="B7" s="1072">
        <v>1238</v>
      </c>
      <c r="D7" s="825">
        <v>2011</v>
      </c>
      <c r="E7" s="1072">
        <v>1368</v>
      </c>
    </row>
    <row r="8" spans="1:7" ht="14.1" customHeight="1">
      <c r="A8" s="825">
        <v>1998</v>
      </c>
      <c r="B8" s="1072">
        <v>664</v>
      </c>
      <c r="D8" s="825">
        <v>2011</v>
      </c>
      <c r="E8" s="1072">
        <v>1368</v>
      </c>
    </row>
    <row r="9" spans="1:7" ht="14.1" customHeight="1">
      <c r="A9" s="825">
        <v>1999</v>
      </c>
      <c r="B9" s="1072">
        <v>995</v>
      </c>
      <c r="D9" s="825">
        <v>2012</v>
      </c>
      <c r="E9" s="1072">
        <v>974</v>
      </c>
    </row>
    <row r="10" spans="1:7" ht="14.1" customHeight="1">
      <c r="A10" s="825">
        <v>2000</v>
      </c>
      <c r="B10" s="1072">
        <v>1250</v>
      </c>
      <c r="D10" s="825">
        <v>2013</v>
      </c>
      <c r="E10" s="1072">
        <v>1154</v>
      </c>
    </row>
    <row r="11" spans="1:7" ht="14.1" customHeight="1">
      <c r="A11" s="825">
        <v>2001</v>
      </c>
      <c r="B11" s="1072">
        <v>1021</v>
      </c>
      <c r="D11" s="825">
        <v>2014</v>
      </c>
      <c r="E11" s="1072">
        <v>953</v>
      </c>
      <c r="G11" s="812"/>
    </row>
    <row r="12" spans="1:7" ht="14.1" customHeight="1">
      <c r="A12" s="825">
        <v>2002</v>
      </c>
      <c r="B12" s="1072">
        <v>870</v>
      </c>
      <c r="D12" s="825">
        <v>2015</v>
      </c>
      <c r="E12" s="1072">
        <v>922</v>
      </c>
    </row>
    <row r="13" spans="1:7" ht="14.1" customHeight="1">
      <c r="A13" s="825">
        <v>2003</v>
      </c>
      <c r="B13" s="1072">
        <v>628</v>
      </c>
      <c r="D13" s="825">
        <v>2016</v>
      </c>
      <c r="E13" s="1072">
        <v>765</v>
      </c>
    </row>
    <row r="14" spans="1:7" ht="14.1" customHeight="1">
      <c r="A14" s="825">
        <v>2004</v>
      </c>
      <c r="B14" s="1072">
        <v>532</v>
      </c>
      <c r="D14" s="825">
        <v>2017</v>
      </c>
      <c r="E14" s="1072">
        <v>968</v>
      </c>
    </row>
    <row r="15" spans="1:7" ht="14.1" customHeight="1">
      <c r="A15" s="825">
        <v>2005</v>
      </c>
      <c r="B15" s="1072">
        <v>857</v>
      </c>
      <c r="D15" s="825">
        <v>2018</v>
      </c>
      <c r="E15" s="1072">
        <v>999</v>
      </c>
      <c r="F15" s="13">
        <v>2005</v>
      </c>
    </row>
    <row r="16" spans="1:7" ht="14.1" customHeight="1">
      <c r="A16" s="825">
        <v>2006</v>
      </c>
      <c r="B16" s="1072">
        <v>1101</v>
      </c>
      <c r="D16" s="825">
        <v>2019</v>
      </c>
      <c r="E16" s="1072">
        <v>1183</v>
      </c>
      <c r="F16" s="13">
        <v>2006</v>
      </c>
    </row>
    <row r="17" spans="1:6" ht="14.1" customHeight="1">
      <c r="A17" s="825">
        <v>2007</v>
      </c>
      <c r="B17" s="1072">
        <v>1083</v>
      </c>
      <c r="D17" s="825">
        <v>2020</v>
      </c>
      <c r="E17" s="1072">
        <v>602</v>
      </c>
      <c r="F17" s="13">
        <v>2007</v>
      </c>
    </row>
    <row r="18" spans="1:6" ht="14.1" customHeight="1">
      <c r="A18" s="825">
        <v>2008</v>
      </c>
      <c r="B18" s="1072">
        <v>929</v>
      </c>
      <c r="D18" s="697">
        <v>2021</v>
      </c>
      <c r="E18" s="1075">
        <v>1266</v>
      </c>
      <c r="F18" s="13">
        <v>2008</v>
      </c>
    </row>
    <row r="19" spans="1:6" ht="14.1" customHeight="1">
      <c r="A19" s="825">
        <v>2009</v>
      </c>
      <c r="B19" s="1072">
        <v>931</v>
      </c>
      <c r="D19" s="825">
        <v>2022</v>
      </c>
      <c r="E19" s="1072">
        <v>1484</v>
      </c>
      <c r="F19" s="342"/>
    </row>
    <row r="20" spans="1:6" ht="14.1" customHeight="1">
      <c r="A20" s="825">
        <v>2010</v>
      </c>
      <c r="B20" s="1072">
        <v>992</v>
      </c>
      <c r="D20" s="825">
        <v>2023</v>
      </c>
      <c r="E20" s="1072">
        <v>1196</v>
      </c>
      <c r="F20" s="342"/>
    </row>
    <row r="21" spans="1:6" ht="4.5" customHeight="1">
      <c r="A21" s="1068"/>
      <c r="B21" s="1073"/>
      <c r="D21" s="1068"/>
      <c r="E21" s="1073"/>
      <c r="F21" s="13">
        <v>2009</v>
      </c>
    </row>
    <row r="22" spans="1:6" ht="11.1" customHeight="1">
      <c r="B22" s="122" t="s">
        <v>562</v>
      </c>
      <c r="D22" s="1194" t="s">
        <v>494</v>
      </c>
      <c r="E22" s="1194"/>
      <c r="F22" s="13">
        <v>2010</v>
      </c>
    </row>
    <row r="23" spans="1:6" ht="9.75" customHeight="1">
      <c r="D23" s="16" t="s">
        <v>577</v>
      </c>
      <c r="F23" s="13">
        <v>2011</v>
      </c>
    </row>
    <row r="24" spans="1:6" ht="14.1" customHeight="1">
      <c r="F24" s="13">
        <v>2012</v>
      </c>
    </row>
    <row r="25" spans="1:6" ht="14.1" customHeight="1">
      <c r="F25" s="13">
        <v>2013</v>
      </c>
    </row>
    <row r="26" spans="1:6" ht="14.1" customHeight="1">
      <c r="F26" s="13">
        <v>2014</v>
      </c>
    </row>
    <row r="27" spans="1:6" ht="14.1" customHeight="1">
      <c r="F27" s="13">
        <v>2015</v>
      </c>
    </row>
    <row r="28" spans="1:6" ht="14.1" customHeight="1">
      <c r="F28" s="34"/>
    </row>
    <row r="29" spans="1:6" ht="14.1" customHeight="1">
      <c r="F29" s="34"/>
    </row>
    <row r="30" spans="1:6" ht="14.1" customHeight="1">
      <c r="F30" s="34"/>
    </row>
    <row r="31" spans="1:6" ht="14.1" customHeight="1">
      <c r="F31" s="34"/>
    </row>
    <row r="32" spans="1:6" ht="14.1" customHeight="1">
      <c r="F32" s="34"/>
    </row>
    <row r="33" spans="1:2" ht="4.5" customHeight="1"/>
    <row r="34" spans="1:2" ht="9.75" hidden="1" customHeight="1">
      <c r="A34" s="147"/>
      <c r="B34" s="124"/>
    </row>
    <row r="35" spans="1:2" ht="13.5" customHeight="1">
      <c r="B35" s="14"/>
    </row>
    <row r="36" spans="1:2" ht="9.9499999999999993" customHeight="1">
      <c r="A36" s="68"/>
      <c r="B36" s="14"/>
    </row>
    <row r="37" spans="1:2" ht="9.9499999999999993" customHeight="1">
      <c r="A37" s="68"/>
      <c r="B37" s="14"/>
    </row>
    <row r="38" spans="1:2" ht="9.9499999999999993" customHeight="1">
      <c r="A38" s="68"/>
      <c r="B38" s="14"/>
    </row>
    <row r="39" spans="1:2">
      <c r="A39" s="6"/>
    </row>
    <row r="40" spans="1:2" ht="12" customHeight="1"/>
    <row r="41" spans="1:2" ht="12" customHeight="1"/>
    <row r="42" spans="1:2" ht="12" customHeight="1"/>
    <row r="43" spans="1:2" ht="12" customHeight="1"/>
    <row r="44" spans="1:2" ht="12" customHeight="1"/>
    <row r="45" spans="1:2" ht="9" customHeight="1"/>
    <row r="46" spans="1:2" ht="11.1" customHeight="1"/>
    <row r="55" ht="13.5" customHeight="1"/>
    <row r="56" ht="12.75" customHeight="1"/>
  </sheetData>
  <mergeCells count="2">
    <mergeCell ref="A1:E1"/>
    <mergeCell ref="D22:E22"/>
  </mergeCells>
  <phoneticPr fontId="0" type="noConversion"/>
  <pageMargins left="0.78740157480314965" right="0.78740157480314965" top="0.98425196850393704" bottom="0.98425196850393704" header="0.31496062992125984" footer="0"/>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0"/>
  <sheetViews>
    <sheetView zoomScaleNormal="100" workbookViewId="0">
      <selection activeCell="A29" sqref="A29:X29"/>
    </sheetView>
  </sheetViews>
  <sheetFormatPr baseColWidth="10" defaultColWidth="9.7109375" defaultRowHeight="12.75"/>
  <cols>
    <col min="1" max="1" width="26" style="546" customWidth="1"/>
    <col min="2" max="2" width="9.7109375" style="546" hidden="1" customWidth="1"/>
    <col min="3" max="3" width="9.7109375" style="547" hidden="1" customWidth="1"/>
    <col min="4" max="16" width="9.7109375" style="546" hidden="1" customWidth="1"/>
    <col min="17" max="17" width="0" style="546" hidden="1" customWidth="1"/>
    <col min="18" max="18" width="9.7109375" style="546" hidden="1" customWidth="1"/>
    <col min="19" max="20" width="9.7109375" style="546" customWidth="1"/>
    <col min="21" max="21" width="9.140625" style="546" customWidth="1"/>
    <col min="22" max="16384" width="9.7109375" style="546"/>
  </cols>
  <sheetData>
    <row r="1" spans="1:27" ht="13.5" customHeight="1">
      <c r="A1" s="1199" t="s">
        <v>540</v>
      </c>
      <c r="B1" s="1199"/>
      <c r="C1" s="1199"/>
      <c r="D1" s="1199"/>
      <c r="E1" s="1199"/>
      <c r="F1" s="1199"/>
      <c r="G1" s="1199"/>
      <c r="H1" s="1199"/>
      <c r="I1" s="1199"/>
      <c r="J1" s="1199"/>
      <c r="K1" s="1199"/>
      <c r="L1" s="1199"/>
      <c r="M1" s="1199"/>
      <c r="N1" s="1199"/>
      <c r="O1" s="1199"/>
      <c r="P1" s="1199"/>
      <c r="Q1" s="1199"/>
      <c r="R1" s="1199"/>
      <c r="S1" s="1199"/>
      <c r="T1" s="1199"/>
      <c r="U1" s="1199"/>
      <c r="V1" s="1199"/>
      <c r="W1" s="1199"/>
      <c r="X1" s="1199"/>
    </row>
    <row r="2" spans="1:27" ht="5.0999999999999996" customHeight="1">
      <c r="G2" s="580"/>
    </row>
    <row r="3" spans="1:27" ht="15.75" customHeight="1">
      <c r="A3" s="1195" t="s">
        <v>29</v>
      </c>
      <c r="B3" s="578" t="s">
        <v>31</v>
      </c>
      <c r="C3" s="578"/>
      <c r="D3" s="578"/>
      <c r="E3" s="578"/>
      <c r="F3" s="578"/>
      <c r="G3" s="578"/>
      <c r="H3" s="578"/>
      <c r="I3" s="578"/>
      <c r="J3" s="578"/>
      <c r="K3" s="578"/>
      <c r="L3" s="578"/>
      <c r="M3" s="578"/>
      <c r="N3" s="578"/>
      <c r="O3" s="578"/>
      <c r="P3" s="578"/>
      <c r="Q3" s="1197" t="s">
        <v>371</v>
      </c>
      <c r="R3" s="1198"/>
      <c r="S3" s="1198"/>
      <c r="T3" s="1198"/>
      <c r="U3" s="1198"/>
      <c r="V3" s="1198"/>
      <c r="W3" s="1198"/>
      <c r="X3" s="1198"/>
      <c r="Y3" s="550"/>
      <c r="Z3" s="550"/>
      <c r="AA3" s="550"/>
    </row>
    <row r="4" spans="1:27" ht="15" customHeight="1">
      <c r="A4" s="1196"/>
      <c r="B4" s="579">
        <v>2000</v>
      </c>
      <c r="C4" s="579">
        <v>2001</v>
      </c>
      <c r="D4" s="556">
        <v>2002</v>
      </c>
      <c r="E4" s="556">
        <v>2003</v>
      </c>
      <c r="F4" s="556">
        <v>2004</v>
      </c>
      <c r="G4" s="556">
        <v>2005</v>
      </c>
      <c r="H4" s="556">
        <v>2006</v>
      </c>
      <c r="I4" s="556">
        <v>2007</v>
      </c>
      <c r="J4" s="556">
        <v>2008</v>
      </c>
      <c r="K4" s="556">
        <v>2009</v>
      </c>
      <c r="L4" s="557">
        <v>2010</v>
      </c>
      <c r="M4" s="578">
        <v>2011</v>
      </c>
      <c r="N4" s="578">
        <v>2012</v>
      </c>
      <c r="O4" s="578">
        <v>2013</v>
      </c>
      <c r="P4" s="578">
        <v>2014</v>
      </c>
      <c r="Q4" s="578">
        <v>2015</v>
      </c>
      <c r="R4" s="578">
        <v>2016</v>
      </c>
      <c r="S4" s="1076">
        <v>2018</v>
      </c>
      <c r="T4" s="578">
        <v>2019</v>
      </c>
      <c r="U4" s="578">
        <v>2020</v>
      </c>
      <c r="V4" s="578">
        <v>2021</v>
      </c>
      <c r="W4" s="578">
        <v>2022</v>
      </c>
      <c r="X4" s="578">
        <v>2023</v>
      </c>
      <c r="Y4" s="550"/>
      <c r="Z4" s="550"/>
      <c r="AA4" s="550"/>
    </row>
    <row r="5" spans="1:27" ht="5.0999999999999996" customHeight="1">
      <c r="A5" s="642"/>
      <c r="B5" s="577"/>
      <c r="C5" s="576"/>
      <c r="D5" s="575"/>
      <c r="E5" s="575"/>
      <c r="F5" s="575"/>
      <c r="G5" s="575"/>
      <c r="S5" s="1077"/>
      <c r="Y5" s="550"/>
      <c r="Z5" s="550"/>
      <c r="AA5" s="550"/>
    </row>
    <row r="6" spans="1:27" ht="15" customHeight="1">
      <c r="A6" s="639" t="s">
        <v>2</v>
      </c>
      <c r="B6" s="563">
        <f t="shared" ref="B6:H6" si="0">SUM(B7:B26)</f>
        <v>1120</v>
      </c>
      <c r="C6" s="563">
        <f t="shared" si="0"/>
        <v>1024</v>
      </c>
      <c r="D6" s="563">
        <f t="shared" si="0"/>
        <v>1022</v>
      </c>
      <c r="E6" s="563">
        <f t="shared" si="0"/>
        <v>781</v>
      </c>
      <c r="F6" s="563">
        <f t="shared" si="0"/>
        <v>388</v>
      </c>
      <c r="G6" s="563">
        <f t="shared" si="0"/>
        <v>862</v>
      </c>
      <c r="H6" s="554">
        <f t="shared" si="0"/>
        <v>1105</v>
      </c>
      <c r="I6" s="562">
        <v>838</v>
      </c>
      <c r="J6" s="553">
        <f t="shared" ref="J6:V6" si="1">SUM(J7:J25)</f>
        <v>770</v>
      </c>
      <c r="K6" s="553">
        <f t="shared" si="1"/>
        <v>742</v>
      </c>
      <c r="L6" s="574">
        <f t="shared" si="1"/>
        <v>757</v>
      </c>
      <c r="M6" s="574">
        <f t="shared" si="1"/>
        <v>633</v>
      </c>
      <c r="N6" s="553">
        <f t="shared" si="1"/>
        <v>745</v>
      </c>
      <c r="O6" s="553">
        <f t="shared" si="1"/>
        <v>544</v>
      </c>
      <c r="P6" s="553">
        <f t="shared" si="1"/>
        <v>792</v>
      </c>
      <c r="Q6" s="554">
        <f t="shared" si="1"/>
        <v>572</v>
      </c>
      <c r="R6" s="554">
        <f t="shared" si="1"/>
        <v>765</v>
      </c>
      <c r="S6" s="1078">
        <f t="shared" si="1"/>
        <v>999</v>
      </c>
      <c r="T6" s="554">
        <f t="shared" si="1"/>
        <v>1179</v>
      </c>
      <c r="U6" s="554">
        <f t="shared" si="1"/>
        <v>602</v>
      </c>
      <c r="V6" s="554">
        <f t="shared" si="1"/>
        <v>1266</v>
      </c>
      <c r="W6" s="554">
        <f>SUM(W7:W25)</f>
        <v>1484</v>
      </c>
      <c r="X6" s="554">
        <f>SUM(X7:X25)</f>
        <v>880</v>
      </c>
      <c r="Y6" s="550"/>
      <c r="Z6" s="550"/>
      <c r="AA6" s="550"/>
    </row>
    <row r="7" spans="1:27" ht="18" customHeight="1">
      <c r="A7" s="640" t="s">
        <v>5</v>
      </c>
      <c r="B7" s="552">
        <v>167</v>
      </c>
      <c r="C7" s="552">
        <v>158</v>
      </c>
      <c r="D7" s="552">
        <v>158</v>
      </c>
      <c r="E7" s="552">
        <v>160</v>
      </c>
      <c r="F7" s="552">
        <v>106</v>
      </c>
      <c r="G7" s="552">
        <v>197</v>
      </c>
      <c r="H7" s="559">
        <v>303</v>
      </c>
      <c r="I7" s="552">
        <v>270</v>
      </c>
      <c r="J7" s="546">
        <v>211</v>
      </c>
      <c r="K7" s="546">
        <v>211</v>
      </c>
      <c r="L7" s="571">
        <v>272</v>
      </c>
      <c r="M7" s="571">
        <v>318</v>
      </c>
      <c r="N7" s="546">
        <v>309</v>
      </c>
      <c r="O7" s="546">
        <v>340</v>
      </c>
      <c r="P7" s="546">
        <v>234</v>
      </c>
      <c r="Q7" s="586">
        <v>222</v>
      </c>
      <c r="R7" s="586">
        <v>241</v>
      </c>
      <c r="S7" s="1079">
        <v>280</v>
      </c>
      <c r="T7" s="586">
        <f>70+219</f>
        <v>289</v>
      </c>
      <c r="U7" s="586">
        <v>126</v>
      </c>
      <c r="V7" s="586">
        <v>339</v>
      </c>
      <c r="W7" s="586">
        <v>478</v>
      </c>
      <c r="X7" s="586">
        <v>193</v>
      </c>
      <c r="Y7" s="550"/>
      <c r="Z7" s="550"/>
      <c r="AA7" s="550"/>
    </row>
    <row r="8" spans="1:27" ht="18" customHeight="1">
      <c r="A8" s="640" t="s">
        <v>277</v>
      </c>
      <c r="B8" s="552">
        <v>768</v>
      </c>
      <c r="C8" s="552">
        <v>719</v>
      </c>
      <c r="D8" s="552">
        <v>590</v>
      </c>
      <c r="E8" s="552">
        <v>343</v>
      </c>
      <c r="F8" s="552">
        <v>162</v>
      </c>
      <c r="G8" s="552">
        <v>217</v>
      </c>
      <c r="H8" s="559">
        <v>244</v>
      </c>
      <c r="I8" s="552">
        <v>257</v>
      </c>
      <c r="J8" s="546">
        <v>233</v>
      </c>
      <c r="K8" s="546">
        <v>234</v>
      </c>
      <c r="L8" s="558">
        <v>167</v>
      </c>
      <c r="M8" s="546">
        <v>107</v>
      </c>
      <c r="N8" s="546">
        <v>166</v>
      </c>
      <c r="O8" s="546">
        <v>53</v>
      </c>
      <c r="P8" s="546">
        <v>340</v>
      </c>
      <c r="Q8" s="586">
        <v>249</v>
      </c>
      <c r="R8" s="586">
        <v>267</v>
      </c>
      <c r="S8" s="1079">
        <v>261</v>
      </c>
      <c r="T8" s="586">
        <f>71+226</f>
        <v>297</v>
      </c>
      <c r="U8" s="586">
        <v>123</v>
      </c>
      <c r="V8" s="586">
        <v>240</v>
      </c>
      <c r="W8" s="586">
        <v>303</v>
      </c>
      <c r="X8" s="586">
        <v>194</v>
      </c>
      <c r="Y8" s="550"/>
      <c r="Z8" s="550"/>
      <c r="AA8" s="550"/>
    </row>
    <row r="9" spans="1:27" ht="18" customHeight="1">
      <c r="A9" s="640" t="s">
        <v>6</v>
      </c>
      <c r="B9" s="552">
        <v>89</v>
      </c>
      <c r="C9" s="552">
        <v>61</v>
      </c>
      <c r="D9" s="552">
        <v>72</v>
      </c>
      <c r="E9" s="552">
        <v>79</v>
      </c>
      <c r="F9" s="552">
        <v>29</v>
      </c>
      <c r="G9" s="552">
        <v>148</v>
      </c>
      <c r="H9" s="559">
        <v>192</v>
      </c>
      <c r="I9" s="552">
        <v>104</v>
      </c>
      <c r="J9" s="546">
        <v>74</v>
      </c>
      <c r="K9" s="546">
        <v>53</v>
      </c>
      <c r="L9" s="558">
        <v>70</v>
      </c>
      <c r="M9" s="546">
        <v>53</v>
      </c>
      <c r="N9" s="546">
        <v>112</v>
      </c>
      <c r="O9" s="546">
        <v>89</v>
      </c>
      <c r="P9" s="546">
        <v>101</v>
      </c>
      <c r="Q9" s="586">
        <v>74</v>
      </c>
      <c r="R9" s="586">
        <v>81</v>
      </c>
      <c r="S9" s="1079">
        <v>307</v>
      </c>
      <c r="T9" s="586">
        <f>17+293</f>
        <v>310</v>
      </c>
      <c r="U9" s="586">
        <v>93</v>
      </c>
      <c r="V9" s="586">
        <v>240</v>
      </c>
      <c r="W9" s="586">
        <v>333</v>
      </c>
      <c r="X9" s="586">
        <v>154</v>
      </c>
      <c r="Y9" s="550"/>
      <c r="Z9" s="550"/>
      <c r="AA9" s="550"/>
    </row>
    <row r="10" spans="1:27" ht="18" customHeight="1">
      <c r="A10" s="640" t="s">
        <v>276</v>
      </c>
      <c r="B10" s="552"/>
      <c r="C10" s="552"/>
      <c r="D10" s="552">
        <v>64</v>
      </c>
      <c r="E10" s="552">
        <v>28</v>
      </c>
      <c r="F10" s="552">
        <v>8</v>
      </c>
      <c r="G10" s="552">
        <v>71</v>
      </c>
      <c r="H10" s="559">
        <v>124</v>
      </c>
      <c r="I10" s="552">
        <v>98</v>
      </c>
      <c r="J10" s="546">
        <v>54</v>
      </c>
      <c r="K10" s="546">
        <v>71</v>
      </c>
      <c r="L10" s="558">
        <v>84</v>
      </c>
      <c r="M10" s="546">
        <v>52</v>
      </c>
      <c r="N10" s="546">
        <v>76</v>
      </c>
      <c r="O10" s="546">
        <v>9</v>
      </c>
      <c r="P10" s="546">
        <v>33</v>
      </c>
      <c r="Q10" s="586">
        <v>23</v>
      </c>
      <c r="R10" s="586">
        <v>38</v>
      </c>
      <c r="S10" s="1079">
        <v>36</v>
      </c>
      <c r="T10" s="586">
        <f>12+47</f>
        <v>59</v>
      </c>
      <c r="U10" s="586">
        <v>22</v>
      </c>
      <c r="V10" s="586">
        <v>27</v>
      </c>
      <c r="W10" s="586">
        <v>33</v>
      </c>
      <c r="X10" s="586">
        <v>17</v>
      </c>
      <c r="Y10" s="550"/>
      <c r="Z10" s="550"/>
      <c r="AA10" s="550"/>
    </row>
    <row r="11" spans="1:27" ht="18" customHeight="1">
      <c r="A11" s="640" t="s">
        <v>278</v>
      </c>
      <c r="B11" s="552"/>
      <c r="C11" s="552"/>
      <c r="D11" s="552">
        <v>21</v>
      </c>
      <c r="E11" s="552">
        <v>45</v>
      </c>
      <c r="F11" s="552">
        <v>10</v>
      </c>
      <c r="G11" s="552">
        <v>11</v>
      </c>
      <c r="H11" s="559">
        <v>21</v>
      </c>
      <c r="I11" s="552">
        <v>8</v>
      </c>
      <c r="J11" s="546">
        <v>15</v>
      </c>
      <c r="K11" s="546">
        <v>4</v>
      </c>
      <c r="L11" s="558">
        <v>20</v>
      </c>
      <c r="M11" s="546">
        <v>6</v>
      </c>
      <c r="N11" s="546">
        <v>30</v>
      </c>
      <c r="O11" s="546">
        <v>4</v>
      </c>
      <c r="P11" s="546">
        <v>9</v>
      </c>
      <c r="Q11" s="586">
        <v>4</v>
      </c>
      <c r="R11" s="586" t="s">
        <v>0</v>
      </c>
      <c r="S11" s="1079" t="s">
        <v>0</v>
      </c>
      <c r="T11" s="586">
        <v>22</v>
      </c>
      <c r="U11" s="586">
        <v>1</v>
      </c>
      <c r="V11" s="586" t="s">
        <v>0</v>
      </c>
      <c r="W11" s="586">
        <v>10</v>
      </c>
      <c r="X11" s="586">
        <v>6</v>
      </c>
      <c r="Y11" s="550"/>
      <c r="Z11" s="550"/>
      <c r="AA11" s="550"/>
    </row>
    <row r="12" spans="1:27" ht="18" customHeight="1">
      <c r="A12" s="640" t="s">
        <v>7</v>
      </c>
      <c r="B12" s="573" t="s">
        <v>0</v>
      </c>
      <c r="C12" s="559" t="s">
        <v>0</v>
      </c>
      <c r="D12" s="552">
        <v>4</v>
      </c>
      <c r="E12" s="552">
        <v>9</v>
      </c>
      <c r="F12" s="552">
        <v>7</v>
      </c>
      <c r="G12" s="552">
        <v>37</v>
      </c>
      <c r="H12" s="559">
        <v>33</v>
      </c>
      <c r="I12" s="552">
        <v>4</v>
      </c>
      <c r="J12" s="546">
        <v>6</v>
      </c>
      <c r="K12" s="546">
        <v>3</v>
      </c>
      <c r="L12" s="572" t="s">
        <v>97</v>
      </c>
      <c r="M12" s="571">
        <v>4</v>
      </c>
      <c r="N12" s="547" t="s">
        <v>97</v>
      </c>
      <c r="O12" s="547" t="s">
        <v>97</v>
      </c>
      <c r="P12" s="546">
        <v>3</v>
      </c>
      <c r="Q12" s="586" t="s">
        <v>117</v>
      </c>
      <c r="R12" s="586">
        <v>4</v>
      </c>
      <c r="S12" s="1079" t="s">
        <v>0</v>
      </c>
      <c r="T12" s="586">
        <v>15</v>
      </c>
      <c r="U12" s="586" t="s">
        <v>0</v>
      </c>
      <c r="V12" s="586">
        <v>1</v>
      </c>
      <c r="W12" s="586">
        <v>10</v>
      </c>
      <c r="X12" s="586">
        <v>3</v>
      </c>
      <c r="Y12" s="550"/>
      <c r="Z12" s="550"/>
      <c r="AA12" s="550"/>
    </row>
    <row r="13" spans="1:27" ht="18" customHeight="1">
      <c r="A13" s="640" t="s">
        <v>379</v>
      </c>
      <c r="B13" s="573">
        <v>9</v>
      </c>
      <c r="C13" s="559">
        <v>10</v>
      </c>
      <c r="D13" s="552">
        <v>8</v>
      </c>
      <c r="E13" s="552">
        <v>2</v>
      </c>
      <c r="F13" s="552">
        <v>5</v>
      </c>
      <c r="G13" s="552">
        <v>5</v>
      </c>
      <c r="H13" s="559">
        <v>4</v>
      </c>
      <c r="I13" s="552">
        <v>1</v>
      </c>
      <c r="J13" s="546">
        <v>9</v>
      </c>
      <c r="K13" s="546">
        <v>8</v>
      </c>
      <c r="L13" s="572">
        <v>16</v>
      </c>
      <c r="M13" s="571">
        <v>16</v>
      </c>
      <c r="N13" s="547">
        <v>1</v>
      </c>
      <c r="O13" s="547">
        <v>2</v>
      </c>
      <c r="P13" s="546">
        <v>5</v>
      </c>
      <c r="Q13" s="586" t="s">
        <v>117</v>
      </c>
      <c r="R13" s="586" t="s">
        <v>0</v>
      </c>
      <c r="S13" s="1079">
        <v>1</v>
      </c>
      <c r="T13" s="586">
        <v>2</v>
      </c>
      <c r="U13" s="586" t="s">
        <v>0</v>
      </c>
      <c r="V13" s="586">
        <v>4</v>
      </c>
      <c r="W13" s="586">
        <v>1</v>
      </c>
      <c r="X13" s="586">
        <v>1</v>
      </c>
      <c r="Y13" s="550"/>
      <c r="Z13" s="550"/>
      <c r="AA13" s="550"/>
    </row>
    <row r="14" spans="1:27" ht="18" customHeight="1">
      <c r="A14" s="640" t="s">
        <v>380</v>
      </c>
      <c r="B14" s="552">
        <v>9</v>
      </c>
      <c r="C14" s="552">
        <v>10</v>
      </c>
      <c r="D14" s="552">
        <v>8</v>
      </c>
      <c r="E14" s="552">
        <v>2</v>
      </c>
      <c r="F14" s="552">
        <v>5</v>
      </c>
      <c r="G14" s="552">
        <v>5</v>
      </c>
      <c r="H14" s="559">
        <v>4</v>
      </c>
      <c r="I14" s="552">
        <v>1</v>
      </c>
      <c r="J14" s="546">
        <v>9</v>
      </c>
      <c r="K14" s="546">
        <v>8</v>
      </c>
      <c r="L14" s="571">
        <v>16</v>
      </c>
      <c r="M14" s="571">
        <v>16</v>
      </c>
      <c r="N14" s="546">
        <v>1</v>
      </c>
      <c r="O14" s="546">
        <v>2</v>
      </c>
      <c r="P14" s="546">
        <v>5</v>
      </c>
      <c r="Q14" s="586" t="s">
        <v>117</v>
      </c>
      <c r="R14" s="586" t="s">
        <v>0</v>
      </c>
      <c r="S14" s="1079" t="s">
        <v>0</v>
      </c>
      <c r="T14" s="586" t="s">
        <v>0</v>
      </c>
      <c r="U14" s="586" t="s">
        <v>0</v>
      </c>
      <c r="V14" s="586">
        <v>2</v>
      </c>
      <c r="W14" s="586">
        <v>0</v>
      </c>
      <c r="X14" s="586">
        <v>0</v>
      </c>
      <c r="Y14" s="550"/>
      <c r="Z14" s="550"/>
      <c r="AA14" s="550"/>
    </row>
    <row r="15" spans="1:27" ht="18" customHeight="1">
      <c r="A15" s="640" t="s">
        <v>12</v>
      </c>
      <c r="B15" s="552">
        <v>11</v>
      </c>
      <c r="C15" s="552">
        <v>9</v>
      </c>
      <c r="D15" s="552">
        <v>12</v>
      </c>
      <c r="E15" s="552">
        <v>44</v>
      </c>
      <c r="F15" s="552">
        <v>32</v>
      </c>
      <c r="G15" s="552">
        <v>85</v>
      </c>
      <c r="H15" s="559">
        <v>79</v>
      </c>
      <c r="I15" s="552">
        <v>30</v>
      </c>
      <c r="J15" s="546">
        <v>56</v>
      </c>
      <c r="K15" s="546">
        <v>44</v>
      </c>
      <c r="L15" s="571">
        <v>28</v>
      </c>
      <c r="M15" s="572">
        <v>2</v>
      </c>
      <c r="N15" s="546">
        <v>13</v>
      </c>
      <c r="O15" s="546">
        <v>7</v>
      </c>
      <c r="P15" s="546">
        <v>37</v>
      </c>
      <c r="Q15" s="586" t="s">
        <v>117</v>
      </c>
      <c r="R15" s="586">
        <v>33</v>
      </c>
      <c r="S15" s="1079">
        <v>13</v>
      </c>
      <c r="T15" s="586">
        <f>4+11</f>
        <v>15</v>
      </c>
      <c r="U15" s="586">
        <v>8</v>
      </c>
      <c r="V15" s="586">
        <v>21</v>
      </c>
      <c r="W15" s="586">
        <v>25</v>
      </c>
      <c r="X15" s="586">
        <v>25</v>
      </c>
      <c r="Y15" s="550"/>
      <c r="Z15" s="550"/>
      <c r="AA15" s="550"/>
    </row>
    <row r="16" spans="1:27" ht="18" customHeight="1">
      <c r="A16" s="640" t="s">
        <v>8</v>
      </c>
      <c r="B16" s="552">
        <v>8</v>
      </c>
      <c r="C16" s="552">
        <v>3</v>
      </c>
      <c r="D16" s="552">
        <v>14</v>
      </c>
      <c r="E16" s="552">
        <v>23</v>
      </c>
      <c r="F16" s="552">
        <v>7</v>
      </c>
      <c r="G16" s="552">
        <v>19</v>
      </c>
      <c r="H16" s="559">
        <v>14</v>
      </c>
      <c r="I16" s="552">
        <v>3</v>
      </c>
      <c r="J16" s="546">
        <v>15</v>
      </c>
      <c r="K16" s="546">
        <v>2</v>
      </c>
      <c r="L16" s="571">
        <v>3</v>
      </c>
      <c r="M16" s="572">
        <v>1</v>
      </c>
      <c r="N16" s="546">
        <v>1</v>
      </c>
      <c r="O16" s="547" t="s">
        <v>97</v>
      </c>
      <c r="P16" s="546">
        <v>0</v>
      </c>
      <c r="Q16" s="586" t="s">
        <v>117</v>
      </c>
      <c r="R16" s="586">
        <v>1</v>
      </c>
      <c r="S16" s="1079" t="s">
        <v>0</v>
      </c>
      <c r="T16" s="586">
        <f>1+7</f>
        <v>8</v>
      </c>
      <c r="U16" s="586">
        <v>9</v>
      </c>
      <c r="V16" s="586">
        <v>5</v>
      </c>
      <c r="W16" s="586">
        <v>3</v>
      </c>
      <c r="X16" s="586">
        <v>3</v>
      </c>
      <c r="Y16" s="550"/>
      <c r="Z16" s="550"/>
      <c r="AA16" s="550"/>
    </row>
    <row r="17" spans="1:27" ht="18" customHeight="1">
      <c r="A17" s="640" t="s">
        <v>9</v>
      </c>
      <c r="B17" s="552">
        <v>12</v>
      </c>
      <c r="C17" s="552">
        <v>11</v>
      </c>
      <c r="D17" s="552">
        <v>14</v>
      </c>
      <c r="E17" s="552">
        <v>16</v>
      </c>
      <c r="F17" s="552">
        <v>3</v>
      </c>
      <c r="G17" s="552">
        <v>26</v>
      </c>
      <c r="H17" s="559">
        <v>30</v>
      </c>
      <c r="I17" s="552">
        <v>25</v>
      </c>
      <c r="J17" s="546">
        <v>12</v>
      </c>
      <c r="K17" s="546">
        <v>39</v>
      </c>
      <c r="L17" s="571">
        <v>9</v>
      </c>
      <c r="M17" s="571">
        <v>8</v>
      </c>
      <c r="N17" s="546">
        <v>6</v>
      </c>
      <c r="O17" s="546">
        <v>1</v>
      </c>
      <c r="P17" s="546">
        <v>13</v>
      </c>
      <c r="Q17" s="586" t="s">
        <v>117</v>
      </c>
      <c r="R17" s="586">
        <v>11</v>
      </c>
      <c r="S17" s="1079">
        <v>5</v>
      </c>
      <c r="T17" s="586">
        <f>4+4</f>
        <v>8</v>
      </c>
      <c r="U17" s="586">
        <v>3</v>
      </c>
      <c r="V17" s="586">
        <v>7</v>
      </c>
      <c r="W17" s="586">
        <v>7</v>
      </c>
      <c r="X17" s="586">
        <v>8</v>
      </c>
      <c r="Y17" s="550"/>
      <c r="Z17" s="550"/>
      <c r="AA17" s="550"/>
    </row>
    <row r="18" spans="1:27" ht="18" customHeight="1">
      <c r="A18" s="640" t="s">
        <v>30</v>
      </c>
      <c r="B18" s="552">
        <v>11</v>
      </c>
      <c r="C18" s="552">
        <v>5</v>
      </c>
      <c r="D18" s="552">
        <v>22</v>
      </c>
      <c r="E18" s="552">
        <v>13</v>
      </c>
      <c r="F18" s="552">
        <v>3</v>
      </c>
      <c r="G18" s="552">
        <v>11</v>
      </c>
      <c r="H18" s="559">
        <v>11</v>
      </c>
      <c r="I18" s="552">
        <v>3</v>
      </c>
      <c r="J18" s="546">
        <v>9</v>
      </c>
      <c r="K18" s="546">
        <v>19</v>
      </c>
      <c r="L18" s="571">
        <v>3</v>
      </c>
      <c r="M18" s="571">
        <v>3</v>
      </c>
      <c r="N18" s="547" t="s">
        <v>97</v>
      </c>
      <c r="O18" s="547" t="s">
        <v>97</v>
      </c>
      <c r="P18" s="546">
        <v>1</v>
      </c>
      <c r="Q18" s="586" t="s">
        <v>117</v>
      </c>
      <c r="R18" s="586" t="s">
        <v>0</v>
      </c>
      <c r="S18" s="1079">
        <v>3</v>
      </c>
      <c r="T18" s="586">
        <f>1+5</f>
        <v>6</v>
      </c>
      <c r="U18" s="586">
        <v>2</v>
      </c>
      <c r="V18" s="586">
        <v>1</v>
      </c>
      <c r="W18" s="586">
        <v>5</v>
      </c>
      <c r="X18" s="586">
        <v>2</v>
      </c>
      <c r="Y18" s="550"/>
      <c r="Z18" s="550"/>
      <c r="AA18" s="550"/>
    </row>
    <row r="19" spans="1:27" ht="18" customHeight="1">
      <c r="A19" s="640" t="s">
        <v>271</v>
      </c>
      <c r="B19" s="552"/>
      <c r="C19" s="552"/>
      <c r="D19" s="559" t="s">
        <v>54</v>
      </c>
      <c r="E19" s="559" t="s">
        <v>54</v>
      </c>
      <c r="F19" s="559" t="s">
        <v>54</v>
      </c>
      <c r="G19" s="559" t="s">
        <v>54</v>
      </c>
      <c r="H19" s="559" t="s">
        <v>54</v>
      </c>
      <c r="I19" s="559" t="s">
        <v>54</v>
      </c>
      <c r="J19" s="559" t="s">
        <v>54</v>
      </c>
      <c r="K19" s="559" t="s">
        <v>54</v>
      </c>
      <c r="L19" s="559" t="s">
        <v>54</v>
      </c>
      <c r="M19" s="559" t="s">
        <v>54</v>
      </c>
      <c r="N19" s="559" t="s">
        <v>54</v>
      </c>
      <c r="O19" s="559" t="s">
        <v>54</v>
      </c>
      <c r="P19" s="559" t="s">
        <v>54</v>
      </c>
      <c r="Q19" s="586" t="s">
        <v>54</v>
      </c>
      <c r="R19" s="586">
        <v>39</v>
      </c>
      <c r="S19" s="1079">
        <v>4</v>
      </c>
      <c r="T19" s="586">
        <v>7</v>
      </c>
      <c r="U19" s="586">
        <v>3</v>
      </c>
      <c r="V19" s="586">
        <v>13</v>
      </c>
      <c r="W19" s="586">
        <v>24</v>
      </c>
      <c r="X19" s="586">
        <v>24</v>
      </c>
      <c r="Y19" s="550"/>
      <c r="Z19" s="550"/>
      <c r="AA19" s="550"/>
    </row>
    <row r="20" spans="1:27" ht="18" customHeight="1">
      <c r="A20" s="640" t="s">
        <v>272</v>
      </c>
      <c r="B20" s="552"/>
      <c r="C20" s="552"/>
      <c r="D20" s="559" t="s">
        <v>54</v>
      </c>
      <c r="E20" s="559" t="s">
        <v>54</v>
      </c>
      <c r="F20" s="559" t="s">
        <v>54</v>
      </c>
      <c r="G20" s="559" t="s">
        <v>54</v>
      </c>
      <c r="H20" s="559" t="s">
        <v>54</v>
      </c>
      <c r="I20" s="559" t="s">
        <v>54</v>
      </c>
      <c r="J20" s="559" t="s">
        <v>54</v>
      </c>
      <c r="K20" s="559" t="s">
        <v>54</v>
      </c>
      <c r="L20" s="559" t="s">
        <v>54</v>
      </c>
      <c r="M20" s="559" t="s">
        <v>54</v>
      </c>
      <c r="N20" s="559" t="s">
        <v>54</v>
      </c>
      <c r="O20" s="559" t="s">
        <v>54</v>
      </c>
      <c r="P20" s="559" t="s">
        <v>54</v>
      </c>
      <c r="Q20" s="586" t="s">
        <v>54</v>
      </c>
      <c r="R20" s="586" t="s">
        <v>0</v>
      </c>
      <c r="S20" s="1079" t="s">
        <v>0</v>
      </c>
      <c r="T20" s="586" t="s">
        <v>0</v>
      </c>
      <c r="U20" s="586" t="s">
        <v>0</v>
      </c>
      <c r="V20" s="586">
        <v>3</v>
      </c>
      <c r="W20" s="586">
        <v>1</v>
      </c>
      <c r="X20" s="586">
        <v>1</v>
      </c>
      <c r="Y20" s="550"/>
      <c r="Z20" s="550"/>
      <c r="AA20" s="550"/>
    </row>
    <row r="21" spans="1:27" ht="18" customHeight="1">
      <c r="A21" s="640" t="s">
        <v>273</v>
      </c>
      <c r="B21" s="552"/>
      <c r="C21" s="552"/>
      <c r="D21" s="559" t="s">
        <v>54</v>
      </c>
      <c r="E21" s="559" t="s">
        <v>54</v>
      </c>
      <c r="F21" s="559" t="s">
        <v>54</v>
      </c>
      <c r="G21" s="559" t="s">
        <v>54</v>
      </c>
      <c r="H21" s="559" t="s">
        <v>54</v>
      </c>
      <c r="I21" s="559" t="s">
        <v>54</v>
      </c>
      <c r="J21" s="559" t="s">
        <v>54</v>
      </c>
      <c r="K21" s="559" t="s">
        <v>54</v>
      </c>
      <c r="L21" s="559" t="s">
        <v>54</v>
      </c>
      <c r="M21" s="559" t="s">
        <v>54</v>
      </c>
      <c r="N21" s="559" t="s">
        <v>54</v>
      </c>
      <c r="O21" s="559" t="s">
        <v>54</v>
      </c>
      <c r="P21" s="559" t="s">
        <v>54</v>
      </c>
      <c r="Q21" s="586" t="s">
        <v>54</v>
      </c>
      <c r="R21" s="586">
        <v>5</v>
      </c>
      <c r="S21" s="1079">
        <v>5</v>
      </c>
      <c r="T21" s="586">
        <f>4+8</f>
        <v>12</v>
      </c>
      <c r="U21" s="586">
        <v>13</v>
      </c>
      <c r="V21" s="586">
        <v>29</v>
      </c>
      <c r="W21" s="586">
        <v>23</v>
      </c>
      <c r="X21" s="586">
        <v>8</v>
      </c>
      <c r="Y21" s="550"/>
      <c r="Z21" s="550"/>
      <c r="AA21" s="550"/>
    </row>
    <row r="22" spans="1:27" ht="18" customHeight="1">
      <c r="A22" s="640" t="s">
        <v>274</v>
      </c>
      <c r="B22" s="552"/>
      <c r="C22" s="552"/>
      <c r="D22" s="559" t="s">
        <v>54</v>
      </c>
      <c r="E22" s="559" t="s">
        <v>54</v>
      </c>
      <c r="F22" s="559" t="s">
        <v>54</v>
      </c>
      <c r="G22" s="559" t="s">
        <v>54</v>
      </c>
      <c r="H22" s="559" t="s">
        <v>54</v>
      </c>
      <c r="I22" s="559" t="s">
        <v>54</v>
      </c>
      <c r="J22" s="559" t="s">
        <v>54</v>
      </c>
      <c r="K22" s="559" t="s">
        <v>54</v>
      </c>
      <c r="L22" s="559" t="s">
        <v>54</v>
      </c>
      <c r="M22" s="559" t="s">
        <v>54</v>
      </c>
      <c r="N22" s="559" t="s">
        <v>54</v>
      </c>
      <c r="O22" s="559" t="s">
        <v>54</v>
      </c>
      <c r="P22" s="559" t="s">
        <v>54</v>
      </c>
      <c r="Q22" s="586" t="s">
        <v>54</v>
      </c>
      <c r="R22" s="586" t="s">
        <v>0</v>
      </c>
      <c r="S22" s="1079">
        <v>1</v>
      </c>
      <c r="T22" s="586">
        <f>1+3</f>
        <v>4</v>
      </c>
      <c r="U22" s="586" t="s">
        <v>0</v>
      </c>
      <c r="V22" s="586">
        <v>3</v>
      </c>
      <c r="W22" s="586" t="s">
        <v>0</v>
      </c>
      <c r="X22" s="586">
        <v>6</v>
      </c>
      <c r="Y22" s="550"/>
      <c r="Z22" s="550"/>
      <c r="AA22" s="550"/>
    </row>
    <row r="23" spans="1:27" ht="18" customHeight="1">
      <c r="A23" s="640" t="s">
        <v>275</v>
      </c>
      <c r="B23" s="552"/>
      <c r="C23" s="552"/>
      <c r="D23" s="559" t="s">
        <v>54</v>
      </c>
      <c r="E23" s="559" t="s">
        <v>54</v>
      </c>
      <c r="F23" s="559" t="s">
        <v>54</v>
      </c>
      <c r="G23" s="559" t="s">
        <v>54</v>
      </c>
      <c r="H23" s="559" t="s">
        <v>54</v>
      </c>
      <c r="I23" s="559" t="s">
        <v>54</v>
      </c>
      <c r="J23" s="559" t="s">
        <v>54</v>
      </c>
      <c r="K23" s="559" t="s">
        <v>54</v>
      </c>
      <c r="L23" s="559" t="s">
        <v>54</v>
      </c>
      <c r="M23" s="559" t="s">
        <v>54</v>
      </c>
      <c r="N23" s="559" t="s">
        <v>54</v>
      </c>
      <c r="O23" s="559" t="s">
        <v>54</v>
      </c>
      <c r="P23" s="559" t="s">
        <v>54</v>
      </c>
      <c r="Q23" s="586" t="s">
        <v>54</v>
      </c>
      <c r="R23" s="586">
        <v>23</v>
      </c>
      <c r="S23" s="1079">
        <v>13</v>
      </c>
      <c r="T23" s="586">
        <f>8+16</f>
        <v>24</v>
      </c>
      <c r="U23" s="586">
        <v>96</v>
      </c>
      <c r="V23" s="586">
        <v>176</v>
      </c>
      <c r="W23" s="586">
        <v>89</v>
      </c>
      <c r="X23" s="586">
        <v>80</v>
      </c>
      <c r="Y23" s="550"/>
      <c r="Z23" s="550"/>
      <c r="AA23" s="550"/>
    </row>
    <row r="24" spans="1:27" ht="18" customHeight="1">
      <c r="A24" s="640" t="s">
        <v>363</v>
      </c>
      <c r="B24" s="552"/>
      <c r="C24" s="552"/>
      <c r="D24" s="559" t="s">
        <v>54</v>
      </c>
      <c r="E24" s="559" t="s">
        <v>54</v>
      </c>
      <c r="F24" s="559" t="s">
        <v>54</v>
      </c>
      <c r="G24" s="559" t="s">
        <v>54</v>
      </c>
      <c r="H24" s="559" t="s">
        <v>54</v>
      </c>
      <c r="I24" s="559" t="s">
        <v>54</v>
      </c>
      <c r="J24" s="559" t="s">
        <v>54</v>
      </c>
      <c r="K24" s="559" t="s">
        <v>54</v>
      </c>
      <c r="L24" s="559" t="s">
        <v>54</v>
      </c>
      <c r="M24" s="559" t="s">
        <v>54</v>
      </c>
      <c r="N24" s="559" t="s">
        <v>54</v>
      </c>
      <c r="O24" s="559" t="s">
        <v>54</v>
      </c>
      <c r="P24" s="559" t="s">
        <v>54</v>
      </c>
      <c r="Q24" s="586" t="s">
        <v>54</v>
      </c>
      <c r="R24" s="586">
        <v>4</v>
      </c>
      <c r="S24" s="1079">
        <v>11</v>
      </c>
      <c r="T24" s="586">
        <f>10+4</f>
        <v>14</v>
      </c>
      <c r="U24" s="586">
        <v>42</v>
      </c>
      <c r="V24" s="586">
        <v>63</v>
      </c>
      <c r="W24" s="586">
        <v>53</v>
      </c>
      <c r="X24" s="586">
        <v>14</v>
      </c>
      <c r="Y24" s="550"/>
      <c r="Z24" s="550"/>
      <c r="AA24" s="550"/>
    </row>
    <row r="25" spans="1:27" ht="18" customHeight="1">
      <c r="A25" s="640" t="s">
        <v>3</v>
      </c>
      <c r="B25" s="552">
        <v>36</v>
      </c>
      <c r="C25" s="552">
        <v>38</v>
      </c>
      <c r="D25" s="552">
        <v>35</v>
      </c>
      <c r="E25" s="552">
        <v>17</v>
      </c>
      <c r="F25" s="552">
        <v>11</v>
      </c>
      <c r="G25" s="552">
        <v>30</v>
      </c>
      <c r="H25" s="559">
        <v>46</v>
      </c>
      <c r="I25" s="552">
        <v>35</v>
      </c>
      <c r="J25" s="546">
        <v>67</v>
      </c>
      <c r="K25" s="546">
        <v>46</v>
      </c>
      <c r="L25" s="571">
        <v>69</v>
      </c>
      <c r="M25" s="571">
        <v>47</v>
      </c>
      <c r="N25" s="546">
        <v>30</v>
      </c>
      <c r="O25" s="546">
        <v>37</v>
      </c>
      <c r="P25" s="546">
        <v>11</v>
      </c>
      <c r="Q25" s="586" t="s">
        <v>117</v>
      </c>
      <c r="R25" s="586">
        <v>18</v>
      </c>
      <c r="S25" s="1079">
        <v>59</v>
      </c>
      <c r="T25" s="586">
        <f>83+4</f>
        <v>87</v>
      </c>
      <c r="U25" s="586">
        <v>61</v>
      </c>
      <c r="V25" s="586">
        <v>92</v>
      </c>
      <c r="W25" s="586">
        <v>86</v>
      </c>
      <c r="X25" s="586">
        <v>141</v>
      </c>
      <c r="Y25" s="550"/>
      <c r="Z25" s="550"/>
      <c r="AA25" s="550"/>
    </row>
    <row r="26" spans="1:27" ht="5.0999999999999996" customHeight="1">
      <c r="A26" s="641"/>
      <c r="B26" s="1081"/>
      <c r="C26" s="570"/>
      <c r="D26" s="570"/>
      <c r="E26" s="569"/>
      <c r="F26" s="569"/>
      <c r="G26" s="569"/>
      <c r="H26" s="568"/>
      <c r="I26" s="568"/>
      <c r="J26" s="551"/>
      <c r="K26" s="551"/>
      <c r="L26" s="551"/>
      <c r="M26" s="551"/>
      <c r="N26" s="551"/>
      <c r="O26" s="551"/>
      <c r="P26" s="551"/>
      <c r="Q26" s="551"/>
      <c r="R26" s="551"/>
      <c r="S26" s="1080"/>
      <c r="T26" s="551"/>
      <c r="U26" s="551"/>
      <c r="V26" s="551"/>
      <c r="W26" s="551"/>
      <c r="X26" s="551"/>
      <c r="Y26" s="550"/>
      <c r="Z26" s="550"/>
      <c r="AA26" s="550"/>
    </row>
    <row r="27" spans="1:27" ht="11.1" customHeight="1">
      <c r="A27" s="470" t="s">
        <v>503</v>
      </c>
      <c r="B27" s="566"/>
      <c r="C27" s="567"/>
      <c r="D27" s="566"/>
      <c r="V27" s="550"/>
      <c r="W27" s="550"/>
      <c r="X27" s="550"/>
      <c r="Y27" s="550"/>
      <c r="Z27" s="550"/>
      <c r="AA27" s="550"/>
    </row>
    <row r="28" spans="1:27" ht="12.75" customHeight="1">
      <c r="A28" s="581"/>
      <c r="B28" s="564"/>
      <c r="C28" s="564"/>
      <c r="D28" s="564"/>
      <c r="E28" s="564"/>
      <c r="F28" s="565"/>
      <c r="G28" s="565"/>
      <c r="H28" s="564"/>
      <c r="I28" s="564"/>
      <c r="J28" s="564"/>
      <c r="K28" s="564"/>
      <c r="L28" s="564"/>
      <c r="M28" s="564"/>
      <c r="N28" s="564"/>
      <c r="O28" s="564"/>
      <c r="P28" s="564"/>
      <c r="Q28" s="564"/>
      <c r="R28" s="564"/>
      <c r="S28" s="564"/>
      <c r="T28" s="564"/>
      <c r="U28" s="564"/>
      <c r="V28" s="550"/>
      <c r="W28" s="550"/>
      <c r="X28" s="550"/>
      <c r="Y28" s="550"/>
      <c r="Z28" s="550"/>
      <c r="AA28" s="550"/>
    </row>
    <row r="29" spans="1:27" ht="25.5" customHeight="1">
      <c r="A29" s="1200" t="s">
        <v>541</v>
      </c>
      <c r="B29" s="1200"/>
      <c r="C29" s="1200"/>
      <c r="D29" s="1200"/>
      <c r="E29" s="1200"/>
      <c r="F29" s="1200"/>
      <c r="G29" s="1200"/>
      <c r="H29" s="1200"/>
      <c r="I29" s="1200"/>
      <c r="J29" s="1200"/>
      <c r="K29" s="1200"/>
      <c r="L29" s="1200"/>
      <c r="M29" s="1200"/>
      <c r="N29" s="1200"/>
      <c r="O29" s="1200"/>
      <c r="P29" s="1200"/>
      <c r="Q29" s="1200"/>
      <c r="R29" s="1200"/>
      <c r="S29" s="1200"/>
      <c r="T29" s="1200"/>
      <c r="U29" s="1200"/>
      <c r="V29" s="1200"/>
      <c r="W29" s="1200"/>
      <c r="X29" s="1200"/>
      <c r="Y29" s="550"/>
      <c r="Z29" s="550"/>
      <c r="AA29" s="550"/>
    </row>
    <row r="30" spans="1:27" ht="5.0999999999999996" customHeight="1">
      <c r="A30" s="561"/>
      <c r="B30" s="560"/>
      <c r="C30" s="555"/>
      <c r="D30" s="555"/>
      <c r="E30" s="555"/>
      <c r="F30" s="555"/>
      <c r="G30" s="555"/>
      <c r="H30" s="555"/>
      <c r="I30" s="552"/>
      <c r="J30" s="552"/>
      <c r="K30" s="552"/>
      <c r="L30" s="552"/>
      <c r="M30" s="559"/>
      <c r="N30" s="552"/>
      <c r="S30" s="558"/>
      <c r="V30" s="550"/>
      <c r="W30" s="550"/>
      <c r="X30" s="550"/>
      <c r="Y30" s="550"/>
      <c r="Z30" s="550"/>
      <c r="AA30" s="550"/>
    </row>
    <row r="31" spans="1:27" ht="15.75">
      <c r="A31" s="1195" t="s">
        <v>29</v>
      </c>
      <c r="B31" s="551"/>
      <c r="C31" s="587"/>
      <c r="D31" s="551"/>
      <c r="E31" s="551"/>
      <c r="F31" s="551"/>
      <c r="G31" s="557"/>
      <c r="H31" s="557"/>
      <c r="I31" s="588"/>
      <c r="J31" s="551"/>
      <c r="K31" s="551"/>
      <c r="L31" s="551"/>
      <c r="M31" s="551"/>
      <c r="N31" s="551"/>
      <c r="O31" s="551"/>
      <c r="P31" s="556">
        <v>2014</v>
      </c>
      <c r="Q31" s="556">
        <v>2015</v>
      </c>
      <c r="R31" s="556">
        <v>2016</v>
      </c>
      <c r="S31" s="1082">
        <v>2018</v>
      </c>
      <c r="T31" s="556">
        <v>2019</v>
      </c>
      <c r="U31" s="556">
        <v>2020</v>
      </c>
      <c r="V31" s="556">
        <v>2021</v>
      </c>
      <c r="W31" s="556">
        <v>2022</v>
      </c>
      <c r="X31" s="556">
        <v>2023</v>
      </c>
      <c r="Y31" s="550"/>
      <c r="Z31" s="550"/>
      <c r="AA31" s="550"/>
    </row>
    <row r="32" spans="1:27" ht="5.0999999999999996" customHeight="1">
      <c r="A32" s="1196"/>
      <c r="G32" s="555"/>
      <c r="H32" s="555"/>
      <c r="I32" s="552"/>
      <c r="P32" s="555"/>
      <c r="Q32" s="555"/>
      <c r="R32" s="555"/>
      <c r="S32" s="1083"/>
      <c r="Y32" s="550"/>
      <c r="Z32" s="550"/>
      <c r="AA32" s="550"/>
    </row>
    <row r="33" spans="1:27" ht="14.1" customHeight="1">
      <c r="A33" s="759" t="s">
        <v>2</v>
      </c>
      <c r="G33" s="554"/>
      <c r="H33" s="554"/>
      <c r="I33" s="552"/>
      <c r="P33" s="554">
        <v>8213</v>
      </c>
      <c r="Q33" s="554">
        <v>9632</v>
      </c>
      <c r="R33" s="756">
        <f>SUM(R34:R36)</f>
        <v>35936</v>
      </c>
      <c r="S33" s="1078">
        <v>5252</v>
      </c>
      <c r="T33" s="554">
        <f>SUM(T34:T36)</f>
        <v>15302</v>
      </c>
      <c r="U33" s="554">
        <f>SUM(U34:U36)</f>
        <v>20116</v>
      </c>
      <c r="V33" s="554">
        <f>SUM(V34:V36)</f>
        <v>11837</v>
      </c>
      <c r="W33" s="554">
        <f>SUM(W34:W36)</f>
        <v>21723</v>
      </c>
      <c r="X33" s="554">
        <f>SUM(X34:X36)</f>
        <v>26551</v>
      </c>
      <c r="Y33" s="550"/>
      <c r="Z33" s="550"/>
      <c r="AA33" s="550"/>
    </row>
    <row r="34" spans="1:27" ht="14.1" customHeight="1">
      <c r="A34" s="760" t="s">
        <v>113</v>
      </c>
      <c r="I34" s="552"/>
      <c r="P34" s="586">
        <v>2452</v>
      </c>
      <c r="Q34" s="586">
        <v>4117</v>
      </c>
      <c r="R34" s="757">
        <v>9301</v>
      </c>
      <c r="S34" s="1079">
        <v>2098</v>
      </c>
      <c r="T34" s="586">
        <v>4371</v>
      </c>
      <c r="U34" s="586">
        <v>5646</v>
      </c>
      <c r="V34" s="586">
        <v>3146</v>
      </c>
      <c r="W34" s="586">
        <v>5729</v>
      </c>
      <c r="X34" s="586">
        <v>3268</v>
      </c>
      <c r="Y34" s="550"/>
      <c r="Z34" s="550"/>
      <c r="AA34" s="550"/>
    </row>
    <row r="35" spans="1:27" ht="14.1" customHeight="1">
      <c r="A35" s="760" t="s">
        <v>114</v>
      </c>
      <c r="I35" s="552"/>
      <c r="P35" s="586">
        <v>5010</v>
      </c>
      <c r="Q35" s="586">
        <v>3317</v>
      </c>
      <c r="R35" s="757">
        <v>18834</v>
      </c>
      <c r="S35" s="1079">
        <v>2447</v>
      </c>
      <c r="T35" s="586">
        <v>7427</v>
      </c>
      <c r="U35" s="586">
        <v>9607</v>
      </c>
      <c r="V35" s="586">
        <v>6137</v>
      </c>
      <c r="W35" s="586">
        <v>9323</v>
      </c>
      <c r="X35" s="586">
        <v>6363</v>
      </c>
      <c r="Y35" s="550"/>
      <c r="Z35" s="550"/>
      <c r="AA35" s="550"/>
    </row>
    <row r="36" spans="1:27" ht="14.1" customHeight="1">
      <c r="A36" s="761" t="s">
        <v>115</v>
      </c>
      <c r="B36" s="551"/>
      <c r="C36" s="587"/>
      <c r="D36" s="551"/>
      <c r="E36" s="551"/>
      <c r="F36" s="551"/>
      <c r="G36" s="551"/>
      <c r="H36" s="551"/>
      <c r="I36" s="588"/>
      <c r="J36" s="551"/>
      <c r="K36" s="551"/>
      <c r="L36" s="551"/>
      <c r="M36" s="551"/>
      <c r="N36" s="551"/>
      <c r="O36" s="551"/>
      <c r="P36" s="589">
        <v>751</v>
      </c>
      <c r="Q36" s="589">
        <v>2198</v>
      </c>
      <c r="R36" s="758">
        <v>7801</v>
      </c>
      <c r="S36" s="1084">
        <v>707</v>
      </c>
      <c r="T36" s="589">
        <v>3504</v>
      </c>
      <c r="U36" s="589">
        <v>4863</v>
      </c>
      <c r="V36" s="589">
        <v>2554</v>
      </c>
      <c r="W36" s="589">
        <v>6671</v>
      </c>
      <c r="X36" s="589">
        <v>16920</v>
      </c>
      <c r="Y36" s="550"/>
      <c r="Z36" s="550"/>
      <c r="AA36" s="550"/>
    </row>
    <row r="37" spans="1:27" ht="11.1" customHeight="1">
      <c r="A37" s="549" t="s">
        <v>503</v>
      </c>
    </row>
    <row r="38" spans="1:27">
      <c r="R38" s="548"/>
      <c r="S38" s="548"/>
      <c r="T38" s="548"/>
      <c r="U38" s="548"/>
    </row>
    <row r="39" spans="1:27">
      <c r="R39" s="548"/>
      <c r="S39" s="548"/>
      <c r="T39" s="548"/>
      <c r="U39" s="548"/>
    </row>
    <row r="40" spans="1:27">
      <c r="R40" s="548"/>
      <c r="S40" s="548"/>
      <c r="T40" s="548"/>
      <c r="U40" s="548"/>
    </row>
  </sheetData>
  <mergeCells count="5">
    <mergeCell ref="A3:A4"/>
    <mergeCell ref="A31:A32"/>
    <mergeCell ref="Q3:X3"/>
    <mergeCell ref="A1:X1"/>
    <mergeCell ref="A29:X29"/>
  </mergeCells>
  <pageMargins left="0.78740157480314965" right="0.78740157480314965" top="0.98425196850393704" bottom="0.98425196850393704" header="0.31496062992125984" footer="0"/>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Normal="100" zoomScaleSheetLayoutView="145" workbookViewId="0">
      <selection sqref="A1:I1"/>
    </sheetView>
  </sheetViews>
  <sheetFormatPr baseColWidth="10" defaultColWidth="9.7109375" defaultRowHeight="11.25"/>
  <cols>
    <col min="1" max="1" width="13.28515625" style="1" customWidth="1"/>
    <col min="2" max="3" width="11.7109375" style="1" customWidth="1"/>
    <col min="4" max="4" width="11.7109375" style="1" hidden="1" customWidth="1"/>
    <col min="5" max="5" width="11.7109375" style="1" customWidth="1"/>
    <col min="6" max="6" width="11.7109375" style="1" hidden="1" customWidth="1"/>
    <col min="7" max="9" width="11.7109375" style="1" customWidth="1"/>
    <col min="10" max="10" width="6.85546875" style="1" customWidth="1"/>
    <col min="11" max="16384" width="9.7109375" style="1"/>
  </cols>
  <sheetData>
    <row r="1" spans="1:9" ht="15" customHeight="1">
      <c r="A1" s="1137" t="s">
        <v>544</v>
      </c>
      <c r="B1" s="1137"/>
      <c r="C1" s="1137"/>
      <c r="D1" s="1137"/>
      <c r="E1" s="1137"/>
      <c r="F1" s="1137"/>
      <c r="G1" s="1137"/>
      <c r="H1" s="1137"/>
      <c r="I1" s="1137"/>
    </row>
    <row r="2" spans="1:9" ht="5.0999999999999996" customHeight="1"/>
    <row r="3" spans="1:9" ht="16.5" customHeight="1">
      <c r="A3" s="1201" t="s">
        <v>1</v>
      </c>
      <c r="B3" s="1204" t="s">
        <v>327</v>
      </c>
      <c r="C3" s="1205"/>
      <c r="D3" s="1205"/>
      <c r="E3" s="1205"/>
      <c r="F3" s="270"/>
      <c r="G3" s="1203" t="s">
        <v>324</v>
      </c>
      <c r="H3" s="1203"/>
      <c r="I3" s="1203"/>
    </row>
    <row r="4" spans="1:9" ht="12.75" customHeight="1">
      <c r="A4" s="1202"/>
      <c r="B4" s="1086" t="s">
        <v>542</v>
      </c>
      <c r="C4" s="1089"/>
      <c r="D4" s="1089"/>
      <c r="E4" s="265" t="s">
        <v>543</v>
      </c>
      <c r="F4" s="138"/>
      <c r="G4" s="265" t="s">
        <v>325</v>
      </c>
      <c r="H4" s="265" t="s">
        <v>326</v>
      </c>
      <c r="I4" s="1090" t="s">
        <v>2</v>
      </c>
    </row>
    <row r="5" spans="1:9" ht="13.5" hidden="1" customHeight="1">
      <c r="A5" s="159">
        <v>1991</v>
      </c>
      <c r="B5" s="1012">
        <v>8087</v>
      </c>
      <c r="C5" s="61">
        <v>537</v>
      </c>
      <c r="D5" s="61"/>
      <c r="E5" s="61">
        <f t="shared" ref="E5:E13" si="0">B5-(C5)</f>
        <v>7550</v>
      </c>
      <c r="F5" s="61"/>
      <c r="G5" s="73" t="s">
        <v>117</v>
      </c>
      <c r="H5" s="73" t="s">
        <v>117</v>
      </c>
      <c r="I5" s="67">
        <v>98</v>
      </c>
    </row>
    <row r="6" spans="1:9" ht="13.5" hidden="1" customHeight="1">
      <c r="A6" s="159">
        <f>A5+1</f>
        <v>1992</v>
      </c>
      <c r="B6" s="1012">
        <v>8971</v>
      </c>
      <c r="C6" s="61">
        <v>675</v>
      </c>
      <c r="D6" s="61"/>
      <c r="E6" s="61">
        <f t="shared" si="0"/>
        <v>8296</v>
      </c>
      <c r="F6" s="61"/>
      <c r="G6" s="73" t="s">
        <v>117</v>
      </c>
      <c r="H6" s="73" t="s">
        <v>117</v>
      </c>
      <c r="I6" s="67">
        <v>96</v>
      </c>
    </row>
    <row r="7" spans="1:9" ht="12" hidden="1" customHeight="1">
      <c r="A7" s="159">
        <f t="shared" ref="A7:A19" si="1">A6+1</f>
        <v>1993</v>
      </c>
      <c r="B7" s="1012">
        <v>6200</v>
      </c>
      <c r="C7" s="61">
        <v>163</v>
      </c>
      <c r="D7" s="61"/>
      <c r="E7" s="61">
        <f t="shared" si="0"/>
        <v>6037</v>
      </c>
      <c r="F7" s="61"/>
      <c r="G7" s="73" t="s">
        <v>117</v>
      </c>
      <c r="H7" s="73" t="s">
        <v>117</v>
      </c>
      <c r="I7" s="67">
        <v>157</v>
      </c>
    </row>
    <row r="8" spans="1:9" ht="12" hidden="1" customHeight="1">
      <c r="A8" s="159">
        <f t="shared" si="1"/>
        <v>1994</v>
      </c>
      <c r="B8" s="1012">
        <v>7561</v>
      </c>
      <c r="C8" s="61">
        <v>144</v>
      </c>
      <c r="D8" s="61"/>
      <c r="E8" s="61">
        <f t="shared" si="0"/>
        <v>7417</v>
      </c>
      <c r="F8" s="61"/>
      <c r="G8" s="73" t="s">
        <v>117</v>
      </c>
      <c r="H8" s="73" t="s">
        <v>117</v>
      </c>
      <c r="I8" s="67">
        <v>3</v>
      </c>
    </row>
    <row r="9" spans="1:9" ht="12" hidden="1" customHeight="1">
      <c r="A9" s="159">
        <f t="shared" si="1"/>
        <v>1995</v>
      </c>
      <c r="B9" s="1012">
        <v>7026</v>
      </c>
      <c r="C9" s="61">
        <v>9</v>
      </c>
      <c r="D9" s="61"/>
      <c r="E9" s="61">
        <f t="shared" si="0"/>
        <v>7017</v>
      </c>
      <c r="F9" s="61"/>
      <c r="G9" s="73" t="s">
        <v>117</v>
      </c>
      <c r="H9" s="73" t="s">
        <v>117</v>
      </c>
      <c r="I9" s="67">
        <v>4</v>
      </c>
    </row>
    <row r="10" spans="1:9" ht="12" hidden="1" customHeight="1">
      <c r="A10" s="159">
        <f t="shared" si="1"/>
        <v>1996</v>
      </c>
      <c r="B10" s="1012">
        <v>7754</v>
      </c>
      <c r="C10" s="61">
        <v>4</v>
      </c>
      <c r="D10" s="61"/>
      <c r="E10" s="61">
        <f t="shared" si="0"/>
        <v>7750</v>
      </c>
      <c r="F10" s="61"/>
      <c r="G10" s="73" t="s">
        <v>117</v>
      </c>
      <c r="H10" s="73" t="s">
        <v>117</v>
      </c>
      <c r="I10" s="67">
        <v>3</v>
      </c>
    </row>
    <row r="11" spans="1:9" ht="12" hidden="1" customHeight="1">
      <c r="A11" s="159">
        <f t="shared" si="1"/>
        <v>1997</v>
      </c>
      <c r="B11" s="1012">
        <v>10327</v>
      </c>
      <c r="C11" s="61">
        <v>7</v>
      </c>
      <c r="D11" s="61"/>
      <c r="E11" s="61">
        <f t="shared" si="0"/>
        <v>10320</v>
      </c>
      <c r="F11" s="61"/>
      <c r="G11" s="73" t="s">
        <v>117</v>
      </c>
      <c r="H11" s="73" t="s">
        <v>117</v>
      </c>
      <c r="I11" s="67">
        <v>1</v>
      </c>
    </row>
    <row r="12" spans="1:9" ht="12" hidden="1" customHeight="1">
      <c r="A12" s="159">
        <f t="shared" si="1"/>
        <v>1998</v>
      </c>
      <c r="B12" s="1012">
        <v>9492</v>
      </c>
      <c r="C12" s="61">
        <v>24</v>
      </c>
      <c r="D12" s="61"/>
      <c r="E12" s="61">
        <f t="shared" si="0"/>
        <v>9468</v>
      </c>
      <c r="F12" s="61"/>
      <c r="G12" s="73" t="s">
        <v>117</v>
      </c>
      <c r="H12" s="73" t="s">
        <v>117</v>
      </c>
      <c r="I12" s="67">
        <v>13</v>
      </c>
    </row>
    <row r="13" spans="1:9" ht="9.75" hidden="1" customHeight="1">
      <c r="A13" s="159">
        <f t="shared" si="1"/>
        <v>1999</v>
      </c>
      <c r="B13" s="1012">
        <v>8736</v>
      </c>
      <c r="C13" s="61">
        <v>35</v>
      </c>
      <c r="D13" s="61"/>
      <c r="E13" s="61">
        <f t="shared" si="0"/>
        <v>8701</v>
      </c>
      <c r="F13" s="61"/>
      <c r="G13" s="73" t="s">
        <v>117</v>
      </c>
      <c r="H13" s="73" t="s">
        <v>117</v>
      </c>
      <c r="I13" s="67">
        <v>14</v>
      </c>
    </row>
    <row r="14" spans="1:9" ht="12" hidden="1" customHeight="1">
      <c r="A14" s="159">
        <f t="shared" si="1"/>
        <v>2000</v>
      </c>
      <c r="B14" s="1012">
        <v>6406</v>
      </c>
      <c r="C14" s="61">
        <v>11</v>
      </c>
      <c r="D14" s="61"/>
      <c r="E14" s="61">
        <f>B14-C14</f>
        <v>6395</v>
      </c>
      <c r="F14" s="61"/>
      <c r="G14" s="73" t="s">
        <v>117</v>
      </c>
      <c r="H14" s="73" t="s">
        <v>117</v>
      </c>
      <c r="I14" s="67">
        <v>5</v>
      </c>
    </row>
    <row r="15" spans="1:9" ht="12" customHeight="1">
      <c r="A15" s="159">
        <f t="shared" si="1"/>
        <v>2001</v>
      </c>
      <c r="B15" s="1012">
        <v>7064</v>
      </c>
      <c r="C15" s="61">
        <v>39</v>
      </c>
      <c r="D15" s="61"/>
      <c r="E15" s="61">
        <f>B15-C15</f>
        <v>7025</v>
      </c>
      <c r="F15" s="61"/>
      <c r="G15" s="73" t="s">
        <v>117</v>
      </c>
      <c r="H15" s="73" t="s">
        <v>117</v>
      </c>
      <c r="I15" s="67">
        <v>24</v>
      </c>
    </row>
    <row r="16" spans="1:9" ht="12" customHeight="1">
      <c r="A16" s="159">
        <f t="shared" si="1"/>
        <v>2002</v>
      </c>
      <c r="B16" s="686">
        <v>7609</v>
      </c>
      <c r="C16" s="134">
        <v>13</v>
      </c>
      <c r="D16" s="134"/>
      <c r="E16" s="134">
        <f>B16-C16</f>
        <v>7596</v>
      </c>
      <c r="F16" s="134"/>
      <c r="G16" s="165" t="s">
        <v>117</v>
      </c>
      <c r="H16" s="165" t="s">
        <v>117</v>
      </c>
      <c r="I16" s="140">
        <v>9</v>
      </c>
    </row>
    <row r="17" spans="1:10" ht="12" customHeight="1">
      <c r="A17" s="159">
        <f t="shared" si="1"/>
        <v>2003</v>
      </c>
      <c r="B17" s="686">
        <v>8722</v>
      </c>
      <c r="C17" s="134">
        <v>85</v>
      </c>
      <c r="D17" s="134"/>
      <c r="E17" s="134">
        <f>B17-C17</f>
        <v>8637</v>
      </c>
      <c r="F17" s="134"/>
      <c r="G17" s="165" t="s">
        <v>117</v>
      </c>
      <c r="H17" s="165" t="s">
        <v>117</v>
      </c>
      <c r="I17" s="140">
        <v>29</v>
      </c>
    </row>
    <row r="18" spans="1:10" ht="12" customHeight="1">
      <c r="A18" s="159">
        <f t="shared" si="1"/>
        <v>2004</v>
      </c>
      <c r="B18" s="686">
        <v>10633</v>
      </c>
      <c r="C18" s="134">
        <v>67</v>
      </c>
      <c r="D18" s="134"/>
      <c r="E18" s="134">
        <v>10566</v>
      </c>
      <c r="F18" s="134"/>
      <c r="G18" s="165" t="s">
        <v>117</v>
      </c>
      <c r="H18" s="165" t="s">
        <v>117</v>
      </c>
      <c r="I18" s="140">
        <v>7</v>
      </c>
    </row>
    <row r="19" spans="1:10" ht="12" customHeight="1">
      <c r="A19" s="159">
        <f t="shared" si="1"/>
        <v>2005</v>
      </c>
      <c r="B19" s="686">
        <v>12560</v>
      </c>
      <c r="C19" s="134">
        <v>32</v>
      </c>
      <c r="D19" s="134"/>
      <c r="E19" s="134">
        <v>12528</v>
      </c>
      <c r="F19" s="134"/>
      <c r="G19" s="165" t="s">
        <v>117</v>
      </c>
      <c r="H19" s="165" t="s">
        <v>117</v>
      </c>
      <c r="I19" s="140">
        <v>23</v>
      </c>
    </row>
    <row r="20" spans="1:10" ht="12" customHeight="1">
      <c r="A20" s="159">
        <v>2006</v>
      </c>
      <c r="B20" s="686">
        <v>10278</v>
      </c>
      <c r="C20" s="134">
        <v>45</v>
      </c>
      <c r="D20" s="134"/>
      <c r="E20" s="134">
        <v>10233</v>
      </c>
      <c r="F20" s="134"/>
      <c r="G20" s="165" t="s">
        <v>117</v>
      </c>
      <c r="H20" s="165" t="s">
        <v>117</v>
      </c>
      <c r="I20" s="140">
        <v>36</v>
      </c>
    </row>
    <row r="21" spans="1:10" ht="12" customHeight="1">
      <c r="A21" s="159">
        <v>2007</v>
      </c>
      <c r="B21" s="686">
        <v>11226</v>
      </c>
      <c r="C21" s="134">
        <v>59</v>
      </c>
      <c r="D21" s="134"/>
      <c r="E21" s="134">
        <v>11167</v>
      </c>
      <c r="F21" s="134"/>
      <c r="G21" s="165" t="s">
        <v>117</v>
      </c>
      <c r="H21" s="165" t="s">
        <v>117</v>
      </c>
      <c r="I21" s="140">
        <v>20</v>
      </c>
    </row>
    <row r="22" spans="1:10" ht="12" customHeight="1">
      <c r="A22" s="159">
        <v>2008</v>
      </c>
      <c r="B22" s="1087">
        <v>12840</v>
      </c>
      <c r="C22" s="134">
        <v>41</v>
      </c>
      <c r="D22" s="134"/>
      <c r="E22" s="134">
        <v>12799</v>
      </c>
      <c r="F22" s="134"/>
      <c r="G22" s="165" t="s">
        <v>117</v>
      </c>
      <c r="H22" s="165" t="s">
        <v>117</v>
      </c>
      <c r="I22" s="140">
        <v>48</v>
      </c>
    </row>
    <row r="23" spans="1:10" ht="12" customHeight="1">
      <c r="A23" s="159">
        <v>2009</v>
      </c>
      <c r="B23" s="686">
        <v>13787</v>
      </c>
      <c r="C23" s="134">
        <v>50</v>
      </c>
      <c r="D23" s="134"/>
      <c r="E23" s="134">
        <v>13737</v>
      </c>
      <c r="F23" s="134"/>
      <c r="G23" s="165" t="s">
        <v>117</v>
      </c>
      <c r="H23" s="165" t="s">
        <v>117</v>
      </c>
      <c r="I23" s="140">
        <v>67</v>
      </c>
    </row>
    <row r="24" spans="1:10" ht="12" customHeight="1">
      <c r="A24" s="159">
        <v>2010</v>
      </c>
      <c r="B24" s="1087">
        <v>15179</v>
      </c>
      <c r="C24" s="134">
        <v>40</v>
      </c>
      <c r="D24" s="134"/>
      <c r="E24" s="134">
        <v>15139</v>
      </c>
      <c r="F24" s="134"/>
      <c r="G24" s="103">
        <v>31</v>
      </c>
      <c r="H24" s="103">
        <v>39</v>
      </c>
      <c r="I24" s="103">
        <f>G24+H24</f>
        <v>70</v>
      </c>
    </row>
    <row r="25" spans="1:10" ht="12" customHeight="1">
      <c r="A25" s="159">
        <v>2011</v>
      </c>
      <c r="B25" s="1087">
        <v>15305</v>
      </c>
      <c r="C25" s="134">
        <v>63</v>
      </c>
      <c r="D25" s="134"/>
      <c r="E25" s="134">
        <v>15302</v>
      </c>
      <c r="F25" s="134"/>
      <c r="G25" s="341">
        <v>25</v>
      </c>
      <c r="H25" s="341">
        <v>43</v>
      </c>
      <c r="I25" s="103">
        <f t="shared" ref="I25:I32" si="2">G25+H25</f>
        <v>68</v>
      </c>
    </row>
    <row r="26" spans="1:10" ht="12" customHeight="1">
      <c r="A26" s="159">
        <v>2012</v>
      </c>
      <c r="B26" s="686">
        <v>16357</v>
      </c>
      <c r="C26" s="134">
        <v>303</v>
      </c>
      <c r="D26" s="134"/>
      <c r="E26" s="134">
        <v>16054</v>
      </c>
      <c r="F26" s="134"/>
      <c r="G26" s="341">
        <v>31</v>
      </c>
      <c r="H26" s="341">
        <v>36</v>
      </c>
      <c r="I26" s="103">
        <f t="shared" si="2"/>
        <v>67</v>
      </c>
    </row>
    <row r="27" spans="1:10" ht="12" customHeight="1">
      <c r="A27" s="159">
        <v>2013</v>
      </c>
      <c r="B27" s="686">
        <v>18927</v>
      </c>
      <c r="C27" s="134">
        <v>408</v>
      </c>
      <c r="D27" s="134"/>
      <c r="E27" s="134">
        <v>18380</v>
      </c>
      <c r="F27" s="134"/>
      <c r="G27" s="341">
        <v>36</v>
      </c>
      <c r="H27" s="341">
        <v>54</v>
      </c>
      <c r="I27" s="103">
        <f t="shared" si="2"/>
        <v>90</v>
      </c>
    </row>
    <row r="28" spans="1:10" ht="12" customHeight="1">
      <c r="A28" s="159">
        <v>2014</v>
      </c>
      <c r="B28" s="686">
        <v>17988</v>
      </c>
      <c r="C28" s="134">
        <v>462</v>
      </c>
      <c r="D28" s="134"/>
      <c r="E28" s="134">
        <f t="shared" ref="E28:E33" si="3">B28-C28</f>
        <v>17526</v>
      </c>
      <c r="F28" s="134"/>
      <c r="G28" s="341">
        <v>13</v>
      </c>
      <c r="H28" s="341">
        <v>48</v>
      </c>
      <c r="I28" s="103">
        <f t="shared" si="2"/>
        <v>61</v>
      </c>
    </row>
    <row r="29" spans="1:10" ht="12" customHeight="1">
      <c r="A29" s="159">
        <v>2015</v>
      </c>
      <c r="B29" s="686">
        <v>16501</v>
      </c>
      <c r="C29" s="134">
        <v>446</v>
      </c>
      <c r="D29" s="134"/>
      <c r="E29" s="134">
        <f t="shared" si="3"/>
        <v>16055</v>
      </c>
      <c r="F29" s="134"/>
      <c r="G29" s="341">
        <v>29</v>
      </c>
      <c r="H29" s="341">
        <v>63</v>
      </c>
      <c r="I29" s="103">
        <f t="shared" si="2"/>
        <v>92</v>
      </c>
      <c r="J29" s="814"/>
    </row>
    <row r="30" spans="1:10" ht="12" customHeight="1">
      <c r="A30" s="159">
        <v>2016</v>
      </c>
      <c r="B30" s="686">
        <v>17544</v>
      </c>
      <c r="C30" s="134">
        <v>599</v>
      </c>
      <c r="D30" s="134"/>
      <c r="E30" s="134">
        <f t="shared" si="3"/>
        <v>16945</v>
      </c>
      <c r="F30" s="134"/>
      <c r="G30" s="341">
        <v>21</v>
      </c>
      <c r="H30" s="341">
        <v>78</v>
      </c>
      <c r="I30" s="103">
        <f t="shared" si="2"/>
        <v>99</v>
      </c>
    </row>
    <row r="31" spans="1:10" ht="12" customHeight="1">
      <c r="A31" s="159">
        <v>2017</v>
      </c>
      <c r="B31" s="686">
        <v>18106</v>
      </c>
      <c r="C31" s="134">
        <v>539</v>
      </c>
      <c r="D31" s="134"/>
      <c r="E31" s="134">
        <f t="shared" si="3"/>
        <v>17567</v>
      </c>
      <c r="F31" s="134"/>
      <c r="G31" s="341">
        <v>46</v>
      </c>
      <c r="H31" s="341">
        <v>64</v>
      </c>
      <c r="I31" s="103">
        <f t="shared" si="2"/>
        <v>110</v>
      </c>
    </row>
    <row r="32" spans="1:10" ht="12" customHeight="1">
      <c r="A32" s="159">
        <v>2018</v>
      </c>
      <c r="B32" s="686">
        <v>19084</v>
      </c>
      <c r="C32" s="134">
        <v>42</v>
      </c>
      <c r="D32" s="134"/>
      <c r="E32" s="134">
        <f t="shared" si="3"/>
        <v>19042</v>
      </c>
      <c r="F32" s="134"/>
      <c r="G32" s="341">
        <v>16</v>
      </c>
      <c r="H32" s="341">
        <v>31</v>
      </c>
      <c r="I32" s="103">
        <f t="shared" si="2"/>
        <v>47</v>
      </c>
    </row>
    <row r="33" spans="1:9" ht="12" customHeight="1">
      <c r="A33" s="159">
        <v>2019</v>
      </c>
      <c r="B33" s="686">
        <v>20159</v>
      </c>
      <c r="C33" s="134">
        <v>29</v>
      </c>
      <c r="D33" s="134"/>
      <c r="E33" s="134">
        <f t="shared" si="3"/>
        <v>20130</v>
      </c>
      <c r="F33" s="134"/>
      <c r="G33" s="341">
        <v>5</v>
      </c>
      <c r="H33" s="341">
        <v>24</v>
      </c>
      <c r="I33" s="103">
        <v>29</v>
      </c>
    </row>
    <row r="34" spans="1:9" ht="12" customHeight="1">
      <c r="A34" s="159">
        <v>2020</v>
      </c>
      <c r="B34" s="686">
        <v>13984</v>
      </c>
      <c r="C34" s="134">
        <v>52</v>
      </c>
      <c r="D34" s="134"/>
      <c r="E34" s="134">
        <f>B34-C34</f>
        <v>13932</v>
      </c>
      <c r="F34" s="134"/>
      <c r="G34" s="165">
        <v>14</v>
      </c>
      <c r="H34" s="165">
        <v>32</v>
      </c>
      <c r="I34" s="103">
        <v>46</v>
      </c>
    </row>
    <row r="35" spans="1:9" ht="12" customHeight="1">
      <c r="A35" s="834">
        <v>2021</v>
      </c>
      <c r="B35" s="686">
        <v>19991</v>
      </c>
      <c r="C35" s="134">
        <v>61</v>
      </c>
      <c r="D35" s="134"/>
      <c r="E35" s="134">
        <f>B35-C35</f>
        <v>19930</v>
      </c>
      <c r="F35" s="134"/>
      <c r="G35" s="165">
        <v>14</v>
      </c>
      <c r="H35" s="165">
        <v>28</v>
      </c>
      <c r="I35" s="103">
        <f>+H35+G35</f>
        <v>42</v>
      </c>
    </row>
    <row r="36" spans="1:9" ht="12" customHeight="1">
      <c r="A36" s="834">
        <v>2022</v>
      </c>
      <c r="B36" s="686">
        <v>23789</v>
      </c>
      <c r="C36" s="134">
        <v>47</v>
      </c>
      <c r="D36" s="134"/>
      <c r="E36" s="134">
        <f>+B36-C36</f>
        <v>23742</v>
      </c>
      <c r="F36" s="134"/>
      <c r="G36" s="165">
        <v>10</v>
      </c>
      <c r="H36" s="165">
        <v>70</v>
      </c>
      <c r="I36" s="103">
        <f>+H36+G36</f>
        <v>80</v>
      </c>
    </row>
    <row r="37" spans="1:9" ht="12" customHeight="1">
      <c r="A37" s="834">
        <v>2023</v>
      </c>
      <c r="B37" s="686">
        <v>28985</v>
      </c>
      <c r="C37" s="134">
        <v>63</v>
      </c>
      <c r="D37" s="134"/>
      <c r="E37" s="134">
        <f>+B37-C37</f>
        <v>28922</v>
      </c>
      <c r="F37" s="134"/>
      <c r="G37" s="165">
        <v>26</v>
      </c>
      <c r="H37" s="165">
        <v>55</v>
      </c>
      <c r="I37" s="103">
        <f>+H37+G37</f>
        <v>81</v>
      </c>
    </row>
    <row r="38" spans="1:9" ht="4.5" customHeight="1">
      <c r="A38" s="1085"/>
      <c r="B38" s="1088"/>
      <c r="C38" s="266"/>
      <c r="D38" s="266"/>
      <c r="E38" s="266"/>
      <c r="F38" s="266"/>
      <c r="G38" s="267"/>
      <c r="H38" s="267"/>
      <c r="I38" s="267"/>
    </row>
    <row r="39" spans="1:9" ht="54" hidden="1" customHeight="1">
      <c r="A39" s="763"/>
      <c r="B39" s="762"/>
      <c r="C39" s="343"/>
      <c r="D39" s="61"/>
      <c r="E39" s="61"/>
      <c r="F39" s="61"/>
      <c r="G39" s="61"/>
      <c r="H39" s="67"/>
    </row>
    <row r="40" spans="1:9" ht="11.1" customHeight="1">
      <c r="A40" s="115" t="s">
        <v>498</v>
      </c>
      <c r="B40" s="8"/>
      <c r="C40" s="8"/>
      <c r="D40" s="8"/>
      <c r="E40" s="8"/>
      <c r="F40" s="8"/>
    </row>
    <row r="41" spans="1:9" ht="13.5" customHeight="1">
      <c r="A41" s="115"/>
      <c r="B41" s="8"/>
      <c r="C41" s="8"/>
      <c r="D41" s="8"/>
      <c r="E41" s="8"/>
      <c r="F41" s="8"/>
    </row>
    <row r="42" spans="1:9" ht="12.75" customHeight="1">
      <c r="A42" s="7"/>
      <c r="B42" s="8" t="s">
        <v>109</v>
      </c>
      <c r="C42" s="8"/>
      <c r="D42" s="8"/>
      <c r="E42" s="8"/>
      <c r="F42" s="8"/>
    </row>
    <row r="43" spans="1:9" ht="12.75" customHeight="1">
      <c r="A43" s="7"/>
      <c r="B43" s="8"/>
      <c r="C43" s="8"/>
      <c r="D43" s="8"/>
      <c r="E43" s="8"/>
      <c r="F43" s="8"/>
    </row>
    <row r="54" ht="13.5" customHeight="1"/>
  </sheetData>
  <mergeCells count="4">
    <mergeCell ref="A3:A4"/>
    <mergeCell ref="G3:I3"/>
    <mergeCell ref="B3:E3"/>
    <mergeCell ref="A1:I1"/>
  </mergeCells>
  <phoneticPr fontId="0" type="noConversion"/>
  <pageMargins left="0.78740157480314965" right="0.78740157480314965" top="0.98425196850393704" bottom="0.98425196850393704" header="0.31496062992125984" footer="0"/>
  <pageSetup paperSize="9"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Normal="100" zoomScaleSheetLayoutView="145" workbookViewId="0">
      <selection sqref="A1:K1"/>
    </sheetView>
  </sheetViews>
  <sheetFormatPr baseColWidth="10" defaultColWidth="9.7109375" defaultRowHeight="11.25"/>
  <cols>
    <col min="1" max="1" width="14.7109375" style="1" customWidth="1"/>
    <col min="2" max="2" width="9.85546875" style="1" hidden="1" customWidth="1"/>
    <col min="3" max="5" width="9.7109375" style="1" hidden="1" customWidth="1"/>
    <col min="6" max="11" width="11.7109375" style="1" customWidth="1"/>
    <col min="12" max="16384" width="9.7109375" style="1"/>
  </cols>
  <sheetData>
    <row r="1" spans="1:15" ht="13.5">
      <c r="A1" s="1135" t="s">
        <v>545</v>
      </c>
      <c r="B1" s="1135"/>
      <c r="C1" s="1135"/>
      <c r="D1" s="1135"/>
      <c r="E1" s="1135"/>
      <c r="F1" s="1135"/>
      <c r="G1" s="1135"/>
      <c r="H1" s="1135"/>
      <c r="I1" s="1135"/>
      <c r="J1" s="1135"/>
      <c r="K1" s="1135"/>
    </row>
    <row r="2" spans="1:15" ht="12" customHeight="1">
      <c r="A2" s="935" t="s">
        <v>343</v>
      </c>
      <c r="B2" s="371"/>
      <c r="C2" s="371"/>
      <c r="D2" s="371"/>
      <c r="E2" s="371"/>
      <c r="F2" s="371"/>
      <c r="G2" s="336"/>
      <c r="H2" s="336"/>
      <c r="I2" s="103"/>
      <c r="J2" s="103"/>
      <c r="K2" s="813"/>
    </row>
    <row r="3" spans="1:15" ht="5.0999999999999996" customHeight="1">
      <c r="A3" s="935"/>
      <c r="B3" s="371"/>
      <c r="C3" s="371"/>
      <c r="D3" s="371"/>
      <c r="E3" s="371"/>
      <c r="F3" s="371"/>
      <c r="G3" s="336"/>
      <c r="H3" s="336"/>
      <c r="I3" s="103"/>
      <c r="J3" s="103"/>
      <c r="K3" s="813"/>
    </row>
    <row r="4" spans="1:15" ht="12.75">
      <c r="A4" s="623" t="s">
        <v>328</v>
      </c>
      <c r="B4" s="543">
        <v>2014</v>
      </c>
      <c r="C4" s="543">
        <v>2015</v>
      </c>
      <c r="D4" s="543">
        <v>2016</v>
      </c>
      <c r="E4" s="543">
        <v>2017</v>
      </c>
      <c r="F4" s="1091">
        <v>2018</v>
      </c>
      <c r="G4" s="543">
        <v>2019</v>
      </c>
      <c r="H4" s="543">
        <v>2020</v>
      </c>
      <c r="I4" s="543">
        <v>2021</v>
      </c>
      <c r="J4" s="543">
        <v>2022</v>
      </c>
      <c r="K4" s="543">
        <v>2023</v>
      </c>
    </row>
    <row r="5" spans="1:15" ht="3.95" customHeight="1">
      <c r="A5" s="662"/>
      <c r="B5" s="663"/>
      <c r="C5" s="663"/>
      <c r="D5" s="663"/>
      <c r="E5" s="663"/>
      <c r="F5" s="1092"/>
      <c r="G5" s="663"/>
      <c r="H5" s="663"/>
      <c r="I5" s="663"/>
      <c r="J5" s="663"/>
      <c r="K5" s="663"/>
      <c r="L5" s="665"/>
      <c r="M5" s="665"/>
      <c r="N5" s="665"/>
      <c r="O5" s="665"/>
    </row>
    <row r="6" spans="1:15" ht="12.4" customHeight="1">
      <c r="A6" s="764" t="s">
        <v>2</v>
      </c>
      <c r="B6" s="663"/>
      <c r="C6" s="664">
        <f t="shared" ref="C6:H6" si="0">SUM(C8:C20)</f>
        <v>922</v>
      </c>
      <c r="D6" s="664">
        <f t="shared" si="0"/>
        <v>765</v>
      </c>
      <c r="E6" s="664">
        <f t="shared" si="0"/>
        <v>968</v>
      </c>
      <c r="F6" s="1093">
        <f t="shared" si="0"/>
        <v>999</v>
      </c>
      <c r="G6" s="664">
        <f>SUM(G8:G20)</f>
        <v>1179</v>
      </c>
      <c r="H6" s="664">
        <f t="shared" si="0"/>
        <v>602</v>
      </c>
      <c r="I6" s="664">
        <f>SUM(I8:I20)</f>
        <v>1266</v>
      </c>
      <c r="J6" s="664">
        <f>SUM(J8:J20)</f>
        <v>1484</v>
      </c>
      <c r="K6" s="664">
        <f>SUM(K8:K20)</f>
        <v>1196</v>
      </c>
      <c r="L6" s="488"/>
    </row>
    <row r="7" spans="1:15" ht="3.95" customHeight="1">
      <c r="A7" s="624"/>
      <c r="B7" s="324"/>
      <c r="C7" s="324"/>
      <c r="D7" s="324"/>
      <c r="E7" s="324"/>
      <c r="F7" s="1094"/>
      <c r="G7" s="516"/>
      <c r="H7" s="516"/>
      <c r="I7" s="516"/>
      <c r="J7" s="516"/>
      <c r="K7" s="516"/>
      <c r="L7" s="488"/>
    </row>
    <row r="8" spans="1:15" ht="12.4" customHeight="1">
      <c r="A8" s="625" t="s">
        <v>146</v>
      </c>
      <c r="B8" s="489">
        <v>113</v>
      </c>
      <c r="C8" s="93">
        <v>120</v>
      </c>
      <c r="D8" s="339">
        <v>111</v>
      </c>
      <c r="E8" s="339">
        <v>164</v>
      </c>
      <c r="F8" s="1024">
        <v>136</v>
      </c>
      <c r="G8" s="344">
        <v>186</v>
      </c>
      <c r="H8" s="344">
        <v>74</v>
      </c>
      <c r="I8" s="344">
        <v>118</v>
      </c>
      <c r="J8" s="344">
        <v>144</v>
      </c>
      <c r="K8" s="344">
        <v>168</v>
      </c>
      <c r="L8" s="488"/>
    </row>
    <row r="9" spans="1:15" ht="12.4" customHeight="1">
      <c r="A9" s="625" t="s">
        <v>150</v>
      </c>
      <c r="B9" s="344">
        <v>31</v>
      </c>
      <c r="C9" s="93">
        <v>25</v>
      </c>
      <c r="D9" s="339">
        <v>25</v>
      </c>
      <c r="E9" s="339">
        <v>36</v>
      </c>
      <c r="F9" s="1024">
        <v>38</v>
      </c>
      <c r="G9" s="344">
        <v>60</v>
      </c>
      <c r="H9" s="344">
        <v>19</v>
      </c>
      <c r="I9" s="344">
        <v>25</v>
      </c>
      <c r="J9" s="344">
        <v>50</v>
      </c>
      <c r="K9" s="344">
        <v>47</v>
      </c>
      <c r="L9" s="488"/>
    </row>
    <row r="10" spans="1:15" ht="12.4" customHeight="1">
      <c r="A10" s="626" t="s">
        <v>147</v>
      </c>
      <c r="B10" s="489">
        <v>246</v>
      </c>
      <c r="C10" s="93">
        <v>355</v>
      </c>
      <c r="D10" s="339">
        <v>292</v>
      </c>
      <c r="E10" s="339">
        <v>450</v>
      </c>
      <c r="F10" s="1024">
        <v>541</v>
      </c>
      <c r="G10" s="344">
        <v>571</v>
      </c>
      <c r="H10" s="344">
        <v>273</v>
      </c>
      <c r="I10" s="344">
        <v>655</v>
      </c>
      <c r="J10" s="344">
        <v>618</v>
      </c>
      <c r="K10" s="344">
        <v>424</v>
      </c>
      <c r="L10" s="488"/>
    </row>
    <row r="11" spans="1:15" ht="12.4" customHeight="1">
      <c r="A11" s="626" t="s">
        <v>148</v>
      </c>
      <c r="B11" s="344">
        <v>181</v>
      </c>
      <c r="C11" s="93">
        <v>130</v>
      </c>
      <c r="D11" s="339">
        <v>105</v>
      </c>
      <c r="E11" s="339">
        <v>56</v>
      </c>
      <c r="F11" s="1024">
        <v>34</v>
      </c>
      <c r="G11" s="344">
        <v>26</v>
      </c>
      <c r="H11" s="344">
        <v>21</v>
      </c>
      <c r="I11" s="344">
        <v>46</v>
      </c>
      <c r="J11" s="344">
        <v>52</v>
      </c>
      <c r="K11" s="344">
        <v>89</v>
      </c>
      <c r="L11" s="488"/>
    </row>
    <row r="12" spans="1:15" ht="12.4" customHeight="1">
      <c r="A12" s="626" t="s">
        <v>382</v>
      </c>
      <c r="B12" s="344"/>
      <c r="C12" s="344">
        <v>20</v>
      </c>
      <c r="D12" s="344">
        <v>18</v>
      </c>
      <c r="E12" s="344">
        <v>10</v>
      </c>
      <c r="F12" s="1024">
        <v>7</v>
      </c>
      <c r="G12" s="344">
        <v>43</v>
      </c>
      <c r="H12" s="344">
        <v>25</v>
      </c>
      <c r="I12" s="344">
        <v>66</v>
      </c>
      <c r="J12" s="344">
        <v>44</v>
      </c>
      <c r="K12" s="344">
        <v>38</v>
      </c>
      <c r="L12" s="488"/>
    </row>
    <row r="13" spans="1:15" ht="12.4" customHeight="1">
      <c r="A13" s="583" t="s">
        <v>149</v>
      </c>
      <c r="B13" s="489">
        <v>42</v>
      </c>
      <c r="C13" s="93">
        <v>26</v>
      </c>
      <c r="D13" s="339">
        <v>18</v>
      </c>
      <c r="E13" s="339">
        <v>18</v>
      </c>
      <c r="F13" s="1024">
        <v>21</v>
      </c>
      <c r="G13" s="344">
        <v>22</v>
      </c>
      <c r="H13" s="344">
        <v>21</v>
      </c>
      <c r="I13" s="344">
        <v>23</v>
      </c>
      <c r="J13" s="344">
        <v>32</v>
      </c>
      <c r="K13" s="344">
        <v>14</v>
      </c>
      <c r="L13" s="488"/>
    </row>
    <row r="14" spans="1:15" ht="12.4" customHeight="1">
      <c r="A14" s="626" t="s">
        <v>151</v>
      </c>
      <c r="B14" s="344">
        <v>5</v>
      </c>
      <c r="C14" s="93">
        <v>8</v>
      </c>
      <c r="D14" s="339">
        <v>12</v>
      </c>
      <c r="E14" s="339">
        <v>4</v>
      </c>
      <c r="F14" s="1024">
        <v>6</v>
      </c>
      <c r="G14" s="344">
        <v>6</v>
      </c>
      <c r="H14" s="344">
        <v>3</v>
      </c>
      <c r="I14" s="344">
        <v>8</v>
      </c>
      <c r="J14" s="344">
        <v>15</v>
      </c>
      <c r="K14" s="344">
        <v>14</v>
      </c>
      <c r="L14" s="488"/>
    </row>
    <row r="15" spans="1:15" ht="12.4" customHeight="1">
      <c r="A15" s="625" t="s">
        <v>399</v>
      </c>
      <c r="B15" s="344" t="s">
        <v>0</v>
      </c>
      <c r="C15" s="344" t="s">
        <v>0</v>
      </c>
      <c r="D15" s="344" t="s">
        <v>0</v>
      </c>
      <c r="E15" s="344">
        <v>2</v>
      </c>
      <c r="F15" s="1024">
        <v>1</v>
      </c>
      <c r="G15" s="344">
        <v>1</v>
      </c>
      <c r="H15" s="344" t="s">
        <v>0</v>
      </c>
      <c r="I15" s="344" t="s">
        <v>0</v>
      </c>
      <c r="J15" s="344">
        <v>1</v>
      </c>
      <c r="K15" s="344">
        <v>1</v>
      </c>
      <c r="L15" s="488"/>
    </row>
    <row r="16" spans="1:15" ht="12.4" customHeight="1">
      <c r="A16" s="583" t="s">
        <v>152</v>
      </c>
      <c r="B16" s="344">
        <v>34</v>
      </c>
      <c r="C16" s="93">
        <v>124</v>
      </c>
      <c r="D16" s="339">
        <v>97</v>
      </c>
      <c r="E16" s="339">
        <v>147</v>
      </c>
      <c r="F16" s="1024">
        <v>107</v>
      </c>
      <c r="G16" s="344">
        <v>131</v>
      </c>
      <c r="H16" s="344">
        <v>86</v>
      </c>
      <c r="I16" s="344">
        <v>202</v>
      </c>
      <c r="J16" s="344">
        <v>227</v>
      </c>
      <c r="K16" s="344">
        <v>216</v>
      </c>
      <c r="L16" s="488"/>
    </row>
    <row r="17" spans="1:12" ht="12.4" customHeight="1">
      <c r="A17" s="583" t="s">
        <v>383</v>
      </c>
      <c r="B17" s="344"/>
      <c r="C17" s="344">
        <v>81</v>
      </c>
      <c r="D17" s="344">
        <v>75</v>
      </c>
      <c r="E17" s="344">
        <v>61</v>
      </c>
      <c r="F17" s="1024">
        <v>65</v>
      </c>
      <c r="G17" s="344">
        <v>80</v>
      </c>
      <c r="H17" s="344">
        <v>39</v>
      </c>
      <c r="I17" s="344">
        <v>32</v>
      </c>
      <c r="J17" s="344">
        <v>48</v>
      </c>
      <c r="K17" s="344">
        <v>22</v>
      </c>
      <c r="L17" s="488"/>
    </row>
    <row r="18" spans="1:12" ht="12.4" customHeight="1">
      <c r="A18" s="583" t="s">
        <v>384</v>
      </c>
      <c r="B18" s="344"/>
      <c r="C18" s="344">
        <v>16</v>
      </c>
      <c r="D18" s="344">
        <v>7</v>
      </c>
      <c r="E18" s="344">
        <v>1</v>
      </c>
      <c r="F18" s="1024">
        <v>3</v>
      </c>
      <c r="G18" s="344">
        <v>4</v>
      </c>
      <c r="H18" s="344">
        <v>3</v>
      </c>
      <c r="I18" s="344">
        <v>14</v>
      </c>
      <c r="J18" s="344">
        <v>20</v>
      </c>
      <c r="K18" s="344">
        <v>18</v>
      </c>
      <c r="L18" s="488"/>
    </row>
    <row r="19" spans="1:12" ht="12.4" customHeight="1">
      <c r="A19" s="583" t="s">
        <v>385</v>
      </c>
      <c r="B19" s="344"/>
      <c r="C19" s="344" t="s">
        <v>117</v>
      </c>
      <c r="D19" s="344" t="s">
        <v>117</v>
      </c>
      <c r="E19" s="344" t="s">
        <v>117</v>
      </c>
      <c r="F19" s="1024">
        <v>5</v>
      </c>
      <c r="G19" s="344">
        <v>3</v>
      </c>
      <c r="H19" s="344">
        <v>2</v>
      </c>
      <c r="I19" s="344">
        <v>3</v>
      </c>
      <c r="J19" s="344">
        <v>1</v>
      </c>
      <c r="K19" s="344">
        <v>6</v>
      </c>
      <c r="L19" s="488"/>
    </row>
    <row r="20" spans="1:12" ht="12.4" customHeight="1">
      <c r="A20" s="583" t="s">
        <v>3</v>
      </c>
      <c r="B20" s="344">
        <v>88</v>
      </c>
      <c r="C20" s="93">
        <v>17</v>
      </c>
      <c r="D20" s="339">
        <v>5</v>
      </c>
      <c r="E20" s="339">
        <v>19</v>
      </c>
      <c r="F20" s="1024">
        <v>35</v>
      </c>
      <c r="G20" s="344">
        <v>46</v>
      </c>
      <c r="H20" s="344">
        <v>36</v>
      </c>
      <c r="I20" s="344">
        <v>74</v>
      </c>
      <c r="J20" s="344">
        <v>232</v>
      </c>
      <c r="K20" s="344">
        <v>139</v>
      </c>
      <c r="L20" s="488"/>
    </row>
    <row r="21" spans="1:12" ht="3.95" customHeight="1">
      <c r="A21" s="627"/>
      <c r="B21" s="298"/>
      <c r="C21" s="298"/>
      <c r="D21" s="298"/>
      <c r="E21" s="298"/>
      <c r="F21" s="1095"/>
      <c r="G21" s="298"/>
      <c r="H21" s="298"/>
      <c r="I21" s="298"/>
      <c r="J21" s="298"/>
      <c r="K21" s="298"/>
      <c r="L21" s="488"/>
    </row>
    <row r="22" spans="1:12" ht="11.1" customHeight="1">
      <c r="A22" s="354" t="s">
        <v>563</v>
      </c>
      <c r="B22" s="97"/>
      <c r="C22" s="97"/>
      <c r="D22" s="97"/>
      <c r="E22" s="97"/>
      <c r="F22" s="97"/>
      <c r="G22" s="97"/>
      <c r="H22" s="97"/>
      <c r="I22" s="97"/>
      <c r="J22" s="97"/>
    </row>
  </sheetData>
  <mergeCells count="1">
    <mergeCell ref="A1:K1"/>
  </mergeCells>
  <pageMargins left="0.78740157480314965" right="0.78740157480314965" top="0.98425196850393704" bottom="0.98425196850393704" header="0.31496062992125984"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zoomScaleNormal="100" workbookViewId="0">
      <selection sqref="A1:Q1"/>
    </sheetView>
  </sheetViews>
  <sheetFormatPr baseColWidth="10" defaultColWidth="11.42578125" defaultRowHeight="12.75"/>
  <cols>
    <col min="1" max="1" width="20.42578125" style="97" customWidth="1"/>
    <col min="2" max="4" width="11" style="97" hidden="1" customWidth="1"/>
    <col min="5" max="8" width="8.140625" style="97" hidden="1" customWidth="1"/>
    <col min="9" max="9" width="11.140625" style="97" hidden="1" customWidth="1"/>
    <col min="10" max="10" width="11.28515625" style="97" hidden="1" customWidth="1"/>
    <col min="11" max="11" width="10.85546875" style="97" hidden="1" customWidth="1"/>
    <col min="12" max="14" width="10.85546875" style="97" customWidth="1"/>
    <col min="15" max="16" width="9.7109375" style="97" customWidth="1"/>
    <col min="17" max="22" width="11.5703125" style="97" customWidth="1"/>
    <col min="23" max="23" width="12.28515625" style="97" bestFit="1" customWidth="1"/>
    <col min="24" max="16384" width="11.42578125" style="97"/>
  </cols>
  <sheetData>
    <row r="1" spans="1:18" ht="13.5">
      <c r="A1" s="1133" t="s">
        <v>521</v>
      </c>
      <c r="B1" s="1133"/>
      <c r="C1" s="1133"/>
      <c r="D1" s="1133"/>
      <c r="E1" s="1133"/>
      <c r="F1" s="1133"/>
      <c r="G1" s="1133"/>
      <c r="H1" s="1133"/>
      <c r="I1" s="1133"/>
      <c r="J1" s="1133"/>
      <c r="K1" s="1133"/>
      <c r="L1" s="1133"/>
      <c r="M1" s="1133"/>
      <c r="N1" s="1133"/>
      <c r="O1" s="1133"/>
      <c r="P1" s="1133"/>
      <c r="Q1" s="1133"/>
    </row>
    <row r="2" spans="1:18" ht="5.0999999999999996" customHeight="1">
      <c r="A2" s="666"/>
      <c r="B2" s="668"/>
      <c r="C2" s="668"/>
      <c r="D2" s="668"/>
      <c r="E2" s="109"/>
      <c r="F2" s="75"/>
      <c r="G2" s="75"/>
      <c r="H2" s="75"/>
      <c r="I2" s="75"/>
      <c r="J2" s="75"/>
      <c r="K2" s="75"/>
      <c r="L2" s="75"/>
      <c r="M2" s="667"/>
      <c r="N2" s="667"/>
      <c r="O2" s="667"/>
      <c r="P2" s="667"/>
    </row>
    <row r="3" spans="1:18">
      <c r="A3" s="669" t="s">
        <v>349</v>
      </c>
      <c r="B3" s="670">
        <v>2008</v>
      </c>
      <c r="C3" s="670">
        <v>2009</v>
      </c>
      <c r="D3" s="671">
        <v>2010</v>
      </c>
      <c r="E3" s="671">
        <v>2011</v>
      </c>
      <c r="F3" s="670">
        <v>2012</v>
      </c>
      <c r="G3" s="670">
        <v>2013</v>
      </c>
      <c r="H3" s="670">
        <v>2014</v>
      </c>
      <c r="I3" s="670">
        <v>2015</v>
      </c>
      <c r="J3" s="670">
        <v>2016</v>
      </c>
      <c r="K3" s="670">
        <v>2017</v>
      </c>
      <c r="L3" s="987">
        <v>2018</v>
      </c>
      <c r="M3" s="670">
        <v>2019</v>
      </c>
      <c r="N3" s="670">
        <v>2020</v>
      </c>
      <c r="O3" s="670">
        <v>2021</v>
      </c>
      <c r="P3" s="670">
        <v>2022</v>
      </c>
      <c r="Q3" s="670">
        <v>2023</v>
      </c>
    </row>
    <row r="4" spans="1:18" s="103" customFormat="1" ht="18" customHeight="1">
      <c r="A4" s="1007" t="s">
        <v>342</v>
      </c>
      <c r="B4" s="66"/>
      <c r="C4" s="66"/>
      <c r="D4" s="66"/>
      <c r="E4" s="672"/>
      <c r="F4" s="672"/>
      <c r="G4" s="672"/>
      <c r="H4" s="672"/>
      <c r="I4" s="672"/>
      <c r="J4" s="672"/>
      <c r="K4" s="672"/>
      <c r="L4" s="988"/>
      <c r="M4" s="112"/>
      <c r="N4" s="112"/>
      <c r="O4" s="112"/>
      <c r="P4" s="112"/>
      <c r="Q4" s="112"/>
    </row>
    <row r="5" spans="1:18" s="103" customFormat="1" ht="19.5" customHeight="1">
      <c r="A5" s="1007" t="s">
        <v>462</v>
      </c>
      <c r="B5" s="112">
        <v>212035</v>
      </c>
      <c r="C5" s="112">
        <v>215865</v>
      </c>
      <c r="D5" s="112">
        <v>206588</v>
      </c>
      <c r="E5" s="112">
        <v>209897</v>
      </c>
      <c r="F5" s="112">
        <v>237771</v>
      </c>
      <c r="G5" s="112">
        <v>245279</v>
      </c>
      <c r="H5" s="112">
        <v>258979</v>
      </c>
      <c r="I5" s="112">
        <v>250392</v>
      </c>
      <c r="J5" s="112">
        <v>264793</v>
      </c>
      <c r="K5" s="112">
        <v>274345</v>
      </c>
      <c r="L5" s="989">
        <v>84132</v>
      </c>
      <c r="M5" s="111">
        <v>84345</v>
      </c>
      <c r="N5" s="111">
        <v>49398</v>
      </c>
      <c r="O5" s="111">
        <v>54672</v>
      </c>
      <c r="P5" s="111">
        <v>55054</v>
      </c>
      <c r="Q5" s="111">
        <v>56598</v>
      </c>
      <c r="R5" s="376"/>
    </row>
    <row r="6" spans="1:18" s="103" customFormat="1" ht="21" customHeight="1">
      <c r="A6" s="620" t="s">
        <v>4</v>
      </c>
      <c r="B6" s="114">
        <v>5358</v>
      </c>
      <c r="C6" s="114">
        <v>4245</v>
      </c>
      <c r="D6" s="114">
        <v>3719</v>
      </c>
      <c r="E6" s="114">
        <v>3304</v>
      </c>
      <c r="F6" s="114">
        <v>2951</v>
      </c>
      <c r="G6" s="114">
        <v>3655</v>
      </c>
      <c r="H6" s="114">
        <v>4558</v>
      </c>
      <c r="I6" s="114">
        <v>4894</v>
      </c>
      <c r="J6" s="114">
        <v>4521</v>
      </c>
      <c r="K6" s="114">
        <v>5448</v>
      </c>
      <c r="L6" s="990">
        <v>1548</v>
      </c>
      <c r="M6" s="113">
        <v>1841</v>
      </c>
      <c r="N6" s="113">
        <v>784</v>
      </c>
      <c r="O6" s="113">
        <v>1097</v>
      </c>
      <c r="P6" s="113">
        <v>1219</v>
      </c>
      <c r="Q6" s="113">
        <v>747</v>
      </c>
      <c r="R6" s="344"/>
    </row>
    <row r="7" spans="1:18" s="103" customFormat="1" ht="21" customHeight="1">
      <c r="A7" s="620" t="s">
        <v>334</v>
      </c>
      <c r="B7" s="114">
        <f t="shared" ref="B7:O7" si="0">+B5-B6</f>
        <v>206677</v>
      </c>
      <c r="C7" s="114">
        <f t="shared" si="0"/>
        <v>211620</v>
      </c>
      <c r="D7" s="114">
        <f t="shared" si="0"/>
        <v>202869</v>
      </c>
      <c r="E7" s="114">
        <f t="shared" si="0"/>
        <v>206593</v>
      </c>
      <c r="F7" s="114">
        <f t="shared" si="0"/>
        <v>234820</v>
      </c>
      <c r="G7" s="114">
        <f t="shared" si="0"/>
        <v>241624</v>
      </c>
      <c r="H7" s="114">
        <f t="shared" si="0"/>
        <v>254421</v>
      </c>
      <c r="I7" s="114">
        <f t="shared" si="0"/>
        <v>245498</v>
      </c>
      <c r="J7" s="114">
        <f t="shared" si="0"/>
        <v>260272</v>
      </c>
      <c r="K7" s="114">
        <f t="shared" si="0"/>
        <v>268897</v>
      </c>
      <c r="L7" s="990">
        <f t="shared" si="0"/>
        <v>82584</v>
      </c>
      <c r="M7" s="113">
        <f t="shared" si="0"/>
        <v>82504</v>
      </c>
      <c r="N7" s="113">
        <f t="shared" si="0"/>
        <v>48614</v>
      </c>
      <c r="O7" s="113">
        <f t="shared" si="0"/>
        <v>53575</v>
      </c>
      <c r="P7" s="113">
        <f>+P5-P6</f>
        <v>53835</v>
      </c>
      <c r="Q7" s="113">
        <f>+Q5-Q6</f>
        <v>55851</v>
      </c>
      <c r="R7" s="339"/>
    </row>
    <row r="8" spans="1:18" s="103" customFormat="1" ht="5.0999999999999996" customHeight="1">
      <c r="A8" s="620"/>
      <c r="B8" s="114"/>
      <c r="C8" s="114"/>
      <c r="D8" s="114"/>
      <c r="E8" s="114"/>
      <c r="F8" s="114"/>
      <c r="G8" s="114"/>
      <c r="H8" s="114"/>
      <c r="I8" s="114"/>
      <c r="J8" s="114"/>
      <c r="K8" s="114"/>
      <c r="L8" s="990"/>
      <c r="M8" s="113"/>
      <c r="N8" s="113"/>
      <c r="O8" s="113"/>
      <c r="P8" s="113"/>
      <c r="Q8" s="113"/>
      <c r="R8" s="66"/>
    </row>
    <row r="9" spans="1:18" ht="25.5">
      <c r="A9" s="966" t="s">
        <v>341</v>
      </c>
      <c r="B9" s="949"/>
      <c r="C9" s="949"/>
      <c r="D9" s="949"/>
      <c r="E9" s="538"/>
      <c r="F9" s="538"/>
      <c r="G9" s="538"/>
      <c r="H9" s="538"/>
      <c r="I9" s="538"/>
      <c r="J9" s="538"/>
      <c r="K9" s="538"/>
      <c r="L9" s="999"/>
      <c r="M9" s="1000"/>
      <c r="N9" s="1000"/>
      <c r="O9" s="1000"/>
      <c r="P9" s="1000"/>
      <c r="Q9" s="1000"/>
      <c r="R9"/>
    </row>
    <row r="10" spans="1:18" ht="19.350000000000001" customHeight="1">
      <c r="A10" s="1007" t="s">
        <v>462</v>
      </c>
      <c r="B10" s="950">
        <v>73.599999999999994</v>
      </c>
      <c r="C10" s="950">
        <v>74.099999999999994</v>
      </c>
      <c r="D10" s="950">
        <v>70.099999999999994</v>
      </c>
      <c r="E10" s="951">
        <v>70.400000000000006</v>
      </c>
      <c r="F10" s="950">
        <v>78.900000000000006</v>
      </c>
      <c r="G10" s="951">
        <v>80.400000000000006</v>
      </c>
      <c r="H10" s="952">
        <v>84</v>
      </c>
      <c r="I10" s="952">
        <v>80.378424983876457</v>
      </c>
      <c r="J10" s="952">
        <v>87</v>
      </c>
      <c r="K10" s="952">
        <v>88.6</v>
      </c>
      <c r="L10" s="995">
        <v>26.655995650483664</v>
      </c>
      <c r="M10" s="996">
        <v>26.2500233416533</v>
      </c>
      <c r="N10" s="996">
        <v>15.1</v>
      </c>
      <c r="O10" s="996">
        <v>16.5</v>
      </c>
      <c r="P10" s="996">
        <v>16.5</v>
      </c>
      <c r="Q10" s="996">
        <v>16.8</v>
      </c>
      <c r="R10"/>
    </row>
    <row r="11" spans="1:18" ht="21" customHeight="1">
      <c r="A11" s="620" t="s">
        <v>4</v>
      </c>
      <c r="B11" s="953">
        <v>40.299999999999997</v>
      </c>
      <c r="C11" s="953">
        <v>31.7</v>
      </c>
      <c r="D11" s="953">
        <v>27.5</v>
      </c>
      <c r="E11" s="953">
        <v>24.2</v>
      </c>
      <c r="F11" s="953">
        <v>21.4</v>
      </c>
      <c r="G11" s="953">
        <v>26.3</v>
      </c>
      <c r="H11" s="953">
        <v>32.5</v>
      </c>
      <c r="I11" s="953">
        <v>34.571717594136231</v>
      </c>
      <c r="J11" s="953">
        <v>36.700000000000003</v>
      </c>
      <c r="K11" s="953">
        <v>44.2</v>
      </c>
      <c r="L11" s="991">
        <v>12.515806461002107</v>
      </c>
      <c r="M11" s="953">
        <v>14.85849323095151</v>
      </c>
      <c r="N11" s="953">
        <v>6.3</v>
      </c>
      <c r="O11" s="953">
        <v>8.9</v>
      </c>
      <c r="P11" s="953">
        <v>9.9</v>
      </c>
      <c r="Q11" s="953">
        <v>6.1</v>
      </c>
      <c r="R11"/>
    </row>
    <row r="12" spans="1:18" ht="5.0999999999999996" customHeight="1">
      <c r="A12" s="1008"/>
      <c r="B12" s="954"/>
      <c r="C12" s="954"/>
      <c r="D12" s="954"/>
      <c r="E12" s="955"/>
      <c r="F12" s="955"/>
      <c r="G12" s="955"/>
      <c r="H12" s="955"/>
      <c r="I12" s="956"/>
      <c r="J12" s="956"/>
      <c r="K12" s="956"/>
      <c r="L12" s="1001"/>
      <c r="M12" s="955"/>
      <c r="N12" s="955"/>
      <c r="O12" s="955"/>
      <c r="P12" s="955"/>
      <c r="Q12" s="955"/>
      <c r="R12"/>
    </row>
    <row r="13" spans="1:18" s="492" customFormat="1" ht="25.5">
      <c r="A13" s="1009" t="s">
        <v>340</v>
      </c>
      <c r="B13" s="957"/>
      <c r="C13" s="957"/>
      <c r="D13" s="957"/>
      <c r="E13" s="958"/>
      <c r="F13" s="958"/>
      <c r="G13" s="958"/>
      <c r="H13" s="958"/>
      <c r="I13" s="959"/>
      <c r="J13" s="959"/>
      <c r="K13" s="959"/>
      <c r="L13" s="1002"/>
      <c r="M13" s="958"/>
      <c r="N13" s="958"/>
      <c r="O13" s="958"/>
      <c r="P13" s="958"/>
      <c r="Q13" s="958"/>
      <c r="R13" s="960"/>
    </row>
    <row r="14" spans="1:18" ht="19.350000000000001" customHeight="1">
      <c r="A14" s="1007" t="s">
        <v>462</v>
      </c>
      <c r="B14" s="961">
        <v>151560</v>
      </c>
      <c r="C14" s="961">
        <v>160848</v>
      </c>
      <c r="D14" s="962">
        <v>181866</v>
      </c>
      <c r="E14" s="962">
        <v>240438</v>
      </c>
      <c r="F14" s="962">
        <v>271813</v>
      </c>
      <c r="G14" s="962">
        <v>299474</v>
      </c>
      <c r="H14" s="962">
        <v>326578</v>
      </c>
      <c r="I14" s="962">
        <v>287806</v>
      </c>
      <c r="J14" s="962">
        <v>277673</v>
      </c>
      <c r="K14" s="962">
        <v>292355</v>
      </c>
      <c r="L14" s="1003">
        <v>466088</v>
      </c>
      <c r="M14" s="961">
        <v>446508</v>
      </c>
      <c r="N14" s="961">
        <v>320819</v>
      </c>
      <c r="O14" s="961">
        <v>403071</v>
      </c>
      <c r="P14" s="961">
        <v>497581</v>
      </c>
      <c r="Q14" s="961">
        <v>653257</v>
      </c>
      <c r="R14"/>
    </row>
    <row r="15" spans="1:18" ht="21" customHeight="1">
      <c r="A15" s="963" t="s">
        <v>4</v>
      </c>
      <c r="B15" s="964">
        <v>1543</v>
      </c>
      <c r="C15" s="954">
        <v>1499</v>
      </c>
      <c r="D15" s="954">
        <v>1556</v>
      </c>
      <c r="E15" s="965">
        <v>1756</v>
      </c>
      <c r="F15" s="965">
        <v>2099</v>
      </c>
      <c r="G15" s="965">
        <v>2445</v>
      </c>
      <c r="H15" s="965">
        <v>4114</v>
      </c>
      <c r="I15" s="965">
        <v>2706</v>
      </c>
      <c r="J15" s="965">
        <v>2715</v>
      </c>
      <c r="K15" s="965">
        <v>3654</v>
      </c>
      <c r="L15" s="992">
        <v>5267</v>
      </c>
      <c r="M15" s="965">
        <v>6385</v>
      </c>
      <c r="N15" s="965">
        <v>5619</v>
      </c>
      <c r="O15" s="965">
        <v>7091</v>
      </c>
      <c r="P15" s="965">
        <v>7921</v>
      </c>
      <c r="Q15" s="965">
        <v>8185</v>
      </c>
      <c r="R15"/>
    </row>
    <row r="16" spans="1:18" ht="21" customHeight="1">
      <c r="A16" s="620" t="s">
        <v>334</v>
      </c>
      <c r="B16" s="114">
        <f t="shared" ref="B16:J16" si="1">+B14-B15</f>
        <v>150017</v>
      </c>
      <c r="C16" s="114">
        <f t="shared" si="1"/>
        <v>159349</v>
      </c>
      <c r="D16" s="114">
        <f t="shared" si="1"/>
        <v>180310</v>
      </c>
      <c r="E16" s="114">
        <f t="shared" si="1"/>
        <v>238682</v>
      </c>
      <c r="F16" s="114">
        <f t="shared" si="1"/>
        <v>269714</v>
      </c>
      <c r="G16" s="114">
        <f t="shared" si="1"/>
        <v>297029</v>
      </c>
      <c r="H16" s="114">
        <f t="shared" si="1"/>
        <v>322464</v>
      </c>
      <c r="I16" s="114">
        <f t="shared" si="1"/>
        <v>285100</v>
      </c>
      <c r="J16" s="114">
        <f t="shared" si="1"/>
        <v>274958</v>
      </c>
      <c r="K16" s="114">
        <f t="shared" ref="K16:P16" si="2">+K14-K15</f>
        <v>288701</v>
      </c>
      <c r="L16" s="990">
        <f t="shared" si="2"/>
        <v>460821</v>
      </c>
      <c r="M16" s="113">
        <f t="shared" si="2"/>
        <v>440123</v>
      </c>
      <c r="N16" s="113">
        <f t="shared" si="2"/>
        <v>315200</v>
      </c>
      <c r="O16" s="113">
        <f t="shared" si="2"/>
        <v>395980</v>
      </c>
      <c r="P16" s="113">
        <f t="shared" si="2"/>
        <v>489660</v>
      </c>
      <c r="Q16" s="113">
        <f>+Q14-Q15</f>
        <v>645072</v>
      </c>
      <c r="R16"/>
    </row>
    <row r="17" spans="1:18" ht="5.0999999999999996" customHeight="1">
      <c r="A17" s="620"/>
      <c r="B17" s="114"/>
      <c r="C17" s="114"/>
      <c r="D17" s="114"/>
      <c r="E17" s="114"/>
      <c r="F17" s="114"/>
      <c r="G17" s="114"/>
      <c r="H17" s="114"/>
      <c r="I17" s="114"/>
      <c r="J17" s="114"/>
      <c r="K17" s="114"/>
      <c r="L17" s="990"/>
      <c r="M17" s="113"/>
      <c r="N17" s="113"/>
      <c r="O17" s="113"/>
      <c r="P17" s="113"/>
      <c r="Q17" s="113"/>
      <c r="R17"/>
    </row>
    <row r="18" spans="1:18" s="492" customFormat="1" ht="38.25">
      <c r="A18" s="966" t="s">
        <v>339</v>
      </c>
      <c r="B18" s="967"/>
      <c r="C18" s="967"/>
      <c r="D18" s="967"/>
      <c r="E18" s="967"/>
      <c r="F18" s="967"/>
      <c r="G18" s="967"/>
      <c r="H18" s="967"/>
      <c r="I18" s="967"/>
      <c r="J18" s="967"/>
      <c r="K18" s="967"/>
      <c r="L18" s="1004"/>
      <c r="M18" s="1005"/>
      <c r="N18" s="1005"/>
      <c r="O18" s="1005"/>
      <c r="P18" s="1005"/>
      <c r="Q18" s="1005"/>
      <c r="R18" s="960"/>
    </row>
    <row r="19" spans="1:18" ht="19.350000000000001" customHeight="1">
      <c r="A19" s="1007" t="s">
        <v>462</v>
      </c>
      <c r="B19" s="968">
        <v>52.6</v>
      </c>
      <c r="C19" s="968">
        <v>55.2</v>
      </c>
      <c r="D19" s="968">
        <v>61.7</v>
      </c>
      <c r="E19" s="968">
        <v>80.690136626008609</v>
      </c>
      <c r="F19" s="968">
        <v>93.364300312003209</v>
      </c>
      <c r="G19" s="968">
        <v>102.06552896380418</v>
      </c>
      <c r="H19" s="968">
        <v>110.2692581215268</v>
      </c>
      <c r="I19" s="968">
        <v>116.5789556501512</v>
      </c>
      <c r="J19" s="968">
        <v>116.97662193239</v>
      </c>
      <c r="K19" s="968">
        <v>129.09830514909717</v>
      </c>
      <c r="L19" s="993">
        <v>147.67317668357617</v>
      </c>
      <c r="M19" s="968">
        <v>139</v>
      </c>
      <c r="N19" s="968">
        <v>98.3</v>
      </c>
      <c r="O19" s="968">
        <v>122</v>
      </c>
      <c r="P19" s="968">
        <v>149</v>
      </c>
      <c r="Q19" s="968">
        <v>167</v>
      </c>
      <c r="R19"/>
    </row>
    <row r="20" spans="1:18" ht="21" customHeight="1">
      <c r="A20" s="963" t="s">
        <v>4</v>
      </c>
      <c r="B20" s="969">
        <v>11.6</v>
      </c>
      <c r="C20" s="969">
        <v>11.2</v>
      </c>
      <c r="D20" s="969">
        <v>11.5</v>
      </c>
      <c r="E20" s="969">
        <v>12.866806569984876</v>
      </c>
      <c r="F20" s="969">
        <v>15.24193208735319</v>
      </c>
      <c r="G20" s="969">
        <v>17.593927828196914</v>
      </c>
      <c r="H20" s="969">
        <v>29.333416993702656</v>
      </c>
      <c r="I20" s="969">
        <v>23.410435657328865</v>
      </c>
      <c r="J20" s="969">
        <v>33.174771779122217</v>
      </c>
      <c r="K20" s="969">
        <v>29.149023168137056</v>
      </c>
      <c r="L20" s="991">
        <v>42.6</v>
      </c>
      <c r="M20" s="953">
        <v>51.5</v>
      </c>
      <c r="N20" s="953">
        <v>45.4</v>
      </c>
      <c r="O20" s="953">
        <v>57.5</v>
      </c>
      <c r="P20" s="953">
        <v>64.599999999999994</v>
      </c>
      <c r="Q20" s="953">
        <v>67.2</v>
      </c>
      <c r="R20"/>
    </row>
    <row r="21" spans="1:18" ht="5.0999999999999996" customHeight="1">
      <c r="A21" s="963"/>
      <c r="B21" s="969"/>
      <c r="C21" s="969"/>
      <c r="D21" s="969"/>
      <c r="E21" s="969"/>
      <c r="F21" s="969"/>
      <c r="G21" s="969"/>
      <c r="H21" s="969"/>
      <c r="I21" s="969"/>
      <c r="J21" s="969"/>
      <c r="K21" s="969"/>
      <c r="L21" s="991"/>
      <c r="M21" s="953"/>
      <c r="N21" s="953"/>
      <c r="O21" s="953"/>
      <c r="P21" s="953"/>
      <c r="Q21" s="953"/>
      <c r="R21"/>
    </row>
    <row r="22" spans="1:18" s="492" customFormat="1" ht="25.5">
      <c r="A22" s="970" t="s">
        <v>338</v>
      </c>
      <c r="B22" s="971"/>
      <c r="C22" s="971"/>
      <c r="D22" s="971"/>
      <c r="E22" s="971"/>
      <c r="F22" s="971"/>
      <c r="G22" s="971"/>
      <c r="H22" s="971"/>
      <c r="I22" s="971"/>
      <c r="J22" s="971"/>
      <c r="K22" s="971"/>
      <c r="L22" s="997"/>
      <c r="M22" s="998"/>
      <c r="N22" s="998"/>
      <c r="O22" s="998"/>
      <c r="P22" s="998"/>
      <c r="Q22" s="998"/>
      <c r="R22" s="960"/>
    </row>
    <row r="23" spans="1:18" ht="19.350000000000001" customHeight="1">
      <c r="A23" s="1007" t="s">
        <v>462</v>
      </c>
      <c r="B23" s="112">
        <v>60053</v>
      </c>
      <c r="C23" s="112">
        <v>66331</v>
      </c>
      <c r="D23" s="112">
        <v>75412</v>
      </c>
      <c r="E23" s="112">
        <v>74597</v>
      </c>
      <c r="F23" s="112">
        <v>92868</v>
      </c>
      <c r="G23" s="112">
        <v>91698</v>
      </c>
      <c r="H23" s="112">
        <v>95265</v>
      </c>
      <c r="I23" s="112">
        <v>96698</v>
      </c>
      <c r="J23" s="112">
        <v>111233</v>
      </c>
      <c r="K23" s="112">
        <v>135258</v>
      </c>
      <c r="L23" s="989">
        <v>150248</v>
      </c>
      <c r="M23" s="111">
        <v>162505</v>
      </c>
      <c r="N23" s="111">
        <v>178512</v>
      </c>
      <c r="O23" s="111">
        <v>173616</v>
      </c>
      <c r="P23" s="111">
        <v>195921</v>
      </c>
      <c r="Q23" s="111">
        <v>215159</v>
      </c>
      <c r="R23"/>
    </row>
    <row r="24" spans="1:18" ht="21" customHeight="1">
      <c r="A24" s="620" t="s">
        <v>4</v>
      </c>
      <c r="B24" s="114">
        <v>512</v>
      </c>
      <c r="C24" s="114">
        <v>465</v>
      </c>
      <c r="D24" s="114">
        <v>378</v>
      </c>
      <c r="E24" s="114">
        <v>594</v>
      </c>
      <c r="F24" s="114">
        <v>646</v>
      </c>
      <c r="G24" s="114">
        <v>589</v>
      </c>
      <c r="H24" s="114">
        <v>508</v>
      </c>
      <c r="I24" s="114">
        <v>1080</v>
      </c>
      <c r="J24" s="114">
        <v>1739</v>
      </c>
      <c r="K24" s="114">
        <v>2558</v>
      </c>
      <c r="L24" s="990">
        <v>2281</v>
      </c>
      <c r="M24" s="113">
        <v>3528</v>
      </c>
      <c r="N24" s="113">
        <v>2815</v>
      </c>
      <c r="O24" s="113">
        <v>2505</v>
      </c>
      <c r="P24" s="113">
        <v>4324</v>
      </c>
      <c r="Q24" s="113">
        <v>4371</v>
      </c>
      <c r="R24"/>
    </row>
    <row r="25" spans="1:18" ht="21" customHeight="1">
      <c r="A25" s="620" t="s">
        <v>334</v>
      </c>
      <c r="B25" s="114">
        <f t="shared" ref="B25:J25" si="3">+B23-B24</f>
        <v>59541</v>
      </c>
      <c r="C25" s="114">
        <f t="shared" si="3"/>
        <v>65866</v>
      </c>
      <c r="D25" s="114">
        <f t="shared" si="3"/>
        <v>75034</v>
      </c>
      <c r="E25" s="114">
        <f t="shared" si="3"/>
        <v>74003</v>
      </c>
      <c r="F25" s="114">
        <f t="shared" si="3"/>
        <v>92222</v>
      </c>
      <c r="G25" s="114">
        <f t="shared" si="3"/>
        <v>91109</v>
      </c>
      <c r="H25" s="114">
        <f t="shared" si="3"/>
        <v>94757</v>
      </c>
      <c r="I25" s="114">
        <f t="shared" si="3"/>
        <v>95618</v>
      </c>
      <c r="J25" s="114">
        <f t="shared" si="3"/>
        <v>109494</v>
      </c>
      <c r="K25" s="114">
        <f t="shared" ref="K25:P25" si="4">+K23-K24</f>
        <v>132700</v>
      </c>
      <c r="L25" s="990">
        <f t="shared" si="4"/>
        <v>147967</v>
      </c>
      <c r="M25" s="113">
        <f t="shared" si="4"/>
        <v>158977</v>
      </c>
      <c r="N25" s="113">
        <f t="shared" si="4"/>
        <v>175697</v>
      </c>
      <c r="O25" s="113">
        <f t="shared" si="4"/>
        <v>171111</v>
      </c>
      <c r="P25" s="113">
        <f t="shared" si="4"/>
        <v>191597</v>
      </c>
      <c r="Q25" s="113">
        <f>+Q23-Q24</f>
        <v>210788</v>
      </c>
      <c r="R25"/>
    </row>
    <row r="26" spans="1:18" ht="5.0999999999999996" customHeight="1">
      <c r="A26" s="620"/>
      <c r="B26" s="114"/>
      <c r="C26" s="114"/>
      <c r="D26" s="114"/>
      <c r="E26" s="114"/>
      <c r="F26" s="114"/>
      <c r="G26" s="114"/>
      <c r="H26" s="114"/>
      <c r="I26" s="114"/>
      <c r="J26" s="114"/>
      <c r="K26" s="114"/>
      <c r="L26" s="990"/>
      <c r="M26" s="113"/>
      <c r="N26" s="113"/>
      <c r="O26" s="113"/>
      <c r="P26" s="113"/>
      <c r="Q26" s="113"/>
      <c r="R26"/>
    </row>
    <row r="27" spans="1:18" ht="38.25">
      <c r="A27" s="970" t="s">
        <v>337</v>
      </c>
      <c r="B27" s="114"/>
      <c r="C27" s="114"/>
      <c r="D27" s="114"/>
      <c r="E27" s="114"/>
      <c r="F27" s="114"/>
      <c r="G27" s="114"/>
      <c r="H27" s="114"/>
      <c r="I27" s="114"/>
      <c r="J27" s="114"/>
      <c r="K27" s="114"/>
      <c r="L27" s="990"/>
      <c r="M27" s="113"/>
      <c r="N27" s="113"/>
      <c r="O27" s="113"/>
      <c r="P27" s="113"/>
      <c r="Q27" s="113"/>
      <c r="R27"/>
    </row>
    <row r="28" spans="1:18" ht="19.350000000000001" customHeight="1">
      <c r="A28" s="1007" t="s">
        <v>462</v>
      </c>
      <c r="B28" s="112">
        <v>1802</v>
      </c>
      <c r="C28" s="112">
        <v>1937</v>
      </c>
      <c r="D28" s="112">
        <v>2221</v>
      </c>
      <c r="E28" s="112">
        <v>2520</v>
      </c>
      <c r="F28" s="112">
        <v>2690</v>
      </c>
      <c r="G28" s="112">
        <v>2606</v>
      </c>
      <c r="H28" s="112">
        <v>2288</v>
      </c>
      <c r="I28" s="112">
        <v>2108</v>
      </c>
      <c r="J28" s="112">
        <v>2543</v>
      </c>
      <c r="K28" s="112">
        <v>2761</v>
      </c>
      <c r="L28" s="989">
        <v>2970</v>
      </c>
      <c r="M28" s="111">
        <v>3186</v>
      </c>
      <c r="N28" s="111">
        <v>1725</v>
      </c>
      <c r="O28" s="111">
        <v>2059</v>
      </c>
      <c r="P28" s="111">
        <v>2668</v>
      </c>
      <c r="Q28" s="111">
        <v>2860</v>
      </c>
      <c r="R28"/>
    </row>
    <row r="29" spans="1:18" ht="21" customHeight="1">
      <c r="A29" s="620" t="s">
        <v>4</v>
      </c>
      <c r="B29" s="114">
        <v>63</v>
      </c>
      <c r="C29" s="114">
        <v>57</v>
      </c>
      <c r="D29" s="114">
        <v>59</v>
      </c>
      <c r="E29" s="66">
        <v>59</v>
      </c>
      <c r="F29" s="66">
        <v>31</v>
      </c>
      <c r="G29" s="114">
        <v>41</v>
      </c>
      <c r="H29" s="114">
        <v>47</v>
      </c>
      <c r="I29" s="972">
        <v>30</v>
      </c>
      <c r="J29" s="972">
        <v>20</v>
      </c>
      <c r="K29" s="972">
        <v>35</v>
      </c>
      <c r="L29" s="1006">
        <v>28</v>
      </c>
      <c r="M29" s="127">
        <v>17</v>
      </c>
      <c r="N29" s="127">
        <v>18</v>
      </c>
      <c r="O29" s="127">
        <v>16</v>
      </c>
      <c r="P29" s="127">
        <v>36</v>
      </c>
      <c r="Q29" s="127">
        <v>29</v>
      </c>
      <c r="R29"/>
    </row>
    <row r="30" spans="1:18" ht="21" customHeight="1">
      <c r="A30" s="620" t="s">
        <v>334</v>
      </c>
      <c r="B30" s="114">
        <v>1739</v>
      </c>
      <c r="C30" s="114">
        <v>1880</v>
      </c>
      <c r="D30" s="114">
        <v>2162</v>
      </c>
      <c r="E30" s="114">
        <v>2461</v>
      </c>
      <c r="F30" s="114">
        <v>2659</v>
      </c>
      <c r="G30" s="114">
        <v>2565</v>
      </c>
      <c r="H30" s="114">
        <v>2241</v>
      </c>
      <c r="I30" s="114">
        <v>2078</v>
      </c>
      <c r="J30" s="114">
        <f t="shared" ref="J30:O30" si="5">+J28-J29</f>
        <v>2523</v>
      </c>
      <c r="K30" s="114">
        <f t="shared" si="5"/>
        <v>2726</v>
      </c>
      <c r="L30" s="990">
        <f t="shared" si="5"/>
        <v>2942</v>
      </c>
      <c r="M30" s="113">
        <f t="shared" si="5"/>
        <v>3169</v>
      </c>
      <c r="N30" s="113">
        <f t="shared" si="5"/>
        <v>1707</v>
      </c>
      <c r="O30" s="113">
        <f t="shared" si="5"/>
        <v>2043</v>
      </c>
      <c r="P30" s="113">
        <f>+P28-P29</f>
        <v>2632</v>
      </c>
      <c r="Q30" s="113">
        <f>+Q28-Q29</f>
        <v>2831</v>
      </c>
      <c r="R30"/>
    </row>
    <row r="31" spans="1:18" ht="5.0999999999999996" customHeight="1">
      <c r="A31" s="620"/>
      <c r="B31" s="114"/>
      <c r="C31" s="114"/>
      <c r="D31" s="114"/>
      <c r="E31" s="114"/>
      <c r="F31" s="114"/>
      <c r="G31" s="114"/>
      <c r="H31" s="114"/>
      <c r="I31" s="114"/>
      <c r="J31" s="114"/>
      <c r="K31" s="114"/>
      <c r="L31" s="990"/>
      <c r="M31" s="113"/>
      <c r="N31" s="113"/>
      <c r="O31" s="113"/>
      <c r="P31" s="113"/>
      <c r="Q31" s="113"/>
      <c r="R31"/>
    </row>
    <row r="32" spans="1:18" s="492" customFormat="1" ht="25.5">
      <c r="A32" s="970" t="s">
        <v>336</v>
      </c>
      <c r="B32" s="967"/>
      <c r="C32" s="967"/>
      <c r="D32" s="967"/>
      <c r="E32" s="967"/>
      <c r="F32" s="967"/>
      <c r="G32" s="967"/>
      <c r="H32" s="967"/>
      <c r="I32" s="967"/>
      <c r="J32" s="967"/>
      <c r="K32" s="967"/>
      <c r="L32" s="1004"/>
      <c r="M32" s="1005"/>
      <c r="N32" s="1005"/>
      <c r="O32" s="1005"/>
      <c r="P32" s="1005"/>
      <c r="Q32" s="1005"/>
      <c r="R32" s="960"/>
    </row>
    <row r="33" spans="1:18" ht="19.350000000000001" customHeight="1">
      <c r="A33" s="1007" t="s">
        <v>462</v>
      </c>
      <c r="B33" s="112">
        <v>10490</v>
      </c>
      <c r="C33" s="112">
        <v>9428</v>
      </c>
      <c r="D33" s="112">
        <v>8674</v>
      </c>
      <c r="E33" s="112">
        <v>11922</v>
      </c>
      <c r="F33" s="112">
        <v>18901</v>
      </c>
      <c r="G33" s="112">
        <v>16348</v>
      </c>
      <c r="H33" s="112">
        <v>14769</v>
      </c>
      <c r="I33" s="112">
        <v>12464</v>
      </c>
      <c r="J33" s="112">
        <v>10983</v>
      </c>
      <c r="K33" s="112">
        <v>9606</v>
      </c>
      <c r="L33" s="989">
        <v>4927</v>
      </c>
      <c r="M33" s="111">
        <v>4031</v>
      </c>
      <c r="N33" s="111">
        <v>1312</v>
      </c>
      <c r="O33" s="111">
        <v>966</v>
      </c>
      <c r="P33" s="111">
        <v>4950</v>
      </c>
      <c r="Q33" s="111">
        <v>5349</v>
      </c>
      <c r="R33"/>
    </row>
    <row r="34" spans="1:18" ht="21" customHeight="1">
      <c r="A34" s="620" t="s">
        <v>4</v>
      </c>
      <c r="B34" s="114">
        <v>815</v>
      </c>
      <c r="C34" s="114">
        <v>589</v>
      </c>
      <c r="D34" s="114">
        <v>443</v>
      </c>
      <c r="E34" s="114">
        <v>322</v>
      </c>
      <c r="F34" s="114">
        <v>777</v>
      </c>
      <c r="G34" s="66">
        <v>364</v>
      </c>
      <c r="H34" s="66">
        <v>416</v>
      </c>
      <c r="I34" s="66">
        <v>584</v>
      </c>
      <c r="J34" s="114">
        <v>455</v>
      </c>
      <c r="K34" s="114">
        <v>243</v>
      </c>
      <c r="L34" s="990">
        <v>4</v>
      </c>
      <c r="M34" s="113">
        <v>42</v>
      </c>
      <c r="N34" s="113">
        <v>33</v>
      </c>
      <c r="O34" s="113">
        <v>30</v>
      </c>
      <c r="P34" s="113">
        <v>72</v>
      </c>
      <c r="Q34" s="113">
        <v>85</v>
      </c>
      <c r="R34"/>
    </row>
    <row r="35" spans="1:18" ht="21" customHeight="1">
      <c r="A35" s="620" t="s">
        <v>334</v>
      </c>
      <c r="B35" s="114">
        <v>9675</v>
      </c>
      <c r="C35" s="114">
        <v>8839</v>
      </c>
      <c r="D35" s="114">
        <v>8231</v>
      </c>
      <c r="E35" s="114">
        <v>11600</v>
      </c>
      <c r="F35" s="114">
        <v>18124</v>
      </c>
      <c r="G35" s="114">
        <v>15984</v>
      </c>
      <c r="H35" s="114">
        <v>14353</v>
      </c>
      <c r="I35" s="114">
        <v>11880</v>
      </c>
      <c r="J35" s="114">
        <v>10528</v>
      </c>
      <c r="K35" s="114">
        <v>9363</v>
      </c>
      <c r="L35" s="990">
        <f>L33-L34</f>
        <v>4923</v>
      </c>
      <c r="M35" s="113">
        <f>M33-M34</f>
        <v>3989</v>
      </c>
      <c r="N35" s="113">
        <f>N33-N34</f>
        <v>1279</v>
      </c>
      <c r="O35" s="113">
        <f>O33-O34</f>
        <v>936</v>
      </c>
      <c r="P35" s="113">
        <f>P33-P34</f>
        <v>4878</v>
      </c>
      <c r="Q35" s="113">
        <f>+Q33-Q34</f>
        <v>5264</v>
      </c>
      <c r="R35"/>
    </row>
    <row r="36" spans="1:18" ht="5.0999999999999996" customHeight="1">
      <c r="A36" s="673"/>
      <c r="B36" s="674"/>
      <c r="C36" s="675"/>
      <c r="D36" s="675"/>
      <c r="E36" s="676"/>
      <c r="F36" s="676"/>
      <c r="G36" s="676"/>
      <c r="H36" s="676"/>
      <c r="I36" s="676"/>
      <c r="J36" s="676"/>
      <c r="K36" s="676"/>
      <c r="L36" s="994"/>
      <c r="M36" s="676"/>
      <c r="N36" s="676"/>
      <c r="O36" s="676"/>
      <c r="P36" s="676"/>
      <c r="Q36" s="676"/>
    </row>
    <row r="37" spans="1:18" s="822" customFormat="1" ht="11.1" customHeight="1">
      <c r="A37" s="104" t="s">
        <v>522</v>
      </c>
      <c r="B37" s="104"/>
      <c r="C37" s="104"/>
      <c r="D37" s="104"/>
      <c r="E37" s="104"/>
      <c r="F37" s="104"/>
      <c r="G37" s="104"/>
      <c r="H37" s="104"/>
      <c r="I37" s="104"/>
      <c r="J37" s="104"/>
      <c r="K37" s="104"/>
      <c r="L37" s="104"/>
      <c r="M37" s="104"/>
      <c r="N37" s="104"/>
      <c r="O37" s="104"/>
      <c r="P37" s="104"/>
    </row>
    <row r="38" spans="1:18" s="822" customFormat="1" ht="11.1" customHeight="1">
      <c r="A38" s="1132" t="s">
        <v>523</v>
      </c>
      <c r="B38" s="1132"/>
      <c r="C38" s="1132"/>
      <c r="D38" s="1132"/>
      <c r="E38" s="1132"/>
      <c r="F38" s="1132"/>
      <c r="G38" s="1132"/>
      <c r="H38" s="1132"/>
      <c r="I38" s="1132"/>
      <c r="J38" s="1132"/>
      <c r="K38" s="1132"/>
      <c r="L38" s="1132"/>
      <c r="M38" s="1132"/>
      <c r="N38" s="1132"/>
      <c r="O38" s="1132"/>
      <c r="P38" s="1132"/>
    </row>
    <row r="39" spans="1:18" s="822" customFormat="1" ht="11.1" customHeight="1">
      <c r="A39" s="1132"/>
      <c r="B39" s="1132"/>
      <c r="C39" s="1132"/>
      <c r="D39" s="1132"/>
      <c r="E39" s="1132"/>
      <c r="F39" s="1132"/>
      <c r="G39" s="1132"/>
      <c r="H39" s="1132"/>
      <c r="I39" s="1132"/>
      <c r="J39" s="1132"/>
      <c r="K39" s="1132"/>
      <c r="L39" s="1132"/>
      <c r="M39" s="1132"/>
      <c r="N39" s="1132"/>
      <c r="O39" s="1132"/>
      <c r="P39" s="1132"/>
    </row>
    <row r="40" spans="1:18" s="822" customFormat="1" ht="11.1" customHeight="1">
      <c r="A40" s="677" t="s">
        <v>561</v>
      </c>
      <c r="B40" s="677"/>
      <c r="C40" s="677"/>
      <c r="D40" s="677"/>
      <c r="E40" s="677"/>
      <c r="F40" s="677"/>
      <c r="G40" s="677"/>
      <c r="H40" s="677"/>
      <c r="I40" s="677"/>
      <c r="J40" s="677"/>
      <c r="K40" s="677"/>
      <c r="L40" s="677"/>
      <c r="M40" s="677"/>
      <c r="N40" s="677"/>
      <c r="O40" s="823"/>
      <c r="P40" s="823"/>
    </row>
    <row r="42" spans="1:18" ht="12.75" customHeight="1">
      <c r="A42" s="602"/>
      <c r="B42" s="603"/>
      <c r="C42" s="603"/>
      <c r="D42" s="603"/>
      <c r="E42" s="603"/>
      <c r="F42" s="603"/>
      <c r="G42" s="603"/>
      <c r="H42" s="603"/>
      <c r="I42" s="603"/>
      <c r="J42" s="603"/>
      <c r="K42" s="603"/>
      <c r="L42" s="603"/>
      <c r="M42" s="603"/>
      <c r="N42" s="604"/>
      <c r="O42" s="604"/>
      <c r="P42" s="604"/>
    </row>
    <row r="43" spans="1:18" s="149" customFormat="1" ht="9" customHeight="1">
      <c r="A43" s="354"/>
      <c r="B43" s="354"/>
      <c r="C43" s="354"/>
      <c r="D43" s="340"/>
      <c r="E43" s="340"/>
      <c r="F43" s="340"/>
    </row>
  </sheetData>
  <mergeCells count="2">
    <mergeCell ref="A38:P39"/>
    <mergeCell ref="A1:Q1"/>
  </mergeCells>
  <pageMargins left="0.78740157480314965" right="0.78740157480314965" top="0.98425196850393704" bottom="0.98425196850393704" header="0.31496062992125984" footer="0"/>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zoomScaleNormal="100" workbookViewId="0">
      <selection activeCell="Q23" sqref="Q23"/>
    </sheetView>
  </sheetViews>
  <sheetFormatPr baseColWidth="10" defaultColWidth="11.42578125" defaultRowHeight="12.75"/>
  <cols>
    <col min="1" max="1" width="18.28515625" style="399" customWidth="1"/>
    <col min="2" max="4" width="10.28515625" style="399" hidden="1" customWidth="1"/>
    <col min="5" max="5" width="10.7109375" style="399" hidden="1" customWidth="1"/>
    <col min="6" max="7" width="8.7109375" style="399" hidden="1" customWidth="1"/>
    <col min="8" max="13" width="10.7109375" style="399" customWidth="1"/>
    <col min="14" max="16384" width="11.42578125" style="399"/>
  </cols>
  <sheetData>
    <row r="1" spans="1:13" ht="27.75" customHeight="1">
      <c r="A1" s="1210" t="s">
        <v>564</v>
      </c>
      <c r="B1" s="1210"/>
      <c r="C1" s="1210"/>
      <c r="D1" s="1210"/>
      <c r="E1" s="1210"/>
      <c r="F1" s="1210"/>
      <c r="G1" s="1210"/>
      <c r="H1" s="1210"/>
      <c r="I1" s="1210"/>
      <c r="J1" s="1210"/>
      <c r="K1" s="1210"/>
      <c r="L1" s="1210"/>
      <c r="M1" s="1210"/>
    </row>
    <row r="2" spans="1:13" ht="13.5" customHeight="1">
      <c r="A2" s="918" t="s">
        <v>471</v>
      </c>
    </row>
    <row r="3" spans="1:13" ht="5.0999999999999996" customHeight="1">
      <c r="A3" s="918"/>
    </row>
    <row r="4" spans="1:13" ht="23.1" customHeight="1">
      <c r="A4" s="1206" t="s">
        <v>266</v>
      </c>
      <c r="B4" s="1208" t="s">
        <v>354</v>
      </c>
      <c r="C4" s="1209"/>
      <c r="D4" s="1209"/>
      <c r="E4" s="1209"/>
      <c r="F4" s="1209"/>
      <c r="G4" s="1209"/>
      <c r="H4" s="1209"/>
      <c r="I4" s="1209"/>
      <c r="J4" s="1209"/>
      <c r="K4" s="1209"/>
      <c r="L4" s="1209"/>
      <c r="M4" s="1209"/>
    </row>
    <row r="5" spans="1:13" ht="23.1" customHeight="1">
      <c r="A5" s="1207"/>
      <c r="B5" s="424">
        <v>2012</v>
      </c>
      <c r="C5" s="424">
        <v>2013</v>
      </c>
      <c r="D5" s="424">
        <v>2014</v>
      </c>
      <c r="E5" s="424">
        <v>2015</v>
      </c>
      <c r="F5" s="424">
        <v>2016</v>
      </c>
      <c r="G5" s="424">
        <v>2017</v>
      </c>
      <c r="H5" s="424">
        <v>2018</v>
      </c>
      <c r="I5" s="424">
        <v>2019</v>
      </c>
      <c r="J5" s="424">
        <v>2020</v>
      </c>
      <c r="K5" s="424">
        <v>2021</v>
      </c>
      <c r="L5" s="424">
        <v>2022</v>
      </c>
      <c r="M5" s="424">
        <v>2023</v>
      </c>
    </row>
    <row r="6" spans="1:13" ht="24" customHeight="1">
      <c r="A6" s="590" t="s">
        <v>355</v>
      </c>
      <c r="B6" s="426"/>
      <c r="C6" s="427"/>
      <c r="D6" s="427"/>
      <c r="E6" s="427"/>
      <c r="F6" s="427"/>
      <c r="G6" s="427"/>
      <c r="H6" s="427"/>
      <c r="I6" s="427"/>
      <c r="J6" s="427"/>
      <c r="K6" s="427"/>
      <c r="L6" s="427"/>
      <c r="M6" s="427"/>
    </row>
    <row r="7" spans="1:13" ht="23.1" customHeight="1">
      <c r="A7" s="490" t="s">
        <v>462</v>
      </c>
      <c r="B7" s="428">
        <v>14013</v>
      </c>
      <c r="C7" s="331">
        <v>12942</v>
      </c>
      <c r="D7" s="331">
        <v>14869</v>
      </c>
      <c r="E7" s="331">
        <v>15000</v>
      </c>
      <c r="F7" s="331">
        <v>14703</v>
      </c>
      <c r="G7" s="331">
        <v>16194</v>
      </c>
      <c r="H7" s="331">
        <v>17904</v>
      </c>
      <c r="I7" s="331">
        <v>20139</v>
      </c>
      <c r="J7" s="331">
        <v>14038</v>
      </c>
      <c r="K7" s="331">
        <v>23381</v>
      </c>
      <c r="L7" s="331">
        <v>23954</v>
      </c>
      <c r="M7" s="331" t="s">
        <v>117</v>
      </c>
    </row>
    <row r="8" spans="1:13" ht="23.1" customHeight="1">
      <c r="A8" s="429" t="s">
        <v>4</v>
      </c>
      <c r="B8" s="430">
        <v>603</v>
      </c>
      <c r="C8" s="332">
        <v>300</v>
      </c>
      <c r="D8" s="332">
        <v>214</v>
      </c>
      <c r="E8" s="724">
        <v>265</v>
      </c>
      <c r="F8" s="724">
        <v>222</v>
      </c>
      <c r="G8" s="724">
        <v>258</v>
      </c>
      <c r="H8" s="724">
        <v>524</v>
      </c>
      <c r="I8" s="724">
        <v>499</v>
      </c>
      <c r="J8" s="724">
        <v>403</v>
      </c>
      <c r="K8" s="724">
        <v>845</v>
      </c>
      <c r="L8" s="724">
        <v>808</v>
      </c>
      <c r="M8" s="724">
        <v>711</v>
      </c>
    </row>
    <row r="9" spans="1:13" ht="23.1" customHeight="1">
      <c r="A9" s="429" t="s">
        <v>356</v>
      </c>
      <c r="B9" s="430">
        <f t="shared" ref="B9:L9" si="0">+B7-B8</f>
        <v>13410</v>
      </c>
      <c r="C9" s="332">
        <f t="shared" si="0"/>
        <v>12642</v>
      </c>
      <c r="D9" s="332">
        <f t="shared" si="0"/>
        <v>14655</v>
      </c>
      <c r="E9" s="332">
        <f t="shared" si="0"/>
        <v>14735</v>
      </c>
      <c r="F9" s="332">
        <f t="shared" si="0"/>
        <v>14481</v>
      </c>
      <c r="G9" s="332">
        <f t="shared" si="0"/>
        <v>15936</v>
      </c>
      <c r="H9" s="332">
        <f t="shared" si="0"/>
        <v>17380</v>
      </c>
      <c r="I9" s="332">
        <f t="shared" si="0"/>
        <v>19640</v>
      </c>
      <c r="J9" s="332">
        <f>+J7-J8</f>
        <v>13635</v>
      </c>
      <c r="K9" s="332">
        <f t="shared" si="0"/>
        <v>22536</v>
      </c>
      <c r="L9" s="332">
        <f t="shared" si="0"/>
        <v>23146</v>
      </c>
      <c r="M9" s="332" t="s">
        <v>117</v>
      </c>
    </row>
    <row r="10" spans="1:13" ht="23.1" customHeight="1">
      <c r="A10" s="425" t="s">
        <v>376</v>
      </c>
      <c r="B10" s="426"/>
      <c r="C10" s="427"/>
      <c r="D10" s="427"/>
      <c r="E10" s="427"/>
      <c r="F10" s="427"/>
      <c r="G10" s="427"/>
      <c r="H10" s="427"/>
      <c r="I10" s="427"/>
      <c r="J10" s="427"/>
      <c r="K10" s="427"/>
      <c r="L10" s="427"/>
      <c r="M10" s="427"/>
    </row>
    <row r="11" spans="1:13" ht="23.1" customHeight="1">
      <c r="A11" s="490" t="s">
        <v>462</v>
      </c>
      <c r="B11" s="428">
        <v>13410</v>
      </c>
      <c r="C11" s="331">
        <v>13099</v>
      </c>
      <c r="D11" s="331">
        <v>14036</v>
      </c>
      <c r="E11" s="331">
        <v>14717</v>
      </c>
      <c r="F11" s="331">
        <v>14584</v>
      </c>
      <c r="G11" s="331">
        <v>16256</v>
      </c>
      <c r="H11" s="331">
        <v>17755</v>
      </c>
      <c r="I11" s="331">
        <v>20608</v>
      </c>
      <c r="J11" s="331">
        <v>15754</v>
      </c>
      <c r="K11" s="331">
        <v>24627</v>
      </c>
      <c r="L11" s="331">
        <v>29546</v>
      </c>
      <c r="M11" s="331" t="s">
        <v>117</v>
      </c>
    </row>
    <row r="12" spans="1:13" ht="23.1" customHeight="1">
      <c r="A12" s="429" t="s">
        <v>4</v>
      </c>
      <c r="B12" s="428">
        <v>207</v>
      </c>
      <c r="C12" s="332">
        <v>169</v>
      </c>
      <c r="D12" s="332">
        <v>216</v>
      </c>
      <c r="E12" s="332">
        <v>220</v>
      </c>
      <c r="F12" s="332">
        <v>178</v>
      </c>
      <c r="G12" s="332">
        <v>170</v>
      </c>
      <c r="H12" s="332">
        <v>201</v>
      </c>
      <c r="I12" s="344">
        <v>305</v>
      </c>
      <c r="J12" s="344">
        <v>198</v>
      </c>
      <c r="K12" s="344">
        <v>466</v>
      </c>
      <c r="L12" s="344">
        <v>475</v>
      </c>
      <c r="M12" s="344">
        <v>2668</v>
      </c>
    </row>
    <row r="13" spans="1:13" ht="23.1" customHeight="1">
      <c r="A13" s="429" t="s">
        <v>356</v>
      </c>
      <c r="B13" s="430">
        <f t="shared" ref="B13:L13" si="1">+B11-B12</f>
        <v>13203</v>
      </c>
      <c r="C13" s="332">
        <f t="shared" si="1"/>
        <v>12930</v>
      </c>
      <c r="D13" s="332">
        <f t="shared" si="1"/>
        <v>13820</v>
      </c>
      <c r="E13" s="332">
        <f t="shared" si="1"/>
        <v>14497</v>
      </c>
      <c r="F13" s="332">
        <f t="shared" si="1"/>
        <v>14406</v>
      </c>
      <c r="G13" s="332">
        <f t="shared" si="1"/>
        <v>16086</v>
      </c>
      <c r="H13" s="332">
        <f t="shared" si="1"/>
        <v>17554</v>
      </c>
      <c r="I13" s="332">
        <f t="shared" si="1"/>
        <v>20303</v>
      </c>
      <c r="J13" s="332">
        <f t="shared" si="1"/>
        <v>15556</v>
      </c>
      <c r="K13" s="332">
        <f t="shared" si="1"/>
        <v>24161</v>
      </c>
      <c r="L13" s="332">
        <f t="shared" si="1"/>
        <v>29071</v>
      </c>
      <c r="M13" s="332" t="s">
        <v>117</v>
      </c>
    </row>
    <row r="14" spans="1:13" ht="23.1" customHeight="1">
      <c r="A14" s="431" t="s">
        <v>357</v>
      </c>
      <c r="B14" s="430"/>
      <c r="C14" s="332"/>
      <c r="D14" s="332"/>
      <c r="E14" s="332"/>
      <c r="F14" s="332"/>
      <c r="G14" s="332"/>
      <c r="H14" s="332"/>
      <c r="I14" s="332"/>
      <c r="J14" s="332"/>
      <c r="K14" s="332"/>
      <c r="L14" s="332"/>
      <c r="M14" s="332"/>
    </row>
    <row r="15" spans="1:13" ht="23.1" customHeight="1">
      <c r="A15" s="490" t="s">
        <v>462</v>
      </c>
      <c r="B15" s="428">
        <v>51392</v>
      </c>
      <c r="C15" s="331">
        <v>56318</v>
      </c>
      <c r="D15" s="331">
        <v>60489</v>
      </c>
      <c r="E15" s="331">
        <v>67638</v>
      </c>
      <c r="F15" s="331">
        <v>75487</v>
      </c>
      <c r="G15" s="331">
        <v>89943</v>
      </c>
      <c r="H15" s="331">
        <v>115295</v>
      </c>
      <c r="I15" s="331">
        <v>132159</v>
      </c>
      <c r="J15" s="331">
        <v>74879</v>
      </c>
      <c r="K15" s="331">
        <v>106586</v>
      </c>
      <c r="L15" s="331">
        <v>129162</v>
      </c>
      <c r="M15" s="331" t="s">
        <v>117</v>
      </c>
    </row>
    <row r="16" spans="1:13" ht="23.1" customHeight="1">
      <c r="A16" s="429" t="s">
        <v>4</v>
      </c>
      <c r="B16" s="428">
        <v>1266</v>
      </c>
      <c r="C16" s="332">
        <v>1228</v>
      </c>
      <c r="D16" s="332">
        <v>1510</v>
      </c>
      <c r="E16" s="332">
        <v>1519</v>
      </c>
      <c r="F16" s="332">
        <v>1826</v>
      </c>
      <c r="G16" s="332">
        <v>1458</v>
      </c>
      <c r="H16" s="332">
        <v>1918</v>
      </c>
      <c r="I16" s="344">
        <v>2139</v>
      </c>
      <c r="J16" s="344">
        <v>1224</v>
      </c>
      <c r="K16" s="344">
        <v>2306</v>
      </c>
      <c r="L16" s="344">
        <v>2426</v>
      </c>
      <c r="M16" s="344">
        <v>835</v>
      </c>
    </row>
    <row r="17" spans="1:13" ht="23.1" customHeight="1">
      <c r="A17" s="429" t="s">
        <v>356</v>
      </c>
      <c r="B17" s="430">
        <f t="shared" ref="B17:L17" si="2">+B15-B16</f>
        <v>50126</v>
      </c>
      <c r="C17" s="332">
        <f t="shared" si="2"/>
        <v>55090</v>
      </c>
      <c r="D17" s="332">
        <f t="shared" si="2"/>
        <v>58979</v>
      </c>
      <c r="E17" s="332">
        <f t="shared" si="2"/>
        <v>66119</v>
      </c>
      <c r="F17" s="332">
        <f t="shared" si="2"/>
        <v>73661</v>
      </c>
      <c r="G17" s="332">
        <f t="shared" si="2"/>
        <v>88485</v>
      </c>
      <c r="H17" s="332">
        <f t="shared" si="2"/>
        <v>113377</v>
      </c>
      <c r="I17" s="332">
        <f t="shared" si="2"/>
        <v>130020</v>
      </c>
      <c r="J17" s="332">
        <f t="shared" si="2"/>
        <v>73655</v>
      </c>
      <c r="K17" s="332">
        <f t="shared" si="2"/>
        <v>104280</v>
      </c>
      <c r="L17" s="332">
        <f t="shared" si="2"/>
        <v>126736</v>
      </c>
      <c r="M17" s="332" t="s">
        <v>117</v>
      </c>
    </row>
    <row r="18" spans="1:13" ht="23.1" customHeight="1">
      <c r="A18" s="431" t="s">
        <v>358</v>
      </c>
      <c r="B18" s="430"/>
      <c r="C18" s="332"/>
      <c r="D18" s="332"/>
      <c r="E18" s="332"/>
      <c r="F18" s="332"/>
      <c r="G18" s="332"/>
      <c r="H18" s="332"/>
      <c r="I18" s="332"/>
      <c r="J18" s="332"/>
      <c r="K18" s="332"/>
      <c r="L18" s="332"/>
      <c r="M18" s="332"/>
    </row>
    <row r="19" spans="1:13" ht="23.1" customHeight="1">
      <c r="A19" s="490" t="s">
        <v>462</v>
      </c>
      <c r="B19" s="428">
        <v>34430</v>
      </c>
      <c r="C19" s="331">
        <v>38148</v>
      </c>
      <c r="D19" s="331">
        <v>39534</v>
      </c>
      <c r="E19" s="331">
        <v>38455</v>
      </c>
      <c r="F19" s="331">
        <v>40297</v>
      </c>
      <c r="G19" s="331">
        <v>41088</v>
      </c>
      <c r="H19" s="331">
        <v>66872</v>
      </c>
      <c r="I19" s="331">
        <v>81033</v>
      </c>
      <c r="J19" s="331">
        <v>37014</v>
      </c>
      <c r="K19" s="331">
        <v>49176</v>
      </c>
      <c r="L19" s="331">
        <v>62446</v>
      </c>
      <c r="M19" s="331" t="s">
        <v>117</v>
      </c>
    </row>
    <row r="20" spans="1:13" ht="23.1" customHeight="1">
      <c r="A20" s="429" t="s">
        <v>4</v>
      </c>
      <c r="B20" s="428">
        <v>470</v>
      </c>
      <c r="C20" s="332">
        <v>328</v>
      </c>
      <c r="D20" s="332">
        <v>384</v>
      </c>
      <c r="E20" s="332">
        <v>448</v>
      </c>
      <c r="F20" s="332">
        <v>530</v>
      </c>
      <c r="G20" s="332">
        <v>434</v>
      </c>
      <c r="H20" s="332">
        <v>748</v>
      </c>
      <c r="I20" s="344">
        <v>836</v>
      </c>
      <c r="J20" s="344">
        <v>418</v>
      </c>
      <c r="K20" s="344">
        <v>607</v>
      </c>
      <c r="L20" s="344">
        <v>871</v>
      </c>
      <c r="M20" s="344">
        <v>316</v>
      </c>
    </row>
    <row r="21" spans="1:13" ht="23.1" customHeight="1">
      <c r="A21" s="429" t="s">
        <v>356</v>
      </c>
      <c r="B21" s="430">
        <f t="shared" ref="B21:L21" si="3">+B19-B20</f>
        <v>33960</v>
      </c>
      <c r="C21" s="332">
        <f t="shared" si="3"/>
        <v>37820</v>
      </c>
      <c r="D21" s="332">
        <f t="shared" si="3"/>
        <v>39150</v>
      </c>
      <c r="E21" s="332">
        <f t="shared" si="3"/>
        <v>38007</v>
      </c>
      <c r="F21" s="332">
        <f t="shared" si="3"/>
        <v>39767</v>
      </c>
      <c r="G21" s="332">
        <f t="shared" si="3"/>
        <v>40654</v>
      </c>
      <c r="H21" s="332">
        <f t="shared" si="3"/>
        <v>66124</v>
      </c>
      <c r="I21" s="332">
        <f t="shared" si="3"/>
        <v>80197</v>
      </c>
      <c r="J21" s="332">
        <f t="shared" si="3"/>
        <v>36596</v>
      </c>
      <c r="K21" s="332">
        <f t="shared" si="3"/>
        <v>48569</v>
      </c>
      <c r="L21" s="332">
        <f t="shared" si="3"/>
        <v>61575</v>
      </c>
      <c r="M21" s="332" t="s">
        <v>117</v>
      </c>
    </row>
    <row r="22" spans="1:13" ht="23.1" customHeight="1">
      <c r="A22" s="425" t="s">
        <v>359</v>
      </c>
      <c r="B22" s="426"/>
      <c r="C22" s="427"/>
      <c r="D22" s="427"/>
      <c r="E22" s="427"/>
      <c r="F22" s="427"/>
      <c r="G22" s="427"/>
      <c r="H22" s="427"/>
      <c r="I22" s="427"/>
      <c r="J22" s="427"/>
      <c r="K22" s="427"/>
      <c r="L22" s="427"/>
      <c r="M22" s="427"/>
    </row>
    <row r="23" spans="1:13" ht="23.1" customHeight="1">
      <c r="A23" s="490" t="s">
        <v>462</v>
      </c>
      <c r="B23" s="428">
        <v>17693</v>
      </c>
      <c r="C23" s="331">
        <v>17339</v>
      </c>
      <c r="D23" s="331">
        <v>19204</v>
      </c>
      <c r="E23" s="331">
        <v>19006</v>
      </c>
      <c r="F23" s="331">
        <v>18740</v>
      </c>
      <c r="G23" s="331">
        <v>19035</v>
      </c>
      <c r="H23" s="331">
        <v>19912</v>
      </c>
      <c r="I23" s="331">
        <v>21094</v>
      </c>
      <c r="J23" s="331">
        <v>17272</v>
      </c>
      <c r="K23" s="331">
        <v>28000</v>
      </c>
      <c r="L23" s="331">
        <v>24412</v>
      </c>
      <c r="M23" s="331" t="s">
        <v>117</v>
      </c>
    </row>
    <row r="24" spans="1:13" ht="23.1" customHeight="1">
      <c r="A24" s="429" t="s">
        <v>4</v>
      </c>
      <c r="B24" s="428">
        <v>877</v>
      </c>
      <c r="C24" s="332">
        <v>509</v>
      </c>
      <c r="D24" s="332">
        <v>277</v>
      </c>
      <c r="E24" s="332">
        <v>300</v>
      </c>
      <c r="F24" s="332">
        <v>312</v>
      </c>
      <c r="G24" s="332">
        <v>296</v>
      </c>
      <c r="H24" s="332">
        <v>706</v>
      </c>
      <c r="I24" s="344">
        <v>815</v>
      </c>
      <c r="J24" s="344">
        <v>701</v>
      </c>
      <c r="K24" s="344">
        <v>1187</v>
      </c>
      <c r="L24" s="344">
        <v>806</v>
      </c>
      <c r="M24" s="344">
        <v>1032</v>
      </c>
    </row>
    <row r="25" spans="1:13" ht="23.1" customHeight="1">
      <c r="A25" s="429" t="s">
        <v>356</v>
      </c>
      <c r="B25" s="430">
        <f t="shared" ref="B25:L25" si="4">+B23-B24</f>
        <v>16816</v>
      </c>
      <c r="C25" s="332">
        <f t="shared" si="4"/>
        <v>16830</v>
      </c>
      <c r="D25" s="332">
        <f t="shared" si="4"/>
        <v>18927</v>
      </c>
      <c r="E25" s="332">
        <f t="shared" si="4"/>
        <v>18706</v>
      </c>
      <c r="F25" s="332">
        <f t="shared" si="4"/>
        <v>18428</v>
      </c>
      <c r="G25" s="332">
        <f t="shared" si="4"/>
        <v>18739</v>
      </c>
      <c r="H25" s="332">
        <f t="shared" si="4"/>
        <v>19206</v>
      </c>
      <c r="I25" s="332">
        <f t="shared" si="4"/>
        <v>20279</v>
      </c>
      <c r="J25" s="332">
        <f t="shared" si="4"/>
        <v>16571</v>
      </c>
      <c r="K25" s="332">
        <f t="shared" si="4"/>
        <v>26813</v>
      </c>
      <c r="L25" s="332">
        <f t="shared" si="4"/>
        <v>23606</v>
      </c>
      <c r="M25" s="332" t="s">
        <v>117</v>
      </c>
    </row>
    <row r="26" spans="1:13" ht="23.1" customHeight="1">
      <c r="A26" s="590" t="s">
        <v>377</v>
      </c>
      <c r="B26" s="344" t="s">
        <v>117</v>
      </c>
      <c r="C26" s="344" t="s">
        <v>117</v>
      </c>
      <c r="D26" s="344" t="s">
        <v>117</v>
      </c>
      <c r="E26" s="344"/>
      <c r="F26" s="344"/>
      <c r="G26" s="344"/>
      <c r="H26" s="344"/>
      <c r="I26" s="427"/>
      <c r="J26" s="427"/>
      <c r="K26" s="427"/>
      <c r="L26" s="427"/>
      <c r="M26" s="427"/>
    </row>
    <row r="27" spans="1:13" ht="23.1" customHeight="1">
      <c r="A27" s="490" t="s">
        <v>462</v>
      </c>
      <c r="B27" s="428">
        <v>21480</v>
      </c>
      <c r="C27" s="331">
        <v>25064</v>
      </c>
      <c r="D27" s="331">
        <v>32896</v>
      </c>
      <c r="E27" s="331">
        <v>32211</v>
      </c>
      <c r="F27" s="331">
        <v>32457</v>
      </c>
      <c r="G27" s="331">
        <v>37822</v>
      </c>
      <c r="H27" s="331">
        <v>44537</v>
      </c>
      <c r="I27" s="331">
        <v>46558</v>
      </c>
      <c r="J27" s="331">
        <v>25797</v>
      </c>
      <c r="K27" s="331">
        <v>31096</v>
      </c>
      <c r="L27" s="331">
        <v>39878</v>
      </c>
      <c r="M27" s="331" t="s">
        <v>117</v>
      </c>
    </row>
    <row r="28" spans="1:13" ht="23.1" customHeight="1">
      <c r="A28" s="429" t="s">
        <v>4</v>
      </c>
      <c r="B28" s="428">
        <v>328</v>
      </c>
      <c r="C28" s="332">
        <v>244</v>
      </c>
      <c r="D28" s="332">
        <v>151</v>
      </c>
      <c r="E28" s="332">
        <v>225</v>
      </c>
      <c r="F28" s="332">
        <v>275</v>
      </c>
      <c r="G28" s="332">
        <v>334</v>
      </c>
      <c r="H28" s="332">
        <v>452</v>
      </c>
      <c r="I28" s="344">
        <v>441</v>
      </c>
      <c r="J28" s="344">
        <v>284</v>
      </c>
      <c r="K28" s="344">
        <v>338</v>
      </c>
      <c r="L28" s="344">
        <v>482</v>
      </c>
      <c r="M28" s="344">
        <v>8152</v>
      </c>
    </row>
    <row r="29" spans="1:13" ht="23.1" customHeight="1">
      <c r="A29" s="429" t="s">
        <v>356</v>
      </c>
      <c r="B29" s="430">
        <f>+B27-B28</f>
        <v>21152</v>
      </c>
      <c r="C29" s="332">
        <f>+C27-C28</f>
        <v>24820</v>
      </c>
      <c r="D29" s="332">
        <f>+D27-D28</f>
        <v>32745</v>
      </c>
      <c r="E29" s="332">
        <f>+E27-E28</f>
        <v>31986</v>
      </c>
      <c r="F29" s="332">
        <f t="shared" ref="F29:K29" si="5">+F27-F28</f>
        <v>32182</v>
      </c>
      <c r="G29" s="332">
        <f t="shared" si="5"/>
        <v>37488</v>
      </c>
      <c r="H29" s="332">
        <f t="shared" si="5"/>
        <v>44085</v>
      </c>
      <c r="I29" s="332">
        <f t="shared" si="5"/>
        <v>46117</v>
      </c>
      <c r="J29" s="332">
        <f t="shared" si="5"/>
        <v>25513</v>
      </c>
      <c r="K29" s="332">
        <f t="shared" si="5"/>
        <v>30758</v>
      </c>
      <c r="L29" s="332">
        <f>+L27-L28</f>
        <v>39396</v>
      </c>
      <c r="M29" s="332" t="s">
        <v>117</v>
      </c>
    </row>
    <row r="30" spans="1:13" ht="6.75" customHeight="1">
      <c r="A30" s="432"/>
      <c r="B30" s="433"/>
      <c r="C30" s="434"/>
      <c r="D30" s="434"/>
      <c r="E30" s="434"/>
      <c r="F30" s="434"/>
      <c r="G30" s="434"/>
      <c r="H30" s="434"/>
      <c r="I30" s="434"/>
      <c r="J30" s="434"/>
      <c r="K30" s="434"/>
      <c r="L30" s="434"/>
      <c r="M30" s="434"/>
    </row>
    <row r="31" spans="1:13" s="821" customFormat="1" ht="34.5" customHeight="1">
      <c r="A31" s="1211" t="s">
        <v>578</v>
      </c>
      <c r="B31" s="1211"/>
      <c r="C31" s="1211"/>
      <c r="D31" s="1211"/>
      <c r="E31" s="1211"/>
      <c r="F31" s="1211"/>
      <c r="G31" s="1211"/>
      <c r="H31" s="1211"/>
      <c r="I31" s="1211"/>
      <c r="J31" s="1211"/>
      <c r="K31" s="1211"/>
      <c r="L31" s="1211"/>
      <c r="M31" s="1211"/>
    </row>
    <row r="32" spans="1:13" s="821" customFormat="1" ht="8.25" customHeight="1">
      <c r="A32" s="1212" t="s">
        <v>579</v>
      </c>
      <c r="B32" s="1212"/>
      <c r="C32" s="1212"/>
      <c r="D32" s="1212"/>
      <c r="E32" s="1212"/>
      <c r="F32" s="1212"/>
      <c r="G32" s="1212"/>
      <c r="H32" s="1212"/>
      <c r="I32" s="1212"/>
      <c r="J32" s="1212"/>
      <c r="K32" s="1130"/>
      <c r="L32" s="1130"/>
      <c r="M32" s="1130"/>
    </row>
    <row r="33" spans="1:1" ht="11.1" customHeight="1">
      <c r="A33" s="847" t="s">
        <v>456</v>
      </c>
    </row>
  </sheetData>
  <mergeCells count="5">
    <mergeCell ref="A4:A5"/>
    <mergeCell ref="B4:M4"/>
    <mergeCell ref="A1:M1"/>
    <mergeCell ref="A31:M31"/>
    <mergeCell ref="A32:J32"/>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K55"/>
  <sheetViews>
    <sheetView showGridLines="0" zoomScaleNormal="100" zoomScaleSheetLayoutView="115" workbookViewId="0">
      <selection sqref="A1:I1"/>
    </sheetView>
  </sheetViews>
  <sheetFormatPr baseColWidth="10" defaultColWidth="9.7109375" defaultRowHeight="11.25"/>
  <cols>
    <col min="1" max="1" width="11" style="678" customWidth="1"/>
    <col min="2" max="2" width="10.5703125" style="678" customWidth="1"/>
    <col min="3" max="3" width="2.28515625" style="678" customWidth="1"/>
    <col min="4" max="4" width="9.85546875" style="678" customWidth="1"/>
    <col min="5" max="5" width="9.140625" style="678" customWidth="1"/>
    <col min="6" max="6" width="11" style="678" customWidth="1"/>
    <col min="7" max="7" width="9.42578125" style="678" customWidth="1"/>
    <col min="8" max="8" width="9.85546875" style="678" customWidth="1"/>
    <col min="9" max="9" width="10.140625" style="678" customWidth="1"/>
    <col min="10" max="16384" width="9.7109375" style="678"/>
  </cols>
  <sheetData>
    <row r="1" spans="1:9" ht="28.5" customHeight="1">
      <c r="A1" s="1159" t="s">
        <v>546</v>
      </c>
      <c r="B1" s="1159"/>
      <c r="C1" s="1159"/>
      <c r="D1" s="1159"/>
      <c r="E1" s="1159"/>
      <c r="F1" s="1159"/>
      <c r="G1" s="1159"/>
      <c r="H1" s="1159"/>
      <c r="I1" s="1159"/>
    </row>
    <row r="2" spans="1:9" ht="3" customHeight="1">
      <c r="A2" s="1213"/>
      <c r="B2" s="1213"/>
      <c r="C2" s="1213"/>
      <c r="D2" s="1213"/>
      <c r="E2" s="1213"/>
      <c r="F2" s="1213"/>
      <c r="G2" s="1213"/>
      <c r="H2" s="1213"/>
      <c r="I2" s="1213"/>
    </row>
    <row r="3" spans="1:9" ht="23.25" customHeight="1">
      <c r="A3" s="1215" t="s">
        <v>1</v>
      </c>
      <c r="B3" s="1188" t="s">
        <v>237</v>
      </c>
      <c r="C3" s="1217"/>
      <c r="D3" s="1190" t="s">
        <v>119</v>
      </c>
      <c r="E3" s="1190" t="s">
        <v>33</v>
      </c>
      <c r="F3" s="1190" t="s">
        <v>238</v>
      </c>
      <c r="G3" s="1203" t="s">
        <v>34</v>
      </c>
      <c r="H3" s="1203"/>
      <c r="I3" s="1203"/>
    </row>
    <row r="4" spans="1:9" ht="26.25" customHeight="1">
      <c r="A4" s="1216"/>
      <c r="B4" s="1189"/>
      <c r="C4" s="1218"/>
      <c r="D4" s="1214"/>
      <c r="E4" s="1214"/>
      <c r="F4" s="1214"/>
      <c r="G4" s="357" t="s">
        <v>2</v>
      </c>
      <c r="H4" s="872" t="s">
        <v>120</v>
      </c>
      <c r="I4" s="357" t="s">
        <v>329</v>
      </c>
    </row>
    <row r="5" spans="1:9" ht="5.0999999999999996" customHeight="1">
      <c r="A5" s="1096"/>
      <c r="B5" s="1097"/>
      <c r="C5" s="860"/>
      <c r="D5" s="860"/>
      <c r="E5" s="860"/>
      <c r="F5" s="860"/>
      <c r="G5" s="860"/>
      <c r="H5" s="860"/>
      <c r="I5" s="860"/>
    </row>
    <row r="6" spans="1:9" ht="15.6" hidden="1" customHeight="1">
      <c r="A6" s="1096">
        <v>1999</v>
      </c>
      <c r="B6" s="1098">
        <v>4</v>
      </c>
      <c r="C6" s="140"/>
      <c r="D6" s="140">
        <v>28</v>
      </c>
      <c r="E6" s="140">
        <v>18</v>
      </c>
      <c r="F6" s="140">
        <v>6</v>
      </c>
      <c r="G6" s="134">
        <v>995</v>
      </c>
      <c r="H6" s="140">
        <v>272</v>
      </c>
      <c r="I6" s="140">
        <v>723</v>
      </c>
    </row>
    <row r="7" spans="1:9" ht="15.6" hidden="1" customHeight="1">
      <c r="A7" s="1096">
        <f>A6+1</f>
        <v>2000</v>
      </c>
      <c r="B7" s="1098">
        <v>4</v>
      </c>
      <c r="C7" s="140"/>
      <c r="D7" s="140">
        <v>25</v>
      </c>
      <c r="E7" s="140">
        <v>20</v>
      </c>
      <c r="F7" s="140">
        <v>6</v>
      </c>
      <c r="G7" s="134">
        <v>944</v>
      </c>
      <c r="H7" s="140">
        <v>258</v>
      </c>
      <c r="I7" s="140">
        <v>686</v>
      </c>
    </row>
    <row r="8" spans="1:9" ht="15.6" hidden="1" customHeight="1">
      <c r="A8" s="1096">
        <f>A7+1</f>
        <v>2001</v>
      </c>
      <c r="B8" s="1098">
        <v>4</v>
      </c>
      <c r="C8" s="140"/>
      <c r="D8" s="140">
        <v>25</v>
      </c>
      <c r="E8" s="140">
        <v>20</v>
      </c>
      <c r="F8" s="140">
        <v>5</v>
      </c>
      <c r="G8" s="134">
        <v>774</v>
      </c>
      <c r="H8" s="140">
        <v>301</v>
      </c>
      <c r="I8" s="140">
        <v>473</v>
      </c>
    </row>
    <row r="9" spans="1:9" ht="15.6" hidden="1" customHeight="1">
      <c r="A9" s="1096">
        <f>A8+1</f>
        <v>2002</v>
      </c>
      <c r="B9" s="1098">
        <v>4</v>
      </c>
      <c r="C9" s="689"/>
      <c r="D9" s="140">
        <v>25</v>
      </c>
      <c r="E9" s="140">
        <v>20</v>
      </c>
      <c r="F9" s="140">
        <v>6</v>
      </c>
      <c r="G9" s="134">
        <v>797</v>
      </c>
      <c r="H9" s="140">
        <v>366</v>
      </c>
      <c r="I9" s="140">
        <v>431</v>
      </c>
    </row>
    <row r="10" spans="1:9" ht="15.6" hidden="1" customHeight="1">
      <c r="A10" s="1096">
        <f>A9+1</f>
        <v>2003</v>
      </c>
      <c r="B10" s="1098">
        <v>4</v>
      </c>
      <c r="C10" s="140"/>
      <c r="D10" s="140">
        <v>25</v>
      </c>
      <c r="E10" s="140">
        <v>20</v>
      </c>
      <c r="F10" s="140">
        <v>6</v>
      </c>
      <c r="G10" s="134">
        <v>668</v>
      </c>
      <c r="H10" s="140">
        <v>377</v>
      </c>
      <c r="I10" s="140">
        <v>291</v>
      </c>
    </row>
    <row r="11" spans="1:9" ht="15.6" hidden="1" customHeight="1">
      <c r="A11" s="1096">
        <f>A10+1</f>
        <v>2004</v>
      </c>
      <c r="B11" s="1098">
        <v>4</v>
      </c>
      <c r="C11" s="140"/>
      <c r="D11" s="140">
        <v>25</v>
      </c>
      <c r="E11" s="140">
        <v>20</v>
      </c>
      <c r="F11" s="140">
        <v>6</v>
      </c>
      <c r="G11" s="134">
        <v>668</v>
      </c>
      <c r="H11" s="140">
        <v>377</v>
      </c>
      <c r="I11" s="140">
        <v>291</v>
      </c>
    </row>
    <row r="12" spans="1:9" ht="15.6" hidden="1" customHeight="1">
      <c r="A12" s="1096">
        <v>2005</v>
      </c>
      <c r="B12" s="1098">
        <v>4</v>
      </c>
      <c r="C12" s="140"/>
      <c r="D12" s="140">
        <v>25</v>
      </c>
      <c r="E12" s="140">
        <v>20</v>
      </c>
      <c r="F12" s="140">
        <v>7</v>
      </c>
      <c r="G12" s="861">
        <f>SUM(H12:I12)</f>
        <v>636</v>
      </c>
      <c r="H12" s="140">
        <v>442</v>
      </c>
      <c r="I12" s="140">
        <v>194</v>
      </c>
    </row>
    <row r="13" spans="1:9" ht="15.6" hidden="1" customHeight="1">
      <c r="A13" s="1096">
        <v>2006</v>
      </c>
      <c r="B13" s="1098">
        <v>4</v>
      </c>
      <c r="C13" s="140"/>
      <c r="D13" s="140">
        <v>25</v>
      </c>
      <c r="E13" s="140">
        <v>20</v>
      </c>
      <c r="F13" s="140">
        <v>7</v>
      </c>
      <c r="G13" s="861">
        <v>846</v>
      </c>
      <c r="H13" s="140">
        <v>543</v>
      </c>
      <c r="I13" s="140">
        <v>303</v>
      </c>
    </row>
    <row r="14" spans="1:9" ht="15.6" hidden="1" customHeight="1">
      <c r="A14" s="1096">
        <v>2007</v>
      </c>
      <c r="B14" s="1098">
        <v>4</v>
      </c>
      <c r="C14" s="140"/>
      <c r="D14" s="140">
        <v>26</v>
      </c>
      <c r="E14" s="140">
        <v>20</v>
      </c>
      <c r="F14" s="140">
        <v>7</v>
      </c>
      <c r="G14" s="861">
        <f>SUM(H14:I14)</f>
        <v>896</v>
      </c>
      <c r="H14" s="862">
        <v>563</v>
      </c>
      <c r="I14" s="862">
        <v>333</v>
      </c>
    </row>
    <row r="15" spans="1:9" ht="15.6" hidden="1" customHeight="1">
      <c r="A15" s="1096">
        <v>2008</v>
      </c>
      <c r="B15" s="1098">
        <v>4</v>
      </c>
      <c r="C15" s="140"/>
      <c r="D15" s="140">
        <v>26</v>
      </c>
      <c r="E15" s="140">
        <v>25</v>
      </c>
      <c r="F15" s="140">
        <v>7</v>
      </c>
      <c r="G15" s="861">
        <v>1033</v>
      </c>
      <c r="H15" s="862">
        <v>636</v>
      </c>
      <c r="I15" s="862">
        <v>397</v>
      </c>
    </row>
    <row r="16" spans="1:9" ht="15.6" hidden="1" customHeight="1">
      <c r="A16" s="1096">
        <v>2009</v>
      </c>
      <c r="B16" s="1098">
        <v>4</v>
      </c>
      <c r="C16" s="140"/>
      <c r="D16" s="140">
        <v>26</v>
      </c>
      <c r="E16" s="140">
        <v>25</v>
      </c>
      <c r="F16" s="140">
        <v>5</v>
      </c>
      <c r="G16" s="861">
        <v>990</v>
      </c>
      <c r="H16" s="862">
        <v>507</v>
      </c>
      <c r="I16" s="862">
        <v>483</v>
      </c>
    </row>
    <row r="17" spans="1:11" ht="12.75" hidden="1">
      <c r="A17" s="1096">
        <v>2010</v>
      </c>
      <c r="B17" s="1098">
        <v>6</v>
      </c>
      <c r="C17" s="140"/>
      <c r="D17" s="140">
        <v>26</v>
      </c>
      <c r="E17" s="140">
        <v>26</v>
      </c>
      <c r="F17" s="140">
        <v>6</v>
      </c>
      <c r="G17" s="861">
        <v>1036</v>
      </c>
      <c r="H17" s="862">
        <v>499</v>
      </c>
      <c r="I17" s="862">
        <v>537</v>
      </c>
    </row>
    <row r="18" spans="1:11" ht="12.75">
      <c r="A18" s="1096">
        <v>2011</v>
      </c>
      <c r="B18" s="1098">
        <v>5</v>
      </c>
      <c r="C18" s="140"/>
      <c r="D18" s="140">
        <v>26</v>
      </c>
      <c r="E18" s="140">
        <v>26</v>
      </c>
      <c r="F18" s="140">
        <v>4</v>
      </c>
      <c r="G18" s="861">
        <v>1324</v>
      </c>
      <c r="H18" s="862">
        <v>558</v>
      </c>
      <c r="I18" s="862">
        <v>766</v>
      </c>
    </row>
    <row r="19" spans="1:11" ht="12.75">
      <c r="A19" s="1096">
        <v>2012</v>
      </c>
      <c r="B19" s="1098">
        <v>5</v>
      </c>
      <c r="C19" s="140"/>
      <c r="D19" s="140">
        <v>26</v>
      </c>
      <c r="E19" s="140">
        <v>26</v>
      </c>
      <c r="F19" s="140">
        <v>4</v>
      </c>
      <c r="G19" s="861">
        <v>1525</v>
      </c>
      <c r="H19" s="862">
        <v>659</v>
      </c>
      <c r="I19" s="862">
        <v>864</v>
      </c>
      <c r="K19" s="871"/>
    </row>
    <row r="20" spans="1:11" ht="12.75">
      <c r="A20" s="1096">
        <v>2013</v>
      </c>
      <c r="B20" s="1098">
        <v>5</v>
      </c>
      <c r="C20" s="140"/>
      <c r="D20" s="140">
        <v>26</v>
      </c>
      <c r="E20" s="140">
        <v>26</v>
      </c>
      <c r="F20" s="140">
        <v>4</v>
      </c>
      <c r="G20" s="861">
        <f>SUM(H20:I20)</f>
        <v>1630</v>
      </c>
      <c r="H20" s="862">
        <v>622</v>
      </c>
      <c r="I20" s="941">
        <v>1008</v>
      </c>
    </row>
    <row r="21" spans="1:11" ht="12.75">
      <c r="A21" s="1096">
        <v>2014</v>
      </c>
      <c r="B21" s="1098">
        <v>6</v>
      </c>
      <c r="C21" s="140"/>
      <c r="D21" s="140">
        <v>36</v>
      </c>
      <c r="E21" s="140">
        <v>24</v>
      </c>
      <c r="F21" s="140">
        <v>4</v>
      </c>
      <c r="G21" s="861">
        <v>1614</v>
      </c>
      <c r="H21" s="862">
        <v>607</v>
      </c>
      <c r="I21" s="941">
        <v>1007</v>
      </c>
    </row>
    <row r="22" spans="1:11" ht="12.75">
      <c r="A22" s="1096">
        <v>2015</v>
      </c>
      <c r="B22" s="1098">
        <v>6</v>
      </c>
      <c r="C22" s="140"/>
      <c r="D22" s="140">
        <v>36</v>
      </c>
      <c r="E22" s="140">
        <v>24</v>
      </c>
      <c r="F22" s="140">
        <v>4</v>
      </c>
      <c r="G22" s="861">
        <v>1767</v>
      </c>
      <c r="H22" s="862">
        <v>722</v>
      </c>
      <c r="I22" s="941">
        <v>1045</v>
      </c>
    </row>
    <row r="23" spans="1:11" ht="12.75">
      <c r="A23" s="1096">
        <v>2016</v>
      </c>
      <c r="B23" s="1098" t="s">
        <v>117</v>
      </c>
      <c r="C23" s="140"/>
      <c r="D23" s="140">
        <v>41</v>
      </c>
      <c r="E23" s="140">
        <v>26</v>
      </c>
      <c r="F23" s="140">
        <v>4</v>
      </c>
      <c r="G23" s="861">
        <f>H23+I23</f>
        <v>1904</v>
      </c>
      <c r="H23" s="862">
        <v>699</v>
      </c>
      <c r="I23" s="941">
        <v>1205</v>
      </c>
    </row>
    <row r="24" spans="1:11" ht="12.75">
      <c r="A24" s="1096">
        <v>2017</v>
      </c>
      <c r="B24" s="1098" t="s">
        <v>117</v>
      </c>
      <c r="C24" s="140"/>
      <c r="D24" s="140" t="s">
        <v>117</v>
      </c>
      <c r="E24" s="140" t="s">
        <v>117</v>
      </c>
      <c r="F24" s="140">
        <v>3</v>
      </c>
      <c r="G24" s="861">
        <v>1977</v>
      </c>
      <c r="H24" s="862">
        <v>805</v>
      </c>
      <c r="I24" s="941">
        <v>1172</v>
      </c>
    </row>
    <row r="25" spans="1:11" ht="12.75">
      <c r="A25" s="1096">
        <v>2018</v>
      </c>
      <c r="B25" s="1098">
        <v>6</v>
      </c>
      <c r="C25" s="140"/>
      <c r="D25" s="140">
        <v>44</v>
      </c>
      <c r="E25" s="140">
        <v>26</v>
      </c>
      <c r="F25" s="140">
        <v>4</v>
      </c>
      <c r="G25" s="443">
        <f>SUM(H25:I25)</f>
        <v>2272</v>
      </c>
      <c r="H25" s="443">
        <v>791</v>
      </c>
      <c r="I25" s="941">
        <v>1481</v>
      </c>
    </row>
    <row r="26" spans="1:11" ht="12.75">
      <c r="A26" s="1096">
        <v>2019</v>
      </c>
      <c r="B26" s="1098">
        <v>6</v>
      </c>
      <c r="C26" s="140"/>
      <c r="D26" s="140">
        <v>45</v>
      </c>
      <c r="E26" s="140">
        <v>26</v>
      </c>
      <c r="F26" s="140">
        <v>4</v>
      </c>
      <c r="G26" s="443">
        <f t="shared" ref="G26:G30" si="0">SUM(H26:I26)</f>
        <v>2748</v>
      </c>
      <c r="H26" s="103">
        <v>914</v>
      </c>
      <c r="I26" s="941">
        <v>1834</v>
      </c>
    </row>
    <row r="27" spans="1:11" ht="12.75">
      <c r="A27" s="1096">
        <v>2020</v>
      </c>
      <c r="B27" s="1098">
        <v>6</v>
      </c>
      <c r="C27" s="140"/>
      <c r="D27" s="140">
        <v>45</v>
      </c>
      <c r="E27" s="140">
        <v>26</v>
      </c>
      <c r="F27" s="140">
        <v>4</v>
      </c>
      <c r="G27" s="443">
        <f t="shared" si="0"/>
        <v>2208</v>
      </c>
      <c r="H27" s="103">
        <v>546</v>
      </c>
      <c r="I27" s="941">
        <v>1662</v>
      </c>
    </row>
    <row r="28" spans="1:11" ht="12.75">
      <c r="A28" s="1096">
        <v>2021</v>
      </c>
      <c r="B28" s="1098">
        <v>6</v>
      </c>
      <c r="C28" s="140"/>
      <c r="D28" s="140">
        <v>45</v>
      </c>
      <c r="E28" s="140">
        <v>26</v>
      </c>
      <c r="F28" s="140">
        <v>3</v>
      </c>
      <c r="G28" s="443">
        <f t="shared" si="0"/>
        <v>2319</v>
      </c>
      <c r="H28" s="103">
        <v>579</v>
      </c>
      <c r="I28" s="941">
        <v>1740</v>
      </c>
    </row>
    <row r="29" spans="1:11" ht="12.75">
      <c r="A29" s="1096">
        <v>2022</v>
      </c>
      <c r="B29" s="1098">
        <v>6</v>
      </c>
      <c r="C29" s="140"/>
      <c r="D29" s="140">
        <v>45</v>
      </c>
      <c r="E29" s="140">
        <v>26</v>
      </c>
      <c r="F29" s="140">
        <v>3</v>
      </c>
      <c r="G29" s="443">
        <f t="shared" si="0"/>
        <v>2363</v>
      </c>
      <c r="H29" s="103">
        <v>552</v>
      </c>
      <c r="I29" s="941">
        <v>1811</v>
      </c>
    </row>
    <row r="30" spans="1:11" ht="12.75">
      <c r="A30" s="1096">
        <v>2023</v>
      </c>
      <c r="B30" s="1098">
        <v>6</v>
      </c>
      <c r="C30" s="140"/>
      <c r="D30" s="140">
        <v>45</v>
      </c>
      <c r="E30" s="140">
        <v>26</v>
      </c>
      <c r="F30" s="140">
        <v>3</v>
      </c>
      <c r="G30" s="941">
        <f t="shared" si="0"/>
        <v>2365</v>
      </c>
      <c r="H30" s="127">
        <v>542</v>
      </c>
      <c r="I30" s="941">
        <v>1823</v>
      </c>
      <c r="J30" s="973"/>
    </row>
    <row r="31" spans="1:11" ht="5.25" customHeight="1">
      <c r="A31" s="828"/>
      <c r="B31" s="1099"/>
      <c r="C31" s="630"/>
      <c r="D31" s="630" t="s">
        <v>117</v>
      </c>
      <c r="E31" s="630" t="s">
        <v>117</v>
      </c>
      <c r="F31" s="630"/>
      <c r="G31" s="863"/>
      <c r="H31" s="864"/>
      <c r="I31" s="864"/>
    </row>
    <row r="32" spans="1:11" ht="11.1" customHeight="1">
      <c r="A32" s="723" t="s">
        <v>457</v>
      </c>
    </row>
    <row r="33" spans="1:9" ht="11.1" customHeight="1">
      <c r="A33" s="723"/>
      <c r="B33" s="865"/>
      <c r="C33" s="865"/>
      <c r="D33" s="865"/>
      <c r="E33" s="865"/>
      <c r="F33" s="865"/>
      <c r="G33" s="605"/>
      <c r="H33" s="865"/>
      <c r="I33" s="865"/>
    </row>
    <row r="34" spans="1:9">
      <c r="A34" s="723"/>
      <c r="B34" s="865"/>
      <c r="C34" s="865"/>
      <c r="D34" s="865"/>
      <c r="E34" s="865"/>
      <c r="F34" s="865"/>
      <c r="G34" s="605"/>
      <c r="H34" s="865"/>
      <c r="I34" s="865"/>
    </row>
    <row r="35" spans="1:9">
      <c r="B35" s="866"/>
      <c r="C35" s="866"/>
      <c r="D35" s="866"/>
      <c r="E35" s="866"/>
      <c r="F35" s="866"/>
      <c r="G35" s="866"/>
      <c r="H35" s="866"/>
      <c r="I35" s="866"/>
    </row>
    <row r="36" spans="1:9">
      <c r="A36" s="867"/>
      <c r="B36" s="866"/>
      <c r="C36" s="866"/>
      <c r="D36" s="866"/>
      <c r="E36" s="866"/>
      <c r="F36" s="866"/>
      <c r="G36" s="866"/>
      <c r="H36" s="866"/>
      <c r="I36" s="866"/>
    </row>
    <row r="37" spans="1:9">
      <c r="A37" s="605"/>
      <c r="B37" s="866"/>
      <c r="C37" s="866"/>
      <c r="D37" s="866"/>
      <c r="E37" s="866"/>
      <c r="F37" s="866"/>
      <c r="G37" s="866"/>
      <c r="H37" s="866"/>
      <c r="I37" s="866"/>
    </row>
    <row r="38" spans="1:9">
      <c r="A38" s="867"/>
      <c r="B38" s="866"/>
      <c r="C38" s="866"/>
      <c r="D38" s="866"/>
      <c r="E38" s="866"/>
      <c r="F38" s="866"/>
      <c r="G38" s="866"/>
      <c r="H38" s="866"/>
      <c r="I38" s="866"/>
    </row>
    <row r="39" spans="1:9">
      <c r="A39" s="605"/>
      <c r="B39" s="866"/>
      <c r="C39" s="866"/>
      <c r="D39" s="866"/>
      <c r="E39" s="866"/>
      <c r="F39" s="866"/>
      <c r="G39" s="866"/>
      <c r="H39" s="866"/>
      <c r="I39" s="866"/>
    </row>
    <row r="40" spans="1:9">
      <c r="A40" s="867"/>
      <c r="B40" s="866"/>
      <c r="C40" s="866"/>
      <c r="D40" s="866"/>
      <c r="E40" s="866"/>
      <c r="F40" s="866"/>
      <c r="G40" s="866"/>
      <c r="H40" s="866"/>
      <c r="I40" s="866"/>
    </row>
    <row r="41" spans="1:9">
      <c r="A41" s="605"/>
      <c r="B41" s="866"/>
      <c r="C41" s="866"/>
      <c r="D41" s="866"/>
      <c r="E41" s="866"/>
      <c r="F41" s="866"/>
      <c r="G41" s="866"/>
      <c r="H41" s="866"/>
      <c r="I41" s="866"/>
    </row>
    <row r="42" spans="1:9">
      <c r="A42" s="867"/>
    </row>
    <row r="54" spans="1:8">
      <c r="A54" s="868"/>
      <c r="B54" s="869"/>
      <c r="C54" s="869"/>
      <c r="D54" s="869"/>
      <c r="E54" s="869"/>
      <c r="F54" s="869"/>
      <c r="G54" s="869"/>
      <c r="H54" s="869"/>
    </row>
    <row r="55" spans="1:8">
      <c r="A55" s="870"/>
    </row>
  </sheetData>
  <mergeCells count="9">
    <mergeCell ref="A1:I1"/>
    <mergeCell ref="A2:I2"/>
    <mergeCell ref="E3:E4"/>
    <mergeCell ref="F3:F4"/>
    <mergeCell ref="G3:I3"/>
    <mergeCell ref="A3:A4"/>
    <mergeCell ref="B3:B4"/>
    <mergeCell ref="D3:D4"/>
    <mergeCell ref="C3:C4"/>
  </mergeCells>
  <phoneticPr fontId="24" type="noConversion"/>
  <pageMargins left="1.1811023622047245" right="0.98425196850393704" top="0.98425196850393704" bottom="0.98425196850393704" header="0" footer="0"/>
  <pageSetup paperSize="9" orientation="portrait" r:id="rId1"/>
  <headerFooter alignWithMargins="0"/>
  <ignoredErrors>
    <ignoredError sqref="G26:G27" formulaRange="1"/>
  </ignoredError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autoPageBreaks="0"/>
  </sheetPr>
  <dimension ref="A1:V85"/>
  <sheetViews>
    <sheetView showGridLines="0" zoomScaleNormal="100" zoomScaleSheetLayoutView="115" workbookViewId="0">
      <selection sqref="A1:K1"/>
    </sheetView>
  </sheetViews>
  <sheetFormatPr baseColWidth="10" defaultColWidth="11.42578125" defaultRowHeight="12.75"/>
  <cols>
    <col min="1" max="1" width="10.5703125" style="155" customWidth="1"/>
    <col min="2" max="2" width="10.42578125" style="324" customWidth="1"/>
    <col min="3" max="3" width="4.7109375" style="324" customWidth="1"/>
    <col min="4" max="4" width="8.140625" style="324" customWidth="1"/>
    <col min="5" max="5" width="7.28515625" style="324" customWidth="1"/>
    <col min="6" max="6" width="4.7109375" style="324" customWidth="1"/>
    <col min="7" max="7" width="7" style="324" customWidth="1"/>
    <col min="8" max="8" width="9.85546875" style="324" customWidth="1"/>
    <col min="9" max="9" width="4.7109375" style="324" customWidth="1"/>
    <col min="10" max="10" width="8" style="324" customWidth="1"/>
    <col min="11" max="11" width="9.28515625" style="324" customWidth="1"/>
    <col min="12" max="12" width="14.5703125" style="20" customWidth="1"/>
    <col min="13" max="13" width="17" customWidth="1"/>
    <col min="14" max="15" width="8.28515625" customWidth="1"/>
    <col min="16" max="16" width="8" customWidth="1"/>
    <col min="17" max="18" width="8.85546875" customWidth="1"/>
    <col min="19" max="19" width="9.7109375" customWidth="1"/>
    <col min="20" max="22" width="11.5703125" customWidth="1"/>
    <col min="23" max="16384" width="11.42578125" style="20"/>
  </cols>
  <sheetData>
    <row r="1" spans="1:22" s="19" customFormat="1" ht="22.5" customHeight="1">
      <c r="A1" s="1220" t="s">
        <v>515</v>
      </c>
      <c r="B1" s="1220"/>
      <c r="C1" s="1220"/>
      <c r="D1" s="1220"/>
      <c r="E1" s="1220"/>
      <c r="F1" s="1220"/>
      <c r="G1" s="1220"/>
      <c r="H1" s="1220"/>
      <c r="I1" s="1220"/>
      <c r="J1" s="1220"/>
      <c r="K1" s="1220"/>
      <c r="L1" s="65"/>
      <c r="M1"/>
      <c r="N1"/>
      <c r="O1"/>
      <c r="P1"/>
      <c r="Q1"/>
      <c r="R1"/>
      <c r="S1"/>
      <c r="T1"/>
      <c r="U1"/>
      <c r="V1"/>
    </row>
    <row r="2" spans="1:22" ht="5.0999999999999996" customHeight="1">
      <c r="A2" s="152"/>
      <c r="B2" s="766"/>
      <c r="C2" s="766"/>
      <c r="D2" s="766"/>
      <c r="E2" s="766"/>
      <c r="F2" s="766"/>
      <c r="G2" s="766"/>
      <c r="H2" s="766"/>
      <c r="I2" s="766"/>
      <c r="J2" s="766"/>
      <c r="K2" s="766"/>
      <c r="L2" s="59"/>
    </row>
    <row r="3" spans="1:22">
      <c r="A3" s="1222" t="s">
        <v>349</v>
      </c>
      <c r="B3" s="1204" t="s">
        <v>35</v>
      </c>
      <c r="C3" s="1205"/>
      <c r="D3" s="1205"/>
      <c r="E3" s="1205"/>
      <c r="F3" s="1205"/>
      <c r="G3" s="1205"/>
      <c r="H3" s="1205"/>
      <c r="I3" s="1205"/>
      <c r="J3" s="1205"/>
      <c r="K3" s="1205"/>
      <c r="L3" s="126"/>
    </row>
    <row r="4" spans="1:22">
      <c r="A4" s="1165"/>
      <c r="B4" s="1223" t="s">
        <v>260</v>
      </c>
      <c r="C4" s="1203" t="s">
        <v>36</v>
      </c>
      <c r="D4" s="1203"/>
      <c r="E4" s="1203"/>
      <c r="F4" s="268"/>
      <c r="G4" s="1205" t="s">
        <v>37</v>
      </c>
      <c r="H4" s="1205"/>
      <c r="I4" s="268"/>
      <c r="J4" s="1205" t="s">
        <v>38</v>
      </c>
      <c r="K4" s="1205"/>
      <c r="L4" s="125"/>
    </row>
    <row r="5" spans="1:22">
      <c r="A5" s="1165"/>
      <c r="B5" s="1224"/>
      <c r="C5" s="1221" t="s">
        <v>2</v>
      </c>
      <c r="D5" s="1203" t="s">
        <v>547</v>
      </c>
      <c r="E5" s="1203"/>
      <c r="F5" s="1221" t="s">
        <v>2</v>
      </c>
      <c r="G5" s="1203" t="s">
        <v>547</v>
      </c>
      <c r="H5" s="1203"/>
      <c r="I5" s="1221" t="s">
        <v>2</v>
      </c>
      <c r="J5" s="1203" t="s">
        <v>547</v>
      </c>
      <c r="K5" s="1203"/>
      <c r="L5" s="125"/>
    </row>
    <row r="6" spans="1:22" s="21" customFormat="1" ht="38.25">
      <c r="A6" s="1165"/>
      <c r="B6" s="1224"/>
      <c r="C6" s="1221"/>
      <c r="D6" s="357" t="s">
        <v>39</v>
      </c>
      <c r="E6" s="357" t="s">
        <v>40</v>
      </c>
      <c r="F6" s="1221"/>
      <c r="G6" s="357" t="s">
        <v>41</v>
      </c>
      <c r="H6" s="357" t="s">
        <v>42</v>
      </c>
      <c r="I6" s="1221"/>
      <c r="J6" s="357" t="s">
        <v>43</v>
      </c>
      <c r="K6" s="357" t="s">
        <v>44</v>
      </c>
      <c r="L6" s="125"/>
      <c r="M6"/>
      <c r="N6"/>
      <c r="O6"/>
      <c r="P6"/>
      <c r="Q6"/>
      <c r="R6"/>
      <c r="S6"/>
      <c r="T6"/>
      <c r="U6"/>
      <c r="V6"/>
    </row>
    <row r="7" spans="1:22" s="21" customFormat="1" hidden="1">
      <c r="A7" s="825">
        <v>2007</v>
      </c>
      <c r="B7" s="1098"/>
      <c r="C7" s="140"/>
      <c r="D7" s="140"/>
      <c r="E7" s="140"/>
      <c r="F7" s="134"/>
      <c r="G7" s="134"/>
      <c r="H7" s="1100"/>
      <c r="I7" s="729"/>
      <c r="J7" s="134"/>
      <c r="K7" s="134"/>
      <c r="L7" s="60"/>
      <c r="M7"/>
      <c r="N7"/>
      <c r="O7"/>
      <c r="P7"/>
      <c r="Q7"/>
      <c r="R7"/>
      <c r="S7"/>
      <c r="T7"/>
      <c r="U7"/>
      <c r="V7"/>
    </row>
    <row r="8" spans="1:22" s="21" customFormat="1" hidden="1">
      <c r="A8" s="825" t="s">
        <v>2</v>
      </c>
      <c r="B8" s="1098">
        <v>193</v>
      </c>
      <c r="C8" s="140">
        <v>7</v>
      </c>
      <c r="D8" s="140">
        <v>1</v>
      </c>
      <c r="E8" s="140">
        <v>6</v>
      </c>
      <c r="F8" s="134">
        <f>SUM(G8:H8)</f>
        <v>310</v>
      </c>
      <c r="G8" s="134">
        <v>155</v>
      </c>
      <c r="H8" s="1101">
        <v>155</v>
      </c>
      <c r="I8" s="134">
        <f>SUM(J8:K8)</f>
        <v>1807</v>
      </c>
      <c r="J8" s="134">
        <v>767</v>
      </c>
      <c r="K8" s="134">
        <v>1040</v>
      </c>
      <c r="L8" s="60"/>
      <c r="M8"/>
      <c r="N8"/>
      <c r="O8"/>
      <c r="P8"/>
      <c r="Q8"/>
      <c r="R8"/>
      <c r="S8"/>
      <c r="T8"/>
      <c r="U8"/>
      <c r="V8"/>
    </row>
    <row r="9" spans="1:22" s="21" customFormat="1" hidden="1">
      <c r="A9" s="159" t="s">
        <v>4</v>
      </c>
      <c r="B9" s="1098">
        <v>48</v>
      </c>
      <c r="C9" s="140" t="s">
        <v>55</v>
      </c>
      <c r="D9" s="140" t="s">
        <v>55</v>
      </c>
      <c r="E9" s="140" t="s">
        <v>55</v>
      </c>
      <c r="F9" s="134">
        <f>SUM(G9:H9)</f>
        <v>15</v>
      </c>
      <c r="G9" s="134">
        <v>7</v>
      </c>
      <c r="H9" s="1101">
        <v>8</v>
      </c>
      <c r="I9" s="134">
        <f>SUM(J9:K9)</f>
        <v>150</v>
      </c>
      <c r="J9" s="134">
        <v>53</v>
      </c>
      <c r="K9" s="134">
        <v>97</v>
      </c>
      <c r="L9" s="60"/>
      <c r="M9"/>
      <c r="N9"/>
      <c r="O9"/>
      <c r="P9"/>
      <c r="Q9"/>
      <c r="R9"/>
      <c r="S9"/>
      <c r="T9"/>
      <c r="U9"/>
      <c r="V9"/>
    </row>
    <row r="10" spans="1:22" s="21" customFormat="1" hidden="1">
      <c r="A10" s="159" t="s">
        <v>26</v>
      </c>
      <c r="B10" s="1098">
        <v>145</v>
      </c>
      <c r="C10" s="140">
        <v>7</v>
      </c>
      <c r="D10" s="140">
        <v>1</v>
      </c>
      <c r="E10" s="140">
        <v>6</v>
      </c>
      <c r="F10" s="134">
        <v>295</v>
      </c>
      <c r="G10" s="134">
        <v>148</v>
      </c>
      <c r="H10" s="1101">
        <v>147</v>
      </c>
      <c r="I10" s="134">
        <v>1657</v>
      </c>
      <c r="J10" s="134">
        <v>714</v>
      </c>
      <c r="K10" s="134">
        <v>943</v>
      </c>
      <c r="L10" s="60"/>
      <c r="M10"/>
      <c r="N10"/>
      <c r="O10"/>
      <c r="P10"/>
      <c r="Q10"/>
      <c r="R10"/>
      <c r="S10"/>
      <c r="T10"/>
      <c r="U10"/>
      <c r="V10"/>
    </row>
    <row r="11" spans="1:22" s="21" customFormat="1" hidden="1">
      <c r="A11" s="825">
        <v>2008</v>
      </c>
      <c r="B11" s="1098"/>
      <c r="C11" s="140"/>
      <c r="D11" s="140"/>
      <c r="E11" s="140"/>
      <c r="F11" s="134"/>
      <c r="G11" s="134"/>
      <c r="H11" s="1101"/>
      <c r="I11" s="729"/>
      <c r="J11" s="134"/>
      <c r="K11" s="134"/>
      <c r="L11" s="60"/>
      <c r="M11"/>
      <c r="N11"/>
      <c r="O11"/>
      <c r="P11"/>
      <c r="Q11"/>
      <c r="R11"/>
      <c r="S11"/>
      <c r="T11"/>
      <c r="U11"/>
      <c r="V11"/>
    </row>
    <row r="12" spans="1:22" s="21" customFormat="1" ht="13.5" hidden="1">
      <c r="A12" s="467" t="s">
        <v>335</v>
      </c>
      <c r="B12" s="1102">
        <f>SUM(B13:B14)</f>
        <v>193</v>
      </c>
      <c r="C12" s="311">
        <f>SUM(D12:E12)</f>
        <v>7</v>
      </c>
      <c r="D12" s="311">
        <f t="shared" ref="D12:K12" si="0">SUM(D13:D14)</f>
        <v>1</v>
      </c>
      <c r="E12" s="311">
        <f t="shared" si="0"/>
        <v>6</v>
      </c>
      <c r="F12" s="311">
        <f>SUM(G12:H12)</f>
        <v>372</v>
      </c>
      <c r="G12" s="311">
        <f t="shared" si="0"/>
        <v>190</v>
      </c>
      <c r="H12" s="311">
        <f t="shared" si="0"/>
        <v>182</v>
      </c>
      <c r="I12" s="311">
        <f>SUM(J12:K12)</f>
        <v>2432</v>
      </c>
      <c r="J12" s="457">
        <f t="shared" si="0"/>
        <v>966</v>
      </c>
      <c r="K12" s="457">
        <f t="shared" si="0"/>
        <v>1466</v>
      </c>
      <c r="L12" s="60"/>
      <c r="M12"/>
      <c r="N12"/>
      <c r="O12"/>
      <c r="P12"/>
      <c r="Q12"/>
      <c r="R12"/>
      <c r="S12"/>
      <c r="T12"/>
      <c r="U12"/>
      <c r="V12"/>
    </row>
    <row r="13" spans="1:22" s="21" customFormat="1" hidden="1">
      <c r="A13" s="159" t="s">
        <v>4</v>
      </c>
      <c r="B13" s="1098">
        <v>49</v>
      </c>
      <c r="C13" s="140" t="s">
        <v>0</v>
      </c>
      <c r="D13" s="140" t="s">
        <v>55</v>
      </c>
      <c r="E13" s="140" t="s">
        <v>55</v>
      </c>
      <c r="F13" s="134">
        <v>15</v>
      </c>
      <c r="G13" s="134">
        <v>7</v>
      </c>
      <c r="H13" s="1101">
        <v>8</v>
      </c>
      <c r="I13" s="475">
        <f>SUM(J13:K13)</f>
        <v>150</v>
      </c>
      <c r="J13" s="475">
        <v>53</v>
      </c>
      <c r="K13" s="475">
        <v>97</v>
      </c>
      <c r="L13" s="60"/>
      <c r="M13"/>
      <c r="N13"/>
      <c r="O13"/>
      <c r="P13"/>
      <c r="Q13"/>
      <c r="R13"/>
      <c r="S13"/>
      <c r="T13"/>
      <c r="U13"/>
      <c r="V13"/>
    </row>
    <row r="14" spans="1:22" s="21" customFormat="1" hidden="1">
      <c r="A14" s="159" t="s">
        <v>26</v>
      </c>
      <c r="B14" s="1098">
        <v>144</v>
      </c>
      <c r="C14" s="140">
        <f t="shared" ref="C14:C54" si="1">SUM(D14:E14)</f>
        <v>7</v>
      </c>
      <c r="D14" s="140">
        <v>1</v>
      </c>
      <c r="E14" s="140">
        <v>6</v>
      </c>
      <c r="F14" s="134">
        <f>SUM(G14:H14)</f>
        <v>357</v>
      </c>
      <c r="G14" s="134">
        <v>183</v>
      </c>
      <c r="H14" s="1101">
        <v>174</v>
      </c>
      <c r="I14" s="475">
        <f>SUM(J14:K14)</f>
        <v>2282</v>
      </c>
      <c r="J14" s="475">
        <v>913</v>
      </c>
      <c r="K14" s="475">
        <v>1369</v>
      </c>
      <c r="L14" s="60"/>
      <c r="M14"/>
      <c r="N14"/>
      <c r="O14"/>
      <c r="P14"/>
      <c r="Q14"/>
      <c r="R14"/>
      <c r="S14"/>
      <c r="T14"/>
      <c r="U14"/>
      <c r="V14"/>
    </row>
    <row r="15" spans="1:22" s="21" customFormat="1" hidden="1">
      <c r="A15" s="825">
        <v>2009</v>
      </c>
      <c r="B15" s="1098"/>
      <c r="C15" s="140"/>
      <c r="D15" s="140"/>
      <c r="E15" s="140"/>
      <c r="F15" s="134"/>
      <c r="G15" s="134"/>
      <c r="H15" s="1101"/>
      <c r="I15" s="729"/>
      <c r="J15" s="134"/>
      <c r="K15" s="134"/>
      <c r="L15" s="60"/>
      <c r="M15"/>
      <c r="N15"/>
      <c r="O15"/>
      <c r="P15"/>
      <c r="Q15"/>
      <c r="R15"/>
      <c r="S15"/>
      <c r="T15"/>
      <c r="U15"/>
      <c r="V15"/>
    </row>
    <row r="16" spans="1:22" s="21" customFormat="1" hidden="1">
      <c r="A16" s="825" t="s">
        <v>335</v>
      </c>
      <c r="B16" s="428">
        <f>SUM(B17:B18)</f>
        <v>193</v>
      </c>
      <c r="C16" s="331">
        <f t="shared" si="1"/>
        <v>7</v>
      </c>
      <c r="D16" s="331">
        <f t="shared" ref="D16:K16" si="2">SUM(D17:D18)</f>
        <v>1</v>
      </c>
      <c r="E16" s="331">
        <f t="shared" si="2"/>
        <v>6</v>
      </c>
      <c r="F16" s="331">
        <f t="shared" si="2"/>
        <v>365</v>
      </c>
      <c r="G16" s="331">
        <f t="shared" si="2"/>
        <v>200</v>
      </c>
      <c r="H16" s="331">
        <f t="shared" si="2"/>
        <v>203</v>
      </c>
      <c r="I16" s="331">
        <f t="shared" si="2"/>
        <v>2675</v>
      </c>
      <c r="J16" s="331">
        <f t="shared" si="2"/>
        <v>1075</v>
      </c>
      <c r="K16" s="331">
        <f t="shared" si="2"/>
        <v>1700</v>
      </c>
      <c r="L16" s="60"/>
      <c r="M16"/>
      <c r="N16"/>
      <c r="O16"/>
      <c r="P16"/>
      <c r="Q16"/>
      <c r="R16"/>
      <c r="S16"/>
      <c r="T16"/>
      <c r="U16"/>
      <c r="V16"/>
    </row>
    <row r="17" spans="1:22" s="21" customFormat="1" hidden="1">
      <c r="A17" s="159" t="s">
        <v>4</v>
      </c>
      <c r="B17" s="430">
        <v>49</v>
      </c>
      <c r="C17" s="332" t="s">
        <v>0</v>
      </c>
      <c r="D17" s="332" t="s">
        <v>97</v>
      </c>
      <c r="E17" s="332" t="s">
        <v>93</v>
      </c>
      <c r="F17" s="332">
        <v>15</v>
      </c>
      <c r="G17" s="332">
        <v>7</v>
      </c>
      <c r="H17" s="332">
        <v>8</v>
      </c>
      <c r="I17" s="332">
        <v>165</v>
      </c>
      <c r="J17" s="332">
        <v>60</v>
      </c>
      <c r="K17" s="332">
        <v>105</v>
      </c>
      <c r="L17" s="60"/>
      <c r="M17"/>
      <c r="N17"/>
      <c r="O17"/>
      <c r="P17"/>
      <c r="Q17"/>
      <c r="R17"/>
      <c r="S17"/>
      <c r="T17"/>
      <c r="U17"/>
      <c r="V17"/>
    </row>
    <row r="18" spans="1:22" s="21" customFormat="1" hidden="1">
      <c r="A18" s="159" t="s">
        <v>26</v>
      </c>
      <c r="B18" s="430">
        <v>144</v>
      </c>
      <c r="C18" s="332">
        <f t="shared" si="1"/>
        <v>7</v>
      </c>
      <c r="D18" s="332">
        <v>1</v>
      </c>
      <c r="E18" s="332">
        <v>6</v>
      </c>
      <c r="F18" s="332">
        <v>350</v>
      </c>
      <c r="G18" s="332">
        <v>193</v>
      </c>
      <c r="H18" s="332">
        <v>195</v>
      </c>
      <c r="I18" s="332">
        <v>2510</v>
      </c>
      <c r="J18" s="332">
        <v>1015</v>
      </c>
      <c r="K18" s="332">
        <v>1595</v>
      </c>
      <c r="L18" s="60"/>
      <c r="M18"/>
      <c r="N18"/>
      <c r="O18"/>
      <c r="P18"/>
      <c r="Q18"/>
      <c r="R18"/>
      <c r="S18"/>
      <c r="T18"/>
      <c r="U18"/>
      <c r="V18"/>
    </row>
    <row r="19" spans="1:22" s="21" customFormat="1" hidden="1">
      <c r="A19" s="825">
        <v>2010</v>
      </c>
      <c r="B19" s="1098"/>
      <c r="C19" s="140"/>
      <c r="D19" s="140"/>
      <c r="E19" s="140"/>
      <c r="F19" s="134"/>
      <c r="G19" s="134"/>
      <c r="H19" s="1101"/>
      <c r="I19" s="729"/>
      <c r="J19" s="134"/>
      <c r="K19" s="134"/>
      <c r="L19" s="60"/>
      <c r="M19"/>
      <c r="N19"/>
      <c r="O19"/>
      <c r="P19"/>
      <c r="Q19"/>
      <c r="R19"/>
      <c r="S19"/>
      <c r="T19"/>
      <c r="U19"/>
      <c r="V19"/>
    </row>
    <row r="20" spans="1:22" s="21" customFormat="1" hidden="1">
      <c r="A20" s="825" t="s">
        <v>335</v>
      </c>
      <c r="B20" s="428">
        <f>SUM(B21:B22)</f>
        <v>221</v>
      </c>
      <c r="C20" s="331">
        <f t="shared" si="1"/>
        <v>7</v>
      </c>
      <c r="D20" s="331">
        <f t="shared" ref="D20:K20" si="3">SUM(D21:D22)</f>
        <v>1</v>
      </c>
      <c r="E20" s="331">
        <f t="shared" si="3"/>
        <v>6</v>
      </c>
      <c r="F20" s="331">
        <f t="shared" si="3"/>
        <v>454</v>
      </c>
      <c r="G20" s="331">
        <f t="shared" si="3"/>
        <v>211</v>
      </c>
      <c r="H20" s="331">
        <f t="shared" si="3"/>
        <v>243</v>
      </c>
      <c r="I20" s="331">
        <f t="shared" si="3"/>
        <v>3394</v>
      </c>
      <c r="J20" s="331">
        <f t="shared" si="3"/>
        <v>1206</v>
      </c>
      <c r="K20" s="331">
        <f t="shared" si="3"/>
        <v>2188</v>
      </c>
      <c r="L20" s="60"/>
      <c r="M20"/>
      <c r="N20"/>
      <c r="O20"/>
      <c r="P20"/>
      <c r="Q20"/>
      <c r="R20"/>
      <c r="S20"/>
      <c r="T20"/>
      <c r="U20"/>
      <c r="V20"/>
    </row>
    <row r="21" spans="1:22" s="21" customFormat="1" hidden="1">
      <c r="A21" s="159" t="s">
        <v>4</v>
      </c>
      <c r="B21" s="430">
        <v>49</v>
      </c>
      <c r="C21" s="332" t="s">
        <v>0</v>
      </c>
      <c r="D21" s="332" t="s">
        <v>97</v>
      </c>
      <c r="E21" s="332" t="s">
        <v>93</v>
      </c>
      <c r="F21" s="332">
        <v>17</v>
      </c>
      <c r="G21" s="332">
        <v>9</v>
      </c>
      <c r="H21" s="332">
        <v>8</v>
      </c>
      <c r="I21" s="332">
        <v>161</v>
      </c>
      <c r="J21" s="332">
        <v>55</v>
      </c>
      <c r="K21" s="332">
        <v>106</v>
      </c>
      <c r="L21" s="60"/>
      <c r="M21"/>
      <c r="N21"/>
      <c r="O21"/>
      <c r="P21"/>
      <c r="Q21"/>
      <c r="R21"/>
      <c r="S21"/>
      <c r="T21"/>
      <c r="U21"/>
      <c r="V21"/>
    </row>
    <row r="22" spans="1:22" s="21" customFormat="1" hidden="1">
      <c r="A22" s="159" t="s">
        <v>26</v>
      </c>
      <c r="B22" s="430">
        <v>172</v>
      </c>
      <c r="C22" s="332">
        <f t="shared" si="1"/>
        <v>7</v>
      </c>
      <c r="D22" s="332">
        <v>1</v>
      </c>
      <c r="E22" s="332">
        <v>6</v>
      </c>
      <c r="F22" s="332">
        <v>437</v>
      </c>
      <c r="G22" s="332">
        <v>202</v>
      </c>
      <c r="H22" s="332">
        <v>235</v>
      </c>
      <c r="I22" s="332">
        <v>3233</v>
      </c>
      <c r="J22" s="332">
        <v>1151</v>
      </c>
      <c r="K22" s="332">
        <v>2082</v>
      </c>
      <c r="L22" s="60"/>
      <c r="M22"/>
      <c r="N22"/>
      <c r="O22"/>
      <c r="P22"/>
      <c r="Q22"/>
      <c r="R22"/>
      <c r="S22"/>
      <c r="T22"/>
      <c r="U22"/>
      <c r="V22"/>
    </row>
    <row r="23" spans="1:22" s="21" customFormat="1" hidden="1">
      <c r="A23" s="825">
        <v>2011</v>
      </c>
      <c r="B23" s="1098"/>
      <c r="C23" s="140"/>
      <c r="D23" s="140"/>
      <c r="E23" s="140"/>
      <c r="F23" s="134"/>
      <c r="G23" s="134"/>
      <c r="H23" s="1101"/>
      <c r="I23" s="729"/>
      <c r="J23" s="134"/>
      <c r="K23" s="134"/>
      <c r="L23" s="60"/>
      <c r="M23"/>
      <c r="N23"/>
      <c r="O23"/>
      <c r="P23"/>
      <c r="Q23"/>
      <c r="R23"/>
      <c r="S23"/>
      <c r="T23"/>
      <c r="U23"/>
      <c r="V23"/>
    </row>
    <row r="24" spans="1:22" s="21" customFormat="1" hidden="1">
      <c r="A24" s="825" t="s">
        <v>335</v>
      </c>
      <c r="B24" s="428">
        <f>SUM(B25:B26)</f>
        <v>221</v>
      </c>
      <c r="C24" s="331">
        <f t="shared" si="1"/>
        <v>7</v>
      </c>
      <c r="D24" s="331">
        <f t="shared" ref="D24:K24" si="4">SUM(D25:D26)</f>
        <v>1</v>
      </c>
      <c r="E24" s="331">
        <f t="shared" si="4"/>
        <v>6</v>
      </c>
      <c r="F24" s="331">
        <f t="shared" si="4"/>
        <v>403</v>
      </c>
      <c r="G24" s="331">
        <f t="shared" si="4"/>
        <v>223</v>
      </c>
      <c r="H24" s="331">
        <f t="shared" si="4"/>
        <v>266</v>
      </c>
      <c r="I24" s="331">
        <f t="shared" si="4"/>
        <v>3475</v>
      </c>
      <c r="J24" s="331">
        <f t="shared" si="4"/>
        <v>1232</v>
      </c>
      <c r="K24" s="331">
        <f t="shared" si="4"/>
        <v>2243</v>
      </c>
      <c r="L24" s="60"/>
      <c r="M24"/>
      <c r="N24"/>
      <c r="O24"/>
      <c r="P24"/>
      <c r="Q24"/>
      <c r="R24"/>
      <c r="S24"/>
      <c r="T24"/>
      <c r="U24"/>
      <c r="V24"/>
    </row>
    <row r="25" spans="1:22" s="21" customFormat="1" hidden="1">
      <c r="A25" s="159" t="s">
        <v>4</v>
      </c>
      <c r="B25" s="430">
        <v>50</v>
      </c>
      <c r="C25" s="332" t="s">
        <v>0</v>
      </c>
      <c r="D25" s="332" t="s">
        <v>97</v>
      </c>
      <c r="E25" s="332" t="s">
        <v>97</v>
      </c>
      <c r="F25" s="332">
        <v>15</v>
      </c>
      <c r="G25" s="332">
        <v>8</v>
      </c>
      <c r="H25" s="332">
        <v>7</v>
      </c>
      <c r="I25" s="332">
        <v>153</v>
      </c>
      <c r="J25" s="332">
        <v>57</v>
      </c>
      <c r="K25" s="332">
        <v>96</v>
      </c>
      <c r="L25" s="60"/>
      <c r="M25"/>
      <c r="N25"/>
      <c r="O25"/>
      <c r="P25"/>
      <c r="Q25"/>
      <c r="R25"/>
      <c r="S25"/>
      <c r="T25"/>
      <c r="U25"/>
      <c r="V25"/>
    </row>
    <row r="26" spans="1:22" s="21" customFormat="1" hidden="1">
      <c r="A26" s="159" t="s">
        <v>26</v>
      </c>
      <c r="B26" s="430">
        <v>171</v>
      </c>
      <c r="C26" s="332">
        <f t="shared" si="1"/>
        <v>7</v>
      </c>
      <c r="D26" s="332">
        <v>1</v>
      </c>
      <c r="E26" s="332">
        <v>6</v>
      </c>
      <c r="F26" s="332">
        <v>388</v>
      </c>
      <c r="G26" s="332">
        <v>215</v>
      </c>
      <c r="H26" s="332">
        <v>259</v>
      </c>
      <c r="I26" s="332">
        <f>SUM(J26:K26)</f>
        <v>3322</v>
      </c>
      <c r="J26" s="332">
        <v>1175</v>
      </c>
      <c r="K26" s="332">
        <v>2147</v>
      </c>
      <c r="L26" s="60"/>
      <c r="M26"/>
      <c r="N26"/>
      <c r="O26"/>
      <c r="P26"/>
      <c r="Q26"/>
      <c r="R26"/>
      <c r="S26"/>
      <c r="T26"/>
      <c r="U26"/>
      <c r="V26"/>
    </row>
    <row r="27" spans="1:22" s="21" customFormat="1" hidden="1">
      <c r="A27" s="825">
        <v>2012</v>
      </c>
      <c r="B27" s="1098"/>
      <c r="C27" s="140"/>
      <c r="D27" s="140"/>
      <c r="E27" s="140"/>
      <c r="F27" s="134"/>
      <c r="G27" s="134"/>
      <c r="H27" s="1101"/>
      <c r="I27" s="134"/>
      <c r="J27" s="134"/>
      <c r="K27" s="134"/>
      <c r="L27" s="60"/>
      <c r="M27"/>
      <c r="N27"/>
      <c r="O27"/>
      <c r="P27"/>
      <c r="Q27"/>
      <c r="R27"/>
      <c r="S27"/>
      <c r="T27"/>
      <c r="U27"/>
      <c r="V27"/>
    </row>
    <row r="28" spans="1:22" s="21" customFormat="1" hidden="1">
      <c r="A28" s="825" t="s">
        <v>335</v>
      </c>
      <c r="B28" s="428">
        <f>SUM(B29:B30)</f>
        <v>177</v>
      </c>
      <c r="C28" s="331">
        <f t="shared" si="1"/>
        <v>8</v>
      </c>
      <c r="D28" s="331">
        <f t="shared" ref="D28:K28" si="5">SUM(D29:D30)</f>
        <v>1</v>
      </c>
      <c r="E28" s="331">
        <f t="shared" si="5"/>
        <v>7</v>
      </c>
      <c r="F28" s="331">
        <f t="shared" si="5"/>
        <v>545</v>
      </c>
      <c r="G28" s="331">
        <f t="shared" si="5"/>
        <v>236</v>
      </c>
      <c r="H28" s="331">
        <f t="shared" si="5"/>
        <v>309</v>
      </c>
      <c r="I28" s="331">
        <f t="shared" si="5"/>
        <v>4082</v>
      </c>
      <c r="J28" s="331">
        <f t="shared" si="5"/>
        <v>1446</v>
      </c>
      <c r="K28" s="331">
        <f t="shared" si="5"/>
        <v>2636</v>
      </c>
      <c r="L28" s="60"/>
      <c r="M28"/>
      <c r="N28"/>
      <c r="O28"/>
      <c r="P28"/>
      <c r="Q28"/>
      <c r="R28"/>
      <c r="S28"/>
      <c r="T28"/>
      <c r="U28"/>
      <c r="V28"/>
    </row>
    <row r="29" spans="1:22" s="21" customFormat="1" hidden="1">
      <c r="A29" s="159" t="s">
        <v>4</v>
      </c>
      <c r="B29" s="430">
        <v>50</v>
      </c>
      <c r="C29" s="332" t="s">
        <v>0</v>
      </c>
      <c r="D29" s="332" t="s">
        <v>97</v>
      </c>
      <c r="E29" s="332" t="s">
        <v>97</v>
      </c>
      <c r="F29" s="332">
        <v>11</v>
      </c>
      <c r="G29" s="332">
        <v>5</v>
      </c>
      <c r="H29" s="332">
        <v>6</v>
      </c>
      <c r="I29" s="332">
        <f>SUM(J29:K29)</f>
        <v>158</v>
      </c>
      <c r="J29" s="332">
        <v>57</v>
      </c>
      <c r="K29" s="332">
        <v>101</v>
      </c>
      <c r="L29" s="60"/>
      <c r="M29"/>
      <c r="N29"/>
      <c r="O29"/>
      <c r="P29"/>
      <c r="Q29"/>
      <c r="R29"/>
      <c r="S29"/>
      <c r="T29"/>
      <c r="U29"/>
      <c r="V29"/>
    </row>
    <row r="30" spans="1:22" s="21" customFormat="1" hidden="1">
      <c r="A30" s="159" t="s">
        <v>26</v>
      </c>
      <c r="B30" s="430">
        <v>127</v>
      </c>
      <c r="C30" s="332">
        <f t="shared" si="1"/>
        <v>8</v>
      </c>
      <c r="D30" s="332">
        <v>1</v>
      </c>
      <c r="E30" s="332">
        <v>7</v>
      </c>
      <c r="F30" s="332">
        <f>SUM(G30:H30)</f>
        <v>534</v>
      </c>
      <c r="G30" s="332">
        <v>231</v>
      </c>
      <c r="H30" s="332">
        <v>303</v>
      </c>
      <c r="I30" s="332">
        <v>3924</v>
      </c>
      <c r="J30" s="332">
        <v>1389</v>
      </c>
      <c r="K30" s="332">
        <v>2535</v>
      </c>
      <c r="L30" s="61"/>
      <c r="M30"/>
      <c r="N30"/>
      <c r="O30"/>
      <c r="P30"/>
      <c r="Q30"/>
      <c r="R30"/>
      <c r="S30"/>
      <c r="T30"/>
      <c r="U30"/>
      <c r="V30"/>
    </row>
    <row r="31" spans="1:22" s="21" customFormat="1" hidden="1">
      <c r="A31" s="825">
        <v>2013</v>
      </c>
      <c r="B31" s="1098"/>
      <c r="C31" s="140"/>
      <c r="D31" s="140"/>
      <c r="E31" s="140"/>
      <c r="F31" s="134"/>
      <c r="G31" s="134"/>
      <c r="H31" s="134"/>
      <c r="I31" s="134"/>
      <c r="J31" s="134"/>
      <c r="K31" s="134"/>
      <c r="L31" s="61"/>
      <c r="M31"/>
      <c r="N31"/>
      <c r="O31"/>
      <c r="P31"/>
      <c r="Q31"/>
      <c r="R31"/>
      <c r="S31"/>
      <c r="T31"/>
      <c r="U31"/>
      <c r="V31"/>
    </row>
    <row r="32" spans="1:22" s="21" customFormat="1" hidden="1">
      <c r="A32" s="825" t="s">
        <v>335</v>
      </c>
      <c r="B32" s="428">
        <f>SUM(B33:B34)</f>
        <v>175</v>
      </c>
      <c r="C32" s="331">
        <f t="shared" si="1"/>
        <v>8</v>
      </c>
      <c r="D32" s="331">
        <f t="shared" ref="D32:K32" si="6">SUM(D33:D34)</f>
        <v>1</v>
      </c>
      <c r="E32" s="331">
        <f t="shared" si="6"/>
        <v>7</v>
      </c>
      <c r="F32" s="331">
        <f t="shared" si="6"/>
        <v>560</v>
      </c>
      <c r="G32" s="331">
        <f t="shared" si="6"/>
        <v>236</v>
      </c>
      <c r="H32" s="331">
        <f t="shared" si="6"/>
        <v>324</v>
      </c>
      <c r="I32" s="331">
        <f t="shared" si="6"/>
        <v>4168</v>
      </c>
      <c r="J32" s="331">
        <f t="shared" si="6"/>
        <v>1478</v>
      </c>
      <c r="K32" s="331">
        <f t="shared" si="6"/>
        <v>2690</v>
      </c>
      <c r="L32" s="61"/>
      <c r="M32"/>
      <c r="N32"/>
      <c r="O32"/>
      <c r="P32"/>
      <c r="Q32"/>
      <c r="R32"/>
      <c r="S32"/>
      <c r="T32"/>
      <c r="U32"/>
      <c r="V32"/>
    </row>
    <row r="33" spans="1:22" s="21" customFormat="1" hidden="1">
      <c r="A33" s="159" t="s">
        <v>4</v>
      </c>
      <c r="B33" s="430">
        <v>50</v>
      </c>
      <c r="C33" s="332" t="s">
        <v>0</v>
      </c>
      <c r="D33" s="332" t="s">
        <v>97</v>
      </c>
      <c r="E33" s="332" t="s">
        <v>97</v>
      </c>
      <c r="F33" s="332">
        <f>SUM(G33:H33)</f>
        <v>17</v>
      </c>
      <c r="G33" s="332">
        <v>9</v>
      </c>
      <c r="H33" s="332">
        <v>8</v>
      </c>
      <c r="I33" s="332">
        <f>SUM(J33:K33)</f>
        <v>156</v>
      </c>
      <c r="J33" s="332">
        <v>55</v>
      </c>
      <c r="K33" s="332">
        <v>101</v>
      </c>
      <c r="L33" s="61"/>
      <c r="M33"/>
      <c r="N33"/>
      <c r="O33"/>
      <c r="P33"/>
      <c r="Q33"/>
      <c r="R33"/>
      <c r="S33"/>
      <c r="T33"/>
      <c r="U33"/>
      <c r="V33"/>
    </row>
    <row r="34" spans="1:22" s="21" customFormat="1" hidden="1">
      <c r="A34" s="159" t="s">
        <v>26</v>
      </c>
      <c r="B34" s="430">
        <v>125</v>
      </c>
      <c r="C34" s="332">
        <f t="shared" si="1"/>
        <v>8</v>
      </c>
      <c r="D34" s="332">
        <v>1</v>
      </c>
      <c r="E34" s="332">
        <v>7</v>
      </c>
      <c r="F34" s="332">
        <v>543</v>
      </c>
      <c r="G34" s="332">
        <v>227</v>
      </c>
      <c r="H34" s="332">
        <v>316</v>
      </c>
      <c r="I34" s="332">
        <v>4012</v>
      </c>
      <c r="J34" s="332">
        <v>1423</v>
      </c>
      <c r="K34" s="332">
        <v>2589</v>
      </c>
      <c r="L34" s="61"/>
      <c r="M34"/>
      <c r="N34"/>
      <c r="O34"/>
      <c r="P34"/>
      <c r="Q34"/>
      <c r="R34"/>
      <c r="S34"/>
      <c r="T34"/>
      <c r="U34"/>
      <c r="V34"/>
    </row>
    <row r="35" spans="1:22" s="21" customFormat="1" hidden="1">
      <c r="A35" s="825">
        <v>2014</v>
      </c>
      <c r="B35" s="1098"/>
      <c r="C35" s="140"/>
      <c r="D35" s="140"/>
      <c r="E35" s="140"/>
      <c r="F35" s="134"/>
      <c r="G35" s="134"/>
      <c r="H35" s="134"/>
      <c r="I35" s="134"/>
      <c r="J35" s="134"/>
      <c r="K35" s="134"/>
      <c r="L35" s="61"/>
      <c r="M35"/>
      <c r="N35"/>
      <c r="O35"/>
      <c r="P35"/>
      <c r="Q35"/>
      <c r="R35"/>
      <c r="S35"/>
      <c r="T35"/>
      <c r="U35"/>
      <c r="V35"/>
    </row>
    <row r="36" spans="1:22" s="21" customFormat="1" hidden="1">
      <c r="A36" s="825" t="s">
        <v>335</v>
      </c>
      <c r="B36" s="428">
        <f>SUM(B37:B38)</f>
        <v>170</v>
      </c>
      <c r="C36" s="331">
        <f t="shared" si="1"/>
        <v>7</v>
      </c>
      <c r="D36" s="331">
        <f t="shared" ref="D36:K36" si="7">SUM(D37:D38)</f>
        <v>1</v>
      </c>
      <c r="E36" s="331">
        <f t="shared" si="7"/>
        <v>6</v>
      </c>
      <c r="F36" s="331">
        <f t="shared" si="7"/>
        <v>625</v>
      </c>
      <c r="G36" s="331">
        <f t="shared" si="7"/>
        <v>248</v>
      </c>
      <c r="H36" s="331">
        <v>377</v>
      </c>
      <c r="I36" s="331">
        <f t="shared" si="7"/>
        <v>4644</v>
      </c>
      <c r="J36" s="331">
        <v>1588</v>
      </c>
      <c r="K36" s="331">
        <f t="shared" si="7"/>
        <v>3023</v>
      </c>
      <c r="L36" s="61"/>
      <c r="M36"/>
      <c r="N36"/>
      <c r="O36"/>
      <c r="P36"/>
      <c r="Q36"/>
      <c r="R36"/>
      <c r="S36"/>
      <c r="T36"/>
      <c r="U36"/>
      <c r="V36"/>
    </row>
    <row r="37" spans="1:22" s="21" customFormat="1" hidden="1">
      <c r="A37" s="159" t="s">
        <v>4</v>
      </c>
      <c r="B37" s="430">
        <v>45</v>
      </c>
      <c r="C37" s="332" t="s">
        <v>0</v>
      </c>
      <c r="D37" s="332" t="s">
        <v>97</v>
      </c>
      <c r="E37" s="332" t="s">
        <v>97</v>
      </c>
      <c r="F37" s="332">
        <v>12</v>
      </c>
      <c r="G37" s="332">
        <v>6</v>
      </c>
      <c r="H37" s="332">
        <v>6</v>
      </c>
      <c r="I37" s="332">
        <v>205</v>
      </c>
      <c r="J37" s="332">
        <v>104</v>
      </c>
      <c r="K37" s="332">
        <v>101</v>
      </c>
      <c r="L37" s="61"/>
      <c r="M37"/>
      <c r="N37"/>
      <c r="O37"/>
      <c r="P37"/>
      <c r="Q37"/>
      <c r="R37"/>
      <c r="S37"/>
      <c r="T37"/>
      <c r="U37"/>
      <c r="V37"/>
    </row>
    <row r="38" spans="1:22" s="21" customFormat="1" hidden="1">
      <c r="A38" s="159" t="s">
        <v>26</v>
      </c>
      <c r="B38" s="430">
        <v>125</v>
      </c>
      <c r="C38" s="332">
        <f t="shared" si="1"/>
        <v>7</v>
      </c>
      <c r="D38" s="332">
        <v>1</v>
      </c>
      <c r="E38" s="332">
        <v>6</v>
      </c>
      <c r="F38" s="332">
        <v>613</v>
      </c>
      <c r="G38" s="332">
        <v>242</v>
      </c>
      <c r="H38" s="332">
        <v>369</v>
      </c>
      <c r="I38" s="332">
        <v>4439</v>
      </c>
      <c r="J38" s="332">
        <v>1517</v>
      </c>
      <c r="K38" s="332">
        <v>2922</v>
      </c>
      <c r="L38" s="61"/>
      <c r="M38"/>
      <c r="N38"/>
      <c r="O38"/>
      <c r="P38"/>
      <c r="Q38"/>
      <c r="R38"/>
      <c r="S38"/>
      <c r="T38"/>
      <c r="U38"/>
      <c r="V38"/>
    </row>
    <row r="39" spans="1:22" s="21" customFormat="1" hidden="1">
      <c r="A39" s="825">
        <v>2015</v>
      </c>
      <c r="B39" s="1098"/>
      <c r="C39" s="140"/>
      <c r="D39" s="140"/>
      <c r="E39" s="140"/>
      <c r="F39" s="134"/>
      <c r="G39" s="134"/>
      <c r="H39" s="134"/>
      <c r="I39" s="134"/>
      <c r="J39" s="134"/>
      <c r="K39" s="134"/>
      <c r="L39" s="61"/>
      <c r="M39"/>
      <c r="N39"/>
      <c r="O39"/>
      <c r="P39"/>
      <c r="Q39"/>
      <c r="R39"/>
      <c r="S39"/>
      <c r="T39"/>
      <c r="U39"/>
      <c r="V39"/>
    </row>
    <row r="40" spans="1:22" s="21" customFormat="1" ht="13.5" hidden="1">
      <c r="A40" s="467" t="s">
        <v>335</v>
      </c>
      <c r="B40" s="428">
        <v>152</v>
      </c>
      <c r="C40" s="331">
        <f t="shared" si="1"/>
        <v>8</v>
      </c>
      <c r="D40" s="331">
        <v>1</v>
      </c>
      <c r="E40" s="331">
        <v>7</v>
      </c>
      <c r="F40" s="331">
        <f>SUM(G40:H40)</f>
        <v>641</v>
      </c>
      <c r="G40" s="331">
        <v>266</v>
      </c>
      <c r="H40" s="331">
        <v>375</v>
      </c>
      <c r="I40" s="331">
        <f>SUM(J40:K40)</f>
        <v>4912</v>
      </c>
      <c r="J40" s="331">
        <v>1707</v>
      </c>
      <c r="K40" s="331">
        <v>3205</v>
      </c>
      <c r="L40" s="61"/>
      <c r="M40"/>
      <c r="N40"/>
      <c r="O40"/>
      <c r="P40"/>
      <c r="Q40"/>
      <c r="R40"/>
      <c r="S40"/>
      <c r="T40"/>
      <c r="U40"/>
      <c r="V40"/>
    </row>
    <row r="41" spans="1:22" s="21" customFormat="1" hidden="1">
      <c r="A41" s="159" t="s">
        <v>4</v>
      </c>
      <c r="B41" s="430">
        <v>45</v>
      </c>
      <c r="C41" s="332" t="s">
        <v>0</v>
      </c>
      <c r="D41" s="332" t="s">
        <v>97</v>
      </c>
      <c r="E41" s="332" t="s">
        <v>97</v>
      </c>
      <c r="F41" s="332">
        <v>12</v>
      </c>
      <c r="G41" s="332">
        <v>6</v>
      </c>
      <c r="H41" s="332">
        <v>6</v>
      </c>
      <c r="I41" s="332">
        <v>205</v>
      </c>
      <c r="J41" s="332">
        <v>104</v>
      </c>
      <c r="K41" s="332">
        <v>101</v>
      </c>
      <c r="L41" s="61"/>
      <c r="M41"/>
      <c r="N41"/>
      <c r="O41"/>
      <c r="P41"/>
      <c r="Q41"/>
      <c r="R41"/>
      <c r="S41"/>
      <c r="T41"/>
      <c r="U41"/>
      <c r="V41"/>
    </row>
    <row r="42" spans="1:22" s="21" customFormat="1" hidden="1">
      <c r="A42" s="159" t="s">
        <v>26</v>
      </c>
      <c r="B42" s="430">
        <v>107</v>
      </c>
      <c r="C42" s="332">
        <f t="shared" si="1"/>
        <v>8</v>
      </c>
      <c r="D42" s="332">
        <v>1</v>
      </c>
      <c r="E42" s="332">
        <v>7</v>
      </c>
      <c r="F42" s="332">
        <v>629</v>
      </c>
      <c r="G42" s="332">
        <v>260</v>
      </c>
      <c r="H42" s="332">
        <v>369</v>
      </c>
      <c r="I42" s="332">
        <v>4707</v>
      </c>
      <c r="J42" s="332">
        <v>1603</v>
      </c>
      <c r="K42" s="332">
        <v>3104</v>
      </c>
      <c r="L42" s="61"/>
      <c r="M42"/>
      <c r="N42"/>
      <c r="O42"/>
      <c r="P42"/>
      <c r="Q42"/>
      <c r="R42"/>
      <c r="S42"/>
      <c r="T42"/>
      <c r="U42"/>
      <c r="V42"/>
    </row>
    <row r="43" spans="1:22" s="21" customFormat="1" hidden="1">
      <c r="A43" s="825">
        <v>2016</v>
      </c>
      <c r="B43" s="1098"/>
      <c r="C43" s="140"/>
      <c r="D43" s="140"/>
      <c r="E43" s="140"/>
      <c r="F43" s="134"/>
      <c r="G43" s="134"/>
      <c r="H43" s="134"/>
      <c r="I43" s="475"/>
      <c r="J43" s="475"/>
      <c r="K43" s="475"/>
      <c r="L43" s="61"/>
      <c r="M43"/>
      <c r="N43"/>
      <c r="O43"/>
      <c r="P43"/>
      <c r="Q43"/>
      <c r="R43"/>
      <c r="S43"/>
      <c r="T43"/>
      <c r="U43"/>
      <c r="V43"/>
    </row>
    <row r="44" spans="1:22" s="21" customFormat="1" hidden="1">
      <c r="A44" s="826" t="s">
        <v>462</v>
      </c>
      <c r="B44" s="428">
        <f>B45+B46</f>
        <v>170</v>
      </c>
      <c r="C44" s="331">
        <f t="shared" si="1"/>
        <v>7</v>
      </c>
      <c r="D44" s="331">
        <v>1</v>
      </c>
      <c r="E44" s="331">
        <v>6</v>
      </c>
      <c r="F44" s="331">
        <f t="shared" ref="F44:K44" si="8">F45+F46</f>
        <v>673</v>
      </c>
      <c r="G44" s="331">
        <f t="shared" si="8"/>
        <v>278</v>
      </c>
      <c r="H44" s="331">
        <f t="shared" si="8"/>
        <v>395</v>
      </c>
      <c r="I44" s="331">
        <f t="shared" si="8"/>
        <v>5290</v>
      </c>
      <c r="J44" s="331">
        <f t="shared" si="8"/>
        <v>1838</v>
      </c>
      <c r="K44" s="331">
        <f t="shared" si="8"/>
        <v>3452</v>
      </c>
      <c r="L44" s="61"/>
      <c r="M44"/>
      <c r="N44"/>
      <c r="O44"/>
      <c r="P44"/>
      <c r="Q44"/>
      <c r="R44"/>
      <c r="S44"/>
      <c r="T44"/>
      <c r="U44"/>
      <c r="V44"/>
    </row>
    <row r="45" spans="1:22" s="21" customFormat="1" hidden="1">
      <c r="A45" s="159" t="s">
        <v>4</v>
      </c>
      <c r="B45" s="430">
        <v>45</v>
      </c>
      <c r="C45" s="332" t="s">
        <v>0</v>
      </c>
      <c r="D45" s="332" t="s">
        <v>97</v>
      </c>
      <c r="E45" s="332" t="s">
        <v>97</v>
      </c>
      <c r="F45" s="332">
        <v>16</v>
      </c>
      <c r="G45" s="332">
        <v>8</v>
      </c>
      <c r="H45" s="332">
        <v>8</v>
      </c>
      <c r="I45" s="332">
        <f>SUM(J45:K45)</f>
        <v>181</v>
      </c>
      <c r="J45" s="332">
        <v>65</v>
      </c>
      <c r="K45" s="332">
        <v>116</v>
      </c>
      <c r="L45" s="61"/>
      <c r="M45"/>
      <c r="N45"/>
      <c r="O45"/>
      <c r="P45"/>
      <c r="Q45"/>
      <c r="R45"/>
      <c r="S45"/>
      <c r="T45"/>
      <c r="U45"/>
      <c r="V45"/>
    </row>
    <row r="46" spans="1:22" s="21" customFormat="1" hidden="1">
      <c r="A46" s="159" t="s">
        <v>26</v>
      </c>
      <c r="B46" s="430">
        <v>125</v>
      </c>
      <c r="C46" s="332">
        <f t="shared" si="1"/>
        <v>7</v>
      </c>
      <c r="D46" s="332">
        <v>1</v>
      </c>
      <c r="E46" s="332">
        <v>6</v>
      </c>
      <c r="F46" s="332">
        <f>SUM(G46:H46)</f>
        <v>657</v>
      </c>
      <c r="G46" s="332">
        <v>270</v>
      </c>
      <c r="H46" s="332">
        <v>387</v>
      </c>
      <c r="I46" s="332">
        <f>SUM(J46:K46)</f>
        <v>5109</v>
      </c>
      <c r="J46" s="332">
        <v>1773</v>
      </c>
      <c r="K46" s="332">
        <v>3336</v>
      </c>
      <c r="L46" s="61"/>
      <c r="M46"/>
      <c r="N46"/>
      <c r="O46"/>
      <c r="P46"/>
      <c r="Q46"/>
      <c r="R46"/>
      <c r="S46"/>
      <c r="T46"/>
      <c r="U46"/>
      <c r="V46"/>
    </row>
    <row r="47" spans="1:22" s="21" customFormat="1" hidden="1">
      <c r="A47" s="825">
        <v>2017</v>
      </c>
      <c r="B47" s="1098"/>
      <c r="C47" s="140"/>
      <c r="D47" s="140"/>
      <c r="E47" s="140"/>
      <c r="F47" s="134"/>
      <c r="G47" s="134"/>
      <c r="H47" s="134"/>
      <c r="I47" s="475"/>
      <c r="J47" s="475"/>
      <c r="K47" s="475"/>
      <c r="L47" s="726"/>
      <c r="M47"/>
      <c r="N47"/>
      <c r="O47"/>
      <c r="P47"/>
      <c r="Q47"/>
      <c r="R47"/>
      <c r="S47"/>
      <c r="T47"/>
      <c r="U47"/>
      <c r="V47"/>
    </row>
    <row r="48" spans="1:22" s="21" customFormat="1" ht="15.75" hidden="1">
      <c r="A48" s="826" t="s">
        <v>462</v>
      </c>
      <c r="B48" s="428" t="s">
        <v>117</v>
      </c>
      <c r="C48" s="331">
        <f t="shared" si="1"/>
        <v>7</v>
      </c>
      <c r="D48" s="331">
        <v>1</v>
      </c>
      <c r="E48" s="331">
        <f>SUM(E49:E50)</f>
        <v>6</v>
      </c>
      <c r="F48" s="331">
        <f>SUM(G48:H48)</f>
        <v>686</v>
      </c>
      <c r="G48" s="331">
        <v>271</v>
      </c>
      <c r="H48" s="331">
        <v>415</v>
      </c>
      <c r="I48" s="331">
        <f>SUM(J48:K48)</f>
        <v>5487</v>
      </c>
      <c r="J48" s="331">
        <v>1831</v>
      </c>
      <c r="K48" s="331">
        <v>3656</v>
      </c>
      <c r="L48" s="725"/>
      <c r="M48" s="725"/>
      <c r="N48"/>
      <c r="O48"/>
      <c r="P48"/>
      <c r="Q48"/>
      <c r="R48"/>
      <c r="S48"/>
      <c r="T48"/>
      <c r="U48"/>
      <c r="V48"/>
    </row>
    <row r="49" spans="1:22" s="21" customFormat="1" ht="15.75" hidden="1">
      <c r="A49" s="159" t="s">
        <v>4</v>
      </c>
      <c r="B49" s="430" t="s">
        <v>117</v>
      </c>
      <c r="C49" s="332" t="s">
        <v>117</v>
      </c>
      <c r="D49" s="332" t="s">
        <v>117</v>
      </c>
      <c r="E49" s="332" t="s">
        <v>117</v>
      </c>
      <c r="F49" s="332">
        <f>SUM(G49:H49)</f>
        <v>16</v>
      </c>
      <c r="G49" s="332">
        <v>8</v>
      </c>
      <c r="H49" s="332">
        <v>8</v>
      </c>
      <c r="I49" s="332">
        <f>SUM(J49:K49)</f>
        <v>184</v>
      </c>
      <c r="J49" s="332">
        <v>64</v>
      </c>
      <c r="K49" s="332">
        <v>120</v>
      </c>
      <c r="M49" s="725"/>
      <c r="N49"/>
      <c r="O49"/>
      <c r="P49"/>
      <c r="Q49"/>
      <c r="R49"/>
      <c r="S49"/>
      <c r="T49"/>
      <c r="U49"/>
      <c r="V49"/>
    </row>
    <row r="50" spans="1:22" s="21" customFormat="1" hidden="1">
      <c r="A50" s="159" t="s">
        <v>26</v>
      </c>
      <c r="B50" s="430" t="s">
        <v>117</v>
      </c>
      <c r="C50" s="332">
        <f t="shared" si="1"/>
        <v>7</v>
      </c>
      <c r="D50" s="332">
        <v>1</v>
      </c>
      <c r="E50" s="332">
        <v>6</v>
      </c>
      <c r="F50" s="332">
        <f t="shared" ref="F50:K50" si="9">F48-F49</f>
        <v>670</v>
      </c>
      <c r="G50" s="332">
        <f t="shared" si="9"/>
        <v>263</v>
      </c>
      <c r="H50" s="332">
        <f t="shared" si="9"/>
        <v>407</v>
      </c>
      <c r="I50" s="332">
        <f t="shared" si="9"/>
        <v>5303</v>
      </c>
      <c r="J50" s="332">
        <f t="shared" si="9"/>
        <v>1767</v>
      </c>
      <c r="K50" s="332">
        <f t="shared" si="9"/>
        <v>3536</v>
      </c>
      <c r="L50" s="61"/>
      <c r="M50" s="765"/>
      <c r="N50"/>
      <c r="O50"/>
      <c r="P50"/>
      <c r="Q50"/>
      <c r="R50"/>
      <c r="S50"/>
      <c r="T50"/>
      <c r="U50"/>
      <c r="V50"/>
    </row>
    <row r="51" spans="1:22" s="21" customFormat="1" ht="12" customHeight="1">
      <c r="A51" s="825">
        <v>2018</v>
      </c>
      <c r="B51" s="1098"/>
      <c r="C51" s="140"/>
      <c r="D51" s="140"/>
      <c r="E51" s="140"/>
      <c r="F51" s="134"/>
      <c r="G51" s="134"/>
      <c r="H51" s="134"/>
      <c r="I51" s="475"/>
      <c r="J51" s="475"/>
      <c r="K51" s="475"/>
      <c r="L51" s="61"/>
      <c r="M51"/>
      <c r="N51"/>
      <c r="O51"/>
      <c r="P51"/>
      <c r="Q51"/>
      <c r="R51"/>
      <c r="S51"/>
      <c r="T51"/>
      <c r="U51"/>
      <c r="V51"/>
    </row>
    <row r="52" spans="1:22" s="21" customFormat="1" ht="12" customHeight="1">
      <c r="A52" s="826" t="s">
        <v>462</v>
      </c>
      <c r="B52" s="428" t="s">
        <v>117</v>
      </c>
      <c r="C52" s="331">
        <f t="shared" si="1"/>
        <v>8</v>
      </c>
      <c r="D52" s="331">
        <v>1</v>
      </c>
      <c r="E52" s="331">
        <v>7</v>
      </c>
      <c r="F52" s="331">
        <f>SUM(G52:H52)</f>
        <v>746</v>
      </c>
      <c r="G52" s="331">
        <v>273</v>
      </c>
      <c r="H52" s="331">
        <v>473</v>
      </c>
      <c r="I52" s="331">
        <f>SUM(J52:K52)</f>
        <v>5827</v>
      </c>
      <c r="J52" s="331">
        <v>1889</v>
      </c>
      <c r="K52" s="331">
        <v>3938</v>
      </c>
      <c r="L52" s="61"/>
      <c r="M52" s="476"/>
      <c r="N52"/>
      <c r="O52"/>
      <c r="P52"/>
      <c r="Q52"/>
      <c r="R52"/>
      <c r="S52"/>
      <c r="T52"/>
      <c r="U52"/>
      <c r="V52"/>
    </row>
    <row r="53" spans="1:22" s="21" customFormat="1" ht="12" customHeight="1">
      <c r="A53" s="159" t="s">
        <v>4</v>
      </c>
      <c r="B53" s="430" t="s">
        <v>117</v>
      </c>
      <c r="C53" s="332" t="s">
        <v>117</v>
      </c>
      <c r="D53" s="332" t="s">
        <v>117</v>
      </c>
      <c r="E53" s="332" t="s">
        <v>117</v>
      </c>
      <c r="F53" s="332">
        <f>SUM(G53:H53)</f>
        <v>18</v>
      </c>
      <c r="G53" s="332">
        <v>8</v>
      </c>
      <c r="H53" s="332">
        <v>10</v>
      </c>
      <c r="I53" s="332">
        <f>SUM(J53:K53)</f>
        <v>181</v>
      </c>
      <c r="J53" s="332">
        <v>61</v>
      </c>
      <c r="K53" s="332">
        <v>120</v>
      </c>
      <c r="L53" s="61"/>
      <c r="M53"/>
      <c r="N53"/>
      <c r="O53"/>
      <c r="P53"/>
      <c r="Q53"/>
      <c r="R53"/>
      <c r="S53"/>
      <c r="T53"/>
      <c r="U53"/>
      <c r="V53"/>
    </row>
    <row r="54" spans="1:22" s="21" customFormat="1" ht="12" customHeight="1">
      <c r="A54" s="159" t="s">
        <v>26</v>
      </c>
      <c r="B54" s="430" t="s">
        <v>117</v>
      </c>
      <c r="C54" s="332">
        <f t="shared" si="1"/>
        <v>7</v>
      </c>
      <c r="D54" s="332">
        <v>1</v>
      </c>
      <c r="E54" s="332">
        <v>6</v>
      </c>
      <c r="F54" s="332">
        <f>F52-F53</f>
        <v>728</v>
      </c>
      <c r="G54" s="332">
        <f>G52-G53</f>
        <v>265</v>
      </c>
      <c r="H54" s="332">
        <f>H52-H53</f>
        <v>463</v>
      </c>
      <c r="I54" s="332">
        <f>SUM(J54:K54)</f>
        <v>5646</v>
      </c>
      <c r="J54" s="332">
        <f>J52-J53</f>
        <v>1828</v>
      </c>
      <c r="K54" s="332">
        <f>K52-K53</f>
        <v>3818</v>
      </c>
      <c r="L54" s="61"/>
      <c r="M54"/>
      <c r="N54"/>
      <c r="O54"/>
      <c r="P54"/>
      <c r="Q54"/>
      <c r="R54"/>
      <c r="S54"/>
      <c r="T54"/>
      <c r="U54"/>
      <c r="V54"/>
    </row>
    <row r="55" spans="1:22" s="21" customFormat="1" ht="12" customHeight="1">
      <c r="A55" s="825">
        <v>2019</v>
      </c>
      <c r="B55" s="1098"/>
      <c r="C55" s="140"/>
      <c r="D55" s="140"/>
      <c r="E55" s="140"/>
      <c r="F55" s="134"/>
      <c r="G55" s="134"/>
      <c r="H55" s="134"/>
      <c r="I55" s="475"/>
      <c r="J55" s="475"/>
      <c r="K55" s="475"/>
      <c r="L55" s="61"/>
      <c r="M55"/>
      <c r="N55"/>
      <c r="O55"/>
      <c r="P55"/>
      <c r="Q55"/>
      <c r="R55"/>
      <c r="S55"/>
      <c r="T55"/>
      <c r="U55"/>
      <c r="V55"/>
    </row>
    <row r="56" spans="1:22" s="21" customFormat="1" ht="12" customHeight="1">
      <c r="A56" s="826" t="s">
        <v>462</v>
      </c>
      <c r="B56" s="428" t="s">
        <v>117</v>
      </c>
      <c r="C56" s="331">
        <f>SUM(D56:E56)</f>
        <v>8</v>
      </c>
      <c r="D56" s="332" t="s">
        <v>97</v>
      </c>
      <c r="E56" s="331">
        <v>8</v>
      </c>
      <c r="F56" s="331">
        <f>SUM(G56:H56)</f>
        <v>730</v>
      </c>
      <c r="G56" s="331">
        <v>268</v>
      </c>
      <c r="H56" s="331">
        <v>462</v>
      </c>
      <c r="I56" s="331">
        <f>SUM(J56:K56)</f>
        <v>5107</v>
      </c>
      <c r="J56" s="331">
        <v>1153</v>
      </c>
      <c r="K56" s="331">
        <v>3954</v>
      </c>
      <c r="L56" s="61"/>
      <c r="M56"/>
      <c r="N56"/>
      <c r="O56"/>
      <c r="P56"/>
      <c r="Q56"/>
      <c r="R56"/>
      <c r="S56"/>
      <c r="T56"/>
      <c r="U56"/>
      <c r="V56"/>
    </row>
    <row r="57" spans="1:22" s="21" customFormat="1" ht="12" customHeight="1">
      <c r="A57" s="159" t="s">
        <v>4</v>
      </c>
      <c r="B57" s="430" t="s">
        <v>117</v>
      </c>
      <c r="C57" s="332" t="s">
        <v>117</v>
      </c>
      <c r="D57" s="332" t="s">
        <v>117</v>
      </c>
      <c r="E57" s="332" t="s">
        <v>117</v>
      </c>
      <c r="F57" s="332">
        <f>SUM(G57:H57)</f>
        <v>18</v>
      </c>
      <c r="G57" s="332">
        <v>8</v>
      </c>
      <c r="H57" s="332">
        <v>10</v>
      </c>
      <c r="I57" s="332">
        <f>SUM(J57:K57)</f>
        <v>178</v>
      </c>
      <c r="J57" s="332">
        <v>59</v>
      </c>
      <c r="K57" s="332">
        <v>119</v>
      </c>
      <c r="L57" s="61"/>
      <c r="M57"/>
      <c r="N57"/>
      <c r="O57"/>
      <c r="P57"/>
      <c r="Q57"/>
      <c r="R57"/>
      <c r="S57"/>
      <c r="T57"/>
      <c r="U57"/>
      <c r="V57"/>
    </row>
    <row r="58" spans="1:22" s="21" customFormat="1" ht="12" customHeight="1">
      <c r="A58" s="159" t="s">
        <v>26</v>
      </c>
      <c r="B58" s="430" t="s">
        <v>117</v>
      </c>
      <c r="C58" s="332">
        <f>SUM(D58:E58)</f>
        <v>8</v>
      </c>
      <c r="D58" s="332" t="s">
        <v>117</v>
      </c>
      <c r="E58" s="332">
        <v>8</v>
      </c>
      <c r="F58" s="332">
        <f t="shared" ref="F58:K58" si="10">F56-F57</f>
        <v>712</v>
      </c>
      <c r="G58" s="332">
        <f t="shared" si="10"/>
        <v>260</v>
      </c>
      <c r="H58" s="332">
        <f t="shared" si="10"/>
        <v>452</v>
      </c>
      <c r="I58" s="332">
        <f t="shared" si="10"/>
        <v>4929</v>
      </c>
      <c r="J58" s="332">
        <f t="shared" si="10"/>
        <v>1094</v>
      </c>
      <c r="K58" s="332">
        <f t="shared" si="10"/>
        <v>3835</v>
      </c>
      <c r="L58" s="61"/>
      <c r="M58"/>
      <c r="N58"/>
      <c r="O58"/>
      <c r="P58"/>
      <c r="Q58"/>
      <c r="R58"/>
      <c r="S58"/>
      <c r="T58"/>
      <c r="U58"/>
      <c r="V58"/>
    </row>
    <row r="59" spans="1:22" s="21" customFormat="1" ht="12" customHeight="1">
      <c r="A59" s="825">
        <v>2020</v>
      </c>
      <c r="B59" s="1098"/>
      <c r="C59" s="140"/>
      <c r="D59" s="140"/>
      <c r="E59" s="140"/>
      <c r="F59" s="134"/>
      <c r="G59" s="134"/>
      <c r="H59" s="134"/>
      <c r="I59" s="475"/>
      <c r="J59" s="475"/>
      <c r="K59" s="475"/>
      <c r="L59" s="61"/>
      <c r="M59"/>
      <c r="N59"/>
      <c r="O59"/>
      <c r="P59"/>
      <c r="Q59"/>
      <c r="R59"/>
      <c r="S59"/>
      <c r="T59"/>
      <c r="U59"/>
      <c r="V59"/>
    </row>
    <row r="60" spans="1:22" s="21" customFormat="1" ht="12" customHeight="1">
      <c r="A60" s="826" t="s">
        <v>462</v>
      </c>
      <c r="B60" s="428">
        <v>152</v>
      </c>
      <c r="C60" s="331">
        <f>SUM(D60:E60)</f>
        <v>8</v>
      </c>
      <c r="D60" s="331">
        <v>1</v>
      </c>
      <c r="E60" s="331">
        <v>7</v>
      </c>
      <c r="F60" s="331">
        <f>SUM(G60:H60)</f>
        <v>792</v>
      </c>
      <c r="G60" s="331">
        <v>275</v>
      </c>
      <c r="H60" s="331">
        <v>517</v>
      </c>
      <c r="I60" s="331">
        <f>SUM(J60:K60)</f>
        <v>6886</v>
      </c>
      <c r="J60" s="331">
        <v>2135</v>
      </c>
      <c r="K60" s="331">
        <v>4751</v>
      </c>
      <c r="L60" s="592"/>
      <c r="M60"/>
      <c r="N60"/>
      <c r="O60"/>
      <c r="P60"/>
      <c r="Q60"/>
      <c r="R60"/>
      <c r="S60"/>
      <c r="T60"/>
      <c r="U60"/>
      <c r="V60"/>
    </row>
    <row r="61" spans="1:22" s="21" customFormat="1" ht="12" customHeight="1">
      <c r="A61" s="159" t="s">
        <v>4</v>
      </c>
      <c r="B61" s="430">
        <v>45</v>
      </c>
      <c r="C61" s="332" t="s">
        <v>117</v>
      </c>
      <c r="D61" s="332" t="s">
        <v>117</v>
      </c>
      <c r="E61" s="332" t="s">
        <v>117</v>
      </c>
      <c r="F61" s="332">
        <v>12</v>
      </c>
      <c r="G61" s="332">
        <v>6</v>
      </c>
      <c r="H61" s="332">
        <v>6</v>
      </c>
      <c r="I61" s="332">
        <v>205</v>
      </c>
      <c r="J61" s="332" t="s">
        <v>117</v>
      </c>
      <c r="K61" s="332" t="s">
        <v>117</v>
      </c>
      <c r="L61" s="61"/>
      <c r="M61"/>
      <c r="N61"/>
      <c r="O61"/>
      <c r="P61"/>
      <c r="Q61"/>
      <c r="R61"/>
      <c r="S61"/>
      <c r="T61"/>
      <c r="U61"/>
      <c r="V61"/>
    </row>
    <row r="62" spans="1:22" s="21" customFormat="1" ht="12" customHeight="1">
      <c r="A62" s="159" t="s">
        <v>26</v>
      </c>
      <c r="B62" s="430">
        <v>107</v>
      </c>
      <c r="C62" s="332">
        <f>SUM(D62:E62)</f>
        <v>8</v>
      </c>
      <c r="D62" s="332">
        <v>1</v>
      </c>
      <c r="E62" s="332">
        <v>7</v>
      </c>
      <c r="F62" s="332">
        <v>629</v>
      </c>
      <c r="G62" s="332">
        <v>260</v>
      </c>
      <c r="H62" s="332">
        <v>369</v>
      </c>
      <c r="I62" s="332">
        <v>4707</v>
      </c>
      <c r="J62" s="332" t="s">
        <v>117</v>
      </c>
      <c r="K62" s="332" t="s">
        <v>117</v>
      </c>
      <c r="L62" s="61"/>
      <c r="M62"/>
      <c r="N62"/>
      <c r="O62"/>
      <c r="P62"/>
      <c r="Q62"/>
      <c r="R62"/>
      <c r="S62"/>
      <c r="T62"/>
      <c r="U62"/>
      <c r="V62"/>
    </row>
    <row r="63" spans="1:22" s="21" customFormat="1" ht="12" customHeight="1">
      <c r="A63" s="825">
        <v>2021</v>
      </c>
      <c r="B63" s="1098"/>
      <c r="C63" s="140"/>
      <c r="D63" s="140"/>
      <c r="E63" s="140"/>
      <c r="F63" s="134"/>
      <c r="G63" s="134"/>
      <c r="H63" s="134"/>
      <c r="I63" s="475"/>
      <c r="J63" s="475"/>
      <c r="K63" s="475"/>
      <c r="L63" s="61"/>
      <c r="M63"/>
      <c r="N63"/>
      <c r="O63"/>
      <c r="P63"/>
      <c r="Q63"/>
      <c r="R63"/>
      <c r="S63"/>
      <c r="T63"/>
      <c r="U63"/>
      <c r="V63"/>
    </row>
    <row r="64" spans="1:22" s="21" customFormat="1" ht="12" customHeight="1">
      <c r="A64" s="826" t="s">
        <v>462</v>
      </c>
      <c r="B64" s="430" t="s">
        <v>117</v>
      </c>
      <c r="C64" s="331">
        <v>8</v>
      </c>
      <c r="D64" s="331">
        <v>1</v>
      </c>
      <c r="E64" s="331">
        <v>7</v>
      </c>
      <c r="F64" s="331">
        <f>SUM(G64:H64)</f>
        <v>795</v>
      </c>
      <c r="G64" s="331">
        <v>278</v>
      </c>
      <c r="H64" s="331">
        <v>517</v>
      </c>
      <c r="I64" s="331">
        <f>SUM(J64:K64)</f>
        <v>7204</v>
      </c>
      <c r="J64" s="331">
        <v>2198</v>
      </c>
      <c r="K64" s="331">
        <v>5006</v>
      </c>
      <c r="L64" s="61"/>
      <c r="M64"/>
      <c r="N64"/>
      <c r="O64"/>
      <c r="P64"/>
      <c r="Q64"/>
      <c r="R64"/>
      <c r="S64"/>
      <c r="T64"/>
      <c r="U64"/>
      <c r="V64"/>
    </row>
    <row r="65" spans="1:22" s="21" customFormat="1" ht="12" customHeight="1">
      <c r="A65" s="159" t="s">
        <v>4</v>
      </c>
      <c r="B65" s="430" t="s">
        <v>117</v>
      </c>
      <c r="C65" s="332" t="s">
        <v>117</v>
      </c>
      <c r="D65" s="332" t="s">
        <v>117</v>
      </c>
      <c r="E65" s="332" t="s">
        <v>117</v>
      </c>
      <c r="F65" s="332">
        <v>18</v>
      </c>
      <c r="G65" s="332">
        <v>8</v>
      </c>
      <c r="H65" s="332">
        <v>10</v>
      </c>
      <c r="I65" s="332">
        <f>SUM(J65:K65)</f>
        <v>192</v>
      </c>
      <c r="J65" s="332">
        <v>66</v>
      </c>
      <c r="K65" s="332">
        <v>126</v>
      </c>
      <c r="L65" s="61"/>
      <c r="M65"/>
      <c r="N65"/>
      <c r="O65"/>
      <c r="P65"/>
      <c r="Q65"/>
      <c r="R65"/>
      <c r="S65"/>
      <c r="T65"/>
      <c r="U65"/>
      <c r="V65"/>
    </row>
    <row r="66" spans="1:22" s="21" customFormat="1" ht="12" customHeight="1">
      <c r="A66" s="159" t="s">
        <v>26</v>
      </c>
      <c r="B66" s="430" t="s">
        <v>117</v>
      </c>
      <c r="C66" s="332">
        <v>8</v>
      </c>
      <c r="D66" s="332">
        <v>1</v>
      </c>
      <c r="E66" s="332">
        <v>7</v>
      </c>
      <c r="F66" s="332" t="s">
        <v>117</v>
      </c>
      <c r="G66" s="332">
        <f>+G64-G65</f>
        <v>270</v>
      </c>
      <c r="H66" s="332">
        <f>+H64-H65</f>
        <v>507</v>
      </c>
      <c r="I66" s="332" t="s">
        <v>117</v>
      </c>
      <c r="J66" s="332" t="s">
        <v>117</v>
      </c>
      <c r="K66" s="332" t="s">
        <v>117</v>
      </c>
      <c r="L66" s="61"/>
      <c r="M66"/>
      <c r="N66"/>
      <c r="O66"/>
      <c r="P66"/>
      <c r="Q66"/>
      <c r="R66"/>
      <c r="S66"/>
      <c r="T66"/>
      <c r="U66"/>
      <c r="V66"/>
    </row>
    <row r="67" spans="1:22" s="21" customFormat="1" ht="12" customHeight="1">
      <c r="A67" s="825">
        <v>2022</v>
      </c>
      <c r="B67" s="1098"/>
      <c r="C67" s="140"/>
      <c r="D67" s="140"/>
      <c r="E67" s="140"/>
      <c r="F67" s="134"/>
      <c r="G67" s="134"/>
      <c r="H67" s="134"/>
      <c r="I67" s="475"/>
      <c r="J67" s="475"/>
      <c r="K67" s="475"/>
      <c r="L67" s="61"/>
      <c r="M67"/>
      <c r="N67"/>
      <c r="O67"/>
      <c r="P67"/>
      <c r="Q67"/>
      <c r="R67"/>
      <c r="S67"/>
      <c r="T67"/>
      <c r="U67"/>
      <c r="V67"/>
    </row>
    <row r="68" spans="1:22" s="21" customFormat="1" ht="12" customHeight="1">
      <c r="A68" s="826" t="s">
        <v>462</v>
      </c>
      <c r="B68" s="430" t="s">
        <v>117</v>
      </c>
      <c r="C68" s="331">
        <v>8</v>
      </c>
      <c r="D68" s="331">
        <v>1</v>
      </c>
      <c r="E68" s="331">
        <v>7</v>
      </c>
      <c r="F68" s="331">
        <f>SUM(G68:H68)</f>
        <v>795</v>
      </c>
      <c r="G68" s="331">
        <v>278</v>
      </c>
      <c r="H68" s="331">
        <v>517</v>
      </c>
      <c r="I68" s="331">
        <f>SUM(J68:K68)</f>
        <v>7204</v>
      </c>
      <c r="J68" s="331">
        <v>2198</v>
      </c>
      <c r="K68" s="331">
        <v>5006</v>
      </c>
      <c r="L68" s="61"/>
      <c r="M68"/>
      <c r="N68"/>
      <c r="O68"/>
      <c r="P68"/>
      <c r="Q68"/>
      <c r="R68"/>
      <c r="S68"/>
      <c r="T68"/>
      <c r="U68"/>
      <c r="V68"/>
    </row>
    <row r="69" spans="1:22" s="21" customFormat="1" ht="12" customHeight="1">
      <c r="A69" s="159" t="s">
        <v>4</v>
      </c>
      <c r="B69" s="430" t="s">
        <v>117</v>
      </c>
      <c r="C69" s="332" t="s">
        <v>117</v>
      </c>
      <c r="D69" s="332" t="s">
        <v>117</v>
      </c>
      <c r="E69" s="332" t="s">
        <v>117</v>
      </c>
      <c r="F69" s="332">
        <v>18</v>
      </c>
      <c r="G69" s="332">
        <v>8</v>
      </c>
      <c r="H69" s="332">
        <v>10</v>
      </c>
      <c r="I69" s="332">
        <f>SUM(J69:K69)</f>
        <v>192</v>
      </c>
      <c r="J69" s="332">
        <v>66</v>
      </c>
      <c r="K69" s="332">
        <v>126</v>
      </c>
      <c r="L69" s="61"/>
      <c r="M69"/>
      <c r="N69"/>
      <c r="O69"/>
      <c r="P69"/>
      <c r="Q69"/>
      <c r="R69"/>
      <c r="S69"/>
      <c r="T69"/>
      <c r="U69"/>
      <c r="V69"/>
    </row>
    <row r="70" spans="1:22" s="21" customFormat="1" ht="12" customHeight="1">
      <c r="A70" s="159" t="s">
        <v>26</v>
      </c>
      <c r="B70" s="430" t="s">
        <v>117</v>
      </c>
      <c r="C70" s="332">
        <v>8</v>
      </c>
      <c r="D70" s="332">
        <v>1</v>
      </c>
      <c r="E70" s="332">
        <v>7</v>
      </c>
      <c r="F70" s="332">
        <f t="shared" ref="F70:K70" si="11">+F68-F69</f>
        <v>777</v>
      </c>
      <c r="G70" s="332">
        <f t="shared" si="11"/>
        <v>270</v>
      </c>
      <c r="H70" s="332">
        <f t="shared" si="11"/>
        <v>507</v>
      </c>
      <c r="I70" s="332">
        <f t="shared" si="11"/>
        <v>7012</v>
      </c>
      <c r="J70" s="332">
        <f t="shared" si="11"/>
        <v>2132</v>
      </c>
      <c r="K70" s="332">
        <f t="shared" si="11"/>
        <v>4880</v>
      </c>
      <c r="L70" s="61"/>
      <c r="M70"/>
      <c r="N70"/>
      <c r="O70"/>
      <c r="P70"/>
      <c r="Q70"/>
      <c r="R70"/>
      <c r="S70"/>
      <c r="T70"/>
      <c r="U70"/>
      <c r="V70"/>
    </row>
    <row r="71" spans="1:22" s="21" customFormat="1" ht="12" customHeight="1">
      <c r="A71" s="825">
        <v>2023</v>
      </c>
      <c r="B71" s="1098"/>
      <c r="C71" s="140"/>
      <c r="D71" s="140"/>
      <c r="E71" s="140"/>
      <c r="F71" s="134"/>
      <c r="G71" s="134"/>
      <c r="H71" s="134"/>
      <c r="I71" s="475"/>
      <c r="J71" s="475"/>
      <c r="K71" s="475"/>
      <c r="L71" s="61"/>
      <c r="M71"/>
      <c r="N71"/>
      <c r="O71"/>
      <c r="P71"/>
      <c r="Q71"/>
      <c r="R71"/>
      <c r="S71"/>
      <c r="T71"/>
      <c r="U71"/>
      <c r="V71"/>
    </row>
    <row r="72" spans="1:22" s="21" customFormat="1" ht="12" customHeight="1">
      <c r="A72" s="826" t="s">
        <v>462</v>
      </c>
      <c r="B72" s="430" t="s">
        <v>117</v>
      </c>
      <c r="C72" s="331">
        <v>7</v>
      </c>
      <c r="D72" s="331">
        <v>1</v>
      </c>
      <c r="E72" s="331">
        <v>6</v>
      </c>
      <c r="F72" s="331">
        <f>SUM(G72:H72)</f>
        <v>828</v>
      </c>
      <c r="G72" s="331">
        <v>288</v>
      </c>
      <c r="H72" s="331">
        <v>540</v>
      </c>
      <c r="I72" s="331">
        <f>SUM(J72:K72)</f>
        <v>7529</v>
      </c>
      <c r="J72" s="331">
        <v>2307</v>
      </c>
      <c r="K72" s="331">
        <v>5222</v>
      </c>
      <c r="L72" s="61"/>
      <c r="M72"/>
      <c r="N72"/>
      <c r="O72"/>
      <c r="P72"/>
      <c r="Q72"/>
      <c r="R72"/>
      <c r="S72"/>
      <c r="T72"/>
      <c r="U72"/>
      <c r="V72"/>
    </row>
    <row r="73" spans="1:22" s="21" customFormat="1" ht="12" customHeight="1">
      <c r="A73" s="159" t="s">
        <v>4</v>
      </c>
      <c r="B73" s="430" t="s">
        <v>117</v>
      </c>
      <c r="C73" s="332" t="s">
        <v>117</v>
      </c>
      <c r="D73" s="332" t="s">
        <v>117</v>
      </c>
      <c r="E73" s="332" t="s">
        <v>117</v>
      </c>
      <c r="F73" s="332">
        <v>17</v>
      </c>
      <c r="G73" s="332">
        <v>7</v>
      </c>
      <c r="H73" s="332">
        <v>10</v>
      </c>
      <c r="I73" s="332">
        <f>SUM(J73:K73)</f>
        <v>196</v>
      </c>
      <c r="J73" s="332">
        <v>68</v>
      </c>
      <c r="K73" s="332">
        <v>128</v>
      </c>
      <c r="L73" s="61"/>
      <c r="M73"/>
      <c r="N73"/>
      <c r="O73"/>
      <c r="P73"/>
      <c r="Q73"/>
      <c r="R73"/>
      <c r="S73"/>
      <c r="T73"/>
      <c r="U73"/>
      <c r="V73"/>
    </row>
    <row r="74" spans="1:22" s="21" customFormat="1" ht="12" customHeight="1">
      <c r="A74" s="159" t="s">
        <v>26</v>
      </c>
      <c r="B74" s="430" t="s">
        <v>117</v>
      </c>
      <c r="C74" s="332">
        <v>7</v>
      </c>
      <c r="D74" s="332">
        <v>1</v>
      </c>
      <c r="E74" s="332">
        <v>6</v>
      </c>
      <c r="F74" s="332">
        <f t="shared" ref="F74:K74" si="12">+F72-F73</f>
        <v>811</v>
      </c>
      <c r="G74" s="332">
        <f t="shared" si="12"/>
        <v>281</v>
      </c>
      <c r="H74" s="332">
        <f t="shared" si="12"/>
        <v>530</v>
      </c>
      <c r="I74" s="332">
        <f t="shared" si="12"/>
        <v>7333</v>
      </c>
      <c r="J74" s="332">
        <f t="shared" si="12"/>
        <v>2239</v>
      </c>
      <c r="K74" s="332">
        <f t="shared" si="12"/>
        <v>5094</v>
      </c>
      <c r="L74" s="61"/>
      <c r="M74"/>
      <c r="N74"/>
      <c r="O74"/>
      <c r="P74"/>
      <c r="Q74"/>
      <c r="R74"/>
      <c r="S74"/>
      <c r="T74"/>
      <c r="U74"/>
      <c r="V74"/>
    </row>
    <row r="75" spans="1:22" s="21" customFormat="1" ht="5.0999999999999996" customHeight="1">
      <c r="A75" s="827"/>
      <c r="B75" s="1099"/>
      <c r="C75" s="828"/>
      <c r="D75" s="828"/>
      <c r="E75" s="828"/>
      <c r="F75" s="643"/>
      <c r="G75" s="643"/>
      <c r="H75" s="829"/>
      <c r="I75" s="643"/>
      <c r="J75" s="643"/>
      <c r="K75" s="643"/>
      <c r="L75" s="60"/>
      <c r="M75"/>
      <c r="N75"/>
      <c r="O75"/>
      <c r="P75"/>
      <c r="Q75"/>
      <c r="R75"/>
      <c r="S75"/>
      <c r="T75"/>
      <c r="U75"/>
      <c r="V75"/>
    </row>
    <row r="76" spans="1:22" s="21" customFormat="1" ht="18" customHeight="1">
      <c r="A76" s="1219" t="s">
        <v>548</v>
      </c>
      <c r="B76" s="1219"/>
      <c r="C76" s="1219"/>
      <c r="D76" s="1219"/>
      <c r="E76" s="1219"/>
      <c r="F76" s="1219"/>
      <c r="G76" s="1219"/>
      <c r="H76" s="1219"/>
      <c r="I76" s="1219"/>
      <c r="J76" s="1219"/>
      <c r="K76" s="1219"/>
      <c r="L76" s="25"/>
      <c r="M76"/>
      <c r="N76"/>
      <c r="O76"/>
      <c r="P76"/>
      <c r="Q76"/>
      <c r="R76"/>
      <c r="S76"/>
      <c r="T76"/>
      <c r="U76"/>
      <c r="V76"/>
    </row>
    <row r="77" spans="1:22" s="21" customFormat="1" ht="11.1" customHeight="1">
      <c r="A77" s="848"/>
      <c r="B77" s="767"/>
      <c r="C77" s="768"/>
      <c r="D77" s="768"/>
      <c r="E77" s="768"/>
      <c r="F77" s="768"/>
      <c r="G77" s="769"/>
      <c r="H77" s="768"/>
      <c r="I77" s="768"/>
      <c r="J77" s="768"/>
      <c r="K77" s="768"/>
      <c r="L77" s="25"/>
      <c r="M77"/>
      <c r="N77"/>
      <c r="O77"/>
      <c r="P77"/>
      <c r="Q77"/>
      <c r="R77"/>
      <c r="S77"/>
      <c r="T77"/>
      <c r="U77"/>
      <c r="V77"/>
    </row>
    <row r="78" spans="1:22" s="21" customFormat="1" ht="9" customHeight="1">
      <c r="A78" s="26"/>
      <c r="B78" s="767"/>
      <c r="C78" s="768"/>
      <c r="D78" s="768"/>
      <c r="E78" s="768"/>
      <c r="F78" s="768"/>
      <c r="G78" s="769"/>
      <c r="H78" s="768"/>
      <c r="I78" s="768"/>
      <c r="J78" s="768"/>
      <c r="K78" s="768"/>
      <c r="L78" s="25"/>
      <c r="M78"/>
      <c r="N78"/>
      <c r="O78"/>
      <c r="P78"/>
      <c r="Q78"/>
      <c r="R78"/>
      <c r="S78"/>
      <c r="T78"/>
      <c r="U78"/>
      <c r="V78"/>
    </row>
    <row r="79" spans="1:22" s="21" customFormat="1" ht="9" customHeight="1">
      <c r="A79" s="26"/>
      <c r="B79" s="767"/>
      <c r="C79" s="768"/>
      <c r="D79" s="768"/>
      <c r="E79" s="768"/>
      <c r="F79" s="768"/>
      <c r="G79" s="769"/>
      <c r="H79" s="768"/>
      <c r="I79" s="768"/>
      <c r="J79" s="768"/>
      <c r="K79" s="768"/>
      <c r="L79" s="25"/>
      <c r="M79"/>
      <c r="N79"/>
      <c r="O79"/>
      <c r="P79"/>
      <c r="Q79"/>
      <c r="R79"/>
      <c r="S79"/>
      <c r="T79"/>
      <c r="U79"/>
      <c r="V79"/>
    </row>
    <row r="80" spans="1:22" s="21" customFormat="1" ht="9" customHeight="1">
      <c r="A80" s="26"/>
      <c r="B80" s="767"/>
      <c r="C80" s="768"/>
      <c r="D80" s="768"/>
      <c r="E80" s="768"/>
      <c r="F80" s="768"/>
      <c r="G80" s="769"/>
      <c r="H80" s="768"/>
      <c r="I80" s="768"/>
      <c r="J80" s="768"/>
      <c r="K80" s="768"/>
      <c r="L80" s="25"/>
      <c r="M80"/>
      <c r="N80"/>
      <c r="O80"/>
      <c r="P80"/>
      <c r="Q80"/>
      <c r="R80"/>
      <c r="S80"/>
      <c r="T80"/>
      <c r="U80"/>
      <c r="V80"/>
    </row>
    <row r="81" spans="1:22" s="21" customFormat="1" ht="9" customHeight="1">
      <c r="A81" s="26"/>
      <c r="B81" s="767"/>
      <c r="C81" s="768"/>
      <c r="D81" s="768"/>
      <c r="E81" s="768"/>
      <c r="F81" s="768"/>
      <c r="G81" s="769"/>
      <c r="H81" s="768"/>
      <c r="I81" s="768"/>
      <c r="J81" s="768"/>
      <c r="K81" s="768"/>
      <c r="L81" s="25"/>
      <c r="M81"/>
      <c r="N81"/>
      <c r="O81"/>
      <c r="P81"/>
      <c r="Q81"/>
      <c r="R81"/>
      <c r="S81"/>
      <c r="T81"/>
      <c r="U81"/>
      <c r="V81"/>
    </row>
    <row r="82" spans="1:22" ht="9.9499999999999993" customHeight="1">
      <c r="A82" s="153"/>
    </row>
    <row r="83" spans="1:22">
      <c r="A83" s="154"/>
    </row>
    <row r="85" spans="1:22">
      <c r="I85" s="324" t="s">
        <v>45</v>
      </c>
    </row>
  </sheetData>
  <mergeCells count="14">
    <mergeCell ref="A76:K76"/>
    <mergeCell ref="A1:K1"/>
    <mergeCell ref="I5:I6"/>
    <mergeCell ref="J5:K5"/>
    <mergeCell ref="J4:K4"/>
    <mergeCell ref="A3:A6"/>
    <mergeCell ref="B3:K3"/>
    <mergeCell ref="B4:B6"/>
    <mergeCell ref="C4:E4"/>
    <mergeCell ref="C5:C6"/>
    <mergeCell ref="D5:E5"/>
    <mergeCell ref="F5:F6"/>
    <mergeCell ref="G5:H5"/>
    <mergeCell ref="G4:H4"/>
  </mergeCells>
  <phoneticPr fontId="24" type="noConversion"/>
  <pageMargins left="0.78740157480314965" right="0.78740157480314965" top="0.98425196850393704" bottom="0.98425196850393704" header="0.31496062992125984" footer="0"/>
  <pageSetup paperSize="9" orientation="portrait" r:id="rId1"/>
  <headerFooter alignWithMargins="0"/>
  <colBreaks count="1" manualBreakCount="1">
    <brk id="11" max="32" man="1"/>
  </colBreaks>
  <ignoredErrors>
    <ignoredError sqref="F30 C18:C19 C21:C22 C25:C27 C29:C31 C33:C35 C37:C42 C62 C23" formulaRange="1"/>
    <ignoredError sqref="I54 C16 C12:I12" formula="1"/>
    <ignoredError sqref="C20 C24 C28 C32 C36" formula="1" formulaRange="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P85"/>
  <sheetViews>
    <sheetView showGridLines="0" zoomScaleNormal="100" zoomScaleSheetLayoutView="115" workbookViewId="0">
      <pane xSplit="1" ySplit="29" topLeftCell="B30" activePane="bottomRight" state="frozen"/>
      <selection pane="topRight" activeCell="B1" sqref="B1"/>
      <selection pane="bottomLeft" activeCell="A30" sqref="A30"/>
      <selection pane="bottomRight" sqref="A1:F1"/>
    </sheetView>
  </sheetViews>
  <sheetFormatPr baseColWidth="10" defaultColWidth="11.42578125" defaultRowHeight="12.75"/>
  <cols>
    <col min="1" max="1" width="19.7109375" style="156" customWidth="1"/>
    <col min="2" max="6" width="12.7109375" style="727" customWidth="1"/>
    <col min="7" max="7" width="19.7109375" style="727" customWidth="1"/>
    <col min="8" max="8" width="15.85546875" style="27" customWidth="1"/>
    <col min="9" max="15" width="11.42578125" style="27"/>
    <col min="16" max="16" width="11.5703125" customWidth="1"/>
    <col min="17" max="16384" width="11.42578125" style="27"/>
  </cols>
  <sheetData>
    <row r="1" spans="1:16" ht="12.75" customHeight="1">
      <c r="A1" s="1137" t="s">
        <v>549</v>
      </c>
      <c r="B1" s="1137"/>
      <c r="C1" s="1137"/>
      <c r="D1" s="1137"/>
      <c r="E1" s="1137"/>
      <c r="F1" s="1137"/>
    </row>
    <row r="2" spans="1:16" ht="5.0999999999999996" customHeight="1">
      <c r="A2" s="1137" t="s">
        <v>98</v>
      </c>
      <c r="B2" s="1227"/>
      <c r="C2" s="1227"/>
      <c r="D2" s="1227"/>
      <c r="E2" s="1227"/>
      <c r="F2" s="1227"/>
    </row>
    <row r="3" spans="1:16" ht="13.5" customHeight="1">
      <c r="A3" s="1222" t="s">
        <v>478</v>
      </c>
      <c r="B3" s="1228" t="s">
        <v>2</v>
      </c>
      <c r="C3" s="1203" t="s">
        <v>46</v>
      </c>
      <c r="D3" s="1203"/>
      <c r="E3" s="1203"/>
      <c r="F3" s="1203"/>
    </row>
    <row r="4" spans="1:16" ht="12" customHeight="1">
      <c r="A4" s="1165"/>
      <c r="B4" s="1228"/>
      <c r="C4" s="1203" t="s">
        <v>47</v>
      </c>
      <c r="D4" s="1203"/>
      <c r="E4" s="1203"/>
      <c r="F4" s="1203"/>
      <c r="G4" s="728"/>
    </row>
    <row r="5" spans="1:16" ht="22.5" customHeight="1">
      <c r="A5" s="1165"/>
      <c r="B5" s="1228"/>
      <c r="C5" s="357" t="s">
        <v>48</v>
      </c>
      <c r="D5" s="357" t="s">
        <v>107</v>
      </c>
      <c r="E5" s="357" t="s">
        <v>108</v>
      </c>
      <c r="F5" s="357" t="s">
        <v>51</v>
      </c>
      <c r="H5" s="28"/>
    </row>
    <row r="6" spans="1:16" ht="3.75" hidden="1" customHeight="1">
      <c r="A6" s="1165"/>
      <c r="B6" s="1104"/>
      <c r="C6" s="134"/>
      <c r="D6" s="140"/>
      <c r="E6" s="730"/>
      <c r="F6" s="628"/>
    </row>
    <row r="7" spans="1:16" s="157" customFormat="1" ht="9.9499999999999993" hidden="1" customHeight="1">
      <c r="A7" s="825" t="s">
        <v>2</v>
      </c>
      <c r="B7" s="1029">
        <f>SUM(C7:F7)</f>
        <v>743</v>
      </c>
      <c r="C7" s="506">
        <v>1</v>
      </c>
      <c r="D7" s="311">
        <v>5</v>
      </c>
      <c r="E7" s="311">
        <v>125</v>
      </c>
      <c r="F7" s="688">
        <v>612</v>
      </c>
      <c r="G7" s="731"/>
      <c r="P7"/>
    </row>
    <row r="8" spans="1:16" ht="9.9499999999999993" hidden="1" customHeight="1">
      <c r="A8" s="159" t="s">
        <v>4</v>
      </c>
      <c r="B8" s="1030">
        <f>SUM(C8:F8)</f>
        <v>29</v>
      </c>
      <c r="C8" s="134" t="s">
        <v>57</v>
      </c>
      <c r="D8" s="140" t="s">
        <v>54</v>
      </c>
      <c r="E8" s="140">
        <v>4</v>
      </c>
      <c r="F8" s="628">
        <v>25</v>
      </c>
    </row>
    <row r="9" spans="1:16" ht="9.9499999999999993" hidden="1" customHeight="1">
      <c r="A9" s="159" t="s">
        <v>26</v>
      </c>
      <c r="B9" s="1030">
        <f>SUM(C9:F9)</f>
        <v>714</v>
      </c>
      <c r="C9" s="134">
        <v>1</v>
      </c>
      <c r="D9" s="140">
        <v>5</v>
      </c>
      <c r="E9" s="140">
        <v>121</v>
      </c>
      <c r="F9" s="628">
        <v>587</v>
      </c>
    </row>
    <row r="10" spans="1:16" ht="9.9499999999999993" hidden="1" customHeight="1">
      <c r="A10" s="825">
        <v>2006</v>
      </c>
      <c r="B10" s="1030"/>
      <c r="C10" s="134"/>
      <c r="D10" s="140"/>
      <c r="E10" s="730"/>
      <c r="F10" s="628"/>
    </row>
    <row r="11" spans="1:16" s="157" customFormat="1" ht="9.9499999999999993" hidden="1" customHeight="1">
      <c r="A11" s="467" t="s">
        <v>335</v>
      </c>
      <c r="B11" s="1029">
        <f>SUM(C11:F11)</f>
        <v>867</v>
      </c>
      <c r="C11" s="506">
        <v>1</v>
      </c>
      <c r="D11" s="311">
        <v>7</v>
      </c>
      <c r="E11" s="311">
        <v>146</v>
      </c>
      <c r="F11" s="688">
        <v>713</v>
      </c>
      <c r="G11" s="731"/>
      <c r="P11"/>
    </row>
    <row r="12" spans="1:16" ht="9.9499999999999993" hidden="1" customHeight="1">
      <c r="A12" s="159" t="s">
        <v>4</v>
      </c>
      <c r="B12" s="1030">
        <f>SUM(C12:F12)</f>
        <v>29</v>
      </c>
      <c r="C12" s="134" t="s">
        <v>57</v>
      </c>
      <c r="D12" s="140" t="s">
        <v>54</v>
      </c>
      <c r="E12" s="140">
        <v>4</v>
      </c>
      <c r="F12" s="628">
        <v>25</v>
      </c>
    </row>
    <row r="13" spans="1:16" ht="9.9499999999999993" hidden="1" customHeight="1">
      <c r="A13" s="159" t="s">
        <v>26</v>
      </c>
      <c r="B13" s="1030">
        <f>SUM(C13:F13)</f>
        <v>838</v>
      </c>
      <c r="C13" s="134">
        <v>1</v>
      </c>
      <c r="D13" s="140">
        <v>7</v>
      </c>
      <c r="E13" s="140">
        <v>142</v>
      </c>
      <c r="F13" s="628">
        <v>688</v>
      </c>
    </row>
    <row r="14" spans="1:16" ht="9.9499999999999993" hidden="1" customHeight="1">
      <c r="A14" s="825">
        <v>2007</v>
      </c>
      <c r="B14" s="1030"/>
      <c r="C14" s="134"/>
      <c r="D14" s="140"/>
      <c r="E14" s="140"/>
      <c r="F14" s="628"/>
    </row>
    <row r="15" spans="1:16" s="157" customFormat="1" ht="9.9499999999999993" hidden="1" customHeight="1">
      <c r="A15" s="826" t="s">
        <v>335</v>
      </c>
      <c r="B15" s="1029">
        <f>SUM(C15:F15)</f>
        <v>928</v>
      </c>
      <c r="C15" s="506">
        <v>1</v>
      </c>
      <c r="D15" s="311">
        <v>5</v>
      </c>
      <c r="E15" s="311">
        <v>155</v>
      </c>
      <c r="F15" s="688">
        <v>767</v>
      </c>
      <c r="G15" s="731"/>
      <c r="P15"/>
    </row>
    <row r="16" spans="1:16" ht="9.9499999999999993" hidden="1" customHeight="1">
      <c r="A16" s="159" t="s">
        <v>4</v>
      </c>
      <c r="B16" s="1030">
        <f>SUM(C16:F16)</f>
        <v>33</v>
      </c>
      <c r="C16" s="134" t="s">
        <v>57</v>
      </c>
      <c r="D16" s="140" t="s">
        <v>54</v>
      </c>
      <c r="E16" s="140">
        <v>4</v>
      </c>
      <c r="F16" s="628">
        <v>29</v>
      </c>
    </row>
    <row r="17" spans="1:16" ht="9.9499999999999993" hidden="1" customHeight="1">
      <c r="A17" s="159" t="s">
        <v>26</v>
      </c>
      <c r="B17" s="1030">
        <f>SUM(C17:F17)</f>
        <v>895</v>
      </c>
      <c r="C17" s="134">
        <v>1</v>
      </c>
      <c r="D17" s="140">
        <v>5</v>
      </c>
      <c r="E17" s="140">
        <v>151</v>
      </c>
      <c r="F17" s="628">
        <v>738</v>
      </c>
    </row>
    <row r="18" spans="1:16" ht="9.9499999999999993" hidden="1" customHeight="1">
      <c r="A18" s="825">
        <v>2008</v>
      </c>
      <c r="B18" s="1030"/>
      <c r="C18" s="134"/>
      <c r="D18" s="140"/>
      <c r="E18" s="140"/>
      <c r="F18" s="628"/>
    </row>
    <row r="19" spans="1:16" s="157" customFormat="1" ht="9.9499999999999993" hidden="1" customHeight="1">
      <c r="A19" s="826" t="s">
        <v>335</v>
      </c>
      <c r="B19" s="1029">
        <f>SUM(C19:F19)</f>
        <v>941</v>
      </c>
      <c r="C19" s="506">
        <v>1</v>
      </c>
      <c r="D19" s="311">
        <v>6</v>
      </c>
      <c r="E19" s="311">
        <v>156</v>
      </c>
      <c r="F19" s="688">
        <v>778</v>
      </c>
      <c r="G19" s="731"/>
      <c r="P19"/>
    </row>
    <row r="20" spans="1:16" ht="9.9499999999999993" hidden="1" customHeight="1">
      <c r="A20" s="159" t="s">
        <v>4</v>
      </c>
      <c r="B20" s="1030">
        <f>SUM(C20:F20)</f>
        <v>36</v>
      </c>
      <c r="C20" s="134" t="s">
        <v>57</v>
      </c>
      <c r="D20" s="140" t="s">
        <v>57</v>
      </c>
      <c r="E20" s="140">
        <v>5</v>
      </c>
      <c r="F20" s="628">
        <v>31</v>
      </c>
    </row>
    <row r="21" spans="1:16" ht="9.9499999999999993" hidden="1" customHeight="1">
      <c r="A21" s="159" t="s">
        <v>26</v>
      </c>
      <c r="B21" s="1030">
        <f>SUM(C21:F21)</f>
        <v>905</v>
      </c>
      <c r="C21" s="134">
        <v>1</v>
      </c>
      <c r="D21" s="140">
        <v>6</v>
      </c>
      <c r="E21" s="140">
        <v>151</v>
      </c>
      <c r="F21" s="628">
        <v>747</v>
      </c>
    </row>
    <row r="22" spans="1:16" ht="9.9499999999999993" hidden="1" customHeight="1">
      <c r="A22" s="825">
        <v>2009</v>
      </c>
      <c r="B22" s="1030"/>
      <c r="C22" s="134"/>
      <c r="D22" s="140"/>
      <c r="E22" s="140"/>
      <c r="F22" s="628"/>
    </row>
    <row r="23" spans="1:16" s="157" customFormat="1" ht="9.9499999999999993" hidden="1" customHeight="1">
      <c r="A23" s="826" t="s">
        <v>335</v>
      </c>
      <c r="B23" s="1029">
        <f>SUM(C23:F23)</f>
        <v>987</v>
      </c>
      <c r="C23" s="506">
        <v>1</v>
      </c>
      <c r="D23" s="311">
        <v>5</v>
      </c>
      <c r="E23" s="311">
        <v>166</v>
      </c>
      <c r="F23" s="688">
        <v>815</v>
      </c>
      <c r="G23" s="731"/>
      <c r="P23"/>
    </row>
    <row r="24" spans="1:16" ht="9.9499999999999993" hidden="1" customHeight="1">
      <c r="A24" s="159" t="s">
        <v>4</v>
      </c>
      <c r="B24" s="1030">
        <f>SUM(C24:F24)</f>
        <v>58</v>
      </c>
      <c r="C24" s="134" t="s">
        <v>57</v>
      </c>
      <c r="D24" s="140" t="s">
        <v>57</v>
      </c>
      <c r="E24" s="140">
        <v>8</v>
      </c>
      <c r="F24" s="628">
        <v>50</v>
      </c>
    </row>
    <row r="25" spans="1:16" ht="9.9499999999999993" hidden="1" customHeight="1">
      <c r="A25" s="159" t="s">
        <v>26</v>
      </c>
      <c r="B25" s="1030">
        <f>SUM(C25:F25)</f>
        <v>929</v>
      </c>
      <c r="C25" s="134">
        <v>1</v>
      </c>
      <c r="D25" s="140">
        <v>5</v>
      </c>
      <c r="E25" s="140">
        <v>158</v>
      </c>
      <c r="F25" s="628">
        <v>765</v>
      </c>
    </row>
    <row r="26" spans="1:16" ht="9.9499999999999993" hidden="1" customHeight="1">
      <c r="A26" s="825">
        <v>2010</v>
      </c>
      <c r="B26" s="1030"/>
      <c r="C26" s="134"/>
      <c r="D26" s="140"/>
      <c r="E26" s="140"/>
      <c r="F26" s="628"/>
    </row>
    <row r="27" spans="1:16" s="157" customFormat="1" ht="9.9499999999999993" hidden="1" customHeight="1">
      <c r="A27" s="826" t="s">
        <v>335</v>
      </c>
      <c r="B27" s="1029">
        <f>SUM(C27:F27)</f>
        <v>1097</v>
      </c>
      <c r="C27" s="506">
        <v>1</v>
      </c>
      <c r="D27" s="311">
        <v>5</v>
      </c>
      <c r="E27" s="311">
        <v>200</v>
      </c>
      <c r="F27" s="688">
        <v>891</v>
      </c>
      <c r="G27" s="731"/>
      <c r="P27"/>
    </row>
    <row r="28" spans="1:16" ht="9.9499999999999993" hidden="1" customHeight="1">
      <c r="A28" s="159" t="s">
        <v>4</v>
      </c>
      <c r="B28" s="1030">
        <f>SUM(C28:F28)</f>
        <v>64</v>
      </c>
      <c r="C28" s="134" t="s">
        <v>57</v>
      </c>
      <c r="D28" s="140" t="s">
        <v>57</v>
      </c>
      <c r="E28" s="140">
        <v>9</v>
      </c>
      <c r="F28" s="628">
        <v>55</v>
      </c>
    </row>
    <row r="29" spans="1:16" ht="9.9499999999999993" hidden="1" customHeight="1">
      <c r="A29" s="159" t="s">
        <v>26</v>
      </c>
      <c r="B29" s="1030">
        <f>SUM(C29:F29)</f>
        <v>1033</v>
      </c>
      <c r="C29" s="134">
        <v>1</v>
      </c>
      <c r="D29" s="140">
        <v>5</v>
      </c>
      <c r="E29" s="140">
        <v>191</v>
      </c>
      <c r="F29" s="628">
        <v>836</v>
      </c>
    </row>
    <row r="30" spans="1:16" hidden="1">
      <c r="A30" s="825">
        <v>2011</v>
      </c>
      <c r="B30" s="1030"/>
      <c r="C30" s="134"/>
      <c r="D30" s="140"/>
      <c r="E30" s="140"/>
      <c r="F30" s="628"/>
    </row>
    <row r="31" spans="1:16" s="157" customFormat="1" hidden="1">
      <c r="A31" s="826" t="s">
        <v>462</v>
      </c>
      <c r="B31" s="1029">
        <f>SUM(C31:F31)</f>
        <v>1127</v>
      </c>
      <c r="C31" s="506">
        <v>1</v>
      </c>
      <c r="D31" s="311">
        <v>6</v>
      </c>
      <c r="E31" s="311">
        <v>214</v>
      </c>
      <c r="F31" s="688">
        <v>906</v>
      </c>
      <c r="G31" s="731"/>
      <c r="P31"/>
    </row>
    <row r="32" spans="1:16" hidden="1">
      <c r="A32" s="159" t="s">
        <v>4</v>
      </c>
      <c r="B32" s="1030">
        <f>SUM(C32:F32)</f>
        <v>65</v>
      </c>
      <c r="C32" s="134" t="s">
        <v>57</v>
      </c>
      <c r="D32" s="140" t="s">
        <v>57</v>
      </c>
      <c r="E32" s="140">
        <v>8</v>
      </c>
      <c r="F32" s="628">
        <v>57</v>
      </c>
    </row>
    <row r="33" spans="1:16" hidden="1">
      <c r="A33" s="159" t="s">
        <v>26</v>
      </c>
      <c r="B33" s="1030">
        <f>SUM(C33:F33)</f>
        <v>362</v>
      </c>
      <c r="C33" s="134">
        <v>1</v>
      </c>
      <c r="D33" s="140">
        <v>6</v>
      </c>
      <c r="E33" s="140">
        <v>206</v>
      </c>
      <c r="F33" s="628">
        <v>149</v>
      </c>
      <c r="H33" s="171"/>
    </row>
    <row r="34" spans="1:16" hidden="1">
      <c r="A34" s="825">
        <v>2012</v>
      </c>
      <c r="B34" s="1030"/>
      <c r="C34" s="134"/>
      <c r="D34" s="140"/>
      <c r="E34" s="140"/>
      <c r="F34" s="628"/>
    </row>
    <row r="35" spans="1:16" s="157" customFormat="1" hidden="1">
      <c r="A35" s="826" t="s">
        <v>462</v>
      </c>
      <c r="B35" s="1029">
        <f>SUM(C35:F35)</f>
        <v>1226</v>
      </c>
      <c r="C35" s="506">
        <v>1</v>
      </c>
      <c r="D35" s="311">
        <v>6</v>
      </c>
      <c r="E35" s="311">
        <v>229</v>
      </c>
      <c r="F35" s="311">
        <v>990</v>
      </c>
      <c r="G35" s="731"/>
      <c r="P35"/>
    </row>
    <row r="36" spans="1:16" hidden="1">
      <c r="A36" s="159" t="s">
        <v>4</v>
      </c>
      <c r="B36" s="1030">
        <f>SUM(C36:F36)</f>
        <v>62</v>
      </c>
      <c r="C36" s="134" t="s">
        <v>57</v>
      </c>
      <c r="D36" s="140" t="s">
        <v>57</v>
      </c>
      <c r="E36" s="140">
        <v>5</v>
      </c>
      <c r="F36" s="140">
        <v>57</v>
      </c>
      <c r="H36" s="1226"/>
      <c r="I36" s="1226"/>
      <c r="J36" s="1226"/>
      <c r="K36" s="1226"/>
      <c r="L36" s="1226"/>
      <c r="M36" s="1226"/>
      <c r="N36" s="1226"/>
      <c r="O36" s="1226"/>
    </row>
    <row r="37" spans="1:16" hidden="1">
      <c r="A37" s="159" t="s">
        <v>26</v>
      </c>
      <c r="B37" s="1030">
        <f>SUM(C37:F37)</f>
        <v>1156</v>
      </c>
      <c r="C37" s="134">
        <v>1</v>
      </c>
      <c r="D37" s="140">
        <v>6</v>
      </c>
      <c r="E37" s="140">
        <v>224</v>
      </c>
      <c r="F37" s="628">
        <v>925</v>
      </c>
      <c r="H37" s="160"/>
      <c r="I37" s="104"/>
      <c r="J37" s="104"/>
      <c r="K37" s="104"/>
      <c r="L37" s="104"/>
      <c r="M37" s="104"/>
      <c r="N37" s="104"/>
      <c r="O37" s="104"/>
    </row>
    <row r="38" spans="1:16" ht="14.1" customHeight="1">
      <c r="A38" s="825">
        <v>2013</v>
      </c>
      <c r="B38" s="1030"/>
      <c r="C38" s="134"/>
      <c r="D38" s="140"/>
      <c r="E38" s="140"/>
      <c r="F38" s="628"/>
      <c r="H38" s="163"/>
      <c r="I38" s="161"/>
      <c r="J38" s="161"/>
      <c r="K38" s="161"/>
      <c r="L38" s="161"/>
      <c r="M38" s="161"/>
      <c r="N38" s="161"/>
      <c r="O38" s="161"/>
    </row>
    <row r="39" spans="1:16" s="157" customFormat="1" ht="14.1" customHeight="1">
      <c r="A39" s="826" t="s">
        <v>462</v>
      </c>
      <c r="B39" s="1029">
        <f>SUM(C39:F39)</f>
        <v>1238</v>
      </c>
      <c r="C39" s="506">
        <v>1</v>
      </c>
      <c r="D39" s="311">
        <v>6</v>
      </c>
      <c r="E39" s="311">
        <v>234</v>
      </c>
      <c r="F39" s="311">
        <v>997</v>
      </c>
      <c r="G39" s="731"/>
      <c r="H39" s="163"/>
      <c r="I39" s="161"/>
      <c r="J39" s="161"/>
      <c r="K39" s="161"/>
      <c r="L39" s="161"/>
      <c r="M39" s="161"/>
      <c r="N39" s="161"/>
      <c r="O39" s="161"/>
      <c r="P39"/>
    </row>
    <row r="40" spans="1:16" ht="14.1" customHeight="1">
      <c r="A40" s="159" t="s">
        <v>4</v>
      </c>
      <c r="B40" s="1030">
        <f>SUM(C40:F40)</f>
        <v>64</v>
      </c>
      <c r="C40" s="134" t="s">
        <v>57</v>
      </c>
      <c r="D40" s="140" t="s">
        <v>57</v>
      </c>
      <c r="E40" s="140">
        <v>9</v>
      </c>
      <c r="F40" s="140">
        <v>55</v>
      </c>
      <c r="G40" s="726"/>
      <c r="I40" s="112"/>
      <c r="J40" s="112"/>
      <c r="K40" s="112"/>
      <c r="L40" s="112"/>
      <c r="M40" s="112"/>
      <c r="N40" s="112"/>
      <c r="O40" s="112"/>
    </row>
    <row r="41" spans="1:16" ht="14.1" customHeight="1">
      <c r="A41" s="159" t="s">
        <v>26</v>
      </c>
      <c r="B41" s="1030">
        <f>SUM(C41:F41)</f>
        <v>1162</v>
      </c>
      <c r="C41" s="134">
        <v>1</v>
      </c>
      <c r="D41" s="140">
        <v>6</v>
      </c>
      <c r="E41" s="140">
        <v>220</v>
      </c>
      <c r="F41" s="628">
        <v>935</v>
      </c>
      <c r="H41" s="105"/>
      <c r="I41" s="112"/>
      <c r="J41" s="112"/>
      <c r="K41" s="112"/>
      <c r="L41" s="112"/>
      <c r="M41" s="112"/>
      <c r="N41" s="112"/>
      <c r="O41" s="112"/>
    </row>
    <row r="42" spans="1:16" ht="14.1" customHeight="1">
      <c r="A42" s="825">
        <v>2014</v>
      </c>
      <c r="B42" s="1030"/>
      <c r="C42" s="134"/>
      <c r="D42" s="140"/>
      <c r="E42" s="140"/>
      <c r="F42" s="628"/>
      <c r="H42" s="164"/>
      <c r="I42" s="114"/>
      <c r="J42" s="66"/>
      <c r="K42" s="66"/>
      <c r="L42" s="66"/>
      <c r="M42" s="66"/>
      <c r="N42" s="66"/>
      <c r="O42" s="66"/>
    </row>
    <row r="43" spans="1:16" s="157" customFormat="1" ht="14.1" customHeight="1">
      <c r="A43" s="826" t="s">
        <v>462</v>
      </c>
      <c r="B43" s="1029">
        <f>SUM(C43:F43)</f>
        <v>1277</v>
      </c>
      <c r="C43" s="506">
        <v>1</v>
      </c>
      <c r="D43" s="311">
        <v>6</v>
      </c>
      <c r="E43" s="311">
        <v>241</v>
      </c>
      <c r="F43" s="131">
        <v>1029</v>
      </c>
      <c r="G43" s="731"/>
      <c r="H43" s="164"/>
      <c r="I43" s="114"/>
      <c r="J43" s="66"/>
      <c r="K43" s="66"/>
      <c r="L43" s="66"/>
      <c r="M43" s="66"/>
      <c r="N43" s="66"/>
      <c r="O43" s="66"/>
      <c r="P43"/>
    </row>
    <row r="44" spans="1:16" ht="14.1" customHeight="1">
      <c r="A44" s="159" t="s">
        <v>4</v>
      </c>
      <c r="B44" s="1030">
        <f>SUM(C44:F44)</f>
        <v>77</v>
      </c>
      <c r="C44" s="134" t="s">
        <v>97</v>
      </c>
      <c r="D44" s="140" t="s">
        <v>97</v>
      </c>
      <c r="E44" s="140">
        <v>6</v>
      </c>
      <c r="F44" s="628">
        <v>71</v>
      </c>
      <c r="H44" s="765"/>
      <c r="I44" s="114"/>
      <c r="J44" s="66"/>
      <c r="K44" s="66"/>
      <c r="L44" s="66"/>
      <c r="M44" s="66"/>
      <c r="N44" s="66"/>
      <c r="O44" s="66"/>
    </row>
    <row r="45" spans="1:16" ht="14.1" customHeight="1">
      <c r="A45" s="159" t="s">
        <v>26</v>
      </c>
      <c r="B45" s="1030">
        <f>SUM(C45:F45)</f>
        <v>1200</v>
      </c>
      <c r="C45" s="134">
        <v>1</v>
      </c>
      <c r="D45" s="140">
        <v>6</v>
      </c>
      <c r="E45" s="140">
        <v>235</v>
      </c>
      <c r="F45" s="628">
        <v>958</v>
      </c>
      <c r="H45" s="164"/>
      <c r="I45" s="114"/>
      <c r="J45" s="66"/>
      <c r="K45" s="66"/>
      <c r="L45" s="66"/>
      <c r="M45" s="66"/>
      <c r="N45" s="66"/>
      <c r="O45" s="66"/>
    </row>
    <row r="46" spans="1:16" ht="14.1" customHeight="1">
      <c r="A46" s="825">
        <v>2015</v>
      </c>
      <c r="B46" s="1029"/>
      <c r="C46" s="506"/>
      <c r="D46" s="311"/>
      <c r="E46" s="311"/>
      <c r="F46" s="688"/>
      <c r="H46" s="164"/>
      <c r="I46" s="114"/>
      <c r="J46" s="66"/>
      <c r="K46" s="66"/>
      <c r="L46" s="66"/>
      <c r="M46" s="66"/>
      <c r="N46" s="66"/>
      <c r="O46" s="66"/>
    </row>
    <row r="47" spans="1:16" ht="14.1" customHeight="1">
      <c r="A47" s="826" t="s">
        <v>462</v>
      </c>
      <c r="B47" s="1029">
        <f>SUM(C47:F47)</f>
        <v>1357</v>
      </c>
      <c r="C47" s="506">
        <v>1</v>
      </c>
      <c r="D47" s="311">
        <v>6</v>
      </c>
      <c r="E47" s="311">
        <v>257</v>
      </c>
      <c r="F47" s="732">
        <v>1093</v>
      </c>
      <c r="H47" s="164"/>
      <c r="I47" s="114"/>
      <c r="J47" s="66"/>
      <c r="K47" s="66"/>
      <c r="L47" s="66"/>
      <c r="M47" s="66"/>
      <c r="N47" s="66"/>
      <c r="O47" s="66"/>
    </row>
    <row r="48" spans="1:16" ht="14.1" customHeight="1">
      <c r="A48" s="159" t="s">
        <v>4</v>
      </c>
      <c r="B48" s="1030">
        <f>SUM(C48:F48)</f>
        <v>203</v>
      </c>
      <c r="C48" s="134" t="s">
        <v>97</v>
      </c>
      <c r="D48" s="140" t="s">
        <v>97</v>
      </c>
      <c r="E48" s="140">
        <v>6</v>
      </c>
      <c r="F48" s="628">
        <v>197</v>
      </c>
      <c r="H48" s="164"/>
      <c r="I48" s="114"/>
      <c r="J48" s="66"/>
      <c r="K48" s="66"/>
      <c r="L48" s="66"/>
      <c r="M48" s="66"/>
      <c r="N48" s="66"/>
      <c r="O48" s="66"/>
    </row>
    <row r="49" spans="1:15" ht="14.1" customHeight="1">
      <c r="A49" s="159" t="s">
        <v>26</v>
      </c>
      <c r="B49" s="1030">
        <f>SUM(C49:F49)</f>
        <v>1154</v>
      </c>
      <c r="C49" s="134">
        <v>1</v>
      </c>
      <c r="D49" s="140">
        <v>6</v>
      </c>
      <c r="E49" s="140">
        <v>251</v>
      </c>
      <c r="F49" s="140">
        <f>F47-F48</f>
        <v>896</v>
      </c>
      <c r="H49" s="164"/>
      <c r="I49" s="114"/>
      <c r="J49" s="66"/>
      <c r="K49" s="66"/>
      <c r="L49" s="66"/>
      <c r="M49" s="66"/>
      <c r="N49" s="66"/>
      <c r="O49" s="66"/>
    </row>
    <row r="50" spans="1:15" ht="14.1" customHeight="1">
      <c r="A50" s="825">
        <v>2016</v>
      </c>
      <c r="B50" s="1030"/>
      <c r="C50" s="134"/>
      <c r="D50" s="140"/>
      <c r="E50" s="140"/>
      <c r="F50" s="140"/>
      <c r="H50" s="164"/>
      <c r="I50" s="114"/>
      <c r="J50" s="66"/>
      <c r="K50" s="66"/>
      <c r="L50" s="66"/>
      <c r="M50" s="66"/>
      <c r="N50" s="66"/>
      <c r="O50" s="66"/>
    </row>
    <row r="51" spans="1:15" ht="14.1" customHeight="1">
      <c r="A51" s="826" t="s">
        <v>462</v>
      </c>
      <c r="B51" s="1029">
        <v>1374</v>
      </c>
      <c r="C51" s="506">
        <v>1</v>
      </c>
      <c r="D51" s="311">
        <v>6</v>
      </c>
      <c r="E51" s="311">
        <v>261</v>
      </c>
      <c r="F51" s="732">
        <v>1106</v>
      </c>
      <c r="H51" s="164"/>
      <c r="I51" s="114"/>
      <c r="J51" s="66"/>
      <c r="K51" s="66"/>
      <c r="L51" s="66"/>
      <c r="M51" s="66"/>
      <c r="N51" s="66"/>
      <c r="O51" s="66"/>
    </row>
    <row r="52" spans="1:15" ht="14.1" customHeight="1">
      <c r="A52" s="159" t="s">
        <v>4</v>
      </c>
      <c r="B52" s="1030">
        <f>SUM(C52:F52)</f>
        <v>73</v>
      </c>
      <c r="C52" s="134" t="s">
        <v>0</v>
      </c>
      <c r="D52" s="134" t="s">
        <v>0</v>
      </c>
      <c r="E52" s="140">
        <v>8</v>
      </c>
      <c r="F52" s="628">
        <v>65</v>
      </c>
      <c r="H52" s="164"/>
      <c r="I52" s="114"/>
      <c r="J52" s="66"/>
      <c r="K52" s="66"/>
      <c r="L52" s="66"/>
      <c r="M52" s="66"/>
      <c r="N52" s="66"/>
      <c r="O52" s="66"/>
    </row>
    <row r="53" spans="1:15" ht="14.1" customHeight="1">
      <c r="A53" s="159" t="s">
        <v>26</v>
      </c>
      <c r="B53" s="1030">
        <f>SUM(C53:F53)</f>
        <v>1301</v>
      </c>
      <c r="C53" s="134">
        <v>1</v>
      </c>
      <c r="D53" s="134">
        <v>6</v>
      </c>
      <c r="E53" s="134">
        <f>E51-E52</f>
        <v>253</v>
      </c>
      <c r="F53" s="134">
        <f>F51-F52</f>
        <v>1041</v>
      </c>
      <c r="H53" s="164"/>
      <c r="I53" s="114"/>
      <c r="J53" s="66"/>
      <c r="K53" s="66"/>
      <c r="L53" s="66"/>
      <c r="M53" s="66"/>
      <c r="N53" s="66"/>
      <c r="O53" s="66"/>
    </row>
    <row r="54" spans="1:15" ht="14.1" customHeight="1">
      <c r="A54" s="825">
        <v>2017</v>
      </c>
      <c r="B54" s="1030"/>
      <c r="H54" s="164"/>
      <c r="I54" s="114"/>
      <c r="J54" s="114"/>
      <c r="K54" s="114"/>
      <c r="L54" s="114"/>
      <c r="M54" s="114"/>
      <c r="N54" s="114"/>
      <c r="O54" s="114"/>
    </row>
    <row r="55" spans="1:15" ht="14.1" customHeight="1">
      <c r="A55" s="826" t="s">
        <v>462</v>
      </c>
      <c r="B55" s="1029">
        <f>SUM(C55:F55)</f>
        <v>1378</v>
      </c>
      <c r="C55" s="506">
        <v>1</v>
      </c>
      <c r="D55" s="311">
        <v>6</v>
      </c>
      <c r="E55" s="311">
        <v>262</v>
      </c>
      <c r="F55" s="732">
        <v>1109</v>
      </c>
      <c r="H55" s="164"/>
      <c r="I55" s="114"/>
      <c r="J55" s="114"/>
      <c r="K55" s="114"/>
      <c r="L55" s="114"/>
      <c r="M55" s="114"/>
      <c r="N55" s="114"/>
      <c r="O55" s="114"/>
    </row>
    <row r="56" spans="1:15" ht="14.1" customHeight="1">
      <c r="A56" s="159" t="s">
        <v>4</v>
      </c>
      <c r="B56" s="1030">
        <f>SUM(C56:F56)</f>
        <v>53</v>
      </c>
      <c r="C56" s="134" t="s">
        <v>0</v>
      </c>
      <c r="D56" s="134" t="s">
        <v>0</v>
      </c>
      <c r="E56" s="140">
        <v>8</v>
      </c>
      <c r="F56" s="628">
        <v>45</v>
      </c>
      <c r="H56" s="162"/>
      <c r="I56" s="104"/>
      <c r="J56" s="104"/>
      <c r="K56" s="104"/>
      <c r="L56" s="104"/>
      <c r="M56" s="104"/>
      <c r="N56" s="104"/>
      <c r="O56" s="104"/>
    </row>
    <row r="57" spans="1:15" ht="14.1" customHeight="1">
      <c r="A57" s="159" t="s">
        <v>26</v>
      </c>
      <c r="B57" s="1030">
        <f>SUM(C57:F57)</f>
        <v>1325</v>
      </c>
      <c r="C57" s="134">
        <v>1</v>
      </c>
      <c r="D57" s="134">
        <v>6</v>
      </c>
      <c r="E57" s="134">
        <f>E55-E56</f>
        <v>254</v>
      </c>
      <c r="F57" s="134">
        <f>F55-F56</f>
        <v>1064</v>
      </c>
      <c r="H57" s="60"/>
      <c r="I57" s="60"/>
      <c r="J57" s="60"/>
      <c r="K57" s="21"/>
      <c r="L57" s="21"/>
      <c r="M57" s="21"/>
      <c r="N57" s="21"/>
      <c r="O57" s="21"/>
    </row>
    <row r="58" spans="1:15" ht="14.1" customHeight="1">
      <c r="A58" s="825">
        <v>2018</v>
      </c>
      <c r="B58" s="1030"/>
      <c r="C58" s="134"/>
      <c r="D58" s="140"/>
      <c r="E58" s="140"/>
      <c r="F58" s="628"/>
      <c r="H58" s="60"/>
      <c r="I58" s="60"/>
      <c r="J58" s="60"/>
      <c r="K58" s="21"/>
      <c r="L58" s="21"/>
      <c r="M58" s="21"/>
      <c r="N58" s="21"/>
      <c r="O58" s="21"/>
    </row>
    <row r="59" spans="1:15" ht="14.1" customHeight="1">
      <c r="A59" s="826" t="s">
        <v>462</v>
      </c>
      <c r="B59" s="1029">
        <f>SUM(C59:F59)</f>
        <v>1408</v>
      </c>
      <c r="C59" s="506">
        <v>1</v>
      </c>
      <c r="D59" s="311">
        <v>6</v>
      </c>
      <c r="E59" s="311">
        <v>267</v>
      </c>
      <c r="F59" s="732">
        <v>1134</v>
      </c>
      <c r="H59" s="60"/>
      <c r="I59" s="60"/>
      <c r="J59" s="60"/>
      <c r="K59" s="21"/>
      <c r="L59" s="21"/>
      <c r="M59" s="21"/>
      <c r="N59" s="21"/>
      <c r="O59" s="21"/>
    </row>
    <row r="60" spans="1:15" ht="14.1" customHeight="1">
      <c r="A60" s="159" t="s">
        <v>4</v>
      </c>
      <c r="B60" s="1030">
        <f>SUM(C60:F60)</f>
        <v>53</v>
      </c>
      <c r="C60" s="134" t="s">
        <v>0</v>
      </c>
      <c r="D60" s="134" t="s">
        <v>0</v>
      </c>
      <c r="E60" s="140">
        <v>8</v>
      </c>
      <c r="F60" s="628">
        <v>45</v>
      </c>
      <c r="H60" s="60"/>
      <c r="I60" s="60"/>
      <c r="J60" s="60"/>
      <c r="K60" s="21"/>
      <c r="L60" s="21"/>
      <c r="M60" s="21"/>
      <c r="N60" s="21"/>
      <c r="O60" s="21"/>
    </row>
    <row r="61" spans="1:15" ht="14.1" customHeight="1">
      <c r="A61" s="159" t="s">
        <v>26</v>
      </c>
      <c r="B61" s="1030">
        <f>SUM(C61:F61)</f>
        <v>1355</v>
      </c>
      <c r="C61" s="134">
        <v>1</v>
      </c>
      <c r="D61" s="134">
        <v>6</v>
      </c>
      <c r="E61" s="134">
        <f>E59-E60</f>
        <v>259</v>
      </c>
      <c r="F61" s="134">
        <f>F59-F60</f>
        <v>1089</v>
      </c>
      <c r="H61" s="60"/>
      <c r="I61" s="60"/>
      <c r="J61" s="60"/>
      <c r="K61" s="21"/>
      <c r="L61" s="21"/>
      <c r="M61" s="21"/>
      <c r="N61" s="21"/>
      <c r="O61" s="21"/>
    </row>
    <row r="62" spans="1:15" ht="14.1" customHeight="1">
      <c r="A62" s="825">
        <v>2019</v>
      </c>
      <c r="B62" s="1030"/>
      <c r="C62" s="134"/>
      <c r="D62" s="140"/>
      <c r="E62" s="140"/>
      <c r="F62" s="628"/>
      <c r="H62" s="60"/>
      <c r="I62" s="60"/>
      <c r="J62" s="60"/>
      <c r="K62" s="21"/>
      <c r="L62" s="21"/>
      <c r="M62" s="21"/>
      <c r="N62" s="21"/>
      <c r="O62" s="21"/>
    </row>
    <row r="63" spans="1:15" ht="14.1" customHeight="1">
      <c r="A63" s="826" t="s">
        <v>462</v>
      </c>
      <c r="B63" s="1029">
        <f>SUM(C63:F63)</f>
        <v>1429</v>
      </c>
      <c r="C63" s="506">
        <v>1</v>
      </c>
      <c r="D63" s="731">
        <v>7</v>
      </c>
      <c r="E63" s="311">
        <v>268</v>
      </c>
      <c r="F63" s="131">
        <v>1153</v>
      </c>
      <c r="H63" s="60"/>
      <c r="I63" s="60"/>
      <c r="J63" s="60"/>
      <c r="K63" s="21"/>
      <c r="L63" s="21"/>
      <c r="M63" s="21"/>
      <c r="N63" s="21"/>
      <c r="O63" s="21"/>
    </row>
    <row r="64" spans="1:15" ht="14.1" customHeight="1">
      <c r="A64" s="159" t="s">
        <v>4</v>
      </c>
      <c r="B64" s="1030">
        <f>SUM(C64:F64)</f>
        <v>53</v>
      </c>
      <c r="C64" s="134" t="s">
        <v>0</v>
      </c>
      <c r="D64" s="134" t="s">
        <v>0</v>
      </c>
      <c r="E64" s="140">
        <v>8</v>
      </c>
      <c r="F64" s="628">
        <v>45</v>
      </c>
      <c r="H64" s="60"/>
      <c r="I64" s="60"/>
      <c r="J64" s="60"/>
      <c r="K64" s="21"/>
      <c r="L64" s="21"/>
      <c r="M64" s="21"/>
      <c r="N64" s="21"/>
      <c r="O64" s="21"/>
    </row>
    <row r="65" spans="1:15" ht="14.1" customHeight="1">
      <c r="A65" s="159" t="s">
        <v>26</v>
      </c>
      <c r="B65" s="1030">
        <f>SUM(C65:F65)</f>
        <v>1376</v>
      </c>
      <c r="C65" s="134">
        <v>1</v>
      </c>
      <c r="D65" s="134">
        <v>7</v>
      </c>
      <c r="E65" s="134">
        <f>E63-E64</f>
        <v>260</v>
      </c>
      <c r="F65" s="134">
        <f>F63-F64</f>
        <v>1108</v>
      </c>
      <c r="H65" s="60"/>
      <c r="I65" s="60"/>
      <c r="J65" s="60"/>
      <c r="K65" s="21"/>
      <c r="L65" s="21"/>
      <c r="M65" s="21"/>
      <c r="N65" s="21"/>
      <c r="O65" s="21"/>
    </row>
    <row r="66" spans="1:15" ht="14.1" customHeight="1">
      <c r="A66" s="825">
        <v>2020</v>
      </c>
      <c r="B66" s="1030"/>
      <c r="C66" s="134"/>
      <c r="D66" s="134"/>
      <c r="E66" s="134"/>
      <c r="F66" s="134"/>
      <c r="H66" s="60"/>
      <c r="I66" s="60"/>
      <c r="J66" s="60"/>
      <c r="K66" s="21"/>
      <c r="L66" s="21"/>
      <c r="M66" s="21"/>
      <c r="N66" s="21"/>
      <c r="O66" s="21"/>
    </row>
    <row r="67" spans="1:15" ht="14.1" customHeight="1">
      <c r="A67" s="826" t="s">
        <v>462</v>
      </c>
      <c r="B67" s="1029">
        <v>1461</v>
      </c>
      <c r="C67" s="506">
        <v>1</v>
      </c>
      <c r="D67" s="731">
        <v>7</v>
      </c>
      <c r="E67" s="311">
        <v>276</v>
      </c>
      <c r="F67" s="131">
        <v>1177</v>
      </c>
      <c r="H67" s="60"/>
      <c r="I67" s="60"/>
      <c r="J67" s="60"/>
      <c r="K67" s="21"/>
      <c r="L67" s="21"/>
      <c r="M67" s="21"/>
      <c r="N67" s="21"/>
      <c r="O67" s="21"/>
    </row>
    <row r="68" spans="1:15" ht="14.1" customHeight="1">
      <c r="A68" s="159" t="s">
        <v>4</v>
      </c>
      <c r="B68" s="1030">
        <v>57</v>
      </c>
      <c r="C68" s="134" t="s">
        <v>0</v>
      </c>
      <c r="D68" s="134" t="s">
        <v>0</v>
      </c>
      <c r="E68" s="134">
        <v>8</v>
      </c>
      <c r="F68" s="134">
        <v>49</v>
      </c>
      <c r="H68" s="60"/>
      <c r="I68" s="60"/>
      <c r="J68" s="60"/>
      <c r="K68" s="21"/>
      <c r="L68" s="21"/>
      <c r="M68" s="21"/>
      <c r="N68" s="21"/>
      <c r="O68" s="21"/>
    </row>
    <row r="69" spans="1:15" ht="14.1" customHeight="1">
      <c r="A69" s="159" t="s">
        <v>26</v>
      </c>
      <c r="B69" s="1030">
        <v>1404</v>
      </c>
      <c r="C69" s="134">
        <v>1</v>
      </c>
      <c r="D69" s="134">
        <v>7</v>
      </c>
      <c r="E69" s="134">
        <v>268</v>
      </c>
      <c r="F69" s="134">
        <v>1128</v>
      </c>
      <c r="H69" s="60"/>
      <c r="I69" s="60"/>
      <c r="J69" s="60"/>
      <c r="K69" s="21"/>
      <c r="L69" s="21"/>
      <c r="M69" s="21"/>
      <c r="N69" s="21"/>
      <c r="O69" s="21"/>
    </row>
    <row r="70" spans="1:15" ht="14.1" customHeight="1">
      <c r="A70" s="697">
        <v>2021</v>
      </c>
      <c r="B70" s="1030"/>
      <c r="C70" s="134"/>
      <c r="D70" s="140"/>
      <c r="E70" s="140"/>
      <c r="F70" s="628"/>
      <c r="H70" s="60"/>
      <c r="I70" s="60"/>
      <c r="J70" s="60"/>
      <c r="K70" s="21"/>
      <c r="L70" s="21"/>
      <c r="M70" s="21"/>
      <c r="N70" s="21"/>
      <c r="O70" s="21"/>
    </row>
    <row r="71" spans="1:15" ht="14.1" customHeight="1">
      <c r="A71" s="826" t="s">
        <v>462</v>
      </c>
      <c r="B71" s="1029">
        <f>SUM(C71:F71)</f>
        <v>1438</v>
      </c>
      <c r="C71" s="506">
        <v>1</v>
      </c>
      <c r="D71" s="731">
        <v>7</v>
      </c>
      <c r="E71" s="311">
        <v>279</v>
      </c>
      <c r="F71" s="131">
        <v>1151</v>
      </c>
      <c r="H71" s="60"/>
      <c r="I71" s="60"/>
      <c r="J71" s="60"/>
      <c r="K71" s="21"/>
      <c r="L71" s="21"/>
      <c r="M71" s="21"/>
      <c r="N71" s="21"/>
      <c r="O71" s="21"/>
    </row>
    <row r="72" spans="1:15" ht="14.1" customHeight="1">
      <c r="A72" s="834" t="s">
        <v>4</v>
      </c>
      <c r="B72" s="1030">
        <f>SUM(C72:F72)</f>
        <v>57</v>
      </c>
      <c r="C72" s="134" t="s">
        <v>0</v>
      </c>
      <c r="D72" s="134" t="s">
        <v>0</v>
      </c>
      <c r="E72" s="140">
        <v>8</v>
      </c>
      <c r="F72" s="628">
        <v>49</v>
      </c>
      <c r="H72" s="60"/>
      <c r="I72" s="60"/>
      <c r="J72" s="60"/>
      <c r="K72" s="21"/>
      <c r="L72" s="21"/>
      <c r="M72" s="21"/>
      <c r="N72" s="21"/>
      <c r="O72" s="21"/>
    </row>
    <row r="73" spans="1:15" ht="14.1" customHeight="1">
      <c r="A73" s="834" t="s">
        <v>26</v>
      </c>
      <c r="B73" s="1030">
        <f>SUM(C73:F73)</f>
        <v>1381</v>
      </c>
      <c r="C73" s="134">
        <v>1</v>
      </c>
      <c r="D73" s="134">
        <v>7</v>
      </c>
      <c r="E73" s="134">
        <f>E71-E72</f>
        <v>271</v>
      </c>
      <c r="F73" s="134">
        <f>F71-F72</f>
        <v>1102</v>
      </c>
      <c r="H73" s="60"/>
      <c r="I73" s="60"/>
      <c r="J73" s="60"/>
      <c r="K73" s="21"/>
      <c r="L73" s="21"/>
      <c r="M73" s="21"/>
      <c r="N73" s="21"/>
      <c r="O73" s="21"/>
    </row>
    <row r="74" spans="1:15" ht="14.1" customHeight="1">
      <c r="A74" s="697">
        <v>2022</v>
      </c>
      <c r="B74" s="1030"/>
      <c r="C74" s="134"/>
      <c r="D74" s="140"/>
      <c r="E74" s="140"/>
      <c r="F74" s="628"/>
      <c r="H74" s="60"/>
      <c r="I74" s="60"/>
      <c r="J74" s="60"/>
      <c r="K74" s="21"/>
      <c r="L74" s="21"/>
      <c r="M74" s="21"/>
      <c r="N74" s="21"/>
      <c r="O74" s="21"/>
    </row>
    <row r="75" spans="1:15" ht="14.1" customHeight="1">
      <c r="A75" s="826" t="s">
        <v>462</v>
      </c>
      <c r="B75" s="1029">
        <f>SUM(C75:F75)</f>
        <v>1438</v>
      </c>
      <c r="C75" s="506">
        <v>1</v>
      </c>
      <c r="D75" s="731">
        <v>7</v>
      </c>
      <c r="E75" s="311">
        <v>279</v>
      </c>
      <c r="F75" s="131">
        <v>1151</v>
      </c>
      <c r="H75" s="60"/>
      <c r="I75" s="60"/>
      <c r="J75" s="60"/>
      <c r="K75" s="21"/>
      <c r="L75" s="21"/>
      <c r="M75" s="21"/>
      <c r="N75" s="21"/>
      <c r="O75" s="21"/>
    </row>
    <row r="76" spans="1:15" ht="14.1" customHeight="1">
      <c r="A76" s="834" t="s">
        <v>4</v>
      </c>
      <c r="B76" s="1030">
        <f>SUM(C76:F76)</f>
        <v>55</v>
      </c>
      <c r="C76" s="134" t="s">
        <v>0</v>
      </c>
      <c r="D76" s="134" t="s">
        <v>0</v>
      </c>
      <c r="E76" s="140">
        <v>8</v>
      </c>
      <c r="F76" s="628">
        <v>47</v>
      </c>
      <c r="H76" s="60"/>
      <c r="I76" s="60"/>
      <c r="J76" s="60"/>
      <c r="K76" s="21"/>
      <c r="L76" s="21"/>
      <c r="M76" s="21"/>
      <c r="N76" s="21"/>
      <c r="O76" s="21"/>
    </row>
    <row r="77" spans="1:15" ht="14.1" customHeight="1">
      <c r="A77" s="834" t="s">
        <v>26</v>
      </c>
      <c r="B77" s="1030">
        <f>SUM(C77:F77)</f>
        <v>1383</v>
      </c>
      <c r="C77" s="134">
        <v>1</v>
      </c>
      <c r="D77" s="134">
        <v>7</v>
      </c>
      <c r="E77" s="134">
        <f>E75-E76</f>
        <v>271</v>
      </c>
      <c r="F77" s="134">
        <f>F75-F76</f>
        <v>1104</v>
      </c>
      <c r="H77" s="60"/>
      <c r="I77" s="60"/>
      <c r="J77" s="60"/>
      <c r="K77" s="21"/>
      <c r="L77" s="21"/>
      <c r="M77" s="21"/>
      <c r="N77" s="21"/>
      <c r="O77" s="21"/>
    </row>
    <row r="78" spans="1:15" ht="14.1" customHeight="1">
      <c r="A78" s="697">
        <v>2023</v>
      </c>
      <c r="B78" s="1030"/>
      <c r="C78" s="134"/>
      <c r="D78" s="140"/>
      <c r="E78" s="140"/>
      <c r="F78" s="628"/>
      <c r="H78" s="60"/>
      <c r="I78" s="60"/>
      <c r="J78" s="60"/>
      <c r="K78" s="21"/>
      <c r="L78" s="21"/>
      <c r="M78" s="21"/>
      <c r="N78" s="21"/>
      <c r="O78" s="21"/>
    </row>
    <row r="79" spans="1:15" ht="14.1" customHeight="1">
      <c r="A79" s="826" t="s">
        <v>462</v>
      </c>
      <c r="B79" s="1029">
        <f>SUM(C79:F79)</f>
        <v>1458</v>
      </c>
      <c r="C79" s="506">
        <v>1</v>
      </c>
      <c r="D79" s="731">
        <v>7</v>
      </c>
      <c r="E79" s="311">
        <v>254</v>
      </c>
      <c r="F79" s="131">
        <v>1196</v>
      </c>
      <c r="H79" s="60"/>
      <c r="I79" s="60"/>
      <c r="J79" s="60"/>
      <c r="K79" s="21"/>
      <c r="L79" s="21"/>
      <c r="M79" s="21"/>
      <c r="N79" s="21"/>
      <c r="O79" s="21"/>
    </row>
    <row r="80" spans="1:15" ht="14.1" customHeight="1">
      <c r="A80" s="834" t="s">
        <v>4</v>
      </c>
      <c r="B80" s="1030">
        <f>SUM(C80:F80)</f>
        <v>75</v>
      </c>
      <c r="C80" s="134" t="s">
        <v>0</v>
      </c>
      <c r="D80" s="134" t="s">
        <v>0</v>
      </c>
      <c r="E80" s="140">
        <v>7</v>
      </c>
      <c r="F80" s="628">
        <v>68</v>
      </c>
      <c r="H80" s="60"/>
      <c r="I80" s="60"/>
      <c r="J80" s="60"/>
      <c r="K80" s="21"/>
      <c r="L80" s="21"/>
      <c r="M80" s="21"/>
      <c r="N80" s="21"/>
      <c r="O80" s="21"/>
    </row>
    <row r="81" spans="1:15" ht="14.1" customHeight="1">
      <c r="A81" s="834" t="s">
        <v>26</v>
      </c>
      <c r="B81" s="1030">
        <f>SUM(C81:F81)</f>
        <v>1382</v>
      </c>
      <c r="C81" s="134">
        <v>1</v>
      </c>
      <c r="D81" s="134">
        <v>6</v>
      </c>
      <c r="E81" s="134">
        <f>E79-E80</f>
        <v>247</v>
      </c>
      <c r="F81" s="134">
        <f>F79-F80</f>
        <v>1128</v>
      </c>
      <c r="H81" s="60"/>
      <c r="I81" s="60"/>
      <c r="J81" s="60"/>
      <c r="K81" s="21"/>
      <c r="L81" s="21"/>
      <c r="M81" s="21"/>
      <c r="N81" s="21"/>
      <c r="O81" s="21"/>
    </row>
    <row r="82" spans="1:15" ht="5.0999999999999996" customHeight="1">
      <c r="A82" s="1103"/>
      <c r="B82" s="1105"/>
      <c r="C82" s="629"/>
      <c r="D82" s="630"/>
      <c r="E82" s="630"/>
      <c r="F82" s="631"/>
    </row>
    <row r="83" spans="1:15" ht="11.1" customHeight="1">
      <c r="A83" s="1225" t="s">
        <v>580</v>
      </c>
      <c r="B83" s="1225"/>
      <c r="C83" s="1225"/>
      <c r="D83" s="1225"/>
      <c r="E83" s="1225"/>
      <c r="F83" s="1225"/>
    </row>
    <row r="84" spans="1:15" ht="11.1" customHeight="1">
      <c r="A84" s="848" t="s">
        <v>581</v>
      </c>
      <c r="B84" s="324"/>
      <c r="C84" s="324"/>
      <c r="D84" s="324"/>
      <c r="E84" s="324"/>
      <c r="F84" s="324"/>
    </row>
    <row r="85" spans="1:15">
      <c r="A85" s="848"/>
      <c r="H85" s="171"/>
    </row>
  </sheetData>
  <mergeCells count="8">
    <mergeCell ref="A83:F83"/>
    <mergeCell ref="A1:F1"/>
    <mergeCell ref="H36:O36"/>
    <mergeCell ref="A2:F2"/>
    <mergeCell ref="B3:B5"/>
    <mergeCell ref="A3:A6"/>
    <mergeCell ref="C3:F3"/>
    <mergeCell ref="C4:F4"/>
  </mergeCells>
  <phoneticPr fontId="24" type="noConversion"/>
  <pageMargins left="0.78740157480314965" right="0.78740157480314965" top="0.98425196850393704" bottom="0.98425196850393704" header="0.31496062992125984" footer="0"/>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0"/>
  <sheetViews>
    <sheetView showGridLines="0" zoomScaleNormal="100" zoomScaleSheetLayoutView="100" workbookViewId="0">
      <selection sqref="A1:U1"/>
    </sheetView>
  </sheetViews>
  <sheetFormatPr baseColWidth="10" defaultColWidth="11.42578125" defaultRowHeight="12.75"/>
  <cols>
    <col min="1" max="1" width="27.85546875" style="231" customWidth="1"/>
    <col min="2" max="4" width="5.7109375" style="231" hidden="1" customWidth="1"/>
    <col min="5" max="5" width="6.7109375" style="258" hidden="1" customWidth="1"/>
    <col min="6" max="6" width="5.7109375" style="231" hidden="1" customWidth="1"/>
    <col min="7" max="7" width="6.5703125" style="231" hidden="1" customWidth="1"/>
    <col min="8" max="8" width="7.28515625" style="231" hidden="1" customWidth="1"/>
    <col min="9" max="12" width="5.7109375" style="231" hidden="1" customWidth="1"/>
    <col min="13" max="13" width="10.140625" style="231" hidden="1" customWidth="1"/>
    <col min="14" max="15" width="8.85546875" style="231" hidden="1" customWidth="1"/>
    <col min="16" max="18" width="9.7109375" style="231" customWidth="1"/>
    <col min="19" max="19" width="9.7109375" style="599" customWidth="1"/>
    <col min="20" max="21" width="9.7109375" style="231" customWidth="1"/>
    <col min="22" max="16384" width="11.42578125" style="231"/>
  </cols>
  <sheetData>
    <row r="1" spans="1:21" ht="13.5">
      <c r="A1" s="1229" t="s">
        <v>550</v>
      </c>
      <c r="B1" s="1229"/>
      <c r="C1" s="1229"/>
      <c r="D1" s="1229"/>
      <c r="E1" s="1229"/>
      <c r="F1" s="1229"/>
      <c r="G1" s="1229"/>
      <c r="H1" s="1229"/>
      <c r="I1" s="1229"/>
      <c r="J1" s="1229"/>
      <c r="K1" s="1229"/>
      <c r="L1" s="1229"/>
      <c r="M1" s="1229"/>
      <c r="N1" s="1229"/>
      <c r="O1" s="1229"/>
      <c r="P1" s="1229"/>
      <c r="Q1" s="1229"/>
      <c r="R1" s="1229"/>
      <c r="S1" s="1229"/>
      <c r="T1" s="1229"/>
      <c r="U1" s="1229"/>
    </row>
    <row r="2" spans="1:21" ht="5.0999999999999996" customHeight="1">
      <c r="A2" s="345"/>
      <c r="B2" s="346"/>
      <c r="E2" s="231"/>
    </row>
    <row r="3" spans="1:21">
      <c r="A3" s="659" t="s">
        <v>258</v>
      </c>
      <c r="B3" s="660">
        <v>2004</v>
      </c>
      <c r="C3" s="660">
        <v>2005</v>
      </c>
      <c r="D3" s="660">
        <v>2006</v>
      </c>
      <c r="E3" s="600">
        <v>2007</v>
      </c>
      <c r="F3" s="600">
        <v>2008</v>
      </c>
      <c r="G3" s="600">
        <v>2009</v>
      </c>
      <c r="H3" s="600">
        <v>2010</v>
      </c>
      <c r="I3" s="600">
        <v>2011</v>
      </c>
      <c r="J3" s="600">
        <v>2012</v>
      </c>
      <c r="K3" s="600">
        <v>2013</v>
      </c>
      <c r="L3" s="600">
        <v>2014</v>
      </c>
      <c r="M3" s="600">
        <v>2015</v>
      </c>
      <c r="N3" s="600">
        <v>2016</v>
      </c>
      <c r="O3" s="600">
        <v>2017</v>
      </c>
      <c r="P3" s="1106">
        <v>2018</v>
      </c>
      <c r="Q3" s="600">
        <v>2019</v>
      </c>
      <c r="R3" s="600">
        <v>2020</v>
      </c>
      <c r="S3" s="600">
        <v>2021</v>
      </c>
      <c r="T3" s="600">
        <v>2022</v>
      </c>
      <c r="U3" s="600">
        <v>2023</v>
      </c>
    </row>
    <row r="4" spans="1:21">
      <c r="A4" s="733"/>
      <c r="B4" s="734"/>
      <c r="C4" s="734"/>
      <c r="D4" s="734"/>
      <c r="E4" s="734"/>
      <c r="F4" s="734"/>
      <c r="G4" s="734"/>
      <c r="H4" s="734"/>
      <c r="I4" s="734"/>
      <c r="J4" s="734"/>
      <c r="K4" s="734"/>
      <c r="L4" s="734"/>
      <c r="M4" s="599"/>
      <c r="N4" s="599"/>
      <c r="O4" s="599"/>
      <c r="P4" s="1107"/>
      <c r="Q4" s="599"/>
      <c r="R4" s="599"/>
      <c r="T4" s="599"/>
      <c r="U4" s="599"/>
    </row>
    <row r="5" spans="1:21">
      <c r="A5" s="735" t="s">
        <v>2</v>
      </c>
      <c r="B5" s="736">
        <v>725</v>
      </c>
      <c r="C5" s="736">
        <v>734</v>
      </c>
      <c r="D5" s="632">
        <v>839</v>
      </c>
      <c r="E5" s="737">
        <v>870</v>
      </c>
      <c r="F5" s="736">
        <v>966</v>
      </c>
      <c r="G5" s="738">
        <v>1012</v>
      </c>
      <c r="H5" s="738">
        <v>1097</v>
      </c>
      <c r="I5" s="738">
        <v>1127</v>
      </c>
      <c r="J5" s="738">
        <v>1226</v>
      </c>
      <c r="K5" s="738">
        <v>1238</v>
      </c>
      <c r="L5" s="738">
        <v>1277</v>
      </c>
      <c r="M5" s="738">
        <v>1357</v>
      </c>
      <c r="N5" s="738">
        <f t="shared" ref="N5:T5" si="0">N7+N8+N15+N36</f>
        <v>1374</v>
      </c>
      <c r="O5" s="738">
        <f t="shared" si="0"/>
        <v>1378</v>
      </c>
      <c r="P5" s="1123">
        <f t="shared" si="0"/>
        <v>1408</v>
      </c>
      <c r="Q5" s="1124">
        <f t="shared" si="0"/>
        <v>1429</v>
      </c>
      <c r="R5" s="1124">
        <f t="shared" si="0"/>
        <v>1461</v>
      </c>
      <c r="S5" s="1124">
        <f t="shared" si="0"/>
        <v>1438</v>
      </c>
      <c r="T5" s="1124">
        <f t="shared" si="0"/>
        <v>1438</v>
      </c>
      <c r="U5" s="1124">
        <f>U7+U8+U15+U36</f>
        <v>1457</v>
      </c>
    </row>
    <row r="6" spans="1:21">
      <c r="A6" s="735"/>
      <c r="B6" s="736"/>
      <c r="C6" s="736"/>
      <c r="D6" s="632"/>
      <c r="E6" s="736"/>
      <c r="F6" s="736"/>
      <c r="G6" s="738"/>
      <c r="H6" s="738"/>
      <c r="I6" s="738"/>
      <c r="J6" s="738"/>
      <c r="K6" s="738"/>
      <c r="L6" s="738"/>
      <c r="M6" s="599"/>
      <c r="N6" s="599"/>
      <c r="O6" s="599"/>
      <c r="P6" s="1107"/>
      <c r="Q6" s="599"/>
      <c r="R6" s="599"/>
      <c r="T6" s="599"/>
      <c r="U6" s="599"/>
    </row>
    <row r="7" spans="1:21" ht="17.100000000000001" customHeight="1">
      <c r="A7" s="739" t="s">
        <v>49</v>
      </c>
      <c r="B7" s="632">
        <v>1</v>
      </c>
      <c r="C7" s="632">
        <v>1</v>
      </c>
      <c r="D7" s="632">
        <v>1</v>
      </c>
      <c r="E7" s="736">
        <v>1</v>
      </c>
      <c r="F7" s="738">
        <v>1</v>
      </c>
      <c r="G7" s="736">
        <v>1</v>
      </c>
      <c r="H7" s="740">
        <v>1</v>
      </c>
      <c r="I7" s="736">
        <v>1</v>
      </c>
      <c r="J7" s="736">
        <v>1</v>
      </c>
      <c r="K7" s="736">
        <v>1</v>
      </c>
      <c r="L7" s="736">
        <v>1</v>
      </c>
      <c r="M7" s="632">
        <v>1</v>
      </c>
      <c r="N7" s="632">
        <v>1</v>
      </c>
      <c r="O7" s="632">
        <v>1</v>
      </c>
      <c r="P7" s="1108">
        <v>1</v>
      </c>
      <c r="Q7" s="632">
        <v>1</v>
      </c>
      <c r="R7" s="632">
        <v>1</v>
      </c>
      <c r="S7" s="632">
        <v>1</v>
      </c>
      <c r="T7" s="632">
        <v>1</v>
      </c>
      <c r="U7" s="632">
        <v>1</v>
      </c>
    </row>
    <row r="8" spans="1:21" ht="17.100000000000001" customHeight="1">
      <c r="A8" s="739" t="s">
        <v>107</v>
      </c>
      <c r="B8" s="741">
        <v>6</v>
      </c>
      <c r="C8" s="741">
        <v>5</v>
      </c>
      <c r="D8" s="632">
        <v>6</v>
      </c>
      <c r="E8" s="736">
        <v>5</v>
      </c>
      <c r="F8" s="738">
        <v>6</v>
      </c>
      <c r="G8" s="736">
        <v>5</v>
      </c>
      <c r="H8" s="736">
        <v>5</v>
      </c>
      <c r="I8" s="736">
        <v>6</v>
      </c>
      <c r="J8" s="736">
        <v>6</v>
      </c>
      <c r="K8" s="736">
        <v>6</v>
      </c>
      <c r="L8" s="736">
        <v>6</v>
      </c>
      <c r="M8" s="632">
        <v>6</v>
      </c>
      <c r="N8" s="632">
        <v>6</v>
      </c>
      <c r="O8" s="632">
        <v>6</v>
      </c>
      <c r="P8" s="1108">
        <v>6</v>
      </c>
      <c r="Q8" s="632">
        <v>7</v>
      </c>
      <c r="R8" s="632">
        <v>7</v>
      </c>
      <c r="S8" s="632">
        <v>7</v>
      </c>
      <c r="T8" s="632">
        <v>7</v>
      </c>
      <c r="U8" s="632">
        <f>SUM(U9:U14)</f>
        <v>6</v>
      </c>
    </row>
    <row r="9" spans="1:21" ht="15" customHeight="1">
      <c r="A9" s="435" t="s">
        <v>404</v>
      </c>
      <c r="B9" s="599">
        <v>3</v>
      </c>
      <c r="C9" s="599">
        <v>2</v>
      </c>
      <c r="D9" s="599">
        <v>3</v>
      </c>
      <c r="E9" s="597">
        <v>2</v>
      </c>
      <c r="F9" s="598">
        <v>2</v>
      </c>
      <c r="G9" s="597">
        <v>2</v>
      </c>
      <c r="H9" s="597">
        <v>2</v>
      </c>
      <c r="I9" s="597">
        <v>2</v>
      </c>
      <c r="J9" s="597">
        <v>2</v>
      </c>
      <c r="K9" s="597">
        <v>2</v>
      </c>
      <c r="L9" s="597">
        <v>2</v>
      </c>
      <c r="M9" s="599">
        <v>2</v>
      </c>
      <c r="N9" s="599">
        <v>2</v>
      </c>
      <c r="O9" s="599">
        <v>2</v>
      </c>
      <c r="P9" s="1107">
        <v>2</v>
      </c>
      <c r="Q9" s="599">
        <v>2</v>
      </c>
      <c r="R9" s="599">
        <v>2</v>
      </c>
      <c r="S9" s="599">
        <v>2</v>
      </c>
      <c r="T9" s="599">
        <v>2</v>
      </c>
      <c r="U9" s="599">
        <v>2</v>
      </c>
    </row>
    <row r="10" spans="1:21" ht="15" customHeight="1">
      <c r="A10" s="435" t="s">
        <v>50</v>
      </c>
      <c r="B10" s="599">
        <v>1</v>
      </c>
      <c r="C10" s="599">
        <v>1</v>
      </c>
      <c r="D10" s="599">
        <v>1</v>
      </c>
      <c r="E10" s="597">
        <v>1</v>
      </c>
      <c r="F10" s="598">
        <v>2</v>
      </c>
      <c r="G10" s="597">
        <v>1</v>
      </c>
      <c r="H10" s="597">
        <v>1</v>
      </c>
      <c r="I10" s="597">
        <v>1</v>
      </c>
      <c r="J10" s="597">
        <v>1</v>
      </c>
      <c r="K10" s="597">
        <v>1</v>
      </c>
      <c r="L10" s="597">
        <v>1</v>
      </c>
      <c r="M10" s="599">
        <v>1</v>
      </c>
      <c r="N10" s="599">
        <v>1</v>
      </c>
      <c r="O10" s="599">
        <v>1</v>
      </c>
      <c r="P10" s="1107">
        <v>1</v>
      </c>
      <c r="Q10" s="599">
        <v>1</v>
      </c>
      <c r="R10" s="599">
        <v>1</v>
      </c>
      <c r="S10" s="599">
        <v>1</v>
      </c>
      <c r="T10" s="599">
        <v>1</v>
      </c>
      <c r="U10" s="597" t="s">
        <v>0</v>
      </c>
    </row>
    <row r="11" spans="1:21" ht="15" customHeight="1">
      <c r="A11" s="750" t="s">
        <v>405</v>
      </c>
      <c r="B11" s="599">
        <v>1</v>
      </c>
      <c r="C11" s="599">
        <v>1</v>
      </c>
      <c r="D11" s="599">
        <v>1</v>
      </c>
      <c r="E11" s="597">
        <v>1</v>
      </c>
      <c r="F11" s="598">
        <v>1</v>
      </c>
      <c r="G11" s="597">
        <v>1</v>
      </c>
      <c r="H11" s="597">
        <v>1</v>
      </c>
      <c r="I11" s="597">
        <v>2</v>
      </c>
      <c r="J11" s="597">
        <v>2</v>
      </c>
      <c r="K11" s="597">
        <v>2</v>
      </c>
      <c r="L11" s="597">
        <v>2</v>
      </c>
      <c r="M11" s="599">
        <v>2</v>
      </c>
      <c r="N11" s="599">
        <v>2</v>
      </c>
      <c r="O11" s="599">
        <v>2</v>
      </c>
      <c r="P11" s="1107">
        <v>1</v>
      </c>
      <c r="Q11" s="599">
        <v>1</v>
      </c>
      <c r="R11" s="599">
        <v>1</v>
      </c>
      <c r="S11" s="599">
        <v>1</v>
      </c>
      <c r="T11" s="599">
        <v>1</v>
      </c>
      <c r="U11" s="599">
        <v>3</v>
      </c>
    </row>
    <row r="12" spans="1:21" ht="15" customHeight="1">
      <c r="A12" s="750" t="s">
        <v>406</v>
      </c>
      <c r="B12" s="599">
        <v>1</v>
      </c>
      <c r="C12" s="599">
        <v>1</v>
      </c>
      <c r="D12" s="599">
        <v>1</v>
      </c>
      <c r="E12" s="597">
        <v>1</v>
      </c>
      <c r="F12" s="598">
        <v>1</v>
      </c>
      <c r="G12" s="597">
        <v>1</v>
      </c>
      <c r="H12" s="597">
        <v>1</v>
      </c>
      <c r="I12" s="597">
        <v>1</v>
      </c>
      <c r="J12" s="597">
        <v>1</v>
      </c>
      <c r="K12" s="597">
        <v>1</v>
      </c>
      <c r="L12" s="597">
        <v>1</v>
      </c>
      <c r="M12" s="599">
        <v>1</v>
      </c>
      <c r="N12" s="599">
        <v>1</v>
      </c>
      <c r="O12" s="599">
        <v>1</v>
      </c>
      <c r="P12" s="1107">
        <v>1</v>
      </c>
      <c r="Q12" s="599">
        <v>1</v>
      </c>
      <c r="R12" s="599">
        <v>1</v>
      </c>
      <c r="S12" s="599">
        <v>1</v>
      </c>
      <c r="T12" s="599">
        <v>1</v>
      </c>
      <c r="U12" s="597" t="s">
        <v>0</v>
      </c>
    </row>
    <row r="13" spans="1:21" ht="25.5">
      <c r="A13" s="750" t="s">
        <v>402</v>
      </c>
      <c r="B13" s="599"/>
      <c r="C13" s="599"/>
      <c r="D13" s="599"/>
      <c r="E13" s="597"/>
      <c r="F13" s="598"/>
      <c r="G13" s="597"/>
      <c r="H13" s="597"/>
      <c r="I13" s="597"/>
      <c r="J13" s="597"/>
      <c r="K13" s="597"/>
      <c r="L13" s="597"/>
      <c r="M13" s="599"/>
      <c r="N13" s="742" t="s">
        <v>0</v>
      </c>
      <c r="O13" s="597" t="s">
        <v>0</v>
      </c>
      <c r="P13" s="1107">
        <v>1</v>
      </c>
      <c r="Q13" s="599">
        <v>2</v>
      </c>
      <c r="R13" s="599">
        <v>2</v>
      </c>
      <c r="S13" s="599">
        <v>2</v>
      </c>
      <c r="T13" s="599">
        <v>2</v>
      </c>
      <c r="U13" s="597" t="s">
        <v>0</v>
      </c>
    </row>
    <row r="14" spans="1:21" ht="15" customHeight="1">
      <c r="A14" s="435" t="s">
        <v>393</v>
      </c>
      <c r="B14" s="599"/>
      <c r="C14" s="599"/>
      <c r="D14" s="599"/>
      <c r="E14" s="599"/>
      <c r="F14" s="599"/>
      <c r="G14" s="599"/>
      <c r="H14" s="599"/>
      <c r="I14" s="599"/>
      <c r="J14" s="599"/>
      <c r="K14" s="599"/>
      <c r="L14" s="599"/>
      <c r="M14" s="599"/>
      <c r="N14" s="742" t="s">
        <v>0</v>
      </c>
      <c r="O14" s="597" t="s">
        <v>0</v>
      </c>
      <c r="P14" s="1109" t="s">
        <v>0</v>
      </c>
      <c r="Q14" s="597" t="s">
        <v>0</v>
      </c>
      <c r="R14" s="597" t="s">
        <v>0</v>
      </c>
      <c r="S14" s="597">
        <v>1</v>
      </c>
      <c r="T14" s="597">
        <v>1</v>
      </c>
      <c r="U14" s="597">
        <v>1</v>
      </c>
    </row>
    <row r="15" spans="1:21" ht="17.100000000000001" customHeight="1">
      <c r="A15" s="739" t="s">
        <v>330</v>
      </c>
      <c r="B15" s="741">
        <v>112</v>
      </c>
      <c r="C15" s="741">
        <v>116</v>
      </c>
      <c r="D15" s="632">
        <v>139</v>
      </c>
      <c r="E15" s="736">
        <v>149</v>
      </c>
      <c r="F15" s="736">
        <v>156</v>
      </c>
      <c r="G15" s="736">
        <v>166</v>
      </c>
      <c r="H15" s="736">
        <v>200</v>
      </c>
      <c r="I15" s="736">
        <v>214</v>
      </c>
      <c r="J15" s="736">
        <v>229</v>
      </c>
      <c r="K15" s="736">
        <v>234</v>
      </c>
      <c r="L15" s="736">
        <v>241</v>
      </c>
      <c r="M15" s="736">
        <v>257</v>
      </c>
      <c r="N15" s="743">
        <f t="shared" ref="N15:T15" si="1">SUM(N16:N35)</f>
        <v>261</v>
      </c>
      <c r="O15" s="736">
        <f t="shared" si="1"/>
        <v>262</v>
      </c>
      <c r="P15" s="1110">
        <f t="shared" si="1"/>
        <v>267</v>
      </c>
      <c r="Q15" s="736">
        <f t="shared" si="1"/>
        <v>268</v>
      </c>
      <c r="R15" s="736">
        <f t="shared" si="1"/>
        <v>276</v>
      </c>
      <c r="S15" s="736">
        <f t="shared" si="1"/>
        <v>279</v>
      </c>
      <c r="T15" s="736">
        <f t="shared" si="1"/>
        <v>279</v>
      </c>
      <c r="U15" s="736">
        <f>SUM(U16:U35)</f>
        <v>254</v>
      </c>
    </row>
    <row r="16" spans="1:21" ht="27" customHeight="1">
      <c r="A16" s="435" t="s">
        <v>407</v>
      </c>
      <c r="B16" s="598" t="s">
        <v>117</v>
      </c>
      <c r="C16" s="598" t="s">
        <v>117</v>
      </c>
      <c r="D16" s="598" t="s">
        <v>0</v>
      </c>
      <c r="E16" s="598" t="s">
        <v>0</v>
      </c>
      <c r="F16" s="598" t="s">
        <v>0</v>
      </c>
      <c r="G16" s="598" t="s">
        <v>0</v>
      </c>
      <c r="H16" s="597">
        <v>25</v>
      </c>
      <c r="I16" s="597">
        <v>25</v>
      </c>
      <c r="J16" s="597">
        <v>27</v>
      </c>
      <c r="K16" s="597">
        <v>27</v>
      </c>
      <c r="L16" s="597">
        <v>32</v>
      </c>
      <c r="M16" s="599">
        <v>32</v>
      </c>
      <c r="N16" s="744">
        <v>33</v>
      </c>
      <c r="O16" s="599">
        <v>33</v>
      </c>
      <c r="P16" s="1107">
        <v>33</v>
      </c>
      <c r="Q16" s="599">
        <v>33</v>
      </c>
      <c r="R16" s="599">
        <v>33</v>
      </c>
      <c r="S16" s="599">
        <v>33</v>
      </c>
      <c r="T16" s="599">
        <v>33</v>
      </c>
      <c r="U16" s="597" t="s">
        <v>0</v>
      </c>
    </row>
    <row r="17" spans="1:21" ht="15" customHeight="1">
      <c r="A17" s="435" t="s">
        <v>404</v>
      </c>
      <c r="B17" s="599">
        <v>43</v>
      </c>
      <c r="C17" s="599">
        <v>41</v>
      </c>
      <c r="D17" s="599">
        <v>47</v>
      </c>
      <c r="E17" s="597">
        <v>52</v>
      </c>
      <c r="F17" s="598">
        <v>60</v>
      </c>
      <c r="G17" s="597">
        <v>75</v>
      </c>
      <c r="H17" s="597">
        <v>82</v>
      </c>
      <c r="I17" s="597">
        <v>84</v>
      </c>
      <c r="J17" s="597">
        <v>101</v>
      </c>
      <c r="K17" s="597">
        <v>101</v>
      </c>
      <c r="L17" s="597">
        <v>100</v>
      </c>
      <c r="M17" s="599">
        <v>118</v>
      </c>
      <c r="N17" s="744">
        <v>122</v>
      </c>
      <c r="O17" s="599">
        <v>123</v>
      </c>
      <c r="P17" s="1107">
        <v>126</v>
      </c>
      <c r="Q17" s="599">
        <v>132</v>
      </c>
      <c r="R17" s="599">
        <v>139</v>
      </c>
      <c r="S17" s="599">
        <v>139</v>
      </c>
      <c r="T17" s="599">
        <v>139</v>
      </c>
      <c r="U17" s="599">
        <v>140</v>
      </c>
    </row>
    <row r="18" spans="1:21" ht="15" customHeight="1">
      <c r="A18" s="435" t="s">
        <v>408</v>
      </c>
      <c r="B18" s="598" t="s">
        <v>117</v>
      </c>
      <c r="C18" s="598" t="s">
        <v>117</v>
      </c>
      <c r="D18" s="598" t="s">
        <v>0</v>
      </c>
      <c r="E18" s="597">
        <v>2</v>
      </c>
      <c r="F18" s="598">
        <v>2</v>
      </c>
      <c r="G18" s="597">
        <v>2</v>
      </c>
      <c r="H18" s="597">
        <v>2</v>
      </c>
      <c r="I18" s="597">
        <v>2</v>
      </c>
      <c r="J18" s="597">
        <v>2</v>
      </c>
      <c r="K18" s="597">
        <v>2</v>
      </c>
      <c r="L18" s="597">
        <v>3</v>
      </c>
      <c r="M18" s="599">
        <v>3</v>
      </c>
      <c r="N18" s="744">
        <v>3</v>
      </c>
      <c r="O18" s="599">
        <v>3</v>
      </c>
      <c r="P18" s="1107">
        <v>3</v>
      </c>
      <c r="Q18" s="599">
        <v>3</v>
      </c>
      <c r="R18" s="599">
        <v>3</v>
      </c>
      <c r="S18" s="599">
        <v>3</v>
      </c>
      <c r="T18" s="599">
        <v>3</v>
      </c>
      <c r="U18" s="599">
        <v>3</v>
      </c>
    </row>
    <row r="19" spans="1:21" ht="15" customHeight="1">
      <c r="A19" s="435" t="s">
        <v>50</v>
      </c>
      <c r="B19" s="599">
        <v>21</v>
      </c>
      <c r="C19" s="599">
        <v>19</v>
      </c>
      <c r="D19" s="599">
        <v>22</v>
      </c>
      <c r="E19" s="597">
        <v>19</v>
      </c>
      <c r="F19" s="598">
        <v>19</v>
      </c>
      <c r="G19" s="597">
        <v>20</v>
      </c>
      <c r="H19" s="597">
        <v>19</v>
      </c>
      <c r="I19" s="597">
        <v>18</v>
      </c>
      <c r="J19" s="597">
        <v>16</v>
      </c>
      <c r="K19" s="597">
        <v>17</v>
      </c>
      <c r="L19" s="597">
        <v>17</v>
      </c>
      <c r="M19" s="599">
        <v>16</v>
      </c>
      <c r="N19" s="744">
        <v>16</v>
      </c>
      <c r="O19" s="599">
        <v>16</v>
      </c>
      <c r="P19" s="1107">
        <v>7</v>
      </c>
      <c r="Q19" s="599">
        <v>5</v>
      </c>
      <c r="R19" s="599">
        <v>5</v>
      </c>
      <c r="S19" s="597" t="s">
        <v>0</v>
      </c>
      <c r="T19" s="597" t="s">
        <v>0</v>
      </c>
      <c r="U19" s="597" t="s">
        <v>0</v>
      </c>
    </row>
    <row r="20" spans="1:21" ht="15" customHeight="1">
      <c r="A20" s="435" t="s">
        <v>409</v>
      </c>
      <c r="B20" s="599">
        <v>38</v>
      </c>
      <c r="C20" s="599">
        <v>45</v>
      </c>
      <c r="D20" s="599">
        <v>56</v>
      </c>
      <c r="E20" s="597">
        <v>59</v>
      </c>
      <c r="F20" s="598">
        <v>55</v>
      </c>
      <c r="G20" s="597">
        <v>45</v>
      </c>
      <c r="H20" s="597">
        <v>44</v>
      </c>
      <c r="I20" s="597">
        <v>42</v>
      </c>
      <c r="J20" s="597">
        <v>33</v>
      </c>
      <c r="K20" s="597">
        <v>35</v>
      </c>
      <c r="L20" s="597">
        <v>35</v>
      </c>
      <c r="M20" s="599">
        <v>26</v>
      </c>
      <c r="N20" s="744">
        <v>24</v>
      </c>
      <c r="O20" s="599">
        <v>23</v>
      </c>
      <c r="P20" s="1107">
        <v>23</v>
      </c>
      <c r="Q20" s="599">
        <v>23</v>
      </c>
      <c r="R20" s="599">
        <v>23</v>
      </c>
      <c r="S20" s="599">
        <v>23</v>
      </c>
      <c r="T20" s="599">
        <v>23</v>
      </c>
      <c r="U20" s="599">
        <v>23</v>
      </c>
    </row>
    <row r="21" spans="1:21" ht="15" customHeight="1">
      <c r="A21" s="435" t="s">
        <v>405</v>
      </c>
      <c r="B21" s="599">
        <v>1</v>
      </c>
      <c r="C21" s="598" t="s">
        <v>117</v>
      </c>
      <c r="D21" s="599">
        <v>3</v>
      </c>
      <c r="E21" s="597">
        <v>3</v>
      </c>
      <c r="F21" s="598">
        <v>3</v>
      </c>
      <c r="G21" s="597">
        <v>3</v>
      </c>
      <c r="H21" s="597">
        <v>3</v>
      </c>
      <c r="I21" s="597">
        <v>3</v>
      </c>
      <c r="J21" s="597">
        <v>3</v>
      </c>
      <c r="K21" s="597">
        <v>3</v>
      </c>
      <c r="L21" s="597">
        <v>3</v>
      </c>
      <c r="M21" s="599">
        <v>3</v>
      </c>
      <c r="N21" s="744">
        <v>3</v>
      </c>
      <c r="O21" s="599">
        <v>3</v>
      </c>
      <c r="P21" s="1107">
        <v>12</v>
      </c>
      <c r="Q21" s="599">
        <v>3</v>
      </c>
      <c r="R21" s="599">
        <v>3</v>
      </c>
      <c r="S21" s="597">
        <v>3</v>
      </c>
      <c r="T21" s="597">
        <v>3</v>
      </c>
      <c r="U21" s="597">
        <v>3</v>
      </c>
    </row>
    <row r="22" spans="1:21" ht="15" customHeight="1">
      <c r="A22" s="750" t="s">
        <v>393</v>
      </c>
      <c r="B22" s="599">
        <v>1</v>
      </c>
      <c r="C22" s="599">
        <v>1</v>
      </c>
      <c r="D22" s="597">
        <v>1</v>
      </c>
      <c r="E22" s="597">
        <v>1</v>
      </c>
      <c r="F22" s="598">
        <v>2</v>
      </c>
      <c r="G22" s="597">
        <v>2</v>
      </c>
      <c r="H22" s="597">
        <v>2</v>
      </c>
      <c r="I22" s="597">
        <v>2</v>
      </c>
      <c r="J22" s="597">
        <v>2</v>
      </c>
      <c r="K22" s="597">
        <v>2</v>
      </c>
      <c r="L22" s="597">
        <v>2</v>
      </c>
      <c r="M22" s="599">
        <v>2</v>
      </c>
      <c r="N22" s="744">
        <v>2</v>
      </c>
      <c r="O22" s="599">
        <v>2</v>
      </c>
      <c r="P22" s="1107">
        <v>2</v>
      </c>
      <c r="Q22" s="599">
        <v>2</v>
      </c>
      <c r="R22" s="599">
        <v>2</v>
      </c>
      <c r="S22" s="599">
        <v>40</v>
      </c>
      <c r="T22" s="599">
        <v>40</v>
      </c>
      <c r="U22" s="599">
        <v>40</v>
      </c>
    </row>
    <row r="23" spans="1:21" ht="15" customHeight="1">
      <c r="A23" s="750" t="s">
        <v>398</v>
      </c>
      <c r="B23" s="598" t="s">
        <v>117</v>
      </c>
      <c r="C23" s="598" t="s">
        <v>117</v>
      </c>
      <c r="D23" s="598" t="s">
        <v>0</v>
      </c>
      <c r="E23" s="597">
        <v>5</v>
      </c>
      <c r="F23" s="598">
        <v>7</v>
      </c>
      <c r="G23" s="597">
        <v>11</v>
      </c>
      <c r="H23" s="597">
        <v>15</v>
      </c>
      <c r="I23" s="597">
        <v>16</v>
      </c>
      <c r="J23" s="597">
        <v>23</v>
      </c>
      <c r="K23" s="597">
        <v>23</v>
      </c>
      <c r="L23" s="597">
        <v>23</v>
      </c>
      <c r="M23" s="599">
        <v>32</v>
      </c>
      <c r="N23" s="744">
        <v>33</v>
      </c>
      <c r="O23" s="599">
        <v>34</v>
      </c>
      <c r="P23" s="1107">
        <v>34</v>
      </c>
      <c r="Q23" s="599">
        <v>36</v>
      </c>
      <c r="R23" s="599">
        <v>36</v>
      </c>
      <c r="S23" s="597" t="s">
        <v>0</v>
      </c>
      <c r="T23" s="597" t="s">
        <v>0</v>
      </c>
      <c r="U23" s="597" t="s">
        <v>0</v>
      </c>
    </row>
    <row r="24" spans="1:21" ht="15" customHeight="1">
      <c r="A24" s="750" t="s">
        <v>410</v>
      </c>
      <c r="B24" s="599">
        <v>5</v>
      </c>
      <c r="C24" s="599">
        <v>4</v>
      </c>
      <c r="D24" s="599">
        <v>4</v>
      </c>
      <c r="E24" s="597">
        <v>3</v>
      </c>
      <c r="F24" s="598">
        <v>3</v>
      </c>
      <c r="G24" s="597">
        <v>3</v>
      </c>
      <c r="H24" s="597">
        <v>3</v>
      </c>
      <c r="I24" s="597">
        <v>3</v>
      </c>
      <c r="J24" s="597">
        <v>3</v>
      </c>
      <c r="K24" s="597">
        <v>3</v>
      </c>
      <c r="L24" s="597">
        <v>3</v>
      </c>
      <c r="M24" s="599">
        <v>1</v>
      </c>
      <c r="N24" s="744">
        <v>1</v>
      </c>
      <c r="O24" s="599">
        <v>1</v>
      </c>
      <c r="P24" s="1107">
        <v>3</v>
      </c>
      <c r="Q24" s="599">
        <v>3</v>
      </c>
      <c r="R24" s="599">
        <v>2</v>
      </c>
      <c r="S24" s="599">
        <v>1</v>
      </c>
      <c r="T24" s="599">
        <v>1</v>
      </c>
      <c r="U24" s="599">
        <v>1</v>
      </c>
    </row>
    <row r="25" spans="1:21" s="645" customFormat="1" ht="27" customHeight="1">
      <c r="A25" s="750" t="s">
        <v>403</v>
      </c>
      <c r="B25" s="745"/>
      <c r="C25" s="745"/>
      <c r="D25" s="745"/>
      <c r="E25" s="745"/>
      <c r="F25" s="745"/>
      <c r="G25" s="745"/>
      <c r="H25" s="745"/>
      <c r="I25" s="745"/>
      <c r="J25" s="745"/>
      <c r="K25" s="745"/>
      <c r="L25" s="745"/>
      <c r="M25" s="745"/>
      <c r="N25" s="746">
        <v>2</v>
      </c>
      <c r="O25" s="745">
        <v>2</v>
      </c>
      <c r="P25" s="1111">
        <v>2</v>
      </c>
      <c r="Q25" s="745">
        <v>2</v>
      </c>
      <c r="R25" s="745">
        <v>2</v>
      </c>
      <c r="S25" s="745">
        <v>2</v>
      </c>
      <c r="T25" s="745">
        <v>2</v>
      </c>
      <c r="U25" s="745">
        <v>2</v>
      </c>
    </row>
    <row r="26" spans="1:21" ht="25.5">
      <c r="A26" s="750" t="s">
        <v>411</v>
      </c>
      <c r="B26" s="598">
        <v>18</v>
      </c>
      <c r="C26" s="598" t="s">
        <v>117</v>
      </c>
      <c r="D26" s="598" t="s">
        <v>0</v>
      </c>
      <c r="E26" s="598" t="s">
        <v>0</v>
      </c>
      <c r="F26" s="598" t="s">
        <v>0</v>
      </c>
      <c r="G26" s="598" t="s">
        <v>0</v>
      </c>
      <c r="H26" s="598" t="s">
        <v>0</v>
      </c>
      <c r="I26" s="598" t="s">
        <v>0</v>
      </c>
      <c r="J26" s="598" t="s">
        <v>0</v>
      </c>
      <c r="K26" s="598" t="s">
        <v>0</v>
      </c>
      <c r="L26" s="597" t="s">
        <v>0</v>
      </c>
      <c r="M26" s="597" t="s">
        <v>0</v>
      </c>
      <c r="N26" s="747">
        <v>18</v>
      </c>
      <c r="O26" s="597">
        <v>18</v>
      </c>
      <c r="P26" s="1109">
        <v>18</v>
      </c>
      <c r="Q26" s="597">
        <v>18</v>
      </c>
      <c r="R26" s="597">
        <v>18</v>
      </c>
      <c r="S26" s="597">
        <v>18</v>
      </c>
      <c r="T26" s="597">
        <v>18</v>
      </c>
      <c r="U26" s="597">
        <v>18</v>
      </c>
    </row>
    <row r="27" spans="1:21" ht="25.5">
      <c r="A27" s="750" t="s">
        <v>401</v>
      </c>
      <c r="B27" s="598" t="s">
        <v>117</v>
      </c>
      <c r="C27" s="598" t="s">
        <v>117</v>
      </c>
      <c r="D27" s="598" t="s">
        <v>0</v>
      </c>
      <c r="E27" s="598" t="s">
        <v>0</v>
      </c>
      <c r="F27" s="598" t="s">
        <v>0</v>
      </c>
      <c r="G27" s="598" t="s">
        <v>0</v>
      </c>
      <c r="H27" s="598" t="s">
        <v>0</v>
      </c>
      <c r="I27" s="598" t="s">
        <v>0</v>
      </c>
      <c r="J27" s="598" t="s">
        <v>0</v>
      </c>
      <c r="K27" s="598" t="s">
        <v>0</v>
      </c>
      <c r="L27" s="597" t="s">
        <v>0</v>
      </c>
      <c r="M27" s="597" t="s">
        <v>0</v>
      </c>
      <c r="N27" s="597">
        <v>3</v>
      </c>
      <c r="O27" s="597">
        <v>3</v>
      </c>
      <c r="P27" s="1109">
        <v>3</v>
      </c>
      <c r="Q27" s="597">
        <v>3</v>
      </c>
      <c r="R27" s="597">
        <v>3</v>
      </c>
      <c r="S27" s="597">
        <v>3</v>
      </c>
      <c r="T27" s="597">
        <v>3</v>
      </c>
      <c r="U27" s="597">
        <v>3</v>
      </c>
    </row>
    <row r="28" spans="1:21" ht="15" customHeight="1">
      <c r="A28" s="750" t="s">
        <v>412</v>
      </c>
      <c r="B28" s="598" t="s">
        <v>117</v>
      </c>
      <c r="C28" s="598" t="s">
        <v>117</v>
      </c>
      <c r="D28" s="598" t="s">
        <v>0</v>
      </c>
      <c r="E28" s="598" t="s">
        <v>0</v>
      </c>
      <c r="F28" s="598" t="s">
        <v>0</v>
      </c>
      <c r="G28" s="598" t="s">
        <v>0</v>
      </c>
      <c r="H28" s="598" t="s">
        <v>0</v>
      </c>
      <c r="I28" s="598" t="s">
        <v>0</v>
      </c>
      <c r="J28" s="598" t="s">
        <v>0</v>
      </c>
      <c r="K28" s="598" t="s">
        <v>0</v>
      </c>
      <c r="L28" s="597" t="s">
        <v>0</v>
      </c>
      <c r="M28" s="597" t="s">
        <v>0</v>
      </c>
      <c r="N28" s="597">
        <v>1</v>
      </c>
      <c r="O28" s="597">
        <v>1</v>
      </c>
      <c r="P28" s="1109">
        <v>1</v>
      </c>
      <c r="Q28" s="597">
        <v>1</v>
      </c>
      <c r="R28" s="597">
        <v>1</v>
      </c>
      <c r="S28" s="597">
        <v>1</v>
      </c>
      <c r="T28" s="597">
        <v>1</v>
      </c>
      <c r="U28" s="597">
        <v>1</v>
      </c>
    </row>
    <row r="29" spans="1:21" ht="15" customHeight="1">
      <c r="A29" s="750" t="s">
        <v>413</v>
      </c>
      <c r="B29" s="598" t="s">
        <v>117</v>
      </c>
      <c r="C29" s="598" t="s">
        <v>117</v>
      </c>
      <c r="D29" s="598" t="s">
        <v>0</v>
      </c>
      <c r="E29" s="598" t="s">
        <v>0</v>
      </c>
      <c r="F29" s="598" t="s">
        <v>0</v>
      </c>
      <c r="G29" s="598" t="s">
        <v>0</v>
      </c>
      <c r="H29" s="598" t="s">
        <v>0</v>
      </c>
      <c r="I29" s="598" t="s">
        <v>0</v>
      </c>
      <c r="J29" s="598" t="s">
        <v>0</v>
      </c>
      <c r="K29" s="598" t="s">
        <v>0</v>
      </c>
      <c r="L29" s="597" t="s">
        <v>0</v>
      </c>
      <c r="M29" s="597" t="s">
        <v>0</v>
      </c>
      <c r="N29" s="597" t="s">
        <v>0</v>
      </c>
      <c r="O29" s="597" t="s">
        <v>0</v>
      </c>
      <c r="P29" s="1109" t="s">
        <v>0</v>
      </c>
      <c r="Q29" s="597">
        <v>2</v>
      </c>
      <c r="R29" s="597">
        <v>2</v>
      </c>
      <c r="S29" s="597">
        <v>2</v>
      </c>
      <c r="T29" s="597">
        <v>2</v>
      </c>
      <c r="U29" s="597">
        <v>2</v>
      </c>
    </row>
    <row r="30" spans="1:21" ht="15" customHeight="1">
      <c r="A30" s="750" t="s">
        <v>414</v>
      </c>
      <c r="B30" s="598" t="s">
        <v>117</v>
      </c>
      <c r="C30" s="598" t="s">
        <v>117</v>
      </c>
      <c r="D30" s="598" t="s">
        <v>0</v>
      </c>
      <c r="E30" s="598" t="s">
        <v>0</v>
      </c>
      <c r="F30" s="598" t="s">
        <v>0</v>
      </c>
      <c r="G30" s="598" t="s">
        <v>0</v>
      </c>
      <c r="H30" s="598" t="s">
        <v>0</v>
      </c>
      <c r="I30" s="598" t="s">
        <v>0</v>
      </c>
      <c r="J30" s="598" t="s">
        <v>0</v>
      </c>
      <c r="K30" s="598" t="s">
        <v>0</v>
      </c>
      <c r="L30" s="597" t="s">
        <v>0</v>
      </c>
      <c r="M30" s="597" t="s">
        <v>0</v>
      </c>
      <c r="N30" s="597" t="s">
        <v>0</v>
      </c>
      <c r="O30" s="597" t="s">
        <v>0</v>
      </c>
      <c r="P30" s="1109" t="s">
        <v>0</v>
      </c>
      <c r="Q30" s="597" t="s">
        <v>0</v>
      </c>
      <c r="R30" s="597">
        <v>1</v>
      </c>
      <c r="S30" s="597">
        <v>1</v>
      </c>
      <c r="T30" s="597">
        <v>1</v>
      </c>
      <c r="U30" s="597">
        <v>1</v>
      </c>
    </row>
    <row r="31" spans="1:21" ht="25.5">
      <c r="A31" s="750" t="s">
        <v>415</v>
      </c>
      <c r="B31" s="599"/>
      <c r="C31" s="599"/>
      <c r="D31" s="599"/>
      <c r="E31" s="597"/>
      <c r="F31" s="598" t="s">
        <v>0</v>
      </c>
      <c r="G31" s="598" t="s">
        <v>0</v>
      </c>
      <c r="H31" s="598" t="s">
        <v>0</v>
      </c>
      <c r="I31" s="598" t="s">
        <v>0</v>
      </c>
      <c r="J31" s="598" t="s">
        <v>0</v>
      </c>
      <c r="K31" s="598" t="s">
        <v>0</v>
      </c>
      <c r="L31" s="597" t="s">
        <v>0</v>
      </c>
      <c r="M31" s="599">
        <v>2</v>
      </c>
      <c r="N31" s="597" t="s">
        <v>0</v>
      </c>
      <c r="O31" s="597" t="s">
        <v>0</v>
      </c>
      <c r="P31" s="1109" t="s">
        <v>0</v>
      </c>
      <c r="Q31" s="599">
        <v>2</v>
      </c>
      <c r="R31" s="599">
        <v>3</v>
      </c>
      <c r="S31" s="599">
        <v>7</v>
      </c>
      <c r="T31" s="599">
        <v>7</v>
      </c>
      <c r="U31" s="599">
        <v>8</v>
      </c>
    </row>
    <row r="32" spans="1:21" ht="15" customHeight="1">
      <c r="A32" s="750" t="s">
        <v>386</v>
      </c>
      <c r="B32" s="599">
        <v>3</v>
      </c>
      <c r="C32" s="599">
        <v>6</v>
      </c>
      <c r="D32" s="599">
        <v>6</v>
      </c>
      <c r="E32" s="597">
        <v>5</v>
      </c>
      <c r="F32" s="598">
        <v>5</v>
      </c>
      <c r="G32" s="597">
        <v>5</v>
      </c>
      <c r="H32" s="597">
        <v>5</v>
      </c>
      <c r="I32" s="597">
        <v>19</v>
      </c>
      <c r="J32" s="597">
        <v>19</v>
      </c>
      <c r="K32" s="597">
        <v>19</v>
      </c>
      <c r="L32" s="597">
        <v>20</v>
      </c>
      <c r="M32" s="599">
        <v>18</v>
      </c>
      <c r="N32" s="597" t="s">
        <v>0</v>
      </c>
      <c r="O32" s="597" t="s">
        <v>0</v>
      </c>
      <c r="P32" s="1109" t="s">
        <v>0</v>
      </c>
      <c r="Q32" s="597" t="s">
        <v>0</v>
      </c>
      <c r="R32" s="597" t="s">
        <v>0</v>
      </c>
      <c r="S32" s="599">
        <v>1</v>
      </c>
      <c r="T32" s="599">
        <v>1</v>
      </c>
      <c r="U32" s="599">
        <v>1</v>
      </c>
    </row>
    <row r="33" spans="1:21" ht="15" customHeight="1">
      <c r="A33" s="750" t="s">
        <v>430</v>
      </c>
      <c r="B33" s="599"/>
      <c r="C33" s="599"/>
      <c r="D33" s="599" t="e">
        <f>-E33-J33</f>
        <v>#VALUE!</v>
      </c>
      <c r="E33" s="597" t="s">
        <v>0</v>
      </c>
      <c r="F33" s="598" t="s">
        <v>0</v>
      </c>
      <c r="G33" s="597" t="s">
        <v>0</v>
      </c>
      <c r="H33" s="597" t="s">
        <v>0</v>
      </c>
      <c r="I33" s="597" t="s">
        <v>0</v>
      </c>
      <c r="J33" s="597" t="s">
        <v>0</v>
      </c>
      <c r="K33" s="597">
        <v>2</v>
      </c>
      <c r="L33" s="597">
        <v>2</v>
      </c>
      <c r="M33" s="599">
        <v>3</v>
      </c>
      <c r="N33" s="597" t="s">
        <v>0</v>
      </c>
      <c r="O33" s="597" t="s">
        <v>0</v>
      </c>
      <c r="P33" s="1109" t="s">
        <v>0</v>
      </c>
      <c r="Q33" s="597" t="s">
        <v>0</v>
      </c>
      <c r="R33" s="597" t="s">
        <v>0</v>
      </c>
      <c r="S33" s="599">
        <v>2</v>
      </c>
      <c r="T33" s="599">
        <v>2</v>
      </c>
      <c r="U33" s="597" t="s">
        <v>0</v>
      </c>
    </row>
    <row r="34" spans="1:21" ht="25.5">
      <c r="A34" s="750" t="s">
        <v>484</v>
      </c>
      <c r="B34" s="599"/>
      <c r="C34" s="599"/>
      <c r="D34" s="599"/>
      <c r="E34" s="597"/>
      <c r="F34" s="598"/>
      <c r="G34" s="597"/>
      <c r="H34" s="597"/>
      <c r="I34" s="597"/>
      <c r="J34" s="597"/>
      <c r="K34" s="597"/>
      <c r="L34" s="597"/>
      <c r="M34" s="599"/>
      <c r="N34" s="597" t="s">
        <v>0</v>
      </c>
      <c r="O34" s="597" t="s">
        <v>0</v>
      </c>
      <c r="P34" s="1109" t="s">
        <v>0</v>
      </c>
      <c r="Q34" s="597" t="s">
        <v>0</v>
      </c>
      <c r="R34" s="597" t="s">
        <v>0</v>
      </c>
      <c r="S34" s="597" t="s">
        <v>0</v>
      </c>
      <c r="T34" s="597" t="s">
        <v>0</v>
      </c>
      <c r="U34" s="599">
        <v>3</v>
      </c>
    </row>
    <row r="35" spans="1:21" ht="25.5">
      <c r="A35" s="750" t="s">
        <v>483</v>
      </c>
      <c r="B35" s="599"/>
      <c r="C35" s="599"/>
      <c r="D35" s="599" t="e">
        <f>-E35-J35</f>
        <v>#VALUE!</v>
      </c>
      <c r="E35" s="597" t="s">
        <v>0</v>
      </c>
      <c r="F35" s="598" t="s">
        <v>0</v>
      </c>
      <c r="G35" s="597" t="s">
        <v>0</v>
      </c>
      <c r="H35" s="597" t="s">
        <v>0</v>
      </c>
      <c r="I35" s="597" t="s">
        <v>0</v>
      </c>
      <c r="J35" s="597" t="s">
        <v>0</v>
      </c>
      <c r="K35" s="597">
        <v>2</v>
      </c>
      <c r="L35" s="597">
        <v>2</v>
      </c>
      <c r="M35" s="599">
        <v>3</v>
      </c>
      <c r="N35" s="597" t="s">
        <v>0</v>
      </c>
      <c r="O35" s="597" t="s">
        <v>0</v>
      </c>
      <c r="P35" s="1109" t="s">
        <v>0</v>
      </c>
      <c r="Q35" s="597" t="s">
        <v>0</v>
      </c>
      <c r="R35" s="597" t="s">
        <v>0</v>
      </c>
      <c r="S35" s="597" t="s">
        <v>0</v>
      </c>
      <c r="T35" s="597" t="s">
        <v>0</v>
      </c>
      <c r="U35" s="599">
        <v>5</v>
      </c>
    </row>
    <row r="36" spans="1:21" ht="17.100000000000001" customHeight="1">
      <c r="A36" s="739" t="s">
        <v>331</v>
      </c>
      <c r="B36" s="741">
        <v>562</v>
      </c>
      <c r="C36" s="741">
        <v>570</v>
      </c>
      <c r="D36" s="632">
        <v>653</v>
      </c>
      <c r="E36" s="736">
        <v>677</v>
      </c>
      <c r="F36" s="738">
        <v>778</v>
      </c>
      <c r="G36" s="736">
        <v>815</v>
      </c>
      <c r="H36" s="736">
        <v>891</v>
      </c>
      <c r="I36" s="736">
        <v>906</v>
      </c>
      <c r="J36" s="738">
        <v>990</v>
      </c>
      <c r="K36" s="738">
        <v>997</v>
      </c>
      <c r="L36" s="738">
        <v>1029</v>
      </c>
      <c r="M36" s="738">
        <v>1093</v>
      </c>
      <c r="N36" s="738">
        <f t="shared" ref="N36:S36" si="2">SUM(N37:N43,N48:N70)</f>
        <v>1106</v>
      </c>
      <c r="O36" s="738">
        <f t="shared" si="2"/>
        <v>1109</v>
      </c>
      <c r="P36" s="1123">
        <f t="shared" si="2"/>
        <v>1134</v>
      </c>
      <c r="Q36" s="1124">
        <f t="shared" si="2"/>
        <v>1153</v>
      </c>
      <c r="R36" s="1124">
        <f t="shared" si="2"/>
        <v>1177</v>
      </c>
      <c r="S36" s="1124">
        <f t="shared" si="2"/>
        <v>1151</v>
      </c>
      <c r="T36" s="1124">
        <f>SUM(T37:T43,T48:T70)</f>
        <v>1151</v>
      </c>
      <c r="U36" s="1124">
        <f>SUM(U37:U43,U48:U71)</f>
        <v>1196</v>
      </c>
    </row>
    <row r="37" spans="1:21" ht="15" customHeight="1">
      <c r="A37" s="750" t="s">
        <v>404</v>
      </c>
      <c r="B37" s="599">
        <v>190</v>
      </c>
      <c r="C37" s="599">
        <v>202</v>
      </c>
      <c r="D37" s="599">
        <v>226</v>
      </c>
      <c r="E37" s="597">
        <v>224</v>
      </c>
      <c r="F37" s="598">
        <v>238</v>
      </c>
      <c r="G37" s="598">
        <v>291</v>
      </c>
      <c r="H37" s="597">
        <v>333</v>
      </c>
      <c r="I37" s="597">
        <v>335</v>
      </c>
      <c r="J37" s="597">
        <v>404</v>
      </c>
      <c r="K37" s="597">
        <v>403</v>
      </c>
      <c r="L37" s="597">
        <v>399</v>
      </c>
      <c r="M37" s="599">
        <v>427</v>
      </c>
      <c r="N37" s="599">
        <v>436</v>
      </c>
      <c r="O37" s="599">
        <v>431</v>
      </c>
      <c r="P37" s="1107">
        <v>444</v>
      </c>
      <c r="Q37" s="599">
        <v>442</v>
      </c>
      <c r="R37" s="599">
        <v>443</v>
      </c>
      <c r="S37" s="599">
        <v>389</v>
      </c>
      <c r="T37" s="599">
        <v>389</v>
      </c>
      <c r="U37" s="231">
        <v>389</v>
      </c>
    </row>
    <row r="38" spans="1:21" ht="15" customHeight="1">
      <c r="A38" s="750" t="s">
        <v>50</v>
      </c>
      <c r="B38" s="599">
        <v>32</v>
      </c>
      <c r="C38" s="599">
        <v>32</v>
      </c>
      <c r="D38" s="599">
        <v>47</v>
      </c>
      <c r="E38" s="597">
        <v>20</v>
      </c>
      <c r="F38" s="598">
        <v>31</v>
      </c>
      <c r="G38" s="598">
        <v>32</v>
      </c>
      <c r="H38" s="597">
        <v>32</v>
      </c>
      <c r="I38" s="597">
        <v>32</v>
      </c>
      <c r="J38" s="597">
        <v>29</v>
      </c>
      <c r="K38" s="597">
        <v>29</v>
      </c>
      <c r="L38" s="597">
        <v>29</v>
      </c>
      <c r="M38" s="599">
        <v>27</v>
      </c>
      <c r="N38" s="599">
        <v>28</v>
      </c>
      <c r="O38" s="599">
        <v>28</v>
      </c>
      <c r="P38" s="1107">
        <v>28</v>
      </c>
      <c r="Q38" s="599">
        <v>8</v>
      </c>
      <c r="R38" s="599">
        <v>8</v>
      </c>
      <c r="S38" s="598" t="s">
        <v>0</v>
      </c>
      <c r="T38" s="598" t="s">
        <v>0</v>
      </c>
      <c r="U38" s="597" t="s">
        <v>0</v>
      </c>
    </row>
    <row r="39" spans="1:21" ht="15" customHeight="1">
      <c r="A39" s="750" t="s">
        <v>409</v>
      </c>
      <c r="B39" s="599">
        <v>199</v>
      </c>
      <c r="C39" s="599">
        <v>193</v>
      </c>
      <c r="D39" s="599">
        <v>66</v>
      </c>
      <c r="E39" s="597">
        <v>223</v>
      </c>
      <c r="F39" s="598">
        <v>225</v>
      </c>
      <c r="G39" s="598">
        <v>232</v>
      </c>
      <c r="H39" s="597">
        <v>221</v>
      </c>
      <c r="I39" s="597">
        <v>221</v>
      </c>
      <c r="J39" s="597">
        <v>177</v>
      </c>
      <c r="K39" s="597">
        <v>175</v>
      </c>
      <c r="L39" s="597">
        <v>170</v>
      </c>
      <c r="M39" s="599">
        <v>149</v>
      </c>
      <c r="N39" s="748">
        <v>146</v>
      </c>
      <c r="O39" s="599">
        <v>146</v>
      </c>
      <c r="P39" s="1107">
        <v>132</v>
      </c>
      <c r="Q39" s="599">
        <v>119</v>
      </c>
      <c r="R39" s="599">
        <v>119</v>
      </c>
      <c r="S39" s="599">
        <v>119</v>
      </c>
      <c r="T39" s="599">
        <v>119</v>
      </c>
      <c r="U39" s="231">
        <v>119</v>
      </c>
    </row>
    <row r="40" spans="1:21" ht="15" customHeight="1">
      <c r="A40" s="750" t="s">
        <v>393</v>
      </c>
      <c r="B40" s="599"/>
      <c r="C40" s="599"/>
      <c r="D40" s="599"/>
      <c r="E40" s="597"/>
      <c r="F40" s="599"/>
      <c r="G40" s="599"/>
      <c r="H40" s="599"/>
      <c r="I40" s="599"/>
      <c r="J40" s="599"/>
      <c r="K40" s="599"/>
      <c r="L40" s="599"/>
      <c r="M40" s="599"/>
      <c r="N40" s="748">
        <v>66</v>
      </c>
      <c r="O40" s="599">
        <v>66</v>
      </c>
      <c r="P40" s="1107">
        <v>66</v>
      </c>
      <c r="Q40" s="599">
        <v>38</v>
      </c>
      <c r="R40" s="599">
        <v>38</v>
      </c>
      <c r="S40" s="599">
        <v>256</v>
      </c>
      <c r="T40" s="599">
        <v>256</v>
      </c>
      <c r="U40" s="231">
        <v>255</v>
      </c>
    </row>
    <row r="41" spans="1:21" ht="15" customHeight="1">
      <c r="A41" s="750" t="s">
        <v>398</v>
      </c>
      <c r="B41" s="599"/>
      <c r="C41" s="599"/>
      <c r="D41" s="599"/>
      <c r="E41" s="597"/>
      <c r="F41" s="599"/>
      <c r="G41" s="599"/>
      <c r="H41" s="599"/>
      <c r="I41" s="599"/>
      <c r="J41" s="599"/>
      <c r="K41" s="599"/>
      <c r="L41" s="599"/>
      <c r="M41" s="599"/>
      <c r="N41" s="748">
        <v>201</v>
      </c>
      <c r="O41" s="599">
        <v>200</v>
      </c>
      <c r="P41" s="1107">
        <v>209</v>
      </c>
      <c r="Q41" s="599">
        <v>218</v>
      </c>
      <c r="R41" s="599">
        <v>215</v>
      </c>
      <c r="S41" s="598" t="s">
        <v>0</v>
      </c>
      <c r="T41" s="598" t="s">
        <v>0</v>
      </c>
      <c r="U41" s="597" t="s">
        <v>0</v>
      </c>
    </row>
    <row r="42" spans="1:21" ht="25.5">
      <c r="A42" s="750" t="s">
        <v>416</v>
      </c>
      <c r="B42" s="598" t="s">
        <v>117</v>
      </c>
      <c r="C42" s="598" t="s">
        <v>117</v>
      </c>
      <c r="D42" s="598" t="s">
        <v>0</v>
      </c>
      <c r="E42" s="597">
        <v>4</v>
      </c>
      <c r="F42" s="598">
        <v>3</v>
      </c>
      <c r="G42" s="598">
        <v>4</v>
      </c>
      <c r="H42" s="597">
        <v>4</v>
      </c>
      <c r="I42" s="597">
        <v>4</v>
      </c>
      <c r="J42" s="597">
        <v>4</v>
      </c>
      <c r="K42" s="597">
        <v>4</v>
      </c>
      <c r="L42" s="597">
        <v>24</v>
      </c>
      <c r="M42" s="599">
        <v>24</v>
      </c>
      <c r="N42" s="748">
        <v>28</v>
      </c>
      <c r="O42" s="599">
        <v>28</v>
      </c>
      <c r="P42" s="1107">
        <v>28</v>
      </c>
      <c r="Q42" s="599">
        <v>29</v>
      </c>
      <c r="R42" s="599">
        <v>29</v>
      </c>
      <c r="S42" s="599">
        <v>29</v>
      </c>
      <c r="T42" s="599">
        <v>29</v>
      </c>
      <c r="U42" s="231">
        <v>29</v>
      </c>
    </row>
    <row r="43" spans="1:21" ht="15" customHeight="1">
      <c r="A43" s="435" t="s">
        <v>394</v>
      </c>
      <c r="B43" s="599"/>
      <c r="C43" s="599"/>
      <c r="D43" s="599"/>
      <c r="E43" s="599"/>
      <c r="F43" s="599"/>
      <c r="G43" s="599"/>
      <c r="H43" s="599"/>
      <c r="I43" s="599"/>
      <c r="J43" s="599"/>
      <c r="K43" s="599"/>
      <c r="L43" s="599"/>
      <c r="M43" s="599"/>
      <c r="N43" s="749">
        <v>1</v>
      </c>
      <c r="O43" s="646">
        <v>1</v>
      </c>
      <c r="P43" s="1112">
        <v>1</v>
      </c>
      <c r="Q43" s="647" t="s">
        <v>0</v>
      </c>
      <c r="R43" s="647" t="s">
        <v>0</v>
      </c>
      <c r="S43" s="647" t="s">
        <v>0</v>
      </c>
      <c r="T43" s="647" t="s">
        <v>0</v>
      </c>
      <c r="U43" s="647" t="s">
        <v>0</v>
      </c>
    </row>
    <row r="44" spans="1:21" ht="11.1" customHeight="1">
      <c r="A44" s="648"/>
      <c r="B44" s="649"/>
      <c r="C44" s="649"/>
      <c r="D44" s="649"/>
      <c r="E44" s="650"/>
      <c r="F44" s="651"/>
      <c r="G44" s="597"/>
      <c r="H44" s="598"/>
      <c r="I44" s="598"/>
      <c r="J44" s="598"/>
      <c r="K44" s="598"/>
      <c r="L44" s="598"/>
      <c r="M44" s="598"/>
      <c r="N44" s="598"/>
      <c r="O44" s="598"/>
      <c r="P44" s="599"/>
      <c r="Q44" s="599"/>
      <c r="R44" s="652"/>
      <c r="S44" s="652"/>
      <c r="T44" s="599"/>
      <c r="U44" s="652" t="s">
        <v>562</v>
      </c>
    </row>
    <row r="45" spans="1:21" ht="13.5">
      <c r="A45" s="1229" t="str">
        <f>A1</f>
        <v>8.26  PERÚ: NÚMERO DE FISCALÍAS DEL MINISTERIO PÚBLICO, SEGÚN CATEGORÍA Y ESPECIALIDAD, 2018 - 2023</v>
      </c>
      <c r="B45" s="1229"/>
      <c r="C45" s="1229"/>
      <c r="D45" s="1229"/>
      <c r="E45" s="1229"/>
      <c r="F45" s="1229"/>
      <c r="G45" s="1229"/>
      <c r="H45" s="1229"/>
      <c r="I45" s="1229"/>
      <c r="J45" s="1229"/>
      <c r="K45" s="1229"/>
      <c r="L45" s="1229"/>
      <c r="M45" s="1229"/>
      <c r="N45" s="1229"/>
      <c r="O45" s="1229"/>
      <c r="P45" s="1229"/>
      <c r="Q45" s="1229"/>
      <c r="R45" s="1229"/>
      <c r="S45" s="1229"/>
      <c r="T45" s="1229"/>
      <c r="U45" s="1229"/>
    </row>
    <row r="46" spans="1:21">
      <c r="A46" s="653"/>
      <c r="B46" s="646"/>
      <c r="C46" s="646"/>
      <c r="D46" s="646"/>
      <c r="E46" s="646"/>
      <c r="F46" s="654"/>
      <c r="G46" s="647"/>
      <c r="H46" s="646"/>
      <c r="I46" s="646"/>
      <c r="J46" s="646"/>
      <c r="K46" s="646"/>
      <c r="L46" s="655"/>
      <c r="M46" s="599"/>
      <c r="N46" s="656"/>
      <c r="O46" s="656"/>
      <c r="P46" s="599"/>
      <c r="Q46" s="657"/>
      <c r="R46" s="658"/>
      <c r="S46" s="658"/>
      <c r="T46" s="599"/>
      <c r="U46" s="658" t="s">
        <v>516</v>
      </c>
    </row>
    <row r="47" spans="1:21" ht="27" customHeight="1">
      <c r="A47" s="659" t="s">
        <v>258</v>
      </c>
      <c r="B47" s="660">
        <v>2004</v>
      </c>
      <c r="C47" s="660">
        <v>2005</v>
      </c>
      <c r="D47" s="660">
        <v>2006</v>
      </c>
      <c r="E47" s="600">
        <v>2007</v>
      </c>
      <c r="F47" s="600">
        <v>2008</v>
      </c>
      <c r="G47" s="600">
        <v>2009</v>
      </c>
      <c r="H47" s="600">
        <v>2010</v>
      </c>
      <c r="I47" s="600">
        <v>2011</v>
      </c>
      <c r="J47" s="600">
        <v>2012</v>
      </c>
      <c r="K47" s="600">
        <v>2013</v>
      </c>
      <c r="L47" s="600">
        <v>2014</v>
      </c>
      <c r="M47" s="600">
        <v>2015</v>
      </c>
      <c r="N47" s="600">
        <v>2016</v>
      </c>
      <c r="O47" s="600">
        <v>2017</v>
      </c>
      <c r="P47" s="1106">
        <v>2018</v>
      </c>
      <c r="Q47" s="600">
        <v>2019</v>
      </c>
      <c r="R47" s="600">
        <v>2020</v>
      </c>
      <c r="S47" s="600">
        <v>2021</v>
      </c>
      <c r="T47" s="600">
        <v>2022</v>
      </c>
      <c r="U47" s="947">
        <v>2023</v>
      </c>
    </row>
    <row r="48" spans="1:21" ht="27.95" customHeight="1">
      <c r="A48" s="1125" t="s">
        <v>565</v>
      </c>
      <c r="B48" s="599"/>
      <c r="C48" s="599"/>
      <c r="D48" s="599"/>
      <c r="E48" s="599"/>
      <c r="F48" s="599"/>
      <c r="G48" s="599"/>
      <c r="H48" s="599"/>
      <c r="I48" s="599"/>
      <c r="J48" s="599"/>
      <c r="K48" s="599"/>
      <c r="L48" s="599"/>
      <c r="M48" s="599"/>
      <c r="N48" s="599">
        <v>24</v>
      </c>
      <c r="O48" s="599">
        <v>26</v>
      </c>
      <c r="P48" s="1107">
        <v>22</v>
      </c>
      <c r="Q48" s="599">
        <v>20</v>
      </c>
      <c r="R48" s="599">
        <v>20</v>
      </c>
      <c r="S48" s="599">
        <v>20</v>
      </c>
      <c r="T48" s="599">
        <v>20</v>
      </c>
      <c r="U48" s="231">
        <v>23</v>
      </c>
    </row>
    <row r="49" spans="1:21" ht="18.600000000000001" customHeight="1">
      <c r="A49" s="1125" t="s">
        <v>417</v>
      </c>
      <c r="B49" s="599"/>
      <c r="C49" s="599"/>
      <c r="D49" s="599"/>
      <c r="E49" s="597"/>
      <c r="F49" s="598"/>
      <c r="G49" s="597"/>
      <c r="H49" s="598"/>
      <c r="I49" s="598"/>
      <c r="J49" s="598"/>
      <c r="K49" s="598"/>
      <c r="L49" s="598"/>
      <c r="M49" s="598"/>
      <c r="N49" s="598">
        <v>1</v>
      </c>
      <c r="O49" s="598">
        <v>1</v>
      </c>
      <c r="P49" s="1113">
        <v>1</v>
      </c>
      <c r="Q49" s="598">
        <v>1</v>
      </c>
      <c r="R49" s="598">
        <v>1</v>
      </c>
      <c r="S49" s="598">
        <v>1</v>
      </c>
      <c r="T49" s="598">
        <v>1</v>
      </c>
      <c r="U49" s="946">
        <v>1</v>
      </c>
    </row>
    <row r="50" spans="1:21" ht="18.600000000000001" customHeight="1">
      <c r="A50" s="1125" t="s">
        <v>418</v>
      </c>
      <c r="B50" s="599">
        <v>56</v>
      </c>
      <c r="C50" s="599">
        <v>56</v>
      </c>
      <c r="D50" s="599">
        <v>213</v>
      </c>
      <c r="E50" s="597">
        <v>68</v>
      </c>
      <c r="F50" s="598">
        <v>74</v>
      </c>
      <c r="G50" s="598">
        <v>68</v>
      </c>
      <c r="H50" s="597">
        <v>66</v>
      </c>
      <c r="I50" s="597">
        <v>66</v>
      </c>
      <c r="J50" s="597">
        <v>64</v>
      </c>
      <c r="K50" s="597">
        <v>64</v>
      </c>
      <c r="L50" s="597">
        <v>63</v>
      </c>
      <c r="M50" s="599">
        <v>65</v>
      </c>
      <c r="N50" s="599">
        <v>36</v>
      </c>
      <c r="O50" s="599">
        <v>38</v>
      </c>
      <c r="P50" s="1107">
        <v>41</v>
      </c>
      <c r="Q50" s="599">
        <v>44</v>
      </c>
      <c r="R50" s="599">
        <v>43</v>
      </c>
      <c r="S50" s="599">
        <v>41</v>
      </c>
      <c r="T50" s="599">
        <v>41</v>
      </c>
      <c r="U50" s="231">
        <v>41</v>
      </c>
    </row>
    <row r="51" spans="1:21" ht="18.600000000000001" customHeight="1">
      <c r="A51" s="1125" t="s">
        <v>419</v>
      </c>
      <c r="B51" s="598" t="s">
        <v>117</v>
      </c>
      <c r="C51" s="598" t="s">
        <v>117</v>
      </c>
      <c r="D51" s="598" t="s">
        <v>0</v>
      </c>
      <c r="E51" s="597">
        <v>34</v>
      </c>
      <c r="F51" s="598">
        <v>48</v>
      </c>
      <c r="G51" s="598">
        <v>86</v>
      </c>
      <c r="H51" s="597">
        <v>121</v>
      </c>
      <c r="I51" s="597">
        <v>121</v>
      </c>
      <c r="J51" s="597">
        <v>171</v>
      </c>
      <c r="K51" s="597">
        <v>172</v>
      </c>
      <c r="L51" s="597">
        <v>172</v>
      </c>
      <c r="M51" s="599">
        <v>201</v>
      </c>
      <c r="N51" s="599">
        <v>9</v>
      </c>
      <c r="O51" s="599">
        <v>9</v>
      </c>
      <c r="P51" s="1107">
        <v>9</v>
      </c>
      <c r="Q51" s="599">
        <v>8</v>
      </c>
      <c r="R51" s="599">
        <v>10</v>
      </c>
      <c r="S51" s="598" t="s">
        <v>0</v>
      </c>
      <c r="T51" s="598" t="s">
        <v>0</v>
      </c>
      <c r="U51" s="597" t="s">
        <v>0</v>
      </c>
    </row>
    <row r="52" spans="1:21" ht="18.600000000000001" customHeight="1">
      <c r="A52" s="1126" t="s">
        <v>420</v>
      </c>
      <c r="B52" s="599">
        <v>18</v>
      </c>
      <c r="C52" s="599">
        <v>18</v>
      </c>
      <c r="D52" s="599">
        <v>18</v>
      </c>
      <c r="E52" s="597">
        <v>17</v>
      </c>
      <c r="F52" s="598">
        <v>16</v>
      </c>
      <c r="G52" s="598">
        <v>17</v>
      </c>
      <c r="H52" s="597">
        <v>19</v>
      </c>
      <c r="I52" s="597">
        <v>22</v>
      </c>
      <c r="J52" s="597">
        <v>24</v>
      </c>
      <c r="K52" s="597">
        <v>24</v>
      </c>
      <c r="L52" s="597">
        <v>24</v>
      </c>
      <c r="M52" s="599">
        <v>27</v>
      </c>
      <c r="N52" s="599">
        <v>3</v>
      </c>
      <c r="O52" s="599">
        <v>3</v>
      </c>
      <c r="P52" s="1113" t="s">
        <v>0</v>
      </c>
      <c r="Q52" s="599">
        <v>11</v>
      </c>
      <c r="R52" s="599">
        <v>11</v>
      </c>
      <c r="S52" s="599">
        <v>11</v>
      </c>
      <c r="T52" s="599">
        <v>11</v>
      </c>
      <c r="U52" s="231">
        <v>11</v>
      </c>
    </row>
    <row r="53" spans="1:21" ht="27.95" customHeight="1">
      <c r="A53" s="1127" t="s">
        <v>421</v>
      </c>
      <c r="B53" s="598" t="s">
        <v>117</v>
      </c>
      <c r="C53" s="598" t="s">
        <v>117</v>
      </c>
      <c r="D53" s="598" t="s">
        <v>0</v>
      </c>
      <c r="E53" s="598" t="s">
        <v>0</v>
      </c>
      <c r="F53" s="598" t="s">
        <v>0</v>
      </c>
      <c r="G53" s="598" t="s">
        <v>0</v>
      </c>
      <c r="H53" s="598" t="s">
        <v>0</v>
      </c>
      <c r="I53" s="598" t="s">
        <v>0</v>
      </c>
      <c r="J53" s="598" t="s">
        <v>0</v>
      </c>
      <c r="K53" s="598" t="s">
        <v>0</v>
      </c>
      <c r="L53" s="598" t="s">
        <v>0</v>
      </c>
      <c r="M53" s="598" t="s">
        <v>0</v>
      </c>
      <c r="N53" s="598">
        <v>2</v>
      </c>
      <c r="O53" s="598">
        <v>2</v>
      </c>
      <c r="P53" s="1113">
        <v>2</v>
      </c>
      <c r="Q53" s="598">
        <v>2</v>
      </c>
      <c r="R53" s="598">
        <v>2</v>
      </c>
      <c r="S53" s="598">
        <v>2</v>
      </c>
      <c r="T53" s="598">
        <v>2</v>
      </c>
      <c r="U53" s="946">
        <v>2</v>
      </c>
    </row>
    <row r="54" spans="1:21" ht="27.95" customHeight="1">
      <c r="A54" s="1127" t="s">
        <v>422</v>
      </c>
      <c r="B54" s="598" t="s">
        <v>117</v>
      </c>
      <c r="C54" s="598" t="s">
        <v>117</v>
      </c>
      <c r="D54" s="598" t="s">
        <v>0</v>
      </c>
      <c r="E54" s="598" t="s">
        <v>0</v>
      </c>
      <c r="F54" s="598" t="s">
        <v>0</v>
      </c>
      <c r="G54" s="597">
        <v>1</v>
      </c>
      <c r="H54" s="597">
        <v>1</v>
      </c>
      <c r="I54" s="597">
        <v>1</v>
      </c>
      <c r="J54" s="597">
        <v>1</v>
      </c>
      <c r="K54" s="597">
        <v>1</v>
      </c>
      <c r="L54" s="597">
        <v>1</v>
      </c>
      <c r="M54" s="599">
        <v>1</v>
      </c>
      <c r="N54" s="598" t="s">
        <v>0</v>
      </c>
      <c r="O54" s="598" t="s">
        <v>0</v>
      </c>
      <c r="P54" s="1107">
        <v>4</v>
      </c>
      <c r="Q54" s="598">
        <v>5</v>
      </c>
      <c r="R54" s="598">
        <v>5</v>
      </c>
      <c r="S54" s="598">
        <v>5</v>
      </c>
      <c r="T54" s="598">
        <v>5</v>
      </c>
      <c r="U54" s="946">
        <v>4</v>
      </c>
    </row>
    <row r="55" spans="1:21" ht="18.600000000000001" customHeight="1">
      <c r="A55" s="1127" t="s">
        <v>423</v>
      </c>
      <c r="B55" s="598" t="s">
        <v>117</v>
      </c>
      <c r="C55" s="598" t="s">
        <v>117</v>
      </c>
      <c r="D55" s="598" t="s">
        <v>0</v>
      </c>
      <c r="E55" s="598" t="s">
        <v>0</v>
      </c>
      <c r="F55" s="598" t="s">
        <v>0</v>
      </c>
      <c r="G55" s="598" t="s">
        <v>0</v>
      </c>
      <c r="H55" s="598" t="s">
        <v>0</v>
      </c>
      <c r="I55" s="598" t="s">
        <v>0</v>
      </c>
      <c r="J55" s="598" t="s">
        <v>0</v>
      </c>
      <c r="K55" s="598" t="s">
        <v>0</v>
      </c>
      <c r="L55" s="598" t="s">
        <v>0</v>
      </c>
      <c r="M55" s="598" t="s">
        <v>0</v>
      </c>
      <c r="N55" s="598">
        <v>8</v>
      </c>
      <c r="O55" s="598">
        <v>8</v>
      </c>
      <c r="P55" s="1113">
        <v>8</v>
      </c>
      <c r="Q55" s="598">
        <v>9</v>
      </c>
      <c r="R55" s="598">
        <v>10</v>
      </c>
      <c r="S55" s="598">
        <v>13</v>
      </c>
      <c r="T55" s="598">
        <v>13</v>
      </c>
      <c r="U55" s="946">
        <v>13</v>
      </c>
    </row>
    <row r="56" spans="1:21" ht="18.600000000000001" customHeight="1">
      <c r="A56" s="1127" t="s">
        <v>424</v>
      </c>
      <c r="B56" s="599"/>
      <c r="C56" s="599"/>
      <c r="D56" s="599"/>
      <c r="E56" s="597"/>
      <c r="F56" s="598"/>
      <c r="G56" s="597"/>
      <c r="H56" s="598"/>
      <c r="I56" s="598"/>
      <c r="J56" s="598"/>
      <c r="K56" s="598"/>
      <c r="L56" s="598"/>
      <c r="M56" s="598"/>
      <c r="N56" s="598">
        <v>5</v>
      </c>
      <c r="O56" s="598">
        <v>6</v>
      </c>
      <c r="P56" s="1113">
        <v>6</v>
      </c>
      <c r="Q56" s="598">
        <v>7</v>
      </c>
      <c r="R56" s="598">
        <v>6</v>
      </c>
      <c r="S56" s="598">
        <v>6</v>
      </c>
      <c r="T56" s="598">
        <v>6</v>
      </c>
      <c r="U56" s="946">
        <v>4</v>
      </c>
    </row>
    <row r="57" spans="1:21" ht="18.600000000000001" customHeight="1">
      <c r="A57" s="1127" t="s">
        <v>425</v>
      </c>
      <c r="B57" s="599"/>
      <c r="C57" s="599"/>
      <c r="D57" s="599"/>
      <c r="E57" s="597"/>
      <c r="F57" s="598"/>
      <c r="G57" s="597"/>
      <c r="H57" s="598"/>
      <c r="I57" s="598"/>
      <c r="J57" s="598"/>
      <c r="K57" s="598"/>
      <c r="L57" s="598"/>
      <c r="M57" s="598"/>
      <c r="N57" s="598">
        <v>7</v>
      </c>
      <c r="O57" s="598">
        <v>7</v>
      </c>
      <c r="P57" s="1113">
        <v>7</v>
      </c>
      <c r="Q57" s="599">
        <v>8</v>
      </c>
      <c r="R57" s="599">
        <v>8</v>
      </c>
      <c r="S57" s="598">
        <v>8</v>
      </c>
      <c r="T57" s="598">
        <v>8</v>
      </c>
      <c r="U57" s="946">
        <v>9</v>
      </c>
    </row>
    <row r="58" spans="1:21" ht="18.600000000000001" customHeight="1">
      <c r="A58" s="1127" t="s">
        <v>426</v>
      </c>
      <c r="B58" s="599"/>
      <c r="C58" s="599"/>
      <c r="D58" s="599"/>
      <c r="E58" s="597"/>
      <c r="F58" s="598"/>
      <c r="G58" s="597"/>
      <c r="H58" s="598"/>
      <c r="I58" s="598"/>
      <c r="J58" s="598"/>
      <c r="K58" s="598"/>
      <c r="L58" s="598"/>
      <c r="M58" s="598"/>
      <c r="N58" s="598">
        <v>1</v>
      </c>
      <c r="O58" s="598">
        <v>1</v>
      </c>
      <c r="P58" s="1113">
        <v>1</v>
      </c>
      <c r="Q58" s="598" t="s">
        <v>0</v>
      </c>
      <c r="R58" s="598" t="s">
        <v>0</v>
      </c>
      <c r="S58" s="598" t="s">
        <v>0</v>
      </c>
      <c r="T58" s="598" t="s">
        <v>0</v>
      </c>
      <c r="U58" s="597" t="s">
        <v>0</v>
      </c>
    </row>
    <row r="59" spans="1:21" ht="18.600000000000001" customHeight="1">
      <c r="A59" s="1127" t="s">
        <v>427</v>
      </c>
      <c r="B59" s="599"/>
      <c r="C59" s="599"/>
      <c r="D59" s="599"/>
      <c r="E59" s="597"/>
      <c r="F59" s="598"/>
      <c r="G59" s="597"/>
      <c r="H59" s="598"/>
      <c r="I59" s="598"/>
      <c r="J59" s="598"/>
      <c r="K59" s="598"/>
      <c r="L59" s="598"/>
      <c r="M59" s="598"/>
      <c r="N59" s="599">
        <v>1</v>
      </c>
      <c r="O59" s="599">
        <v>1</v>
      </c>
      <c r="P59" s="1107">
        <v>1</v>
      </c>
      <c r="Q59" s="599">
        <v>1</v>
      </c>
      <c r="R59" s="599">
        <v>1</v>
      </c>
      <c r="S59" s="599">
        <v>1</v>
      </c>
      <c r="T59" s="599">
        <v>1</v>
      </c>
      <c r="U59" s="231">
        <v>1</v>
      </c>
    </row>
    <row r="60" spans="1:21" ht="18.600000000000001" customHeight="1">
      <c r="A60" s="1127" t="s">
        <v>395</v>
      </c>
      <c r="B60" s="598"/>
      <c r="C60" s="598"/>
      <c r="D60" s="598"/>
      <c r="E60" s="597"/>
      <c r="F60" s="598"/>
      <c r="G60" s="598"/>
      <c r="H60" s="597"/>
      <c r="I60" s="597"/>
      <c r="J60" s="597"/>
      <c r="K60" s="597"/>
      <c r="L60" s="597"/>
      <c r="M60" s="599"/>
      <c r="N60" s="598">
        <v>39</v>
      </c>
      <c r="O60" s="598">
        <v>42</v>
      </c>
      <c r="P60" s="1113">
        <v>43</v>
      </c>
      <c r="Q60" s="599">
        <v>43</v>
      </c>
      <c r="R60" s="599">
        <v>43</v>
      </c>
      <c r="S60" s="599">
        <v>43</v>
      </c>
      <c r="T60" s="599">
        <v>43</v>
      </c>
      <c r="U60" s="231">
        <v>43</v>
      </c>
    </row>
    <row r="61" spans="1:21" ht="27.95" customHeight="1">
      <c r="A61" s="1127" t="s">
        <v>428</v>
      </c>
      <c r="B61" s="599"/>
      <c r="C61" s="599"/>
      <c r="D61" s="598"/>
      <c r="E61" s="598"/>
      <c r="F61" s="598"/>
      <c r="G61" s="598"/>
      <c r="H61" s="598"/>
      <c r="I61" s="598"/>
      <c r="J61" s="598"/>
      <c r="K61" s="598"/>
      <c r="L61" s="598"/>
      <c r="M61" s="598"/>
      <c r="N61" s="598" t="s">
        <v>0</v>
      </c>
      <c r="O61" s="598" t="s">
        <v>0</v>
      </c>
      <c r="P61" s="1113" t="s">
        <v>0</v>
      </c>
      <c r="Q61" s="598">
        <v>2</v>
      </c>
      <c r="R61" s="598">
        <v>2</v>
      </c>
      <c r="S61" s="598">
        <v>2</v>
      </c>
      <c r="T61" s="598">
        <v>2</v>
      </c>
      <c r="U61" s="946">
        <v>2</v>
      </c>
    </row>
    <row r="62" spans="1:21" ht="18.600000000000001" customHeight="1">
      <c r="A62" s="1127" t="s">
        <v>360</v>
      </c>
      <c r="B62" s="598"/>
      <c r="C62" s="598"/>
      <c r="D62" s="598"/>
      <c r="E62" s="598"/>
      <c r="F62" s="598"/>
      <c r="G62" s="597"/>
      <c r="H62" s="597"/>
      <c r="I62" s="597"/>
      <c r="J62" s="597"/>
      <c r="K62" s="597"/>
      <c r="L62" s="597"/>
      <c r="M62" s="736"/>
      <c r="N62" s="597">
        <v>1</v>
      </c>
      <c r="O62" s="597">
        <v>1</v>
      </c>
      <c r="P62" s="1026">
        <v>1</v>
      </c>
      <c r="Q62" s="323">
        <v>1</v>
      </c>
      <c r="R62" s="323">
        <v>1</v>
      </c>
      <c r="S62" s="323">
        <v>1</v>
      </c>
      <c r="T62" s="323">
        <v>1</v>
      </c>
      <c r="U62" s="948">
        <v>1</v>
      </c>
    </row>
    <row r="63" spans="1:21" ht="27.95" customHeight="1">
      <c r="A63" s="1127" t="s">
        <v>415</v>
      </c>
      <c r="B63" s="599"/>
      <c r="C63" s="599"/>
      <c r="D63" s="599"/>
      <c r="E63" s="597"/>
      <c r="F63" s="598"/>
      <c r="G63" s="598"/>
      <c r="H63" s="597"/>
      <c r="I63" s="597"/>
      <c r="J63" s="597"/>
      <c r="K63" s="597"/>
      <c r="L63" s="597"/>
      <c r="M63" s="599"/>
      <c r="N63" s="598" t="s">
        <v>0</v>
      </c>
      <c r="O63" s="598" t="s">
        <v>0</v>
      </c>
      <c r="P63" s="1098">
        <v>10</v>
      </c>
      <c r="Q63" s="140">
        <v>44</v>
      </c>
      <c r="R63" s="140">
        <v>68</v>
      </c>
      <c r="S63" s="598">
        <v>99</v>
      </c>
      <c r="T63" s="598">
        <v>99</v>
      </c>
      <c r="U63" s="946">
        <v>99</v>
      </c>
    </row>
    <row r="64" spans="1:21" ht="18.600000000000001" customHeight="1">
      <c r="A64" s="1127" t="s">
        <v>429</v>
      </c>
      <c r="B64" s="599"/>
      <c r="C64" s="599"/>
      <c r="D64" s="599"/>
      <c r="E64" s="597"/>
      <c r="F64" s="598"/>
      <c r="G64" s="598"/>
      <c r="H64" s="597"/>
      <c r="I64" s="597"/>
      <c r="J64" s="597"/>
      <c r="K64" s="597"/>
      <c r="L64" s="597"/>
      <c r="M64" s="599"/>
      <c r="N64" s="598" t="s">
        <v>0</v>
      </c>
      <c r="O64" s="598" t="s">
        <v>0</v>
      </c>
      <c r="P64" s="1113" t="s">
        <v>0</v>
      </c>
      <c r="Q64" s="165">
        <v>24</v>
      </c>
      <c r="R64" s="165">
        <v>24</v>
      </c>
      <c r="S64" s="165">
        <v>24</v>
      </c>
      <c r="T64" s="165">
        <v>24</v>
      </c>
      <c r="U64" s="127">
        <v>24</v>
      </c>
    </row>
    <row r="65" spans="1:21" ht="18.600000000000001" customHeight="1">
      <c r="A65" s="1127" t="s">
        <v>386</v>
      </c>
      <c r="B65" s="598"/>
      <c r="C65" s="598"/>
      <c r="D65" s="598"/>
      <c r="E65" s="598"/>
      <c r="F65" s="598"/>
      <c r="G65" s="597"/>
      <c r="H65" s="597"/>
      <c r="I65" s="598"/>
      <c r="J65" s="598"/>
      <c r="K65" s="598"/>
      <c r="L65" s="598"/>
      <c r="M65" s="598"/>
      <c r="N65" s="598" t="s">
        <v>0</v>
      </c>
      <c r="O65" s="598" t="s">
        <v>0</v>
      </c>
      <c r="P65" s="1113" t="s">
        <v>0</v>
      </c>
      <c r="Q65" s="598" t="s">
        <v>0</v>
      </c>
      <c r="R65" s="598" t="s">
        <v>0</v>
      </c>
      <c r="S65" s="597">
        <v>1</v>
      </c>
      <c r="T65" s="597">
        <v>1</v>
      </c>
      <c r="U65" s="258">
        <v>3</v>
      </c>
    </row>
    <row r="66" spans="1:21">
      <c r="A66" s="1127" t="s">
        <v>490</v>
      </c>
      <c r="B66" s="598"/>
      <c r="C66" s="599"/>
      <c r="D66" s="599"/>
      <c r="E66" s="751"/>
      <c r="F66" s="598"/>
      <c r="G66" s="598"/>
      <c r="H66" s="598"/>
      <c r="I66" s="598"/>
      <c r="J66" s="598"/>
      <c r="K66" s="598"/>
      <c r="L66" s="598"/>
      <c r="M66" s="598"/>
      <c r="N66" s="598">
        <v>63</v>
      </c>
      <c r="O66" s="598">
        <v>64</v>
      </c>
      <c r="P66" s="1113">
        <v>66</v>
      </c>
      <c r="Q66" s="598">
        <v>69</v>
      </c>
      <c r="R66" s="598">
        <v>70</v>
      </c>
      <c r="S66" s="597">
        <v>70</v>
      </c>
      <c r="T66" s="597">
        <v>70</v>
      </c>
      <c r="U66" s="258">
        <v>71</v>
      </c>
    </row>
    <row r="67" spans="1:21">
      <c r="A67" s="1127" t="s">
        <v>396</v>
      </c>
      <c r="B67" s="598"/>
      <c r="C67" s="598"/>
      <c r="D67" s="599"/>
      <c r="E67" s="598"/>
      <c r="F67" s="598"/>
      <c r="G67" s="598"/>
      <c r="H67" s="598"/>
      <c r="I67" s="598"/>
      <c r="J67" s="598"/>
      <c r="K67" s="598"/>
      <c r="L67" s="598"/>
      <c r="M67" s="598"/>
      <c r="N67" s="598" t="s">
        <v>0</v>
      </c>
      <c r="O67" s="598" t="s">
        <v>0</v>
      </c>
      <c r="P67" s="1113" t="s">
        <v>0</v>
      </c>
      <c r="Q67" s="598" t="s">
        <v>0</v>
      </c>
      <c r="R67" s="598" t="s">
        <v>0</v>
      </c>
      <c r="S67" s="597">
        <v>10</v>
      </c>
      <c r="T67" s="597">
        <v>10</v>
      </c>
      <c r="U67" s="597" t="s">
        <v>0</v>
      </c>
    </row>
    <row r="68" spans="1:21" ht="25.5">
      <c r="A68" s="1127" t="s">
        <v>397</v>
      </c>
      <c r="B68" s="598"/>
      <c r="C68" s="598"/>
      <c r="D68" s="598"/>
      <c r="E68" s="598"/>
      <c r="F68" s="598"/>
      <c r="G68" s="598"/>
      <c r="H68" s="598"/>
      <c r="I68" s="598"/>
      <c r="J68" s="598"/>
      <c r="K68" s="598"/>
      <c r="L68" s="598"/>
      <c r="M68" s="598"/>
      <c r="N68" s="770" t="s">
        <v>0</v>
      </c>
      <c r="O68" s="598" t="s">
        <v>0</v>
      </c>
      <c r="P68" s="1113">
        <v>4</v>
      </c>
      <c r="Q68" s="598" t="s">
        <v>0</v>
      </c>
      <c r="R68" s="598" t="s">
        <v>0</v>
      </c>
      <c r="S68" s="598" t="s">
        <v>0</v>
      </c>
      <c r="T68" s="598" t="s">
        <v>0</v>
      </c>
      <c r="U68" s="597" t="s">
        <v>0</v>
      </c>
    </row>
    <row r="69" spans="1:21" ht="25.5">
      <c r="A69" s="1127" t="s">
        <v>485</v>
      </c>
      <c r="B69" s="598"/>
      <c r="C69" s="598"/>
      <c r="D69" s="598"/>
      <c r="E69" s="598"/>
      <c r="F69" s="598"/>
      <c r="G69" s="598"/>
      <c r="H69" s="598"/>
      <c r="I69" s="598"/>
      <c r="J69" s="598"/>
      <c r="K69" s="598"/>
      <c r="L69" s="598"/>
      <c r="M69" s="598"/>
      <c r="N69" s="770" t="s">
        <v>117</v>
      </c>
      <c r="O69" s="598" t="s">
        <v>117</v>
      </c>
      <c r="P69" s="1113" t="s">
        <v>117</v>
      </c>
      <c r="Q69" s="598" t="s">
        <v>117</v>
      </c>
      <c r="R69" s="598" t="s">
        <v>117</v>
      </c>
      <c r="S69" s="598" t="s">
        <v>117</v>
      </c>
      <c r="T69" s="598" t="s">
        <v>117</v>
      </c>
      <c r="U69" s="946">
        <v>39</v>
      </c>
    </row>
    <row r="70" spans="1:21" ht="25.5">
      <c r="A70" s="1127" t="s">
        <v>486</v>
      </c>
      <c r="B70" s="598"/>
      <c r="C70" s="598"/>
      <c r="D70" s="598"/>
      <c r="E70" s="598"/>
      <c r="F70" s="598"/>
      <c r="G70" s="598"/>
      <c r="H70" s="598"/>
      <c r="I70" s="598"/>
      <c r="J70" s="598"/>
      <c r="K70" s="598"/>
      <c r="L70" s="598"/>
      <c r="M70" s="598"/>
      <c r="N70" s="770" t="s">
        <v>117</v>
      </c>
      <c r="O70" s="598" t="s">
        <v>117</v>
      </c>
      <c r="P70" s="1113" t="s">
        <v>117</v>
      </c>
      <c r="Q70" s="598" t="s">
        <v>117</v>
      </c>
      <c r="R70" s="598" t="s">
        <v>117</v>
      </c>
      <c r="S70" s="598" t="s">
        <v>117</v>
      </c>
      <c r="T70" s="598" t="s">
        <v>117</v>
      </c>
      <c r="U70" s="946">
        <v>12</v>
      </c>
    </row>
    <row r="71" spans="1:21">
      <c r="A71" s="1128" t="s">
        <v>487</v>
      </c>
      <c r="B71" s="598"/>
      <c r="C71" s="598"/>
      <c r="D71" s="598"/>
      <c r="E71" s="598"/>
      <c r="F71" s="598"/>
      <c r="G71" s="598"/>
      <c r="H71" s="598"/>
      <c r="I71" s="598"/>
      <c r="J71" s="598"/>
      <c r="K71" s="598"/>
      <c r="L71" s="598"/>
      <c r="M71" s="598"/>
      <c r="N71" s="770" t="s">
        <v>117</v>
      </c>
      <c r="O71" s="598" t="s">
        <v>117</v>
      </c>
      <c r="P71" s="1113" t="s">
        <v>117</v>
      </c>
      <c r="Q71" s="598" t="s">
        <v>117</v>
      </c>
      <c r="R71" s="598" t="s">
        <v>117</v>
      </c>
      <c r="S71" s="598" t="s">
        <v>117</v>
      </c>
      <c r="T71" s="598" t="s">
        <v>117</v>
      </c>
      <c r="U71" s="946">
        <v>1</v>
      </c>
    </row>
    <row r="72" spans="1:21" ht="5.0999999999999996" customHeight="1">
      <c r="A72" s="849"/>
      <c r="B72" s="849"/>
      <c r="C72" s="849"/>
      <c r="D72" s="849"/>
      <c r="E72" s="850"/>
      <c r="F72" s="849"/>
      <c r="G72" s="849"/>
      <c r="H72" s="849"/>
      <c r="I72" s="849"/>
      <c r="J72" s="849"/>
      <c r="K72" s="849"/>
      <c r="L72" s="849"/>
      <c r="M72" s="849"/>
      <c r="N72" s="851"/>
      <c r="O72" s="849"/>
      <c r="P72" s="1114"/>
      <c r="Q72" s="849"/>
      <c r="R72" s="849"/>
      <c r="S72" s="646"/>
      <c r="T72" s="646"/>
      <c r="U72" s="646"/>
    </row>
    <row r="73" spans="1:21" ht="11.1" customHeight="1">
      <c r="A73" s="1230" t="s">
        <v>582</v>
      </c>
      <c r="B73" s="1230"/>
      <c r="C73" s="1230"/>
      <c r="D73" s="1230"/>
      <c r="E73" s="1230"/>
      <c r="F73" s="1230"/>
      <c r="G73" s="1230"/>
      <c r="H73" s="1230"/>
      <c r="I73" s="1230"/>
      <c r="J73" s="1230"/>
      <c r="K73" s="1230"/>
      <c r="L73" s="1230"/>
      <c r="M73" s="1230"/>
      <c r="N73" s="1230"/>
      <c r="O73" s="1230"/>
      <c r="P73" s="1230"/>
      <c r="Q73" s="1230"/>
      <c r="R73" s="1230"/>
      <c r="S73" s="1230"/>
      <c r="T73" s="1230"/>
      <c r="U73" s="1230"/>
    </row>
    <row r="74" spans="1:21" ht="11.1" customHeight="1">
      <c r="A74" s="848" t="s">
        <v>583</v>
      </c>
      <c r="B74" s="599"/>
      <c r="C74" s="599"/>
      <c r="D74" s="599"/>
      <c r="E74" s="597"/>
      <c r="F74" s="599"/>
      <c r="G74" s="599"/>
      <c r="H74" s="599"/>
      <c r="I74" s="599"/>
      <c r="J74" s="599"/>
      <c r="K74" s="599"/>
      <c r="L74" s="599"/>
      <c r="M74" s="599"/>
      <c r="N74" s="599"/>
      <c r="O74" s="599"/>
      <c r="P74" s="599"/>
      <c r="Q74" s="599"/>
      <c r="R74" s="599"/>
      <c r="T74" s="599"/>
      <c r="U74" s="599"/>
    </row>
    <row r="75" spans="1:21">
      <c r="T75" s="599"/>
      <c r="U75" s="599"/>
    </row>
    <row r="76" spans="1:21">
      <c r="T76" s="599"/>
      <c r="U76" s="599"/>
    </row>
    <row r="77" spans="1:21">
      <c r="T77" s="599"/>
      <c r="U77" s="599"/>
    </row>
    <row r="78" spans="1:21">
      <c r="T78" s="599"/>
      <c r="U78" s="599"/>
    </row>
    <row r="79" spans="1:21">
      <c r="T79" s="599"/>
      <c r="U79" s="599"/>
    </row>
    <row r="80" spans="1:21">
      <c r="T80" s="599"/>
      <c r="U80" s="599"/>
    </row>
    <row r="81" spans="20:21">
      <c r="T81" s="599"/>
      <c r="U81" s="599"/>
    </row>
    <row r="82" spans="20:21">
      <c r="T82" s="599"/>
      <c r="U82" s="599"/>
    </row>
    <row r="83" spans="20:21">
      <c r="T83" s="599"/>
      <c r="U83" s="599"/>
    </row>
    <row r="84" spans="20:21">
      <c r="T84" s="599"/>
      <c r="U84" s="599"/>
    </row>
    <row r="85" spans="20:21">
      <c r="T85" s="599"/>
      <c r="U85" s="599"/>
    </row>
    <row r="86" spans="20:21">
      <c r="T86" s="599"/>
      <c r="U86" s="599"/>
    </row>
    <row r="87" spans="20:21" ht="18.75" customHeight="1">
      <c r="T87" s="599"/>
      <c r="U87" s="599"/>
    </row>
    <row r="88" spans="20:21">
      <c r="T88" s="599"/>
      <c r="U88" s="599"/>
    </row>
    <row r="89" spans="20:21">
      <c r="T89" s="599"/>
      <c r="U89" s="599"/>
    </row>
    <row r="90" spans="20:21">
      <c r="T90" s="599"/>
      <c r="U90" s="599"/>
    </row>
  </sheetData>
  <mergeCells count="3">
    <mergeCell ref="A1:U1"/>
    <mergeCell ref="A73:U73"/>
    <mergeCell ref="A45:U45"/>
  </mergeCells>
  <pageMargins left="0.78740157480314965" right="0.78740157480314965" top="0.98425196850393704" bottom="0.98425196850393704" header="0.31496062992125984" footer="0"/>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AA48"/>
  <sheetViews>
    <sheetView showGridLines="0" zoomScaleNormal="100" zoomScaleSheetLayoutView="100" workbookViewId="0">
      <selection sqref="A1:U1"/>
    </sheetView>
  </sheetViews>
  <sheetFormatPr baseColWidth="10" defaultColWidth="11.42578125" defaultRowHeight="12.75"/>
  <cols>
    <col min="1" max="1" width="13.7109375" style="31" customWidth="1"/>
    <col min="2" max="5" width="8.7109375" style="31" hidden="1" customWidth="1"/>
    <col min="6" max="6" width="11.7109375" style="31" hidden="1" customWidth="1"/>
    <col min="7" max="11" width="11" style="31" hidden="1" customWidth="1"/>
    <col min="12" max="12" width="9.85546875" style="31" hidden="1" customWidth="1"/>
    <col min="13" max="14" width="9.140625" style="97" hidden="1" customWidth="1"/>
    <col min="15" max="19" width="10.28515625" style="97" customWidth="1"/>
    <col min="20" max="21" width="10.28515625" style="31" customWidth="1"/>
    <col min="22" max="16384" width="11.42578125" style="31"/>
  </cols>
  <sheetData>
    <row r="1" spans="1:27" s="32" customFormat="1" ht="14.25" customHeight="1">
      <c r="A1" s="1233" t="s">
        <v>551</v>
      </c>
      <c r="B1" s="1233"/>
      <c r="C1" s="1233"/>
      <c r="D1" s="1233"/>
      <c r="E1" s="1233"/>
      <c r="F1" s="1233"/>
      <c r="G1" s="1233"/>
      <c r="H1" s="1233"/>
      <c r="I1" s="1233"/>
      <c r="J1" s="1233"/>
      <c r="K1" s="1233"/>
      <c r="L1" s="1233"/>
      <c r="M1" s="1233"/>
      <c r="N1" s="1233"/>
      <c r="O1" s="1233"/>
      <c r="P1" s="1233"/>
      <c r="Q1" s="1233"/>
      <c r="R1" s="1233"/>
      <c r="S1" s="1233"/>
      <c r="T1" s="1233"/>
      <c r="U1" s="1233"/>
    </row>
    <row r="2" spans="1:27" s="32" customFormat="1" ht="12" customHeight="1">
      <c r="A2" s="1231" t="s">
        <v>552</v>
      </c>
      <c r="B2" s="1231"/>
      <c r="C2" s="1231"/>
      <c r="D2" s="1231"/>
      <c r="E2" s="1231"/>
      <c r="F2" s="1231"/>
      <c r="G2" s="1231"/>
      <c r="H2" s="1231"/>
      <c r="I2" s="1231"/>
      <c r="J2" s="1231"/>
      <c r="K2" s="1231"/>
      <c r="L2" s="1231"/>
      <c r="M2" s="1231"/>
      <c r="N2" s="1231"/>
      <c r="O2" s="1231"/>
      <c r="P2" s="1231"/>
      <c r="Q2" s="1231"/>
      <c r="R2" s="633"/>
      <c r="S2" s="633"/>
    </row>
    <row r="3" spans="1:27" ht="5.0999999999999996" customHeight="1">
      <c r="A3" s="104"/>
      <c r="B3" s="121"/>
      <c r="C3" s="121"/>
      <c r="D3" s="121"/>
      <c r="E3" s="104"/>
      <c r="F3" s="104"/>
      <c r="G3" s="104"/>
      <c r="H3" s="104"/>
      <c r="I3" s="104"/>
      <c r="J3" s="104"/>
      <c r="K3" s="104"/>
      <c r="L3" s="104"/>
      <c r="M3" s="149"/>
      <c r="N3" s="149"/>
      <c r="O3" s="149"/>
      <c r="P3" s="149"/>
      <c r="T3" s="97"/>
    </row>
    <row r="4" spans="1:27" ht="30" customHeight="1">
      <c r="A4" s="487" t="s">
        <v>266</v>
      </c>
      <c r="B4" s="270">
        <v>2004</v>
      </c>
      <c r="C4" s="270">
        <v>2005</v>
      </c>
      <c r="D4" s="270">
        <v>2006</v>
      </c>
      <c r="E4" s="270">
        <v>2007</v>
      </c>
      <c r="F4" s="270">
        <v>2008</v>
      </c>
      <c r="G4" s="270">
        <v>2009</v>
      </c>
      <c r="H4" s="270">
        <v>2010</v>
      </c>
      <c r="I4" s="270">
        <v>2011</v>
      </c>
      <c r="J4" s="270">
        <v>2012</v>
      </c>
      <c r="K4" s="270">
        <v>2013</v>
      </c>
      <c r="L4" s="270">
        <v>2014</v>
      </c>
      <c r="M4" s="270">
        <v>2015</v>
      </c>
      <c r="N4" s="270">
        <v>2016</v>
      </c>
      <c r="O4" s="272">
        <v>2017</v>
      </c>
      <c r="P4" s="272">
        <v>2018</v>
      </c>
      <c r="Q4" s="272">
        <v>2019</v>
      </c>
      <c r="R4" s="272">
        <v>2020</v>
      </c>
      <c r="S4" s="272">
        <v>2021</v>
      </c>
      <c r="T4" s="272">
        <v>2022</v>
      </c>
      <c r="U4" s="272">
        <v>2023</v>
      </c>
    </row>
    <row r="5" spans="1:27" ht="6" customHeight="1">
      <c r="A5" s="273"/>
      <c r="B5" s="75"/>
      <c r="C5" s="75"/>
      <c r="D5" s="75"/>
      <c r="E5" s="75"/>
      <c r="F5" s="75"/>
      <c r="G5" s="75"/>
      <c r="H5" s="75"/>
      <c r="I5" s="75"/>
      <c r="J5" s="75"/>
      <c r="K5" s="75"/>
      <c r="L5" s="104"/>
      <c r="M5" s="149"/>
      <c r="N5" s="149"/>
      <c r="O5" s="149"/>
      <c r="P5" s="149"/>
      <c r="T5" s="97"/>
      <c r="U5" s="97"/>
    </row>
    <row r="6" spans="1:27" ht="26.1" customHeight="1">
      <c r="A6" s="274" t="s">
        <v>462</v>
      </c>
      <c r="B6" s="112">
        <v>1672</v>
      </c>
      <c r="C6" s="112">
        <v>1698</v>
      </c>
      <c r="D6" s="112">
        <v>1988</v>
      </c>
      <c r="E6" s="112">
        <v>2136</v>
      </c>
      <c r="F6" s="112">
        <v>2712</v>
      </c>
      <c r="G6" s="112">
        <v>3197</v>
      </c>
      <c r="H6" s="112">
        <v>3867</v>
      </c>
      <c r="I6" s="112">
        <v>3985</v>
      </c>
      <c r="J6" s="112">
        <v>4649</v>
      </c>
      <c r="K6" s="112">
        <v>4752</v>
      </c>
      <c r="L6" s="112">
        <f>SUM(L7:L39)</f>
        <v>5258</v>
      </c>
      <c r="M6" s="491">
        <f>SUM(M7:M40)</f>
        <v>5574</v>
      </c>
      <c r="N6" s="491">
        <v>5788</v>
      </c>
      <c r="O6" s="369">
        <v>6195</v>
      </c>
      <c r="P6" s="369">
        <v>6597</v>
      </c>
      <c r="Q6" s="369">
        <v>7127</v>
      </c>
      <c r="R6" s="369">
        <v>7696</v>
      </c>
      <c r="S6" s="369">
        <v>8028</v>
      </c>
      <c r="T6" s="369">
        <v>8099</v>
      </c>
      <c r="U6" s="369">
        <v>8338</v>
      </c>
      <c r="V6" s="112"/>
      <c r="W6" s="112"/>
      <c r="X6" s="112"/>
      <c r="Y6" s="112"/>
      <c r="Z6" s="112"/>
      <c r="AA6" s="112"/>
    </row>
    <row r="7" spans="1:27" hidden="1">
      <c r="A7" s="262" t="s">
        <v>122</v>
      </c>
      <c r="B7" s="114">
        <v>23</v>
      </c>
      <c r="C7" s="114">
        <v>23</v>
      </c>
      <c r="D7" s="114">
        <v>26</v>
      </c>
      <c r="E7" s="114">
        <v>29</v>
      </c>
      <c r="F7" s="114">
        <v>40</v>
      </c>
      <c r="G7" s="114">
        <v>40</v>
      </c>
      <c r="H7" s="114">
        <v>157</v>
      </c>
      <c r="I7" s="114">
        <v>151</v>
      </c>
      <c r="J7" s="114">
        <v>156</v>
      </c>
      <c r="K7" s="114">
        <v>154</v>
      </c>
      <c r="L7" s="66">
        <v>158</v>
      </c>
      <c r="M7" s="103">
        <v>166</v>
      </c>
      <c r="N7" s="103">
        <v>164</v>
      </c>
      <c r="O7" s="165"/>
      <c r="P7" s="165"/>
      <c r="Q7" s="165"/>
      <c r="R7" s="165"/>
      <c r="S7" s="165"/>
      <c r="T7" s="165"/>
      <c r="U7" s="165"/>
    </row>
    <row r="8" spans="1:27" hidden="1">
      <c r="A8" s="262" t="s">
        <v>123</v>
      </c>
      <c r="B8" s="114">
        <v>38</v>
      </c>
      <c r="C8" s="114">
        <v>38</v>
      </c>
      <c r="D8" s="114">
        <v>48</v>
      </c>
      <c r="E8" s="114">
        <v>48</v>
      </c>
      <c r="F8" s="114">
        <v>67</v>
      </c>
      <c r="G8" s="114">
        <v>65</v>
      </c>
      <c r="H8" s="114">
        <v>64</v>
      </c>
      <c r="I8" s="114">
        <v>82</v>
      </c>
      <c r="J8" s="114">
        <v>227</v>
      </c>
      <c r="K8" s="114">
        <v>236</v>
      </c>
      <c r="L8" s="66">
        <v>258</v>
      </c>
      <c r="M8" s="103">
        <v>283</v>
      </c>
      <c r="N8" s="103">
        <v>288</v>
      </c>
      <c r="O8" s="165"/>
      <c r="P8" s="165"/>
      <c r="Q8" s="165"/>
      <c r="R8" s="165"/>
      <c r="S8" s="165"/>
      <c r="T8" s="165"/>
      <c r="U8" s="165"/>
    </row>
    <row r="9" spans="1:27" hidden="1">
      <c r="A9" s="262" t="s">
        <v>124</v>
      </c>
      <c r="B9" s="114">
        <v>22</v>
      </c>
      <c r="C9" s="114">
        <v>22</v>
      </c>
      <c r="D9" s="114">
        <v>26</v>
      </c>
      <c r="E9" s="114">
        <v>29</v>
      </c>
      <c r="F9" s="114">
        <v>41</v>
      </c>
      <c r="G9" s="114">
        <v>41</v>
      </c>
      <c r="H9" s="114">
        <v>45</v>
      </c>
      <c r="I9" s="114">
        <v>53</v>
      </c>
      <c r="J9" s="114">
        <v>53</v>
      </c>
      <c r="K9" s="114">
        <v>56</v>
      </c>
      <c r="L9" s="66">
        <v>57</v>
      </c>
      <c r="M9" s="103">
        <v>128</v>
      </c>
      <c r="N9" s="103">
        <v>137</v>
      </c>
      <c r="O9" s="165"/>
      <c r="P9" s="165"/>
      <c r="Q9" s="165"/>
      <c r="R9" s="165"/>
      <c r="S9" s="165"/>
      <c r="T9" s="165"/>
      <c r="U9" s="165"/>
    </row>
    <row r="10" spans="1:27" hidden="1">
      <c r="A10" s="262" t="s">
        <v>125</v>
      </c>
      <c r="B10" s="114">
        <v>71</v>
      </c>
      <c r="C10" s="114">
        <v>71</v>
      </c>
      <c r="D10" s="114">
        <v>82</v>
      </c>
      <c r="E10" s="114">
        <v>85</v>
      </c>
      <c r="F10" s="114">
        <v>190</v>
      </c>
      <c r="G10" s="114">
        <v>192</v>
      </c>
      <c r="H10" s="114">
        <v>210</v>
      </c>
      <c r="I10" s="114">
        <v>204</v>
      </c>
      <c r="J10" s="114">
        <v>211</v>
      </c>
      <c r="K10" s="114">
        <v>210</v>
      </c>
      <c r="L10" s="66">
        <v>206</v>
      </c>
      <c r="M10" s="103">
        <v>230</v>
      </c>
      <c r="N10" s="103">
        <v>236</v>
      </c>
      <c r="O10" s="165"/>
      <c r="P10" s="165"/>
      <c r="Q10" s="165"/>
      <c r="R10" s="165"/>
      <c r="S10" s="165"/>
      <c r="T10" s="165"/>
      <c r="U10" s="165"/>
    </row>
    <row r="11" spans="1:27" hidden="1">
      <c r="A11" s="262" t="s">
        <v>126</v>
      </c>
      <c r="B11" s="114">
        <v>40</v>
      </c>
      <c r="C11" s="114">
        <v>38</v>
      </c>
      <c r="D11" s="114">
        <v>48</v>
      </c>
      <c r="E11" s="114">
        <v>51</v>
      </c>
      <c r="F11" s="114">
        <v>67</v>
      </c>
      <c r="G11" s="114">
        <v>67</v>
      </c>
      <c r="H11" s="114">
        <v>70</v>
      </c>
      <c r="I11" s="114">
        <v>81</v>
      </c>
      <c r="J11" s="114">
        <v>83</v>
      </c>
      <c r="K11" s="114">
        <v>79</v>
      </c>
      <c r="L11" s="66">
        <v>88</v>
      </c>
      <c r="M11" s="103">
        <v>186</v>
      </c>
      <c r="N11" s="103">
        <v>194</v>
      </c>
      <c r="O11" s="165"/>
      <c r="P11" s="165"/>
      <c r="Q11" s="165"/>
      <c r="R11" s="165"/>
      <c r="S11" s="165"/>
      <c r="T11" s="165"/>
      <c r="U11" s="165"/>
    </row>
    <row r="12" spans="1:27" hidden="1">
      <c r="A12" s="262" t="s">
        <v>127</v>
      </c>
      <c r="B12" s="114">
        <v>48</v>
      </c>
      <c r="C12" s="114">
        <v>48</v>
      </c>
      <c r="D12" s="114">
        <v>52</v>
      </c>
      <c r="E12" s="114">
        <v>55</v>
      </c>
      <c r="F12" s="114">
        <v>69</v>
      </c>
      <c r="G12" s="114">
        <v>68</v>
      </c>
      <c r="H12" s="114">
        <v>210</v>
      </c>
      <c r="I12" s="114">
        <v>209</v>
      </c>
      <c r="J12" s="114">
        <v>204</v>
      </c>
      <c r="K12" s="114">
        <v>197</v>
      </c>
      <c r="L12" s="66">
        <v>202</v>
      </c>
      <c r="M12" s="103">
        <v>214</v>
      </c>
      <c r="N12" s="103">
        <v>217</v>
      </c>
      <c r="O12" s="165"/>
      <c r="P12" s="165"/>
      <c r="Q12" s="165"/>
      <c r="R12" s="165"/>
      <c r="S12" s="165"/>
      <c r="T12" s="165"/>
      <c r="U12" s="165"/>
    </row>
    <row r="13" spans="1:27" hidden="1">
      <c r="A13" s="262" t="s">
        <v>144</v>
      </c>
      <c r="B13" s="114">
        <v>71</v>
      </c>
      <c r="C13" s="114">
        <v>68</v>
      </c>
      <c r="D13" s="114">
        <v>79</v>
      </c>
      <c r="E13" s="114">
        <v>87</v>
      </c>
      <c r="F13" s="114">
        <v>92</v>
      </c>
      <c r="G13" s="114">
        <v>95</v>
      </c>
      <c r="H13" s="114">
        <v>98</v>
      </c>
      <c r="I13" s="114">
        <v>108</v>
      </c>
      <c r="J13" s="114">
        <v>115</v>
      </c>
      <c r="K13" s="114">
        <v>117</v>
      </c>
      <c r="L13" s="66">
        <v>128</v>
      </c>
      <c r="M13" s="103">
        <v>113</v>
      </c>
      <c r="N13" s="103">
        <v>115</v>
      </c>
      <c r="O13" s="165"/>
      <c r="P13" s="165"/>
      <c r="Q13" s="165"/>
      <c r="R13" s="165"/>
      <c r="S13" s="165"/>
      <c r="T13" s="165"/>
      <c r="U13" s="165"/>
    </row>
    <row r="14" spans="1:27" hidden="1">
      <c r="A14" s="262" t="s">
        <v>153</v>
      </c>
      <c r="B14" s="114">
        <v>16</v>
      </c>
      <c r="C14" s="114">
        <v>17</v>
      </c>
      <c r="D14" s="114">
        <v>19</v>
      </c>
      <c r="E14" s="114">
        <v>21</v>
      </c>
      <c r="F14" s="114">
        <v>27</v>
      </c>
      <c r="G14" s="114">
        <v>42</v>
      </c>
      <c r="H14" s="114">
        <v>48</v>
      </c>
      <c r="I14" s="114">
        <v>49</v>
      </c>
      <c r="J14" s="114">
        <v>49</v>
      </c>
      <c r="K14" s="114">
        <v>45</v>
      </c>
      <c r="L14" s="66">
        <v>63</v>
      </c>
      <c r="M14" s="103">
        <v>56</v>
      </c>
      <c r="N14" s="103">
        <v>53</v>
      </c>
      <c r="O14" s="165"/>
      <c r="P14" s="165"/>
      <c r="Q14" s="165"/>
      <c r="R14" s="165"/>
      <c r="S14" s="165"/>
      <c r="T14" s="165"/>
      <c r="U14" s="165"/>
    </row>
    <row r="15" spans="1:27" hidden="1">
      <c r="A15" s="262" t="s">
        <v>154</v>
      </c>
      <c r="B15" s="114">
        <v>6</v>
      </c>
      <c r="C15" s="114">
        <v>6</v>
      </c>
      <c r="D15" s="114">
        <v>6</v>
      </c>
      <c r="E15" s="114">
        <v>6</v>
      </c>
      <c r="F15" s="114">
        <v>16</v>
      </c>
      <c r="G15" s="114">
        <v>32</v>
      </c>
      <c r="H15" s="114">
        <v>32</v>
      </c>
      <c r="I15" s="114">
        <v>35</v>
      </c>
      <c r="J15" s="114">
        <v>44</v>
      </c>
      <c r="K15" s="114">
        <v>46</v>
      </c>
      <c r="L15" s="66">
        <v>150</v>
      </c>
      <c r="M15" s="103">
        <v>122</v>
      </c>
      <c r="N15" s="103">
        <v>132</v>
      </c>
      <c r="O15" s="165"/>
      <c r="P15" s="165"/>
      <c r="Q15" s="165"/>
      <c r="R15" s="165"/>
      <c r="S15" s="165"/>
      <c r="T15" s="165"/>
      <c r="U15" s="165"/>
    </row>
    <row r="16" spans="1:27" hidden="1">
      <c r="A16" s="262" t="s">
        <v>155</v>
      </c>
      <c r="B16" s="114">
        <v>88</v>
      </c>
      <c r="C16" s="114">
        <v>87</v>
      </c>
      <c r="D16" s="114">
        <v>107</v>
      </c>
      <c r="E16" s="114">
        <v>118</v>
      </c>
      <c r="F16" s="114">
        <v>138</v>
      </c>
      <c r="G16" s="114">
        <v>139</v>
      </c>
      <c r="H16" s="114">
        <v>147</v>
      </c>
      <c r="I16" s="114">
        <v>156</v>
      </c>
      <c r="J16" s="114">
        <v>157</v>
      </c>
      <c r="K16" s="114">
        <v>161</v>
      </c>
      <c r="L16" s="66">
        <v>186</v>
      </c>
      <c r="M16" s="103">
        <v>167</v>
      </c>
      <c r="N16" s="103">
        <v>168</v>
      </c>
      <c r="O16" s="165"/>
      <c r="P16" s="165"/>
      <c r="Q16" s="165"/>
      <c r="R16" s="165"/>
      <c r="S16" s="165"/>
      <c r="T16" s="165"/>
      <c r="U16" s="165"/>
    </row>
    <row r="17" spans="1:21" hidden="1">
      <c r="A17" s="262" t="s">
        <v>128</v>
      </c>
      <c r="B17" s="114">
        <v>67</v>
      </c>
      <c r="C17" s="114">
        <v>68</v>
      </c>
      <c r="D17" s="114">
        <v>74</v>
      </c>
      <c r="E17" s="114">
        <v>80</v>
      </c>
      <c r="F17" s="114">
        <v>101</v>
      </c>
      <c r="G17" s="114">
        <v>179</v>
      </c>
      <c r="H17" s="114">
        <v>183</v>
      </c>
      <c r="I17" s="114">
        <v>181</v>
      </c>
      <c r="J17" s="114">
        <v>183</v>
      </c>
      <c r="K17" s="114">
        <v>186</v>
      </c>
      <c r="L17" s="66">
        <v>188</v>
      </c>
      <c r="M17" s="103">
        <v>193</v>
      </c>
      <c r="N17" s="103">
        <v>192</v>
      </c>
      <c r="O17" s="165"/>
      <c r="P17" s="165"/>
      <c r="Q17" s="165"/>
      <c r="R17" s="165"/>
      <c r="S17" s="165"/>
      <c r="T17" s="165"/>
      <c r="U17" s="165"/>
    </row>
    <row r="18" spans="1:21" hidden="1">
      <c r="A18" s="262" t="s">
        <v>130</v>
      </c>
      <c r="B18" s="114">
        <v>15</v>
      </c>
      <c r="C18" s="114">
        <v>15</v>
      </c>
      <c r="D18" s="114">
        <v>17</v>
      </c>
      <c r="E18" s="114">
        <v>19</v>
      </c>
      <c r="F18" s="114">
        <v>30</v>
      </c>
      <c r="G18" s="114">
        <v>30</v>
      </c>
      <c r="H18" s="114">
        <v>30</v>
      </c>
      <c r="I18" s="114">
        <v>38</v>
      </c>
      <c r="J18" s="114">
        <v>36</v>
      </c>
      <c r="K18" s="114">
        <v>39</v>
      </c>
      <c r="L18" s="66">
        <v>38</v>
      </c>
      <c r="M18" s="103">
        <v>82</v>
      </c>
      <c r="N18" s="103">
        <v>88</v>
      </c>
      <c r="O18" s="165"/>
      <c r="P18" s="165"/>
      <c r="Q18" s="165"/>
      <c r="R18" s="165"/>
      <c r="S18" s="165"/>
      <c r="T18" s="165"/>
      <c r="U18" s="165"/>
    </row>
    <row r="19" spans="1:21" hidden="1">
      <c r="A19" s="262" t="s">
        <v>129</v>
      </c>
      <c r="B19" s="114">
        <v>38</v>
      </c>
      <c r="C19" s="114">
        <v>39</v>
      </c>
      <c r="D19" s="114">
        <v>41</v>
      </c>
      <c r="E19" s="114">
        <v>43</v>
      </c>
      <c r="F19" s="114">
        <v>60</v>
      </c>
      <c r="G19" s="114">
        <v>60</v>
      </c>
      <c r="H19" s="114">
        <v>65</v>
      </c>
      <c r="I19" s="114">
        <v>78</v>
      </c>
      <c r="J19" s="114">
        <v>205</v>
      </c>
      <c r="K19" s="114">
        <v>220</v>
      </c>
      <c r="L19" s="66">
        <v>249</v>
      </c>
      <c r="M19" s="103">
        <v>256</v>
      </c>
      <c r="N19" s="103">
        <v>257</v>
      </c>
      <c r="O19" s="165"/>
      <c r="P19" s="165"/>
      <c r="Q19" s="165"/>
      <c r="R19" s="165"/>
      <c r="S19" s="165"/>
      <c r="T19" s="165"/>
      <c r="U19" s="165"/>
    </row>
    <row r="20" spans="1:21" s="32" customFormat="1" hidden="1">
      <c r="A20" s="262" t="s">
        <v>156</v>
      </c>
      <c r="B20" s="114">
        <v>35</v>
      </c>
      <c r="C20" s="114">
        <v>34</v>
      </c>
      <c r="D20" s="114">
        <v>88</v>
      </c>
      <c r="E20" s="114">
        <v>86</v>
      </c>
      <c r="F20" s="114">
        <v>94</v>
      </c>
      <c r="G20" s="114">
        <v>94</v>
      </c>
      <c r="H20" s="114">
        <v>96</v>
      </c>
      <c r="I20" s="114">
        <v>96</v>
      </c>
      <c r="J20" s="114">
        <v>95</v>
      </c>
      <c r="K20" s="114">
        <v>92</v>
      </c>
      <c r="L20" s="66">
        <v>107</v>
      </c>
      <c r="M20" s="103">
        <v>105</v>
      </c>
      <c r="N20" s="103">
        <v>109</v>
      </c>
      <c r="O20" s="165"/>
      <c r="P20" s="165"/>
      <c r="Q20" s="165"/>
      <c r="R20" s="165"/>
      <c r="S20" s="165"/>
      <c r="T20" s="165"/>
      <c r="U20" s="165"/>
    </row>
    <row r="21" spans="1:21" hidden="1">
      <c r="A21" s="262" t="s">
        <v>131</v>
      </c>
      <c r="B21" s="114">
        <v>57</v>
      </c>
      <c r="C21" s="114">
        <v>60</v>
      </c>
      <c r="D21" s="114">
        <v>66</v>
      </c>
      <c r="E21" s="114">
        <v>71</v>
      </c>
      <c r="F21" s="114">
        <v>79</v>
      </c>
      <c r="G21" s="114">
        <v>119</v>
      </c>
      <c r="H21" s="114">
        <v>146</v>
      </c>
      <c r="I21" s="114">
        <v>142</v>
      </c>
      <c r="J21" s="114">
        <v>142</v>
      </c>
      <c r="K21" s="114">
        <v>143</v>
      </c>
      <c r="L21" s="66">
        <v>161</v>
      </c>
      <c r="M21" s="103">
        <v>160</v>
      </c>
      <c r="N21" s="103">
        <v>159</v>
      </c>
      <c r="O21" s="165"/>
      <c r="P21" s="165"/>
      <c r="Q21" s="165"/>
      <c r="R21" s="165"/>
      <c r="S21" s="165"/>
      <c r="T21" s="165"/>
      <c r="U21" s="165"/>
    </row>
    <row r="22" spans="1:21" hidden="1">
      <c r="A22" s="262" t="s">
        <v>132</v>
      </c>
      <c r="B22" s="114">
        <v>59</v>
      </c>
      <c r="C22" s="114">
        <v>60</v>
      </c>
      <c r="D22" s="114">
        <v>70</v>
      </c>
      <c r="E22" s="114">
        <v>70</v>
      </c>
      <c r="F22" s="114">
        <v>80</v>
      </c>
      <c r="G22" s="114">
        <v>82</v>
      </c>
      <c r="H22" s="114">
        <v>87</v>
      </c>
      <c r="I22" s="114">
        <v>101</v>
      </c>
      <c r="J22" s="114">
        <v>102</v>
      </c>
      <c r="K22" s="114">
        <v>103</v>
      </c>
      <c r="L22" s="66">
        <v>105</v>
      </c>
      <c r="M22" s="103">
        <v>221</v>
      </c>
      <c r="N22" s="103">
        <v>238</v>
      </c>
      <c r="O22" s="165"/>
      <c r="P22" s="165"/>
      <c r="Q22" s="165"/>
      <c r="R22" s="165"/>
      <c r="S22" s="165"/>
      <c r="T22" s="165"/>
      <c r="U22" s="165"/>
    </row>
    <row r="23" spans="1:21" hidden="1">
      <c r="A23" s="262" t="s">
        <v>133</v>
      </c>
      <c r="B23" s="114">
        <v>73</v>
      </c>
      <c r="C23" s="114">
        <v>74</v>
      </c>
      <c r="D23" s="114">
        <v>94</v>
      </c>
      <c r="E23" s="114">
        <v>142</v>
      </c>
      <c r="F23" s="114">
        <v>155</v>
      </c>
      <c r="G23" s="114">
        <v>162</v>
      </c>
      <c r="H23" s="114">
        <v>174</v>
      </c>
      <c r="I23" s="114">
        <v>171</v>
      </c>
      <c r="J23" s="114">
        <v>187</v>
      </c>
      <c r="K23" s="114">
        <v>192</v>
      </c>
      <c r="L23" s="66">
        <v>218</v>
      </c>
      <c r="M23" s="103">
        <v>219</v>
      </c>
      <c r="N23" s="103">
        <v>224</v>
      </c>
      <c r="O23" s="165"/>
      <c r="P23" s="165"/>
      <c r="Q23" s="165"/>
      <c r="R23" s="165"/>
      <c r="S23" s="165"/>
      <c r="T23" s="165"/>
      <c r="U23" s="165"/>
    </row>
    <row r="24" spans="1:21" hidden="1">
      <c r="A24" s="262" t="s">
        <v>134</v>
      </c>
      <c r="B24" s="114">
        <v>66</v>
      </c>
      <c r="C24" s="114">
        <v>67</v>
      </c>
      <c r="D24" s="114">
        <v>71</v>
      </c>
      <c r="E24" s="114">
        <v>77</v>
      </c>
      <c r="F24" s="114">
        <v>95</v>
      </c>
      <c r="G24" s="114">
        <v>180</v>
      </c>
      <c r="H24" s="114">
        <v>187</v>
      </c>
      <c r="I24" s="114">
        <v>182</v>
      </c>
      <c r="J24" s="114">
        <v>189</v>
      </c>
      <c r="K24" s="114">
        <v>188</v>
      </c>
      <c r="L24" s="66">
        <v>205</v>
      </c>
      <c r="M24" s="103">
        <v>202</v>
      </c>
      <c r="N24" s="103">
        <v>210</v>
      </c>
      <c r="O24" s="165"/>
      <c r="P24" s="165"/>
      <c r="Q24" s="165"/>
      <c r="R24" s="165"/>
      <c r="S24" s="165"/>
      <c r="T24" s="165"/>
      <c r="U24" s="165"/>
    </row>
    <row r="25" spans="1:21" hidden="1">
      <c r="A25" s="262" t="s">
        <v>145</v>
      </c>
      <c r="B25" s="114">
        <v>528</v>
      </c>
      <c r="C25" s="114">
        <v>545</v>
      </c>
      <c r="D25" s="114">
        <v>590</v>
      </c>
      <c r="E25" s="114">
        <v>609</v>
      </c>
      <c r="F25" s="114">
        <v>645</v>
      </c>
      <c r="G25" s="114">
        <v>642</v>
      </c>
      <c r="H25" s="114">
        <v>754</v>
      </c>
      <c r="I25" s="114">
        <v>779</v>
      </c>
      <c r="J25" s="114">
        <v>773</v>
      </c>
      <c r="K25" s="114">
        <v>812</v>
      </c>
      <c r="L25" s="66">
        <v>853</v>
      </c>
      <c r="M25" s="103">
        <v>801</v>
      </c>
      <c r="N25" s="103">
        <v>813</v>
      </c>
      <c r="O25" s="165"/>
      <c r="P25" s="165"/>
      <c r="Q25" s="165"/>
      <c r="R25" s="165"/>
      <c r="S25" s="165"/>
      <c r="T25" s="165"/>
      <c r="U25" s="165"/>
    </row>
    <row r="26" spans="1:21" ht="13.5" hidden="1">
      <c r="A26" s="262" t="s">
        <v>157</v>
      </c>
      <c r="B26" s="117" t="s">
        <v>117</v>
      </c>
      <c r="C26" s="113" t="s">
        <v>117</v>
      </c>
      <c r="D26" s="113">
        <v>0</v>
      </c>
      <c r="E26" s="113">
        <v>0</v>
      </c>
      <c r="F26" s="114">
        <v>55</v>
      </c>
      <c r="G26" s="114">
        <v>55</v>
      </c>
      <c r="H26" s="114">
        <v>73</v>
      </c>
      <c r="I26" s="114">
        <v>84</v>
      </c>
      <c r="J26" s="114">
        <v>91</v>
      </c>
      <c r="K26" s="114">
        <v>95</v>
      </c>
      <c r="L26" s="66">
        <v>122</v>
      </c>
      <c r="M26" s="103">
        <v>104</v>
      </c>
      <c r="N26" s="103">
        <v>115</v>
      </c>
      <c r="O26" s="165"/>
      <c r="P26" s="165"/>
      <c r="Q26" s="165"/>
      <c r="R26" s="165"/>
      <c r="S26" s="165"/>
      <c r="T26" s="165"/>
      <c r="U26" s="165"/>
    </row>
    <row r="27" spans="1:21" hidden="1">
      <c r="A27" s="262" t="s">
        <v>158</v>
      </c>
      <c r="B27" s="114">
        <v>24</v>
      </c>
      <c r="C27" s="114">
        <v>24</v>
      </c>
      <c r="D27" s="114">
        <v>24</v>
      </c>
      <c r="E27" s="114">
        <v>24</v>
      </c>
      <c r="F27" s="113">
        <v>0</v>
      </c>
      <c r="G27" s="113">
        <v>0</v>
      </c>
      <c r="H27" s="113">
        <v>0</v>
      </c>
      <c r="I27" s="113">
        <v>0</v>
      </c>
      <c r="J27" s="113" t="s">
        <v>97</v>
      </c>
      <c r="K27" s="113" t="s">
        <v>97</v>
      </c>
      <c r="L27" s="127" t="s">
        <v>97</v>
      </c>
      <c r="M27" s="165" t="s">
        <v>97</v>
      </c>
      <c r="N27" s="165" t="s">
        <v>97</v>
      </c>
      <c r="O27" s="165"/>
      <c r="P27" s="165"/>
      <c r="Q27" s="165"/>
      <c r="R27" s="165"/>
      <c r="S27" s="165"/>
      <c r="T27" s="165"/>
      <c r="U27" s="165"/>
    </row>
    <row r="28" spans="1:21" hidden="1">
      <c r="A28" s="262" t="s">
        <v>135</v>
      </c>
      <c r="B28" s="114">
        <v>23</v>
      </c>
      <c r="C28" s="114">
        <v>23</v>
      </c>
      <c r="D28" s="114">
        <v>28</v>
      </c>
      <c r="E28" s="114">
        <v>32</v>
      </c>
      <c r="F28" s="114">
        <v>47</v>
      </c>
      <c r="G28" s="114">
        <v>49</v>
      </c>
      <c r="H28" s="114">
        <v>48</v>
      </c>
      <c r="I28" s="114">
        <v>58</v>
      </c>
      <c r="J28" s="114">
        <v>146</v>
      </c>
      <c r="K28" s="114">
        <v>157</v>
      </c>
      <c r="L28" s="66">
        <v>179</v>
      </c>
      <c r="M28" s="103">
        <v>178</v>
      </c>
      <c r="N28" s="103">
        <v>177</v>
      </c>
      <c r="O28" s="165"/>
      <c r="P28" s="165"/>
      <c r="Q28" s="165"/>
      <c r="R28" s="165"/>
      <c r="S28" s="165"/>
      <c r="T28" s="165"/>
      <c r="U28" s="165"/>
    </row>
    <row r="29" spans="1:21" hidden="1">
      <c r="A29" s="262" t="s">
        <v>136</v>
      </c>
      <c r="B29" s="114">
        <v>11</v>
      </c>
      <c r="C29" s="114">
        <v>11</v>
      </c>
      <c r="D29" s="114">
        <v>16</v>
      </c>
      <c r="E29" s="114">
        <v>18</v>
      </c>
      <c r="F29" s="114">
        <v>26</v>
      </c>
      <c r="G29" s="114">
        <v>49</v>
      </c>
      <c r="H29" s="114">
        <v>50</v>
      </c>
      <c r="I29" s="114">
        <v>49</v>
      </c>
      <c r="J29" s="114">
        <v>47</v>
      </c>
      <c r="K29" s="114">
        <v>52</v>
      </c>
      <c r="L29" s="66">
        <v>53</v>
      </c>
      <c r="M29" s="103">
        <v>72</v>
      </c>
      <c r="N29" s="103">
        <v>75</v>
      </c>
      <c r="O29" s="165"/>
      <c r="P29" s="165"/>
      <c r="Q29" s="165"/>
      <c r="R29" s="165"/>
      <c r="S29" s="165"/>
      <c r="T29" s="165"/>
      <c r="U29" s="165"/>
    </row>
    <row r="30" spans="1:21" hidden="1">
      <c r="A30" s="262" t="s">
        <v>137</v>
      </c>
      <c r="B30" s="114">
        <v>11</v>
      </c>
      <c r="C30" s="114">
        <v>12</v>
      </c>
      <c r="D30" s="114">
        <v>16</v>
      </c>
      <c r="E30" s="114">
        <v>21</v>
      </c>
      <c r="F30" s="114">
        <v>68</v>
      </c>
      <c r="G30" s="114">
        <v>68</v>
      </c>
      <c r="H30" s="114">
        <v>76</v>
      </c>
      <c r="I30" s="114">
        <v>76</v>
      </c>
      <c r="J30" s="114">
        <v>77</v>
      </c>
      <c r="K30" s="114">
        <v>76</v>
      </c>
      <c r="L30" s="66">
        <v>92</v>
      </c>
      <c r="M30" s="103">
        <v>84</v>
      </c>
      <c r="N30" s="103">
        <v>83</v>
      </c>
      <c r="O30" s="165"/>
      <c r="P30" s="165"/>
      <c r="Q30" s="165"/>
      <c r="R30" s="165"/>
      <c r="S30" s="165"/>
      <c r="T30" s="165"/>
      <c r="U30" s="165"/>
    </row>
    <row r="31" spans="1:21" hidden="1">
      <c r="A31" s="262" t="s">
        <v>138</v>
      </c>
      <c r="B31" s="114">
        <v>9</v>
      </c>
      <c r="C31" s="114">
        <v>9</v>
      </c>
      <c r="D31" s="114">
        <v>12</v>
      </c>
      <c r="E31" s="114">
        <v>13</v>
      </c>
      <c r="F31" s="114">
        <v>15</v>
      </c>
      <c r="G31" s="114">
        <v>16</v>
      </c>
      <c r="H31" s="114">
        <v>17</v>
      </c>
      <c r="I31" s="114">
        <v>26</v>
      </c>
      <c r="J31" s="114">
        <v>63</v>
      </c>
      <c r="K31" s="114">
        <v>67</v>
      </c>
      <c r="L31" s="66">
        <v>59</v>
      </c>
      <c r="M31" s="103">
        <v>68</v>
      </c>
      <c r="N31" s="103">
        <v>77</v>
      </c>
      <c r="O31" s="165"/>
      <c r="P31" s="165"/>
      <c r="Q31" s="165"/>
      <c r="R31" s="165"/>
      <c r="S31" s="165"/>
      <c r="T31" s="165"/>
      <c r="U31" s="165"/>
    </row>
    <row r="32" spans="1:21" hidden="1">
      <c r="A32" s="262" t="s">
        <v>139</v>
      </c>
      <c r="B32" s="114">
        <v>56</v>
      </c>
      <c r="C32" s="114">
        <v>59</v>
      </c>
      <c r="D32" s="114">
        <v>68</v>
      </c>
      <c r="E32" s="114">
        <v>70</v>
      </c>
      <c r="F32" s="114">
        <v>88</v>
      </c>
      <c r="G32" s="114">
        <v>184</v>
      </c>
      <c r="H32" s="114">
        <v>188</v>
      </c>
      <c r="I32" s="114">
        <v>129</v>
      </c>
      <c r="J32" s="114">
        <v>140</v>
      </c>
      <c r="K32" s="114">
        <v>139</v>
      </c>
      <c r="L32" s="66">
        <v>156</v>
      </c>
      <c r="M32" s="103">
        <v>154</v>
      </c>
      <c r="N32" s="103">
        <v>152</v>
      </c>
      <c r="O32" s="165"/>
      <c r="P32" s="165"/>
      <c r="Q32" s="165"/>
      <c r="R32" s="165"/>
      <c r="S32" s="165"/>
      <c r="T32" s="165"/>
      <c r="U32" s="165"/>
    </row>
    <row r="33" spans="1:21" s="158" customFormat="1" ht="26.1" customHeight="1">
      <c r="A33" s="262" t="s">
        <v>4</v>
      </c>
      <c r="B33" s="114">
        <v>53</v>
      </c>
      <c r="C33" s="114">
        <v>54</v>
      </c>
      <c r="D33" s="114">
        <v>64</v>
      </c>
      <c r="E33" s="114">
        <v>65</v>
      </c>
      <c r="F33" s="114">
        <v>78</v>
      </c>
      <c r="G33" s="114">
        <v>165</v>
      </c>
      <c r="H33" s="114">
        <v>170</v>
      </c>
      <c r="I33" s="114">
        <v>165</v>
      </c>
      <c r="J33" s="114">
        <v>171</v>
      </c>
      <c r="K33" s="114">
        <v>173</v>
      </c>
      <c r="L33" s="66">
        <v>205</v>
      </c>
      <c r="M33" s="103">
        <v>197</v>
      </c>
      <c r="N33" s="103">
        <v>197</v>
      </c>
      <c r="O33" s="165">
        <v>200</v>
      </c>
      <c r="P33" s="165">
        <v>199</v>
      </c>
      <c r="Q33" s="165">
        <v>212</v>
      </c>
      <c r="R33" s="165">
        <v>208</v>
      </c>
      <c r="S33" s="165">
        <v>211</v>
      </c>
      <c r="T33" s="165">
        <v>210</v>
      </c>
      <c r="U33" s="165">
        <v>213</v>
      </c>
    </row>
    <row r="34" spans="1:21" hidden="1">
      <c r="A34" s="262" t="s">
        <v>140</v>
      </c>
      <c r="B34" s="114">
        <v>34</v>
      </c>
      <c r="C34" s="114">
        <v>35</v>
      </c>
      <c r="D34" s="114">
        <v>46</v>
      </c>
      <c r="E34" s="114">
        <v>48</v>
      </c>
      <c r="F34" s="114">
        <v>60</v>
      </c>
      <c r="G34" s="114">
        <v>62</v>
      </c>
      <c r="H34" s="114">
        <v>217</v>
      </c>
      <c r="I34" s="114">
        <v>211</v>
      </c>
      <c r="J34" s="114">
        <v>205</v>
      </c>
      <c r="K34" s="114">
        <v>207</v>
      </c>
      <c r="L34" s="66">
        <v>213</v>
      </c>
      <c r="M34" s="103">
        <v>213</v>
      </c>
      <c r="N34" s="103">
        <v>207</v>
      </c>
      <c r="O34" s="165"/>
      <c r="T34" s="97"/>
      <c r="U34" s="97"/>
    </row>
    <row r="35" spans="1:21" hidden="1">
      <c r="A35" s="262" t="s">
        <v>159</v>
      </c>
      <c r="B35" s="114">
        <v>30</v>
      </c>
      <c r="C35" s="114">
        <v>30</v>
      </c>
      <c r="D35" s="114">
        <v>38</v>
      </c>
      <c r="E35" s="114">
        <v>40</v>
      </c>
      <c r="F35" s="114">
        <v>48</v>
      </c>
      <c r="G35" s="114">
        <v>50</v>
      </c>
      <c r="H35" s="114">
        <v>50</v>
      </c>
      <c r="I35" s="114">
        <v>56</v>
      </c>
      <c r="J35" s="114">
        <v>178</v>
      </c>
      <c r="K35" s="114">
        <v>180</v>
      </c>
      <c r="L35" s="66">
        <v>189</v>
      </c>
      <c r="M35" s="103">
        <v>185</v>
      </c>
      <c r="N35" s="103">
        <v>184</v>
      </c>
      <c r="O35" s="165"/>
      <c r="T35" s="97"/>
      <c r="U35" s="97"/>
    </row>
    <row r="36" spans="1:21" ht="13.5" hidden="1">
      <c r="A36" s="262" t="s">
        <v>160</v>
      </c>
      <c r="B36" s="117" t="s">
        <v>117</v>
      </c>
      <c r="C36" s="113" t="s">
        <v>117</v>
      </c>
      <c r="D36" s="113">
        <v>0</v>
      </c>
      <c r="E36" s="113">
        <v>0</v>
      </c>
      <c r="F36" s="113">
        <v>0</v>
      </c>
      <c r="G36" s="113">
        <v>0</v>
      </c>
      <c r="H36" s="113">
        <v>0</v>
      </c>
      <c r="I36" s="114">
        <v>57</v>
      </c>
      <c r="J36" s="114">
        <v>57</v>
      </c>
      <c r="K36" s="114">
        <v>56</v>
      </c>
      <c r="L36" s="66">
        <v>75</v>
      </c>
      <c r="M36" s="103">
        <v>64</v>
      </c>
      <c r="N36" s="103">
        <v>65</v>
      </c>
      <c r="O36" s="165"/>
      <c r="T36" s="97"/>
      <c r="U36" s="97"/>
    </row>
    <row r="37" spans="1:21" hidden="1">
      <c r="A37" s="262" t="s">
        <v>141</v>
      </c>
      <c r="B37" s="114">
        <v>25</v>
      </c>
      <c r="C37" s="114">
        <v>25</v>
      </c>
      <c r="D37" s="114">
        <v>29</v>
      </c>
      <c r="E37" s="114">
        <v>30</v>
      </c>
      <c r="F37" s="114">
        <v>70</v>
      </c>
      <c r="G37" s="114">
        <v>71</v>
      </c>
      <c r="H37" s="114">
        <v>72</v>
      </c>
      <c r="I37" s="114">
        <v>70</v>
      </c>
      <c r="J37" s="114">
        <v>73</v>
      </c>
      <c r="K37" s="114">
        <v>71</v>
      </c>
      <c r="L37" s="66">
        <v>90</v>
      </c>
      <c r="M37" s="103">
        <v>84</v>
      </c>
      <c r="N37" s="103">
        <v>84</v>
      </c>
      <c r="O37" s="165"/>
      <c r="T37" s="97"/>
      <c r="U37" s="97"/>
    </row>
    <row r="38" spans="1:21" hidden="1">
      <c r="A38" s="262" t="s">
        <v>142</v>
      </c>
      <c r="B38" s="114">
        <v>12</v>
      </c>
      <c r="C38" s="114">
        <v>13</v>
      </c>
      <c r="D38" s="114">
        <v>17</v>
      </c>
      <c r="E38" s="114">
        <v>19</v>
      </c>
      <c r="F38" s="114">
        <v>24</v>
      </c>
      <c r="G38" s="114">
        <v>51</v>
      </c>
      <c r="H38" s="114">
        <v>57</v>
      </c>
      <c r="I38" s="114">
        <v>56</v>
      </c>
      <c r="J38" s="114">
        <v>54</v>
      </c>
      <c r="K38" s="114">
        <v>57</v>
      </c>
      <c r="L38" s="66">
        <v>56</v>
      </c>
      <c r="M38" s="103">
        <v>74</v>
      </c>
      <c r="N38" s="103">
        <v>73</v>
      </c>
      <c r="O38" s="165"/>
      <c r="T38" s="97"/>
      <c r="U38" s="97"/>
    </row>
    <row r="39" spans="1:21" hidden="1">
      <c r="A39" s="262" t="s">
        <v>143</v>
      </c>
      <c r="B39" s="114">
        <v>23</v>
      </c>
      <c r="C39" s="114">
        <v>23</v>
      </c>
      <c r="D39" s="114">
        <v>26</v>
      </c>
      <c r="E39" s="114">
        <v>30</v>
      </c>
      <c r="F39" s="114">
        <v>47</v>
      </c>
      <c r="G39" s="114">
        <v>48</v>
      </c>
      <c r="H39" s="114">
        <v>46</v>
      </c>
      <c r="I39" s="114">
        <v>52</v>
      </c>
      <c r="J39" s="114">
        <v>136</v>
      </c>
      <c r="K39" s="114">
        <v>146</v>
      </c>
      <c r="L39" s="66">
        <v>149</v>
      </c>
      <c r="M39" s="103">
        <v>182</v>
      </c>
      <c r="N39" s="103">
        <v>194</v>
      </c>
      <c r="O39" s="165"/>
      <c r="T39" s="97"/>
      <c r="U39" s="97"/>
    </row>
    <row r="40" spans="1:21" hidden="1">
      <c r="A40" s="262" t="s">
        <v>264</v>
      </c>
      <c r="B40" s="114"/>
      <c r="C40" s="113" t="s">
        <v>0</v>
      </c>
      <c r="D40" s="113" t="s">
        <v>0</v>
      </c>
      <c r="E40" s="113" t="s">
        <v>0</v>
      </c>
      <c r="F40" s="113" t="s">
        <v>0</v>
      </c>
      <c r="G40" s="113" t="s">
        <v>0</v>
      </c>
      <c r="H40" s="113" t="s">
        <v>0</v>
      </c>
      <c r="I40" s="113" t="s">
        <v>0</v>
      </c>
      <c r="J40" s="113" t="s">
        <v>0</v>
      </c>
      <c r="K40" s="113" t="s">
        <v>0</v>
      </c>
      <c r="L40" s="113" t="s">
        <v>0</v>
      </c>
      <c r="M40" s="103">
        <v>11</v>
      </c>
      <c r="N40" s="103">
        <v>111</v>
      </c>
      <c r="O40" s="165"/>
      <c r="T40" s="97"/>
      <c r="U40" s="97"/>
    </row>
    <row r="41" spans="1:21" ht="26.1" customHeight="1">
      <c r="A41" s="262" t="s">
        <v>26</v>
      </c>
      <c r="B41" s="114">
        <f>B6-B33</f>
        <v>1619</v>
      </c>
      <c r="C41" s="114">
        <f t="shared" ref="C41:S41" si="0">C6-C33</f>
        <v>1644</v>
      </c>
      <c r="D41" s="114">
        <f t="shared" si="0"/>
        <v>1924</v>
      </c>
      <c r="E41" s="114">
        <f t="shared" si="0"/>
        <v>2071</v>
      </c>
      <c r="F41" s="114">
        <f t="shared" si="0"/>
        <v>2634</v>
      </c>
      <c r="G41" s="114">
        <f t="shared" si="0"/>
        <v>3032</v>
      </c>
      <c r="H41" s="114">
        <f t="shared" si="0"/>
        <v>3697</v>
      </c>
      <c r="I41" s="114">
        <f t="shared" si="0"/>
        <v>3820</v>
      </c>
      <c r="J41" s="114">
        <f t="shared" si="0"/>
        <v>4478</v>
      </c>
      <c r="K41" s="114">
        <f t="shared" si="0"/>
        <v>4579</v>
      </c>
      <c r="L41" s="114">
        <f t="shared" si="0"/>
        <v>5053</v>
      </c>
      <c r="M41" s="339">
        <f t="shared" si="0"/>
        <v>5377</v>
      </c>
      <c r="N41" s="339">
        <f t="shared" si="0"/>
        <v>5591</v>
      </c>
      <c r="O41" s="339">
        <f t="shared" si="0"/>
        <v>5995</v>
      </c>
      <c r="P41" s="339">
        <f t="shared" si="0"/>
        <v>6398</v>
      </c>
      <c r="Q41" s="339">
        <f t="shared" si="0"/>
        <v>6915</v>
      </c>
      <c r="R41" s="339">
        <f t="shared" si="0"/>
        <v>7488</v>
      </c>
      <c r="S41" s="339">
        <f t="shared" si="0"/>
        <v>7817</v>
      </c>
      <c r="T41" s="339">
        <f>T6-T33</f>
        <v>7889</v>
      </c>
      <c r="U41" s="339">
        <f>U6-U33</f>
        <v>8125</v>
      </c>
    </row>
    <row r="42" spans="1:21" ht="5.0999999999999996" customHeight="1">
      <c r="A42" s="275"/>
      <c r="B42" s="116"/>
      <c r="C42" s="116"/>
      <c r="D42" s="116"/>
      <c r="E42" s="116"/>
      <c r="F42" s="116"/>
      <c r="G42" s="116"/>
      <c r="H42" s="116"/>
      <c r="I42" s="116"/>
      <c r="J42" s="116"/>
      <c r="K42" s="116"/>
      <c r="L42" s="116"/>
      <c r="M42" s="634"/>
      <c r="N42" s="634"/>
      <c r="O42" s="771"/>
      <c r="P42" s="771"/>
      <c r="Q42" s="634"/>
      <c r="R42" s="634"/>
      <c r="S42" s="634"/>
      <c r="T42" s="634"/>
      <c r="U42" s="634"/>
    </row>
    <row r="43" spans="1:21" hidden="1">
      <c r="A43" s="118" t="s">
        <v>165</v>
      </c>
      <c r="B43" s="119"/>
      <c r="C43" s="119"/>
      <c r="D43" s="119"/>
      <c r="E43" s="120"/>
      <c r="F43" s="120"/>
      <c r="G43" s="104"/>
      <c r="H43" s="104"/>
      <c r="I43" s="104"/>
      <c r="J43" s="104"/>
      <c r="K43" s="104"/>
      <c r="L43" s="104"/>
      <c r="M43" s="149"/>
      <c r="N43" s="149"/>
      <c r="O43" s="149"/>
      <c r="P43" s="149"/>
      <c r="T43" s="97"/>
    </row>
    <row r="44" spans="1:21" hidden="1">
      <c r="A44" s="104" t="s">
        <v>265</v>
      </c>
      <c r="B44" s="119"/>
      <c r="C44" s="119"/>
      <c r="D44" s="119"/>
      <c r="E44" s="120"/>
      <c r="F44" s="120"/>
      <c r="G44" s="104"/>
      <c r="H44" s="104"/>
      <c r="I44" s="104"/>
      <c r="J44" s="104"/>
      <c r="K44" s="104"/>
      <c r="L44" s="104"/>
      <c r="M44" s="149"/>
      <c r="N44" s="149"/>
      <c r="O44" s="149"/>
      <c r="P44" s="149"/>
      <c r="T44" s="97"/>
    </row>
    <row r="45" spans="1:21" ht="11.1" customHeight="1">
      <c r="A45" s="1232" t="s">
        <v>585</v>
      </c>
      <c r="B45" s="1232"/>
      <c r="C45" s="1232"/>
      <c r="D45" s="1232"/>
      <c r="E45" s="1232"/>
      <c r="F45" s="1232"/>
      <c r="G45" s="1232"/>
      <c r="H45" s="1232"/>
      <c r="I45" s="1232"/>
      <c r="J45" s="1232"/>
      <c r="K45" s="1232"/>
      <c r="L45" s="1232"/>
      <c r="M45" s="1232"/>
      <c r="N45" s="1232"/>
      <c r="O45" s="1232"/>
      <c r="P45" s="1232"/>
      <c r="Q45" s="1232"/>
      <c r="R45" s="1232"/>
      <c r="S45" s="1232"/>
      <c r="T45" s="1232"/>
      <c r="U45" s="1232"/>
    </row>
    <row r="46" spans="1:21" ht="9" customHeight="1">
      <c r="A46" s="1232"/>
      <c r="B46" s="1232"/>
      <c r="C46" s="1232"/>
      <c r="D46" s="1232"/>
      <c r="E46" s="1232"/>
      <c r="F46" s="1232"/>
      <c r="G46" s="1232"/>
      <c r="H46" s="1232"/>
      <c r="I46" s="1232"/>
      <c r="J46" s="1232"/>
      <c r="K46" s="1232"/>
      <c r="L46" s="1232"/>
      <c r="M46" s="1232"/>
      <c r="N46" s="1232"/>
      <c r="O46" s="1232"/>
      <c r="P46" s="1232"/>
      <c r="Q46" s="1232"/>
      <c r="R46" s="1232"/>
      <c r="S46" s="1232"/>
      <c r="T46" s="1232"/>
      <c r="U46" s="1232"/>
    </row>
    <row r="47" spans="1:21" ht="6.75" customHeight="1">
      <c r="A47" s="848"/>
      <c r="T47" s="97"/>
    </row>
    <row r="48" spans="1:21" ht="12.95" customHeight="1">
      <c r="B48" s="95"/>
      <c r="T48" s="97"/>
    </row>
  </sheetData>
  <mergeCells count="3">
    <mergeCell ref="A2:Q2"/>
    <mergeCell ref="A45:U46"/>
    <mergeCell ref="A1:U1"/>
  </mergeCells>
  <phoneticPr fontId="24" type="noConversion"/>
  <pageMargins left="0.78740157480314965" right="0.78740157480314965" top="0.98425196850393704" bottom="0.98425196850393704" header="0.31496062992125984" footer="0"/>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7"/>
  <sheetViews>
    <sheetView showGridLines="0" topLeftCell="A28" zoomScaleNormal="100" zoomScaleSheetLayoutView="130" workbookViewId="0">
      <selection activeCell="A28" sqref="A28:J28"/>
    </sheetView>
  </sheetViews>
  <sheetFormatPr baseColWidth="10" defaultRowHeight="12.75"/>
  <cols>
    <col min="1" max="1" width="28.7109375" customWidth="1"/>
    <col min="2" max="2" width="8.7109375" style="921" customWidth="1"/>
    <col min="3" max="3" width="7.7109375" style="921" customWidth="1"/>
    <col min="4" max="4" width="2.28515625" customWidth="1"/>
    <col min="5" max="5" width="8.7109375" style="921" customWidth="1"/>
    <col min="6" max="6" width="7.7109375" style="921" customWidth="1"/>
    <col min="7" max="7" width="2.28515625" customWidth="1"/>
    <col min="8" max="8" width="7.7109375" style="921" customWidth="1"/>
    <col min="9" max="9" width="8.7109375" style="921" customWidth="1"/>
    <col min="10" max="10" width="1.28515625" customWidth="1"/>
    <col min="11" max="11" width="8.85546875" customWidth="1"/>
    <col min="12" max="12" width="28.7109375" customWidth="1"/>
    <col min="13" max="14" width="11.42578125" customWidth="1"/>
    <col min="15" max="15" width="2.85546875" customWidth="1"/>
    <col min="16" max="16" width="13.5703125" customWidth="1"/>
    <col min="17" max="17" width="14" customWidth="1"/>
    <col min="18" max="18" width="5.42578125" customWidth="1"/>
    <col min="19" max="19" width="8.28515625" customWidth="1"/>
    <col min="20" max="20" width="9" customWidth="1"/>
    <col min="21" max="21" width="7.28515625" customWidth="1"/>
  </cols>
  <sheetData>
    <row r="1" spans="1:21" ht="13.5" hidden="1">
      <c r="A1" s="10" t="s">
        <v>262</v>
      </c>
      <c r="B1" s="77"/>
      <c r="C1" s="77"/>
      <c r="D1" s="10"/>
      <c r="E1" s="927"/>
    </row>
    <row r="2" spans="1:21" ht="12.75" hidden="1" customHeight="1">
      <c r="A2" s="10"/>
      <c r="B2" s="77"/>
      <c r="C2" s="77"/>
      <c r="D2" s="10"/>
      <c r="E2" s="927"/>
    </row>
    <row r="3" spans="1:21" hidden="1">
      <c r="A3" s="150" t="s">
        <v>53</v>
      </c>
      <c r="B3" s="1236" t="s">
        <v>50</v>
      </c>
      <c r="C3" s="1237"/>
      <c r="D3" s="136"/>
      <c r="E3" s="1237" t="s">
        <v>105</v>
      </c>
      <c r="F3" s="1237"/>
      <c r="G3" s="1238"/>
      <c r="H3" s="1237" t="s">
        <v>106</v>
      </c>
      <c r="I3" s="1237"/>
      <c r="J3" s="141"/>
      <c r="K3" s="1237" t="s">
        <v>103</v>
      </c>
      <c r="L3" s="1237"/>
      <c r="M3" s="141"/>
      <c r="N3" s="1237" t="s">
        <v>104</v>
      </c>
      <c r="O3" s="1237"/>
    </row>
    <row r="4" spans="1:21" hidden="1">
      <c r="A4" s="72"/>
      <c r="B4" s="108" t="s">
        <v>197</v>
      </c>
      <c r="C4" s="106" t="s">
        <v>198</v>
      </c>
      <c r="D4" s="107"/>
      <c r="E4" s="106" t="s">
        <v>197</v>
      </c>
      <c r="F4" s="106" t="s">
        <v>198</v>
      </c>
      <c r="G4" s="107"/>
      <c r="H4" s="106" t="s">
        <v>58</v>
      </c>
      <c r="I4" s="106" t="s">
        <v>199</v>
      </c>
      <c r="J4" s="142"/>
      <c r="K4" s="106" t="s">
        <v>58</v>
      </c>
      <c r="L4" s="106" t="s">
        <v>199</v>
      </c>
      <c r="M4" s="107"/>
      <c r="N4" s="106" t="s">
        <v>58</v>
      </c>
      <c r="O4" s="106" t="s">
        <v>199</v>
      </c>
      <c r="P4" s="82"/>
    </row>
    <row r="5" spans="1:21" ht="13.5" hidden="1">
      <c r="A5" s="72">
        <v>2013</v>
      </c>
      <c r="B5" s="77"/>
      <c r="C5" s="77"/>
      <c r="D5" s="30"/>
      <c r="E5" s="77"/>
      <c r="F5" s="77"/>
      <c r="G5" s="30"/>
      <c r="H5" s="77"/>
      <c r="I5" s="77"/>
      <c r="J5" s="30"/>
      <c r="K5" s="32"/>
      <c r="L5" s="32"/>
      <c r="M5" s="32"/>
      <c r="N5" s="32"/>
      <c r="O5" s="32"/>
      <c r="P5" s="32"/>
    </row>
    <row r="6" spans="1:21" ht="12.75" hidden="1" customHeight="1">
      <c r="A6" s="101"/>
      <c r="B6" s="77"/>
      <c r="C6" s="77"/>
      <c r="D6" s="30"/>
      <c r="E6" s="77"/>
      <c r="F6" s="77"/>
      <c r="G6" s="30"/>
      <c r="H6" s="77"/>
      <c r="I6" s="77"/>
      <c r="J6" s="30"/>
      <c r="K6" s="32"/>
      <c r="L6" s="32"/>
      <c r="M6" s="32"/>
      <c r="N6" s="32"/>
      <c r="O6" s="32"/>
      <c r="P6" s="32"/>
    </row>
    <row r="7" spans="1:21" hidden="1">
      <c r="A7" s="72" t="s">
        <v>196</v>
      </c>
      <c r="B7" s="87">
        <v>529</v>
      </c>
      <c r="C7" s="87">
        <v>1</v>
      </c>
      <c r="D7" s="88"/>
      <c r="E7" s="87">
        <v>122</v>
      </c>
      <c r="F7" s="87">
        <v>2</v>
      </c>
      <c r="G7" s="88"/>
      <c r="H7" s="87">
        <v>9</v>
      </c>
      <c r="I7" s="87">
        <v>28</v>
      </c>
      <c r="J7" s="88"/>
      <c r="K7" s="88">
        <v>1</v>
      </c>
      <c r="L7" s="88">
        <v>4</v>
      </c>
      <c r="M7" s="88"/>
      <c r="N7" s="88">
        <v>43</v>
      </c>
      <c r="O7" s="88">
        <v>234</v>
      </c>
      <c r="P7" s="88"/>
    </row>
    <row r="8" spans="1:21" ht="13.5" hidden="1">
      <c r="A8" s="11" t="s">
        <v>193</v>
      </c>
      <c r="B8" s="83">
        <v>289</v>
      </c>
      <c r="C8" s="87" t="s">
        <v>97</v>
      </c>
      <c r="D8" s="88"/>
      <c r="E8" s="83">
        <v>48</v>
      </c>
      <c r="F8" s="83">
        <v>2</v>
      </c>
      <c r="G8" s="81"/>
      <c r="H8" s="80">
        <v>6</v>
      </c>
      <c r="I8" s="29">
        <v>8</v>
      </c>
      <c r="J8" s="86"/>
      <c r="K8" s="73" t="s">
        <v>97</v>
      </c>
      <c r="L8" s="73">
        <v>4</v>
      </c>
      <c r="M8" s="73"/>
      <c r="N8" s="33">
        <v>26</v>
      </c>
      <c r="O8" s="73">
        <v>94</v>
      </c>
      <c r="P8" s="73"/>
    </row>
    <row r="9" spans="1:21" ht="13.5" hidden="1">
      <c r="A9" s="11" t="s">
        <v>194</v>
      </c>
      <c r="B9" s="83">
        <v>236</v>
      </c>
      <c r="C9" s="83">
        <v>1</v>
      </c>
      <c r="D9" s="83"/>
      <c r="E9" s="83">
        <v>74</v>
      </c>
      <c r="F9" s="83" t="s">
        <v>97</v>
      </c>
      <c r="G9" s="81"/>
      <c r="H9" s="80">
        <v>3</v>
      </c>
      <c r="I9" s="29">
        <v>19</v>
      </c>
      <c r="J9" s="86"/>
      <c r="K9" s="31">
        <v>1</v>
      </c>
      <c r="L9" s="73" t="s">
        <v>97</v>
      </c>
      <c r="M9" s="73"/>
      <c r="N9" s="33">
        <v>16</v>
      </c>
      <c r="O9" s="73">
        <v>135</v>
      </c>
      <c r="P9" s="73"/>
    </row>
    <row r="10" spans="1:21" ht="13.5" hidden="1">
      <c r="A10" s="11" t="s">
        <v>195</v>
      </c>
      <c r="B10" s="83">
        <v>4</v>
      </c>
      <c r="C10" s="87" t="s">
        <v>97</v>
      </c>
      <c r="D10" s="87"/>
      <c r="E10" s="87" t="s">
        <v>97</v>
      </c>
      <c r="F10" s="87" t="s">
        <v>97</v>
      </c>
      <c r="G10" s="87"/>
      <c r="H10" s="87" t="s">
        <v>97</v>
      </c>
      <c r="I10" s="29">
        <v>1</v>
      </c>
      <c r="J10" s="86"/>
      <c r="K10" s="87" t="s">
        <v>97</v>
      </c>
      <c r="L10" s="87" t="s">
        <v>97</v>
      </c>
      <c r="M10" s="87"/>
      <c r="N10" s="33">
        <v>1</v>
      </c>
      <c r="O10" s="73">
        <v>5</v>
      </c>
      <c r="P10" s="73"/>
    </row>
    <row r="11" spans="1:21" ht="12.75" hidden="1" customHeight="1">
      <c r="A11" s="84"/>
      <c r="B11" s="919"/>
      <c r="C11" s="919"/>
      <c r="D11" s="62"/>
      <c r="E11" s="919"/>
      <c r="F11" s="919"/>
      <c r="G11" s="78"/>
      <c r="H11" s="928"/>
      <c r="I11" s="928"/>
      <c r="J11" s="79"/>
      <c r="K11" s="79"/>
      <c r="L11" s="79"/>
      <c r="M11" s="79"/>
      <c r="N11" s="79"/>
      <c r="O11" s="79"/>
      <c r="P11" s="31"/>
    </row>
    <row r="12" spans="1:21" ht="12.75" hidden="1" customHeight="1">
      <c r="A12" s="16"/>
      <c r="B12" s="920"/>
      <c r="C12" s="920"/>
      <c r="D12" s="92"/>
      <c r="O12" s="73" t="s">
        <v>121</v>
      </c>
    </row>
    <row r="13" spans="1:21" ht="12.75" hidden="1" customHeight="1"/>
    <row r="14" spans="1:21" ht="13.5" hidden="1">
      <c r="A14" s="10" t="s">
        <v>268</v>
      </c>
      <c r="B14" s="77"/>
      <c r="C14" s="77"/>
      <c r="D14" s="10"/>
      <c r="E14" s="927"/>
    </row>
    <row r="15" spans="1:21" ht="12.75" hidden="1" customHeight="1">
      <c r="A15" s="10"/>
      <c r="B15" s="77"/>
      <c r="C15" s="77"/>
      <c r="D15" s="10"/>
      <c r="E15" s="77"/>
      <c r="F15" s="920"/>
      <c r="G15" s="92"/>
    </row>
    <row r="16" spans="1:21" hidden="1">
      <c r="A16" s="150" t="s">
        <v>53</v>
      </c>
      <c r="B16" s="1236" t="s">
        <v>50</v>
      </c>
      <c r="C16" s="1237"/>
      <c r="D16" s="136"/>
      <c r="E16" s="1237" t="s">
        <v>105</v>
      </c>
      <c r="F16" s="1237"/>
      <c r="G16" s="1238"/>
      <c r="H16" s="1237" t="s">
        <v>106</v>
      </c>
      <c r="I16" s="1237"/>
      <c r="J16" s="141"/>
      <c r="K16" s="1237" t="s">
        <v>103</v>
      </c>
      <c r="L16" s="1237"/>
      <c r="M16" s="141"/>
      <c r="N16" s="1237" t="s">
        <v>104</v>
      </c>
      <c r="O16" s="1237"/>
      <c r="P16" s="126"/>
      <c r="Q16" s="1234"/>
      <c r="R16" s="1234"/>
      <c r="S16" s="1234"/>
      <c r="T16" s="1234"/>
      <c r="U16" s="1234"/>
    </row>
    <row r="17" spans="1:21" ht="12.75" hidden="1" customHeight="1">
      <c r="A17" s="72"/>
      <c r="B17" s="108" t="s">
        <v>197</v>
      </c>
      <c r="C17" s="106" t="s">
        <v>198</v>
      </c>
      <c r="D17" s="107"/>
      <c r="E17" s="106" t="s">
        <v>197</v>
      </c>
      <c r="F17" s="106" t="s">
        <v>198</v>
      </c>
      <c r="G17" s="107"/>
      <c r="H17" s="106" t="s">
        <v>58</v>
      </c>
      <c r="I17" s="106" t="s">
        <v>199</v>
      </c>
      <c r="J17" s="142"/>
      <c r="K17" s="106" t="s">
        <v>58</v>
      </c>
      <c r="L17" s="106" t="s">
        <v>199</v>
      </c>
      <c r="M17" s="107"/>
      <c r="N17" s="106" t="s">
        <v>58</v>
      </c>
      <c r="O17" s="106" t="s">
        <v>199</v>
      </c>
      <c r="P17" s="82"/>
      <c r="Q17" s="1234"/>
      <c r="R17" s="98"/>
      <c r="S17" s="98"/>
      <c r="T17" s="98"/>
      <c r="U17" s="98"/>
    </row>
    <row r="18" spans="1:21" ht="12.75" hidden="1" customHeight="1">
      <c r="A18" s="151"/>
      <c r="B18" s="77"/>
      <c r="C18" s="77"/>
      <c r="D18" s="30"/>
      <c r="E18" s="77"/>
      <c r="F18" s="77"/>
      <c r="G18" s="30"/>
      <c r="H18" s="77"/>
      <c r="I18" s="77"/>
      <c r="J18" s="30"/>
      <c r="K18" s="128"/>
      <c r="L18" s="128"/>
      <c r="M18" s="128"/>
      <c r="N18" s="128"/>
      <c r="O18" s="128"/>
      <c r="P18" s="128"/>
      <c r="Q18" s="96"/>
      <c r="R18" s="94"/>
      <c r="S18" s="94"/>
      <c r="T18" s="94"/>
      <c r="U18" s="94"/>
    </row>
    <row r="19" spans="1:21" ht="13.5" hidden="1">
      <c r="A19" s="72">
        <v>2014</v>
      </c>
      <c r="B19" s="87"/>
      <c r="C19" s="87"/>
      <c r="D19" s="88"/>
      <c r="E19" s="87"/>
      <c r="F19" s="87"/>
      <c r="G19" s="88"/>
      <c r="H19" s="87"/>
      <c r="I19" s="87"/>
      <c r="J19" s="88"/>
      <c r="K19" s="88"/>
      <c r="L19" s="88"/>
      <c r="M19" s="88"/>
      <c r="N19" s="88"/>
      <c r="O19" s="88"/>
      <c r="P19" s="88"/>
      <c r="Q19" s="96"/>
      <c r="R19" s="94"/>
      <c r="S19" s="94"/>
      <c r="T19" s="94"/>
      <c r="U19" s="94"/>
    </row>
    <row r="20" spans="1:21" ht="12.75" hidden="1" customHeight="1">
      <c r="A20" s="101"/>
      <c r="B20" s="87"/>
      <c r="C20" s="83"/>
      <c r="D20" s="83"/>
      <c r="E20" s="83"/>
      <c r="F20" s="81"/>
      <c r="G20" s="81"/>
      <c r="H20" s="80"/>
      <c r="I20" s="86"/>
      <c r="J20" s="86"/>
      <c r="K20" s="129"/>
      <c r="L20" s="73"/>
      <c r="M20" s="73"/>
      <c r="N20" s="9"/>
      <c r="O20" s="73"/>
      <c r="P20" s="73"/>
      <c r="Q20" s="96"/>
      <c r="R20" s="94"/>
      <c r="S20" s="94"/>
      <c r="T20" s="94"/>
      <c r="U20" s="94"/>
    </row>
    <row r="21" spans="1:21" ht="13.5" hidden="1">
      <c r="A21" s="72" t="s">
        <v>196</v>
      </c>
      <c r="B21" s="83">
        <v>415</v>
      </c>
      <c r="C21" s="87" t="s">
        <v>97</v>
      </c>
      <c r="D21" s="83"/>
      <c r="E21" s="83">
        <v>122</v>
      </c>
      <c r="F21" s="81">
        <v>3</v>
      </c>
      <c r="G21" s="81"/>
      <c r="H21" s="80">
        <v>4</v>
      </c>
      <c r="I21" s="86">
        <v>20</v>
      </c>
      <c r="J21" s="86"/>
      <c r="K21" s="129">
        <v>1</v>
      </c>
      <c r="L21" s="73">
        <v>2</v>
      </c>
      <c r="M21" s="73"/>
      <c r="N21" s="9">
        <v>36</v>
      </c>
      <c r="O21" s="73">
        <v>184</v>
      </c>
      <c r="P21" s="73"/>
      <c r="Q21" s="96"/>
      <c r="R21" s="94"/>
      <c r="S21" s="94"/>
      <c r="T21" s="94"/>
      <c r="U21" s="94"/>
    </row>
    <row r="22" spans="1:21" ht="13.5" hidden="1">
      <c r="A22" s="11" t="s">
        <v>193</v>
      </c>
      <c r="B22" s="83">
        <v>293</v>
      </c>
      <c r="C22" s="87" t="s">
        <v>97</v>
      </c>
      <c r="D22" s="83"/>
      <c r="E22" s="83">
        <v>37</v>
      </c>
      <c r="F22" s="81">
        <v>2</v>
      </c>
      <c r="G22" s="81"/>
      <c r="H22" s="932">
        <v>1</v>
      </c>
      <c r="I22" s="86">
        <v>6</v>
      </c>
      <c r="J22" s="86"/>
      <c r="K22" s="129">
        <v>1</v>
      </c>
      <c r="L22" s="73" t="s">
        <v>97</v>
      </c>
      <c r="M22" s="73"/>
      <c r="N22" s="9">
        <v>27</v>
      </c>
      <c r="O22" s="73">
        <v>66</v>
      </c>
      <c r="P22" s="73"/>
      <c r="Q22" s="96"/>
      <c r="R22" s="94"/>
      <c r="S22" s="94"/>
      <c r="T22" s="94"/>
      <c r="U22" s="94"/>
    </row>
    <row r="23" spans="1:21" ht="13.5" hidden="1">
      <c r="A23" s="11" t="s">
        <v>194</v>
      </c>
      <c r="B23" s="83">
        <v>114</v>
      </c>
      <c r="C23" s="87" t="s">
        <v>97</v>
      </c>
      <c r="D23" s="83"/>
      <c r="E23" s="83">
        <v>85</v>
      </c>
      <c r="F23" s="81">
        <v>1</v>
      </c>
      <c r="G23" s="81"/>
      <c r="H23" s="932">
        <v>3</v>
      </c>
      <c r="I23" s="86">
        <v>10</v>
      </c>
      <c r="J23" s="86"/>
      <c r="K23" s="73" t="s">
        <v>97</v>
      </c>
      <c r="L23" s="73">
        <v>2</v>
      </c>
      <c r="M23" s="73"/>
      <c r="N23" s="9">
        <v>9</v>
      </c>
      <c r="O23" s="73">
        <v>107</v>
      </c>
      <c r="P23" s="73"/>
      <c r="Q23" s="96"/>
      <c r="R23" s="94"/>
      <c r="S23" s="94"/>
      <c r="T23" s="94"/>
      <c r="U23" s="94"/>
    </row>
    <row r="24" spans="1:21" ht="13.5" hidden="1">
      <c r="A24" s="11" t="s">
        <v>195</v>
      </c>
      <c r="B24" s="83">
        <v>8</v>
      </c>
      <c r="C24" s="87" t="s">
        <v>97</v>
      </c>
      <c r="D24" s="87"/>
      <c r="E24" s="87" t="s">
        <v>97</v>
      </c>
      <c r="F24" s="87" t="s">
        <v>97</v>
      </c>
      <c r="G24" s="87"/>
      <c r="H24" s="87" t="s">
        <v>97</v>
      </c>
      <c r="I24" s="86">
        <v>4</v>
      </c>
      <c r="J24" s="86"/>
      <c r="K24" s="73" t="s">
        <v>97</v>
      </c>
      <c r="L24" s="73" t="s">
        <v>97</v>
      </c>
      <c r="M24" s="73"/>
      <c r="N24" s="73" t="s">
        <v>97</v>
      </c>
      <c r="O24" s="73">
        <v>11</v>
      </c>
      <c r="P24" s="73"/>
      <c r="Q24" s="96"/>
      <c r="R24" s="94"/>
      <c r="S24" s="94"/>
      <c r="T24" s="94"/>
      <c r="U24" s="94"/>
    </row>
    <row r="25" spans="1:21" ht="12.75" hidden="1" customHeight="1">
      <c r="A25" s="84"/>
      <c r="B25" s="922"/>
      <c r="C25" s="919"/>
      <c r="D25" s="62"/>
      <c r="E25" s="919"/>
      <c r="F25" s="919"/>
      <c r="G25" s="78"/>
      <c r="H25" s="928"/>
      <c r="I25" s="928"/>
      <c r="J25" s="79"/>
      <c r="K25" s="79"/>
      <c r="L25" s="79"/>
      <c r="M25" s="79"/>
      <c r="N25" s="79"/>
      <c r="O25" s="79"/>
      <c r="P25" s="31"/>
      <c r="Q25" s="96"/>
      <c r="R25" s="94"/>
      <c r="S25" s="94"/>
      <c r="T25" s="94"/>
      <c r="U25" s="94"/>
    </row>
    <row r="26" spans="1:21" ht="12.75" hidden="1" customHeight="1">
      <c r="A26" s="16"/>
      <c r="B26" s="920"/>
      <c r="C26" s="920"/>
      <c r="D26" s="92"/>
      <c r="O26" s="73" t="s">
        <v>121</v>
      </c>
      <c r="Q26" s="96"/>
      <c r="R26" s="94"/>
      <c r="S26" s="94"/>
      <c r="T26" s="94"/>
      <c r="U26" s="94"/>
    </row>
    <row r="27" spans="1:21" ht="13.5" hidden="1" customHeight="1">
      <c r="Q27" s="96"/>
      <c r="R27" s="94"/>
      <c r="S27" s="94"/>
      <c r="T27" s="94"/>
      <c r="U27" s="94"/>
    </row>
    <row r="28" spans="1:21" ht="10.5" customHeight="1">
      <c r="A28" s="1137" t="s">
        <v>491</v>
      </c>
      <c r="B28" s="1137"/>
      <c r="C28" s="1137"/>
      <c r="D28" s="1137"/>
      <c r="E28" s="1137"/>
      <c r="F28" s="1137"/>
      <c r="G28" s="1137"/>
      <c r="H28" s="1137"/>
      <c r="I28" s="1137"/>
      <c r="J28" s="1137"/>
      <c r="K28" s="94"/>
      <c r="L28" s="1137" t="str">
        <f>A28</f>
        <v>8.28   PUNO: EXPEDIENTES INGRESADOS EN LAS FISCALÍAS SUPERIORES PENALES, 2018 - 2023</v>
      </c>
      <c r="M28" s="1137"/>
      <c r="N28" s="1137"/>
      <c r="O28" s="1137"/>
      <c r="P28" s="1137"/>
      <c r="Q28" s="1137"/>
      <c r="R28" s="94"/>
      <c r="S28" s="94"/>
      <c r="T28" s="94"/>
      <c r="U28" s="94"/>
    </row>
    <row r="29" spans="1:21" ht="13.5">
      <c r="A29" s="10"/>
      <c r="B29" s="923"/>
      <c r="C29" s="77"/>
      <c r="D29" s="10"/>
      <c r="E29" s="77"/>
      <c r="F29" s="920"/>
      <c r="G29" s="92"/>
      <c r="K29" s="94"/>
      <c r="L29" s="10"/>
      <c r="M29" s="102"/>
      <c r="N29" s="10"/>
      <c r="O29" s="10"/>
      <c r="P29" s="10"/>
      <c r="Q29" s="347" t="s">
        <v>516</v>
      </c>
      <c r="R29" s="94"/>
      <c r="S29" s="94"/>
      <c r="T29" s="94"/>
      <c r="U29" s="94"/>
    </row>
    <row r="30" spans="1:21" ht="14.1" customHeight="1">
      <c r="A30" s="276" t="s">
        <v>53</v>
      </c>
      <c r="B30" s="1235" t="s">
        <v>50</v>
      </c>
      <c r="C30" s="1235"/>
      <c r="D30" s="186"/>
      <c r="E30" s="1235" t="s">
        <v>105</v>
      </c>
      <c r="F30" s="1235"/>
      <c r="G30" s="1217"/>
      <c r="H30" s="1235" t="s">
        <v>106</v>
      </c>
      <c r="I30" s="1235"/>
      <c r="J30" s="186"/>
      <c r="K30" s="94"/>
      <c r="L30" s="276" t="s">
        <v>53</v>
      </c>
      <c r="M30" s="1235" t="s">
        <v>103</v>
      </c>
      <c r="N30" s="1235"/>
      <c r="O30" s="186"/>
      <c r="P30" s="1239" t="s">
        <v>104</v>
      </c>
      <c r="Q30" s="1239"/>
      <c r="R30" s="94"/>
      <c r="S30" s="94"/>
      <c r="T30" s="94"/>
      <c r="U30" s="94"/>
    </row>
    <row r="31" spans="1:21" ht="14.1" customHeight="1">
      <c r="A31" s="277"/>
      <c r="B31" s="924" t="s">
        <v>197</v>
      </c>
      <c r="C31" s="924" t="s">
        <v>198</v>
      </c>
      <c r="D31" s="187"/>
      <c r="E31" s="924" t="s">
        <v>197</v>
      </c>
      <c r="F31" s="924" t="s">
        <v>58</v>
      </c>
      <c r="G31" s="187"/>
      <c r="H31" s="924" t="s">
        <v>58</v>
      </c>
      <c r="I31" s="924" t="s">
        <v>197</v>
      </c>
      <c r="J31" s="187"/>
      <c r="K31" s="94"/>
      <c r="L31" s="277"/>
      <c r="M31" s="924" t="s">
        <v>58</v>
      </c>
      <c r="N31" s="924" t="s">
        <v>197</v>
      </c>
      <c r="O31" s="300"/>
      <c r="P31" s="924" t="s">
        <v>58</v>
      </c>
      <c r="Q31" s="924" t="s">
        <v>197</v>
      </c>
      <c r="R31" s="94"/>
      <c r="S31" s="94"/>
      <c r="T31" s="94"/>
      <c r="U31" s="94"/>
    </row>
    <row r="32" spans="1:21" ht="15.95" hidden="1" customHeight="1">
      <c r="A32" s="278">
        <v>2017</v>
      </c>
      <c r="B32" s="87"/>
      <c r="C32" s="87"/>
      <c r="D32" s="88"/>
      <c r="E32" s="87"/>
      <c r="F32" s="87"/>
      <c r="G32" s="88"/>
      <c r="H32" s="87"/>
      <c r="I32" s="87"/>
      <c r="J32" s="88"/>
      <c r="K32" s="94"/>
      <c r="L32" s="278">
        <v>2017</v>
      </c>
      <c r="M32" s="88"/>
      <c r="N32" s="88"/>
      <c r="O32" s="88"/>
      <c r="P32" s="88"/>
      <c r="Q32" s="88"/>
      <c r="R32" s="815"/>
      <c r="S32" s="816"/>
      <c r="T32" s="94"/>
      <c r="U32" s="94"/>
    </row>
    <row r="33" spans="1:21" ht="18.95" hidden="1" customHeight="1">
      <c r="A33" s="278" t="s">
        <v>196</v>
      </c>
      <c r="B33" s="87">
        <f>SUM(B34:B36)</f>
        <v>663</v>
      </c>
      <c r="C33" s="67" t="s">
        <v>56</v>
      </c>
      <c r="D33" s="83"/>
      <c r="E33" s="67" t="s">
        <v>56</v>
      </c>
      <c r="F33" s="87">
        <f>SUM(F34:F36)</f>
        <v>133</v>
      </c>
      <c r="G33" s="81"/>
      <c r="H33" s="87">
        <f>SUM(H34:H36)</f>
        <v>3</v>
      </c>
      <c r="I33" s="87">
        <f>SUM(I34:I36)</f>
        <v>31</v>
      </c>
      <c r="J33" s="183"/>
      <c r="K33" s="94"/>
      <c r="L33" s="278" t="s">
        <v>196</v>
      </c>
      <c r="M33" s="87">
        <f>SUM(M34:M36)</f>
        <v>2</v>
      </c>
      <c r="N33" s="87">
        <f>SUM(N34:N36)</f>
        <v>6</v>
      </c>
      <c r="O33" s="73"/>
      <c r="P33" s="67" t="s">
        <v>56</v>
      </c>
      <c r="Q33" s="87">
        <f>SUM(Q34:Q36)</f>
        <v>201</v>
      </c>
      <c r="R33" s="94"/>
      <c r="S33" s="94"/>
      <c r="T33" s="94"/>
      <c r="U33" s="94"/>
    </row>
    <row r="34" spans="1:21" ht="18.95" hidden="1" customHeight="1">
      <c r="A34" s="279" t="s">
        <v>193</v>
      </c>
      <c r="B34" s="83">
        <v>231</v>
      </c>
      <c r="C34" s="344" t="s">
        <v>117</v>
      </c>
      <c r="D34" s="83"/>
      <c r="E34" s="67" t="s">
        <v>56</v>
      </c>
      <c r="F34" s="83">
        <v>92</v>
      </c>
      <c r="G34" s="83"/>
      <c r="H34" s="67" t="s">
        <v>56</v>
      </c>
      <c r="I34" s="86">
        <v>15</v>
      </c>
      <c r="J34" s="183"/>
      <c r="K34" s="94"/>
      <c r="L34" s="279" t="s">
        <v>193</v>
      </c>
      <c r="M34" s="344" t="s">
        <v>117</v>
      </c>
      <c r="N34" s="73">
        <v>1</v>
      </c>
      <c r="O34" s="73"/>
      <c r="P34" s="67" t="s">
        <v>56</v>
      </c>
      <c r="Q34" s="73">
        <v>177</v>
      </c>
    </row>
    <row r="35" spans="1:21" ht="18.95" hidden="1" customHeight="1">
      <c r="A35" s="279" t="s">
        <v>194</v>
      </c>
      <c r="B35" s="83">
        <v>13</v>
      </c>
      <c r="C35" s="344" t="s">
        <v>117</v>
      </c>
      <c r="D35" s="83"/>
      <c r="E35" s="67" t="s">
        <v>56</v>
      </c>
      <c r="F35" s="67" t="s">
        <v>56</v>
      </c>
      <c r="G35" s="81"/>
      <c r="H35" s="12">
        <v>1</v>
      </c>
      <c r="I35" s="86">
        <v>5</v>
      </c>
      <c r="J35" s="183"/>
      <c r="K35" s="94"/>
      <c r="L35" s="279" t="s">
        <v>194</v>
      </c>
      <c r="M35" s="67" t="s">
        <v>56</v>
      </c>
      <c r="N35" s="67" t="s">
        <v>56</v>
      </c>
      <c r="O35" s="73"/>
      <c r="P35" s="67" t="s">
        <v>56</v>
      </c>
      <c r="Q35" s="67" t="s">
        <v>56</v>
      </c>
    </row>
    <row r="36" spans="1:21" ht="31.5" hidden="1" customHeight="1">
      <c r="A36" s="635" t="s">
        <v>479</v>
      </c>
      <c r="B36" s="83">
        <v>419</v>
      </c>
      <c r="C36" s="344" t="s">
        <v>117</v>
      </c>
      <c r="D36" s="83"/>
      <c r="E36" s="67" t="s">
        <v>56</v>
      </c>
      <c r="F36" s="83">
        <v>41</v>
      </c>
      <c r="G36" s="83"/>
      <c r="H36" s="83">
        <v>2</v>
      </c>
      <c r="I36" s="83">
        <v>11</v>
      </c>
      <c r="J36" s="179"/>
      <c r="K36" s="94"/>
      <c r="L36" s="635" t="s">
        <v>479</v>
      </c>
      <c r="M36" s="83">
        <v>2</v>
      </c>
      <c r="N36" s="83">
        <v>5</v>
      </c>
      <c r="O36" s="83"/>
      <c r="P36" s="67" t="s">
        <v>56</v>
      </c>
      <c r="Q36" s="83">
        <v>24</v>
      </c>
    </row>
    <row r="37" spans="1:21" s="97" customFormat="1" ht="20.100000000000001" customHeight="1">
      <c r="A37" s="269">
        <v>2018</v>
      </c>
      <c r="B37" s="83"/>
      <c r="C37" s="344"/>
      <c r="D37" s="83"/>
      <c r="E37" s="83"/>
      <c r="F37" s="81"/>
      <c r="G37" s="81"/>
      <c r="H37" s="80"/>
      <c r="I37" s="86"/>
      <c r="J37" s="86"/>
      <c r="K37" s="94"/>
      <c r="L37" s="278">
        <v>2018</v>
      </c>
      <c r="M37" s="87"/>
      <c r="N37" s="87"/>
      <c r="O37" s="87"/>
      <c r="P37" s="87"/>
      <c r="Q37" s="87"/>
    </row>
    <row r="38" spans="1:21" s="97" customFormat="1" ht="18.95" customHeight="1">
      <c r="A38" s="269" t="s">
        <v>196</v>
      </c>
      <c r="B38" s="87">
        <f>SUM(B39:B41)</f>
        <v>497</v>
      </c>
      <c r="C38" s="344" t="s">
        <v>117</v>
      </c>
      <c r="D38" s="83"/>
      <c r="E38" s="87">
        <f>SUM(E39:E41)</f>
        <v>127</v>
      </c>
      <c r="F38" s="67" t="s">
        <v>56</v>
      </c>
      <c r="G38" s="81"/>
      <c r="H38" s="87">
        <f>SUM(H39:H41)</f>
        <v>2</v>
      </c>
      <c r="I38" s="87">
        <f>SUM(I39:I41)</f>
        <v>35</v>
      </c>
      <c r="J38" s="181"/>
      <c r="K38" s="94"/>
      <c r="L38" s="278" t="s">
        <v>196</v>
      </c>
      <c r="M38" s="87">
        <f>SUM(M39:M41)</f>
        <v>1</v>
      </c>
      <c r="N38" s="87">
        <f>SUM(N39:N41)</f>
        <v>17</v>
      </c>
      <c r="O38" s="87"/>
      <c r="P38" s="67" t="s">
        <v>56</v>
      </c>
      <c r="Q38" s="87">
        <f>SUM(Q39:Q41)</f>
        <v>134</v>
      </c>
    </row>
    <row r="39" spans="1:21" s="97" customFormat="1" ht="18.95" customHeight="1">
      <c r="A39" s="271" t="s">
        <v>193</v>
      </c>
      <c r="B39" s="83">
        <v>177</v>
      </c>
      <c r="C39" s="344" t="s">
        <v>117</v>
      </c>
      <c r="D39" s="73"/>
      <c r="E39" s="83">
        <v>79</v>
      </c>
      <c r="F39" s="67" t="s">
        <v>56</v>
      </c>
      <c r="G39" s="83"/>
      <c r="H39" s="344" t="s">
        <v>117</v>
      </c>
      <c r="I39" s="86">
        <v>17</v>
      </c>
      <c r="J39" s="183"/>
      <c r="K39" s="94"/>
      <c r="L39" s="279" t="s">
        <v>193</v>
      </c>
      <c r="M39" s="67" t="s">
        <v>56</v>
      </c>
      <c r="N39" s="83">
        <v>6</v>
      </c>
      <c r="O39" s="83"/>
      <c r="P39" s="67" t="s">
        <v>56</v>
      </c>
      <c r="Q39" s="83">
        <v>119</v>
      </c>
    </row>
    <row r="40" spans="1:21" s="97" customFormat="1" ht="18.95" customHeight="1">
      <c r="A40" s="271" t="s">
        <v>194</v>
      </c>
      <c r="B40" s="344" t="s">
        <v>117</v>
      </c>
      <c r="C40" s="344" t="s">
        <v>117</v>
      </c>
      <c r="D40" s="73"/>
      <c r="E40" s="67" t="s">
        <v>56</v>
      </c>
      <c r="F40" s="67" t="s">
        <v>56</v>
      </c>
      <c r="G40" s="81"/>
      <c r="H40" s="344" t="s">
        <v>117</v>
      </c>
      <c r="I40" s="86">
        <v>2</v>
      </c>
      <c r="J40" s="183"/>
      <c r="K40" s="94"/>
      <c r="L40" s="279" t="s">
        <v>194</v>
      </c>
      <c r="M40" s="67" t="s">
        <v>56</v>
      </c>
      <c r="N40" s="67" t="s">
        <v>56</v>
      </c>
      <c r="O40" s="83"/>
      <c r="P40" s="67" t="s">
        <v>56</v>
      </c>
      <c r="Q40" s="67" t="s">
        <v>56</v>
      </c>
    </row>
    <row r="41" spans="1:21" s="97" customFormat="1" ht="25.5">
      <c r="A41" s="635" t="s">
        <v>479</v>
      </c>
      <c r="B41" s="83">
        <v>320</v>
      </c>
      <c r="C41" s="344" t="s">
        <v>117</v>
      </c>
      <c r="D41" s="73"/>
      <c r="E41" s="83">
        <v>48</v>
      </c>
      <c r="F41" s="67" t="s">
        <v>56</v>
      </c>
      <c r="G41" s="83"/>
      <c r="H41" s="73">
        <v>2</v>
      </c>
      <c r="I41" s="83">
        <v>16</v>
      </c>
      <c r="J41" s="182"/>
      <c r="K41" s="94"/>
      <c r="L41" s="635" t="s">
        <v>479</v>
      </c>
      <c r="M41" s="83">
        <v>1</v>
      </c>
      <c r="N41" s="83">
        <v>11</v>
      </c>
      <c r="O41" s="83"/>
      <c r="P41" s="67" t="s">
        <v>56</v>
      </c>
      <c r="Q41" s="83">
        <v>15</v>
      </c>
    </row>
    <row r="42" spans="1:21" s="97" customFormat="1" ht="20.100000000000001" customHeight="1">
      <c r="A42" s="269">
        <v>2019</v>
      </c>
      <c r="B42" s="456"/>
      <c r="C42" s="456"/>
      <c r="D42" s="73"/>
      <c r="E42" s="87"/>
      <c r="F42" s="87"/>
      <c r="G42" s="83"/>
      <c r="H42" s="87"/>
      <c r="I42" s="87"/>
      <c r="J42" s="182"/>
      <c r="K42" s="94"/>
      <c r="L42" s="278">
        <v>2019</v>
      </c>
      <c r="M42" s="87"/>
      <c r="N42" s="87"/>
      <c r="O42" s="87"/>
      <c r="P42" s="87"/>
      <c r="Q42" s="87"/>
    </row>
    <row r="43" spans="1:21" s="97" customFormat="1" ht="18.95" customHeight="1">
      <c r="A43" s="269" t="s">
        <v>196</v>
      </c>
      <c r="B43" s="87">
        <f>SUM(B44:B46)</f>
        <v>86</v>
      </c>
      <c r="C43" s="344" t="s">
        <v>117</v>
      </c>
      <c r="D43" s="73"/>
      <c r="E43" s="87">
        <f>SUM(E44:E46)</f>
        <v>124</v>
      </c>
      <c r="F43" s="67" t="s">
        <v>56</v>
      </c>
      <c r="G43" s="83"/>
      <c r="H43" s="87">
        <f>SUM(H44:H46)</f>
        <v>6</v>
      </c>
      <c r="I43" s="87">
        <f>SUM(I44:I46)</f>
        <v>36</v>
      </c>
      <c r="J43" s="182"/>
      <c r="K43" s="94"/>
      <c r="L43" s="278" t="s">
        <v>196</v>
      </c>
      <c r="M43" s="87">
        <f>SUM(M44:M46)</f>
        <v>1</v>
      </c>
      <c r="N43" s="87">
        <f>SUM(N44:N46)</f>
        <v>27</v>
      </c>
      <c r="O43" s="87"/>
      <c r="P43" s="87">
        <f>SUM(P44:P46)</f>
        <v>1</v>
      </c>
      <c r="Q43" s="87">
        <f>SUM(Q44:Q46)</f>
        <v>135</v>
      </c>
    </row>
    <row r="44" spans="1:21" s="97" customFormat="1" ht="18.95" customHeight="1">
      <c r="A44" s="271" t="s">
        <v>193</v>
      </c>
      <c r="B44" s="83">
        <v>12</v>
      </c>
      <c r="C44" s="344" t="s">
        <v>117</v>
      </c>
      <c r="D44" s="73"/>
      <c r="E44" s="83">
        <v>76</v>
      </c>
      <c r="F44" s="67" t="s">
        <v>56</v>
      </c>
      <c r="G44" s="83"/>
      <c r="H44" s="73">
        <v>1</v>
      </c>
      <c r="I44" s="83">
        <v>28</v>
      </c>
      <c r="J44" s="182"/>
      <c r="K44" s="94"/>
      <c r="L44" s="279" t="s">
        <v>193</v>
      </c>
      <c r="M44" s="67" t="s">
        <v>56</v>
      </c>
      <c r="N44" s="83">
        <v>11</v>
      </c>
      <c r="O44" s="83"/>
      <c r="P44" s="67" t="s">
        <v>56</v>
      </c>
      <c r="Q44" s="83">
        <v>90</v>
      </c>
    </row>
    <row r="45" spans="1:21" s="97" customFormat="1" ht="18.95" customHeight="1">
      <c r="A45" s="271" t="s">
        <v>194</v>
      </c>
      <c r="B45" s="344" t="s">
        <v>117</v>
      </c>
      <c r="C45" s="344" t="s">
        <v>117</v>
      </c>
      <c r="D45" s="73"/>
      <c r="E45" s="67" t="s">
        <v>56</v>
      </c>
      <c r="F45" s="67" t="s">
        <v>56</v>
      </c>
      <c r="G45" s="83"/>
      <c r="H45" s="67" t="s">
        <v>56</v>
      </c>
      <c r="I45" s="344" t="s">
        <v>117</v>
      </c>
      <c r="J45" s="182"/>
      <c r="K45" s="94"/>
      <c r="L45" s="279" t="s">
        <v>194</v>
      </c>
      <c r="M45" s="67" t="s">
        <v>56</v>
      </c>
      <c r="N45" s="67" t="s">
        <v>56</v>
      </c>
      <c r="O45" s="83"/>
      <c r="P45" s="67" t="s">
        <v>56</v>
      </c>
      <c r="Q45" s="83">
        <v>1</v>
      </c>
    </row>
    <row r="46" spans="1:21" s="97" customFormat="1" ht="31.5" customHeight="1">
      <c r="A46" s="635" t="s">
        <v>479</v>
      </c>
      <c r="B46" s="83">
        <v>74</v>
      </c>
      <c r="C46" s="344" t="s">
        <v>117</v>
      </c>
      <c r="D46" s="73"/>
      <c r="E46" s="83">
        <v>48</v>
      </c>
      <c r="F46" s="67" t="s">
        <v>56</v>
      </c>
      <c r="G46" s="83"/>
      <c r="H46" s="73">
        <v>5</v>
      </c>
      <c r="I46" s="83">
        <v>8</v>
      </c>
      <c r="J46" s="182"/>
      <c r="K46" s="94"/>
      <c r="L46" s="635" t="s">
        <v>479</v>
      </c>
      <c r="M46" s="83">
        <v>1</v>
      </c>
      <c r="N46" s="83">
        <v>16</v>
      </c>
      <c r="O46" s="83"/>
      <c r="P46" s="83">
        <v>1</v>
      </c>
      <c r="Q46" s="83">
        <v>44</v>
      </c>
    </row>
    <row r="47" spans="1:21" s="97" customFormat="1" ht="20.100000000000001" customHeight="1">
      <c r="A47" s="269">
        <v>2020</v>
      </c>
      <c r="B47" s="83"/>
      <c r="C47" s="344"/>
      <c r="D47" s="73"/>
      <c r="E47" s="83"/>
      <c r="F47" s="73"/>
      <c r="G47" s="83"/>
      <c r="H47" s="73"/>
      <c r="I47" s="83"/>
      <c r="J47" s="182"/>
      <c r="K47" s="94"/>
      <c r="L47" s="278">
        <v>2020</v>
      </c>
      <c r="M47" s="87"/>
      <c r="N47" s="87"/>
      <c r="O47" s="87"/>
      <c r="P47" s="87"/>
      <c r="Q47" s="87"/>
    </row>
    <row r="48" spans="1:21" s="97" customFormat="1" ht="18.95" customHeight="1">
      <c r="A48" s="269" t="s">
        <v>196</v>
      </c>
      <c r="B48" s="87">
        <f>SUM(B49:B51)</f>
        <v>1</v>
      </c>
      <c r="C48" s="344" t="s">
        <v>117</v>
      </c>
      <c r="D48" s="73"/>
      <c r="E48" s="87">
        <f>SUM(E49:E51)</f>
        <v>66</v>
      </c>
      <c r="F48" s="67" t="s">
        <v>56</v>
      </c>
      <c r="G48" s="83"/>
      <c r="H48" s="87">
        <f>SUM(H49:H51)</f>
        <v>2</v>
      </c>
      <c r="I48" s="87">
        <f>SUM(I49:I51)</f>
        <v>37</v>
      </c>
      <c r="J48" s="182"/>
      <c r="K48" s="94"/>
      <c r="L48" s="278" t="s">
        <v>196</v>
      </c>
      <c r="M48" s="67" t="s">
        <v>56</v>
      </c>
      <c r="N48" s="87">
        <f>SUM(N49:N51)</f>
        <v>22</v>
      </c>
      <c r="O48" s="87"/>
      <c r="P48" s="87">
        <f>SUM(P49:P51)</f>
        <v>61</v>
      </c>
      <c r="Q48" s="67" t="s">
        <v>56</v>
      </c>
    </row>
    <row r="49" spans="1:17" s="97" customFormat="1" ht="18.95" customHeight="1">
      <c r="A49" s="271" t="s">
        <v>193</v>
      </c>
      <c r="B49" s="344" t="s">
        <v>117</v>
      </c>
      <c r="C49" s="344" t="s">
        <v>117</v>
      </c>
      <c r="D49" s="73"/>
      <c r="E49" s="83">
        <v>51</v>
      </c>
      <c r="F49" s="67" t="s">
        <v>56</v>
      </c>
      <c r="G49" s="83"/>
      <c r="H49" s="73">
        <v>1</v>
      </c>
      <c r="I49" s="83">
        <v>30</v>
      </c>
      <c r="J49" s="182"/>
      <c r="K49" s="94"/>
      <c r="L49" s="279" t="s">
        <v>193</v>
      </c>
      <c r="M49" s="344" t="s">
        <v>117</v>
      </c>
      <c r="N49" s="83">
        <v>6</v>
      </c>
      <c r="O49" s="83"/>
      <c r="P49" s="83">
        <v>38</v>
      </c>
      <c r="Q49" s="67" t="s">
        <v>56</v>
      </c>
    </row>
    <row r="50" spans="1:17" s="97" customFormat="1" ht="18.95" customHeight="1">
      <c r="A50" s="271" t="s">
        <v>194</v>
      </c>
      <c r="B50" s="344" t="s">
        <v>117</v>
      </c>
      <c r="C50" s="344" t="s">
        <v>117</v>
      </c>
      <c r="D50" s="73"/>
      <c r="E50" s="67" t="s">
        <v>56</v>
      </c>
      <c r="F50" s="67" t="s">
        <v>56</v>
      </c>
      <c r="G50" s="83"/>
      <c r="H50" s="344" t="s">
        <v>117</v>
      </c>
      <c r="I50" s="67" t="s">
        <v>56</v>
      </c>
      <c r="J50" s="182"/>
      <c r="K50" s="94"/>
      <c r="L50" s="279" t="s">
        <v>194</v>
      </c>
      <c r="M50" s="344" t="s">
        <v>117</v>
      </c>
      <c r="N50" s="67" t="s">
        <v>56</v>
      </c>
      <c r="O50" s="83"/>
      <c r="P50" s="67" t="s">
        <v>56</v>
      </c>
      <c r="Q50" s="67" t="s">
        <v>56</v>
      </c>
    </row>
    <row r="51" spans="1:17" s="97" customFormat="1" ht="25.5">
      <c r="A51" s="635" t="s">
        <v>479</v>
      </c>
      <c r="B51" s="83">
        <v>1</v>
      </c>
      <c r="C51" s="344" t="s">
        <v>117</v>
      </c>
      <c r="D51" s="73"/>
      <c r="E51" s="83">
        <v>15</v>
      </c>
      <c r="F51" s="67" t="s">
        <v>56</v>
      </c>
      <c r="G51" s="83"/>
      <c r="H51" s="73">
        <v>1</v>
      </c>
      <c r="I51" s="83">
        <v>7</v>
      </c>
      <c r="J51" s="182"/>
      <c r="K51" s="94"/>
      <c r="L51" s="635" t="s">
        <v>479</v>
      </c>
      <c r="M51" s="344" t="s">
        <v>117</v>
      </c>
      <c r="N51" s="83">
        <v>16</v>
      </c>
      <c r="O51" s="83"/>
      <c r="P51" s="83">
        <v>23</v>
      </c>
      <c r="Q51" s="67" t="s">
        <v>56</v>
      </c>
    </row>
    <row r="52" spans="1:17" s="97" customFormat="1" ht="20.100000000000001" customHeight="1">
      <c r="A52" s="269">
        <v>2021</v>
      </c>
      <c r="B52" s="83"/>
      <c r="C52" s="344"/>
      <c r="D52" s="73"/>
      <c r="E52" s="83"/>
      <c r="F52" s="73"/>
      <c r="G52" s="83"/>
      <c r="H52" s="73"/>
      <c r="I52" s="83"/>
      <c r="J52" s="182"/>
      <c r="K52" s="94"/>
      <c r="L52" s="269">
        <v>2021</v>
      </c>
      <c r="M52" s="73"/>
      <c r="N52" s="73"/>
      <c r="O52" s="73"/>
      <c r="P52" s="73"/>
      <c r="Q52" s="73"/>
    </row>
    <row r="53" spans="1:17" s="97" customFormat="1" ht="18.95" customHeight="1">
      <c r="A53" s="269" t="s">
        <v>196</v>
      </c>
      <c r="B53" s="87">
        <f>SUM(B54:B56)</f>
        <v>4</v>
      </c>
      <c r="C53" s="344" t="s">
        <v>117</v>
      </c>
      <c r="D53" s="73"/>
      <c r="E53" s="87">
        <f>SUM(E54:E56)</f>
        <v>107</v>
      </c>
      <c r="F53" s="67" t="s">
        <v>56</v>
      </c>
      <c r="G53" s="83"/>
      <c r="H53" s="87">
        <f>SUM(H54:H56)</f>
        <v>9</v>
      </c>
      <c r="I53" s="87">
        <f>SUM(I54:I56)</f>
        <v>34</v>
      </c>
      <c r="J53" s="182"/>
      <c r="K53" s="94"/>
      <c r="L53" s="269" t="s">
        <v>196</v>
      </c>
      <c r="M53" s="67" t="s">
        <v>56</v>
      </c>
      <c r="N53" s="87">
        <f>SUM(N54:N56)</f>
        <v>54</v>
      </c>
      <c r="O53" s="82"/>
      <c r="P53" s="87">
        <f>SUM(P54:P56)</f>
        <v>1</v>
      </c>
      <c r="Q53" s="87">
        <f>SUM(Q54:Q56)</f>
        <v>162</v>
      </c>
    </row>
    <row r="54" spans="1:17" s="97" customFormat="1" ht="18.95" customHeight="1">
      <c r="A54" s="271" t="s">
        <v>193</v>
      </c>
      <c r="B54" s="344" t="s">
        <v>117</v>
      </c>
      <c r="C54" s="344" t="s">
        <v>117</v>
      </c>
      <c r="D54" s="73"/>
      <c r="E54" s="83">
        <v>78</v>
      </c>
      <c r="F54" s="67" t="s">
        <v>56</v>
      </c>
      <c r="G54" s="83"/>
      <c r="H54" s="73">
        <v>1</v>
      </c>
      <c r="I54" s="83">
        <v>24</v>
      </c>
      <c r="J54" s="182"/>
      <c r="K54" s="94"/>
      <c r="L54" s="271" t="s">
        <v>193</v>
      </c>
      <c r="M54" s="344" t="s">
        <v>117</v>
      </c>
      <c r="N54" s="73">
        <v>6</v>
      </c>
      <c r="O54" s="73"/>
      <c r="P54" s="67" t="s">
        <v>56</v>
      </c>
      <c r="Q54" s="73">
        <v>103</v>
      </c>
    </row>
    <row r="55" spans="1:17" s="97" customFormat="1" ht="18.95" customHeight="1">
      <c r="A55" s="271" t="s">
        <v>194</v>
      </c>
      <c r="B55" s="344" t="s">
        <v>117</v>
      </c>
      <c r="C55" s="344" t="s">
        <v>117</v>
      </c>
      <c r="D55" s="73"/>
      <c r="E55" s="67" t="s">
        <v>56</v>
      </c>
      <c r="F55" s="67" t="s">
        <v>56</v>
      </c>
      <c r="G55" s="83"/>
      <c r="H55" s="344" t="s">
        <v>117</v>
      </c>
      <c r="I55" s="67" t="s">
        <v>56</v>
      </c>
      <c r="J55" s="182"/>
      <c r="K55" s="94"/>
      <c r="L55" s="271" t="s">
        <v>194</v>
      </c>
      <c r="M55" s="344" t="s">
        <v>117</v>
      </c>
      <c r="N55" s="344" t="s">
        <v>117</v>
      </c>
      <c r="O55" s="73"/>
      <c r="P55" s="67" t="s">
        <v>56</v>
      </c>
      <c r="Q55" s="67" t="s">
        <v>56</v>
      </c>
    </row>
    <row r="56" spans="1:17" s="97" customFormat="1" ht="25.5">
      <c r="A56" s="635" t="s">
        <v>479</v>
      </c>
      <c r="B56" s="83">
        <v>4</v>
      </c>
      <c r="C56" s="344" t="s">
        <v>117</v>
      </c>
      <c r="D56" s="73"/>
      <c r="E56" s="83">
        <v>29</v>
      </c>
      <c r="F56" s="67" t="s">
        <v>56</v>
      </c>
      <c r="G56" s="83"/>
      <c r="H56" s="73">
        <v>8</v>
      </c>
      <c r="I56" s="83">
        <v>10</v>
      </c>
      <c r="J56" s="182"/>
      <c r="K56" s="94"/>
      <c r="L56" s="635" t="s">
        <v>479</v>
      </c>
      <c r="M56" s="67" t="s">
        <v>56</v>
      </c>
      <c r="N56" s="73">
        <v>48</v>
      </c>
      <c r="O56" s="83"/>
      <c r="P56" s="73">
        <v>1</v>
      </c>
      <c r="Q56" s="83">
        <v>59</v>
      </c>
    </row>
    <row r="57" spans="1:17" s="97" customFormat="1" ht="20.100000000000001" customHeight="1">
      <c r="A57" s="269">
        <v>2022</v>
      </c>
      <c r="B57" s="83"/>
      <c r="C57" s="344"/>
      <c r="D57" s="83"/>
      <c r="E57" s="83"/>
      <c r="F57" s="83"/>
      <c r="G57" s="83"/>
      <c r="H57" s="83"/>
      <c r="I57" s="83"/>
      <c r="J57" s="88"/>
      <c r="K57" s="94"/>
      <c r="L57" s="269">
        <v>2022</v>
      </c>
      <c r="M57" s="87"/>
      <c r="N57" s="87"/>
      <c r="O57" s="87"/>
      <c r="P57" s="87"/>
      <c r="Q57" s="87"/>
    </row>
    <row r="58" spans="1:17" s="97" customFormat="1" ht="18" customHeight="1">
      <c r="A58" s="269" t="s">
        <v>196</v>
      </c>
      <c r="B58" s="87">
        <f>SUM(B59:B61)</f>
        <v>14</v>
      </c>
      <c r="C58" s="344" t="s">
        <v>117</v>
      </c>
      <c r="D58" s="83"/>
      <c r="E58" s="87">
        <f>SUM(E59:E61)</f>
        <v>127</v>
      </c>
      <c r="F58" s="67" t="s">
        <v>56</v>
      </c>
      <c r="G58" s="81"/>
      <c r="H58" s="87">
        <f>SUM(H59:H61)</f>
        <v>4</v>
      </c>
      <c r="I58" s="87">
        <f>SUM(I59:I61)</f>
        <v>39</v>
      </c>
      <c r="J58" s="181"/>
      <c r="K58" s="94"/>
      <c r="L58" s="269" t="s">
        <v>196</v>
      </c>
      <c r="M58" s="87">
        <f>SUM(M59:M61)</f>
        <v>4</v>
      </c>
      <c r="N58" s="87">
        <f>SUM(N59:N61)</f>
        <v>39</v>
      </c>
      <c r="O58" s="82"/>
      <c r="P58" s="67" t="s">
        <v>56</v>
      </c>
      <c r="Q58" s="87">
        <f>SUM(Q59:Q61)</f>
        <v>187</v>
      </c>
    </row>
    <row r="59" spans="1:17" s="97" customFormat="1" ht="18" customHeight="1">
      <c r="A59" s="271" t="s">
        <v>193</v>
      </c>
      <c r="B59" s="83">
        <v>7</v>
      </c>
      <c r="C59" s="344" t="s">
        <v>117</v>
      </c>
      <c r="D59" s="83"/>
      <c r="E59" s="83">
        <v>18</v>
      </c>
      <c r="F59" s="67" t="s">
        <v>56</v>
      </c>
      <c r="G59" s="83"/>
      <c r="H59" s="80" t="s">
        <v>0</v>
      </c>
      <c r="I59" s="86">
        <v>14</v>
      </c>
      <c r="J59" s="183"/>
      <c r="K59" s="94"/>
      <c r="L59" s="271" t="s">
        <v>193</v>
      </c>
      <c r="M59" s="80">
        <v>0</v>
      </c>
      <c r="N59" s="344">
        <v>14</v>
      </c>
      <c r="O59" s="73"/>
      <c r="P59" s="67" t="s">
        <v>56</v>
      </c>
      <c r="Q59" s="73">
        <v>60</v>
      </c>
    </row>
    <row r="60" spans="1:17" s="97" customFormat="1" ht="18" customHeight="1">
      <c r="A60" s="271" t="s">
        <v>194</v>
      </c>
      <c r="B60" s="344">
        <v>1</v>
      </c>
      <c r="C60" s="344" t="s">
        <v>117</v>
      </c>
      <c r="D60" s="83"/>
      <c r="E60" s="67">
        <v>109</v>
      </c>
      <c r="F60" s="67" t="s">
        <v>56</v>
      </c>
      <c r="G60" s="81"/>
      <c r="H60" s="344">
        <v>4</v>
      </c>
      <c r="I60" s="67">
        <v>25</v>
      </c>
      <c r="J60" s="183"/>
      <c r="K60" s="94"/>
      <c r="L60" s="271" t="s">
        <v>194</v>
      </c>
      <c r="M60" s="67">
        <v>4</v>
      </c>
      <c r="N60" s="344">
        <v>25</v>
      </c>
      <c r="O60" s="73"/>
      <c r="P60" s="67" t="s">
        <v>56</v>
      </c>
      <c r="Q60" s="67">
        <v>127</v>
      </c>
    </row>
    <row r="61" spans="1:17" s="97" customFormat="1" ht="25.5">
      <c r="A61" s="635" t="s">
        <v>479</v>
      </c>
      <c r="B61" s="83">
        <v>6</v>
      </c>
      <c r="C61" s="344" t="s">
        <v>117</v>
      </c>
      <c r="D61" s="83"/>
      <c r="E61" s="83">
        <v>0</v>
      </c>
      <c r="F61" s="67" t="s">
        <v>56</v>
      </c>
      <c r="G61" s="83"/>
      <c r="H61" s="344" t="s">
        <v>0</v>
      </c>
      <c r="I61" s="83" t="s">
        <v>0</v>
      </c>
      <c r="J61" s="182"/>
      <c r="K61" s="94"/>
      <c r="L61" s="635" t="s">
        <v>479</v>
      </c>
      <c r="M61" s="80">
        <v>0</v>
      </c>
      <c r="N61" s="67">
        <v>0</v>
      </c>
      <c r="O61" s="83"/>
      <c r="P61" s="67" t="s">
        <v>56</v>
      </c>
      <c r="Q61" s="83">
        <v>0</v>
      </c>
    </row>
    <row r="62" spans="1:17" s="97" customFormat="1" ht="20.100000000000001" customHeight="1">
      <c r="A62" s="269">
        <v>2023</v>
      </c>
      <c r="B62" s="83"/>
      <c r="C62" s="344"/>
      <c r="D62" s="83"/>
      <c r="E62" s="83"/>
      <c r="F62" s="83"/>
      <c r="G62" s="83"/>
      <c r="H62" s="83"/>
      <c r="I62" s="83"/>
      <c r="J62" s="88"/>
      <c r="K62" s="94"/>
      <c r="L62" s="269">
        <v>2023</v>
      </c>
      <c r="M62" s="87"/>
      <c r="N62" s="87"/>
      <c r="O62" s="87"/>
      <c r="P62" s="87"/>
      <c r="Q62" s="87"/>
    </row>
    <row r="63" spans="1:17" ht="18.95" customHeight="1">
      <c r="A63" s="269" t="s">
        <v>196</v>
      </c>
      <c r="B63" s="87" t="s">
        <v>0</v>
      </c>
      <c r="C63" s="344" t="s">
        <v>117</v>
      </c>
      <c r="D63" s="83"/>
      <c r="E63" s="87">
        <v>83</v>
      </c>
      <c r="F63" s="67" t="s">
        <v>56</v>
      </c>
      <c r="G63" s="81"/>
      <c r="H63" s="87">
        <v>3</v>
      </c>
      <c r="I63" s="87">
        <v>44</v>
      </c>
      <c r="J63" s="181"/>
      <c r="K63" s="94"/>
      <c r="L63" s="269" t="s">
        <v>196</v>
      </c>
      <c r="M63" s="87">
        <v>2</v>
      </c>
      <c r="N63" s="87">
        <v>18</v>
      </c>
      <c r="O63" s="82"/>
      <c r="P63" s="70">
        <v>58</v>
      </c>
      <c r="Q63" s="87">
        <v>0</v>
      </c>
    </row>
    <row r="64" spans="1:17" ht="18.95" customHeight="1">
      <c r="A64" s="271" t="s">
        <v>193</v>
      </c>
      <c r="B64" s="83" t="s">
        <v>0</v>
      </c>
      <c r="C64" s="344" t="s">
        <v>117</v>
      </c>
      <c r="D64" s="83"/>
      <c r="E64" s="83">
        <v>12</v>
      </c>
      <c r="F64" s="67" t="s">
        <v>56</v>
      </c>
      <c r="G64" s="83"/>
      <c r="H64" s="80">
        <v>2</v>
      </c>
      <c r="I64" s="86">
        <v>11</v>
      </c>
      <c r="J64" s="183"/>
      <c r="K64" s="94"/>
      <c r="L64" s="271" t="s">
        <v>193</v>
      </c>
      <c r="M64" s="80">
        <v>2</v>
      </c>
      <c r="N64" s="344">
        <v>17</v>
      </c>
      <c r="O64" s="73"/>
      <c r="P64" s="67">
        <v>13</v>
      </c>
      <c r="Q64" s="73">
        <v>0</v>
      </c>
    </row>
    <row r="65" spans="1:21" ht="18.95" customHeight="1">
      <c r="A65" s="271" t="s">
        <v>194</v>
      </c>
      <c r="B65" s="344" t="s">
        <v>0</v>
      </c>
      <c r="C65" s="344" t="s">
        <v>117</v>
      </c>
      <c r="D65" s="83"/>
      <c r="E65" s="67">
        <v>71</v>
      </c>
      <c r="F65" s="67" t="s">
        <v>56</v>
      </c>
      <c r="G65" s="81"/>
      <c r="H65" s="344">
        <v>1</v>
      </c>
      <c r="I65" s="67">
        <v>33</v>
      </c>
      <c r="J65" s="183"/>
      <c r="K65" s="94"/>
      <c r="L65" s="271" t="s">
        <v>194</v>
      </c>
      <c r="M65" s="67">
        <v>0</v>
      </c>
      <c r="N65" s="344">
        <v>1</v>
      </c>
      <c r="O65" s="73"/>
      <c r="P65" s="67">
        <v>45</v>
      </c>
      <c r="Q65" s="67">
        <v>0</v>
      </c>
    </row>
    <row r="66" spans="1:21" ht="25.5">
      <c r="A66" s="635" t="s">
        <v>479</v>
      </c>
      <c r="B66" s="83" t="s">
        <v>0</v>
      </c>
      <c r="C66" s="344" t="s">
        <v>117</v>
      </c>
      <c r="D66" s="83"/>
      <c r="E66" s="83" t="s">
        <v>0</v>
      </c>
      <c r="F66" s="67" t="s">
        <v>56</v>
      </c>
      <c r="G66" s="83"/>
      <c r="H66" s="344" t="s">
        <v>0</v>
      </c>
      <c r="I66" s="83" t="s">
        <v>0</v>
      </c>
      <c r="J66" s="182"/>
      <c r="K66" s="94"/>
      <c r="L66" s="635" t="s">
        <v>479</v>
      </c>
      <c r="M66" s="80">
        <v>0</v>
      </c>
      <c r="N66" s="67" t="s">
        <v>56</v>
      </c>
      <c r="O66" s="83"/>
      <c r="P66" s="67" t="s">
        <v>56</v>
      </c>
      <c r="Q66" s="83">
        <v>0</v>
      </c>
    </row>
    <row r="67" spans="1:21" ht="5.0999999999999996" customHeight="1">
      <c r="A67" s="280"/>
      <c r="B67" s="925"/>
      <c r="C67" s="919"/>
      <c r="D67" s="62"/>
      <c r="E67" s="919"/>
      <c r="F67" s="919"/>
      <c r="G67" s="78"/>
      <c r="H67" s="928"/>
      <c r="I67" s="928"/>
      <c r="J67" s="79"/>
      <c r="K67" s="94"/>
      <c r="L67" s="280"/>
      <c r="M67" s="185"/>
      <c r="N67" s="62"/>
      <c r="O67" s="62"/>
      <c r="P67" s="62"/>
      <c r="Q67" s="62"/>
    </row>
    <row r="68" spans="1:21" s="820" customFormat="1" ht="11.1" customHeight="1">
      <c r="B68" s="926"/>
      <c r="C68" s="926"/>
      <c r="E68" s="926"/>
      <c r="F68" s="926"/>
      <c r="H68" s="926"/>
      <c r="I68" s="1241" t="s">
        <v>562</v>
      </c>
      <c r="J68" s="1241"/>
      <c r="K68" s="94"/>
      <c r="L68" s="170" t="s">
        <v>489</v>
      </c>
      <c r="M68" s="89"/>
      <c r="N68" s="34"/>
      <c r="O68" s="34"/>
      <c r="P68" s="34"/>
      <c r="Q68" s="34"/>
      <c r="R68" s="94"/>
      <c r="S68" s="94"/>
      <c r="T68" s="94"/>
      <c r="U68" s="94"/>
    </row>
    <row r="69" spans="1:21" ht="9.75" customHeight="1">
      <c r="L69" s="1240" t="s">
        <v>586</v>
      </c>
      <c r="M69" s="1240"/>
      <c r="N69" s="1240"/>
      <c r="O69" s="1240"/>
      <c r="P69" s="1240"/>
      <c r="Q69" s="1240"/>
      <c r="R69" s="94"/>
      <c r="S69" s="94"/>
      <c r="T69" s="94"/>
      <c r="U69" s="94"/>
    </row>
    <row r="70" spans="1:21" ht="6.75" customHeight="1">
      <c r="G70" s="92"/>
      <c r="L70" s="1240"/>
      <c r="M70" s="1240"/>
      <c r="N70" s="1240"/>
      <c r="O70" s="1240"/>
      <c r="P70" s="1240"/>
      <c r="Q70" s="1240"/>
      <c r="R70" s="94"/>
      <c r="S70" s="94"/>
      <c r="T70" s="94"/>
      <c r="U70" s="94"/>
    </row>
    <row r="71" spans="1:21" ht="10.5" customHeight="1">
      <c r="G71" s="184"/>
      <c r="H71" s="929"/>
      <c r="I71" s="929"/>
      <c r="J71" s="94"/>
      <c r="K71" s="94"/>
      <c r="L71" s="94"/>
      <c r="M71" s="94"/>
      <c r="N71" s="94"/>
      <c r="O71" s="94"/>
      <c r="P71" s="94"/>
      <c r="Q71" s="96"/>
      <c r="R71" s="94"/>
      <c r="S71" s="94"/>
      <c r="T71" s="94"/>
      <c r="U71" s="94"/>
    </row>
    <row r="72" spans="1:21" ht="10.5" customHeight="1">
      <c r="G72" s="179"/>
      <c r="H72" s="929"/>
      <c r="I72" s="929"/>
      <c r="J72" s="94"/>
      <c r="K72" s="94"/>
      <c r="M72" s="94"/>
      <c r="N72" s="94"/>
      <c r="O72" s="94"/>
      <c r="P72" s="94"/>
      <c r="Q72" s="96"/>
      <c r="R72" s="94"/>
      <c r="S72" s="94"/>
      <c r="T72" s="94"/>
      <c r="U72" s="94"/>
    </row>
    <row r="73" spans="1:21" ht="27" customHeight="1">
      <c r="G73" s="179"/>
      <c r="H73" s="929"/>
      <c r="I73" s="929"/>
      <c r="J73" s="94"/>
      <c r="K73" s="94"/>
      <c r="L73" s="94"/>
      <c r="M73" s="94"/>
      <c r="N73" s="94"/>
      <c r="O73" s="94"/>
      <c r="P73" s="94"/>
    </row>
    <row r="74" spans="1:21" ht="12.95" customHeight="1">
      <c r="G74" s="179"/>
      <c r="H74" s="929"/>
      <c r="I74" s="929"/>
      <c r="J74" s="94"/>
      <c r="K74" s="94"/>
      <c r="L74" s="94"/>
      <c r="M74" s="94"/>
      <c r="N74" s="94"/>
      <c r="O74" s="94"/>
      <c r="P74" s="94"/>
    </row>
    <row r="75" spans="1:21" ht="12.95" customHeight="1">
      <c r="G75" s="179"/>
      <c r="H75" s="929"/>
      <c r="I75" s="929"/>
      <c r="J75" s="94"/>
      <c r="K75" s="94"/>
      <c r="L75" s="94"/>
      <c r="M75" s="94"/>
      <c r="N75" s="94"/>
      <c r="O75" s="94"/>
      <c r="P75" s="94"/>
    </row>
    <row r="76" spans="1:21" ht="12.95" customHeight="1">
      <c r="G76" s="179"/>
      <c r="H76" s="929"/>
      <c r="I76" s="929"/>
      <c r="J76" s="94"/>
      <c r="K76" s="94"/>
      <c r="L76" s="94"/>
      <c r="M76" s="94"/>
      <c r="N76" s="94"/>
      <c r="O76" s="94"/>
      <c r="P76" s="94"/>
    </row>
    <row r="77" spans="1:21" ht="12.95" customHeight="1">
      <c r="G77" s="179"/>
      <c r="H77" s="929"/>
      <c r="I77" s="929"/>
      <c r="J77" s="94"/>
      <c r="K77" s="94"/>
      <c r="L77" s="94"/>
      <c r="M77" s="94"/>
      <c r="N77" s="94"/>
      <c r="O77" s="94"/>
      <c r="P77" s="94"/>
    </row>
    <row r="78" spans="1:21" ht="27" customHeight="1">
      <c r="G78" s="179"/>
      <c r="H78" s="929"/>
      <c r="I78" s="929"/>
      <c r="J78" s="94"/>
      <c r="K78" s="94"/>
      <c r="L78" s="94"/>
      <c r="M78" s="94"/>
      <c r="N78" s="94"/>
      <c r="O78" s="94"/>
      <c r="P78" s="94"/>
    </row>
    <row r="79" spans="1:21" ht="12.95" customHeight="1">
      <c r="G79" s="179"/>
      <c r="H79" s="929"/>
      <c r="I79" s="929"/>
      <c r="J79" s="94"/>
      <c r="K79" s="94"/>
      <c r="L79" s="94"/>
      <c r="M79" s="94"/>
      <c r="N79" s="94"/>
      <c r="O79" s="94"/>
      <c r="P79" s="94"/>
    </row>
    <row r="80" spans="1:21" ht="12.95" customHeight="1">
      <c r="G80" s="179"/>
      <c r="H80" s="929"/>
      <c r="I80" s="929"/>
      <c r="J80" s="94"/>
      <c r="K80" s="94"/>
      <c r="L80" s="94"/>
      <c r="M80" s="94"/>
      <c r="N80" s="94"/>
      <c r="O80" s="94"/>
      <c r="P80" s="94"/>
    </row>
    <row r="81" spans="2:17" ht="12.95" customHeight="1">
      <c r="G81" s="81"/>
      <c r="H81" s="929"/>
      <c r="I81" s="929"/>
      <c r="J81" s="94"/>
      <c r="K81" s="94"/>
      <c r="L81" s="94"/>
      <c r="M81" s="94"/>
      <c r="N81" s="94"/>
      <c r="O81" s="94"/>
      <c r="P81" s="94"/>
    </row>
    <row r="82" spans="2:17" ht="12.95" customHeight="1">
      <c r="G82" s="180"/>
      <c r="H82" s="929"/>
      <c r="I82" s="929"/>
      <c r="J82" s="94"/>
      <c r="K82" s="94"/>
      <c r="L82" s="94"/>
      <c r="M82" s="94"/>
      <c r="N82" s="94"/>
      <c r="O82" s="94"/>
      <c r="P82" s="94"/>
    </row>
    <row r="83" spans="2:17" ht="12.95" customHeight="1">
      <c r="G83" s="182"/>
      <c r="H83" s="929"/>
      <c r="I83" s="929"/>
      <c r="J83" s="94"/>
      <c r="K83" s="94"/>
      <c r="L83" s="94"/>
      <c r="M83" s="94"/>
      <c r="N83" s="94"/>
      <c r="O83" s="94"/>
      <c r="P83" s="94"/>
    </row>
    <row r="84" spans="2:17" s="97" customFormat="1" ht="12.95" customHeight="1">
      <c r="B84" s="456"/>
      <c r="C84" s="456"/>
      <c r="E84" s="456"/>
      <c r="F84" s="456"/>
      <c r="G84" s="184"/>
      <c r="H84" s="929"/>
      <c r="I84" s="929"/>
      <c r="J84" s="94"/>
      <c r="K84" s="94"/>
      <c r="L84" s="94"/>
      <c r="M84" s="94"/>
      <c r="N84" s="94"/>
      <c r="O84" s="94"/>
      <c r="P84" s="94"/>
      <c r="Q84"/>
    </row>
    <row r="85" spans="2:17" s="97" customFormat="1" ht="12.95" customHeight="1">
      <c r="B85" s="456"/>
      <c r="C85" s="456"/>
      <c r="E85" s="456"/>
      <c r="F85" s="456"/>
      <c r="G85" s="182"/>
      <c r="H85" s="929"/>
      <c r="I85" s="929"/>
      <c r="J85" s="94"/>
      <c r="K85" s="94"/>
      <c r="L85" s="94"/>
      <c r="M85" s="94"/>
      <c r="N85" s="94"/>
      <c r="O85" s="94"/>
      <c r="P85" s="94"/>
      <c r="Q85"/>
    </row>
    <row r="86" spans="2:17" s="97" customFormat="1" ht="12.95" customHeight="1">
      <c r="B86" s="456"/>
      <c r="C86" s="456"/>
      <c r="E86" s="456"/>
      <c r="F86" s="456"/>
      <c r="G86" s="88"/>
      <c r="H86" s="929"/>
      <c r="I86" s="929"/>
      <c r="J86" s="94"/>
      <c r="K86" s="94"/>
      <c r="L86" s="94"/>
      <c r="M86" s="94"/>
      <c r="N86" s="94"/>
      <c r="O86" s="94"/>
      <c r="P86" s="94"/>
      <c r="Q86"/>
    </row>
    <row r="87" spans="2:17" s="97" customFormat="1" ht="12.95" customHeight="1">
      <c r="B87" s="456"/>
      <c r="C87" s="456"/>
      <c r="E87" s="456"/>
      <c r="F87" s="456"/>
      <c r="G87" s="180"/>
      <c r="H87" s="929"/>
      <c r="I87" s="929"/>
      <c r="J87" s="94"/>
      <c r="K87" s="94"/>
      <c r="L87" s="94"/>
      <c r="M87" s="94"/>
      <c r="N87" s="94"/>
      <c r="O87" s="94"/>
      <c r="P87" s="94"/>
      <c r="Q87"/>
    </row>
    <row r="88" spans="2:17" s="97" customFormat="1" ht="12.95" customHeight="1">
      <c r="B88" s="456"/>
      <c r="C88" s="456"/>
      <c r="E88" s="456"/>
      <c r="F88" s="456"/>
      <c r="G88" s="179"/>
      <c r="H88" s="929"/>
      <c r="I88" s="929"/>
      <c r="J88" s="94"/>
      <c r="K88" s="94"/>
      <c r="L88" s="94"/>
      <c r="M88" s="94"/>
      <c r="N88" s="94"/>
      <c r="O88" s="94"/>
      <c r="P88" s="94"/>
      <c r="Q88"/>
    </row>
    <row r="89" spans="2:17" s="97" customFormat="1" ht="12.95" customHeight="1">
      <c r="B89" s="456"/>
      <c r="C89" s="456"/>
      <c r="E89" s="456"/>
      <c r="F89" s="456"/>
      <c r="G89" s="184"/>
      <c r="H89" s="929"/>
      <c r="I89" s="929"/>
      <c r="J89" s="94"/>
      <c r="K89" s="94"/>
      <c r="L89" s="94"/>
      <c r="M89" s="94"/>
      <c r="N89" s="94"/>
      <c r="O89" s="94"/>
      <c r="P89" s="94"/>
    </row>
    <row r="90" spans="2:17" ht="12.95" customHeight="1">
      <c r="G90" s="182"/>
      <c r="H90" s="929"/>
      <c r="I90" s="929"/>
      <c r="J90" s="94"/>
      <c r="K90" s="94"/>
      <c r="L90" s="94"/>
      <c r="M90" s="94"/>
      <c r="N90" s="94"/>
      <c r="O90" s="94"/>
      <c r="P90" s="94"/>
    </row>
    <row r="91" spans="2:17" ht="12.95" customHeight="1">
      <c r="G91" s="78"/>
      <c r="H91" s="929"/>
      <c r="I91" s="929"/>
      <c r="J91" s="94"/>
      <c r="K91" s="94"/>
      <c r="L91" s="94"/>
      <c r="M91" s="94"/>
      <c r="N91" s="94"/>
      <c r="O91" s="94"/>
      <c r="P91" s="94"/>
    </row>
    <row r="92" spans="2:17" ht="12.95" customHeight="1">
      <c r="G92" s="143"/>
      <c r="H92" s="929"/>
      <c r="I92" s="929"/>
      <c r="J92" s="94"/>
      <c r="K92" s="94"/>
      <c r="L92" s="94"/>
      <c r="M92" s="94"/>
      <c r="N92" s="94"/>
      <c r="O92" s="94"/>
      <c r="P92" s="94"/>
    </row>
    <row r="93" spans="2:17" ht="12.95" customHeight="1">
      <c r="G93" s="16"/>
      <c r="H93" s="929"/>
      <c r="I93" s="929"/>
      <c r="J93" s="94"/>
      <c r="K93" s="94"/>
      <c r="L93" s="94"/>
      <c r="M93" s="94"/>
      <c r="N93" s="94"/>
      <c r="O93" s="94"/>
      <c r="P93" s="94"/>
    </row>
    <row r="94" spans="2:17" ht="3.75" customHeight="1">
      <c r="H94" s="929"/>
      <c r="I94" s="929"/>
      <c r="J94" s="94"/>
      <c r="K94" s="94"/>
      <c r="L94" s="94"/>
      <c r="M94" s="94"/>
      <c r="N94" s="94"/>
      <c r="O94" s="94"/>
      <c r="P94" s="94"/>
    </row>
    <row r="95" spans="2:17" ht="11.1" customHeight="1">
      <c r="H95" s="930"/>
      <c r="I95" s="930"/>
      <c r="J95" s="31"/>
      <c r="K95" s="31"/>
      <c r="L95" s="31"/>
      <c r="M95" s="31"/>
      <c r="N95" s="31"/>
      <c r="O95" s="31"/>
    </row>
    <row r="96" spans="2:17" ht="28.5" customHeight="1">
      <c r="H96" s="931"/>
      <c r="I96" s="931"/>
      <c r="J96" s="16"/>
      <c r="K96" s="16"/>
      <c r="L96" s="16"/>
      <c r="M96" s="16"/>
      <c r="N96" s="16"/>
      <c r="O96" s="16"/>
    </row>
    <row r="97" spans="1:1" ht="9.75" customHeight="1">
      <c r="A97" s="544"/>
    </row>
  </sheetData>
  <mergeCells count="21">
    <mergeCell ref="B3:C3"/>
    <mergeCell ref="K3:L3"/>
    <mergeCell ref="H3:I3"/>
    <mergeCell ref="E3:G3"/>
    <mergeCell ref="L69:Q70"/>
    <mergeCell ref="N3:O3"/>
    <mergeCell ref="I68:J68"/>
    <mergeCell ref="R16:U16"/>
    <mergeCell ref="M30:N30"/>
    <mergeCell ref="B16:C16"/>
    <mergeCell ref="E16:G16"/>
    <mergeCell ref="H16:I16"/>
    <mergeCell ref="K16:L16"/>
    <mergeCell ref="N16:O16"/>
    <mergeCell ref="B30:C30"/>
    <mergeCell ref="E30:G30"/>
    <mergeCell ref="H30:I30"/>
    <mergeCell ref="P30:Q30"/>
    <mergeCell ref="Q16:Q17"/>
    <mergeCell ref="A28:J28"/>
    <mergeCell ref="L28:Q28"/>
  </mergeCells>
  <pageMargins left="0.78740157480314965" right="0.78740157480314965" top="0.98425196850393704" bottom="0.98425196850393704" header="0.31496062992125984" footer="0"/>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pageSetUpPr autoPageBreaks="0"/>
  </sheetPr>
  <dimension ref="A1:AL90"/>
  <sheetViews>
    <sheetView showGridLines="0" zoomScaleNormal="100" zoomScaleSheetLayoutView="115" workbookViewId="0">
      <selection sqref="A1:AJ1"/>
    </sheetView>
  </sheetViews>
  <sheetFormatPr baseColWidth="10" defaultColWidth="11.42578125" defaultRowHeight="12.75"/>
  <cols>
    <col min="1" max="1" width="30.42578125" style="31" customWidth="1"/>
    <col min="2" max="2" width="4.7109375" style="31" hidden="1" customWidth="1"/>
    <col min="3" max="3" width="5.7109375" style="58" hidden="1" customWidth="1"/>
    <col min="4" max="4" width="4.85546875" style="58" hidden="1" customWidth="1"/>
    <col min="5" max="5" width="5.85546875" style="31" hidden="1" customWidth="1"/>
    <col min="6" max="6" width="6.140625" style="31" hidden="1" customWidth="1"/>
    <col min="7" max="7" width="4.85546875" style="31" hidden="1" customWidth="1"/>
    <col min="8" max="8" width="1.28515625" style="31" hidden="1" customWidth="1"/>
    <col min="9" max="9" width="4.85546875" style="31" hidden="1" customWidth="1"/>
    <col min="10" max="10" width="5.7109375" style="31" hidden="1" customWidth="1"/>
    <col min="11" max="11" width="5.140625" style="31" hidden="1" customWidth="1"/>
    <col min="12" max="12" width="0.7109375" style="31" hidden="1" customWidth="1"/>
    <col min="13" max="13" width="4.85546875" style="31" hidden="1" customWidth="1"/>
    <col min="14" max="14" width="5.5703125" style="31" hidden="1" customWidth="1"/>
    <col min="15" max="15" width="4.42578125" style="31" hidden="1" customWidth="1"/>
    <col min="16" max="16" width="1.28515625" style="31" hidden="1" customWidth="1"/>
    <col min="17" max="17" width="7" style="31" hidden="1" customWidth="1"/>
    <col min="18" max="18" width="8.28515625" style="31" hidden="1" customWidth="1"/>
    <col min="19" max="19" width="7.5703125" style="31" hidden="1" customWidth="1"/>
    <col min="20" max="20" width="7.42578125" style="31" hidden="1" customWidth="1"/>
    <col min="21" max="21" width="7.5703125" style="31" hidden="1" customWidth="1"/>
    <col min="22" max="22" width="6.42578125" style="31" hidden="1" customWidth="1"/>
    <col min="23" max="23" width="0.85546875" style="31" hidden="1" customWidth="1"/>
    <col min="24" max="30" width="7.7109375" style="31" hidden="1" customWidth="1"/>
    <col min="31" max="36" width="8.7109375" style="31" customWidth="1"/>
    <col min="37" max="16384" width="11.42578125" style="31"/>
  </cols>
  <sheetData>
    <row r="1" spans="1:38" ht="27.75" customHeight="1">
      <c r="A1" s="1243" t="s">
        <v>553</v>
      </c>
      <c r="B1" s="1243"/>
      <c r="C1" s="1243"/>
      <c r="D1" s="1243"/>
      <c r="E1" s="1243"/>
      <c r="F1" s="1243"/>
      <c r="G1" s="1243"/>
      <c r="H1" s="1243"/>
      <c r="I1" s="1243"/>
      <c r="J1" s="1243"/>
      <c r="K1" s="1243"/>
      <c r="L1" s="1243"/>
      <c r="M1" s="1243"/>
      <c r="N1" s="1243"/>
      <c r="O1" s="1243"/>
      <c r="P1" s="1243"/>
      <c r="Q1" s="1243"/>
      <c r="R1" s="1243"/>
      <c r="S1" s="1243"/>
      <c r="T1" s="1243"/>
      <c r="U1" s="1243"/>
      <c r="V1" s="1243"/>
      <c r="W1" s="1243"/>
      <c r="X1" s="1243"/>
      <c r="Y1" s="1243"/>
      <c r="Z1" s="1243"/>
      <c r="AA1" s="1243"/>
      <c r="AB1" s="1243"/>
      <c r="AC1" s="1243"/>
      <c r="AD1" s="1243"/>
      <c r="AE1" s="1243"/>
      <c r="AF1" s="1243"/>
      <c r="AG1" s="1243"/>
      <c r="AH1" s="1243"/>
      <c r="AI1" s="1243"/>
      <c r="AJ1" s="1243"/>
    </row>
    <row r="2" spans="1:38" s="129" customFormat="1" ht="5.0999999999999996" customHeight="1">
      <c r="A2" s="137"/>
      <c r="B2" s="137"/>
      <c r="C2" s="137"/>
      <c r="D2" s="137"/>
      <c r="E2" s="137"/>
      <c r="F2" s="137"/>
      <c r="G2" s="126"/>
      <c r="H2" s="126"/>
    </row>
    <row r="3" spans="1:38" ht="20.100000000000001" customHeight="1">
      <c r="A3" s="1245" t="s">
        <v>53</v>
      </c>
      <c r="B3" s="1201">
        <v>2013</v>
      </c>
      <c r="C3" s="1201"/>
      <c r="D3" s="1201"/>
      <c r="E3" s="1201"/>
      <c r="F3" s="1201"/>
      <c r="G3" s="1201"/>
      <c r="H3" s="282"/>
      <c r="I3" s="1201">
        <v>2014</v>
      </c>
      <c r="J3" s="1201"/>
      <c r="K3" s="1201"/>
      <c r="L3" s="1201"/>
      <c r="M3" s="1201"/>
      <c r="N3" s="1201"/>
      <c r="O3" s="1201"/>
      <c r="P3" s="287"/>
      <c r="Q3" s="1205" t="s">
        <v>269</v>
      </c>
      <c r="R3" s="1205"/>
      <c r="S3" s="1205"/>
      <c r="T3" s="1205"/>
      <c r="U3" s="1205"/>
      <c r="V3" s="1205"/>
      <c r="W3" s="288"/>
      <c r="X3" s="1205">
        <v>2016</v>
      </c>
      <c r="Y3" s="1205"/>
      <c r="Z3" s="1205"/>
      <c r="AA3" s="1205"/>
      <c r="AB3" s="1205"/>
      <c r="AC3" s="1205"/>
      <c r="AD3" s="268"/>
      <c r="AE3" s="1205">
        <v>2021</v>
      </c>
      <c r="AF3" s="1205"/>
      <c r="AG3" s="1205"/>
      <c r="AH3" s="1205"/>
      <c r="AI3" s="1205"/>
      <c r="AJ3" s="1205"/>
    </row>
    <row r="4" spans="1:38" ht="20.100000000000001" customHeight="1">
      <c r="A4" s="1246"/>
      <c r="B4" s="1244" t="s">
        <v>58</v>
      </c>
      <c r="C4" s="1244"/>
      <c r="D4" s="1244"/>
      <c r="E4" s="1205" t="s">
        <v>102</v>
      </c>
      <c r="F4" s="1205"/>
      <c r="G4" s="1205"/>
      <c r="H4" s="178"/>
      <c r="I4" s="1244" t="s">
        <v>58</v>
      </c>
      <c r="J4" s="1244"/>
      <c r="K4" s="1244"/>
      <c r="L4" s="289"/>
      <c r="M4" s="289"/>
      <c r="N4" s="283" t="s">
        <v>102</v>
      </c>
      <c r="O4" s="283"/>
      <c r="P4" s="135"/>
      <c r="Q4" s="1242" t="s">
        <v>58</v>
      </c>
      <c r="R4" s="1242"/>
      <c r="S4" s="1242"/>
      <c r="T4" s="1202" t="s">
        <v>102</v>
      </c>
      <c r="U4" s="1202"/>
      <c r="V4" s="1202"/>
      <c r="W4" s="97"/>
      <c r="X4" s="1242" t="s">
        <v>58</v>
      </c>
      <c r="Y4" s="1242"/>
      <c r="Z4" s="1242"/>
      <c r="AA4" s="1202" t="s">
        <v>102</v>
      </c>
      <c r="AB4" s="1202"/>
      <c r="AC4" s="1202"/>
      <c r="AD4" s="97"/>
      <c r="AE4" s="1242" t="s">
        <v>58</v>
      </c>
      <c r="AF4" s="1242"/>
      <c r="AG4" s="1242"/>
      <c r="AH4" s="1202" t="s">
        <v>102</v>
      </c>
      <c r="AI4" s="1202"/>
      <c r="AJ4" s="1202"/>
    </row>
    <row r="5" spans="1:38" ht="21.95" customHeight="1">
      <c r="A5" s="1246"/>
      <c r="B5" s="290" t="s">
        <v>210</v>
      </c>
      <c r="C5" s="284" t="s">
        <v>211</v>
      </c>
      <c r="D5" s="290" t="s">
        <v>212</v>
      </c>
      <c r="E5" s="290" t="s">
        <v>210</v>
      </c>
      <c r="F5" s="284" t="s">
        <v>211</v>
      </c>
      <c r="G5" s="290" t="s">
        <v>212</v>
      </c>
      <c r="H5" s="285"/>
      <c r="I5" s="290" t="s">
        <v>210</v>
      </c>
      <c r="J5" s="284" t="s">
        <v>211</v>
      </c>
      <c r="K5" s="290" t="s">
        <v>212</v>
      </c>
      <c r="L5" s="291"/>
      <c r="M5" s="290" t="s">
        <v>210</v>
      </c>
      <c r="N5" s="290" t="s">
        <v>211</v>
      </c>
      <c r="O5" s="290" t="s">
        <v>212</v>
      </c>
      <c r="P5" s="292"/>
      <c r="Q5" s="281" t="s">
        <v>312</v>
      </c>
      <c r="R5" s="187" t="s">
        <v>310</v>
      </c>
      <c r="S5" s="281" t="s">
        <v>311</v>
      </c>
      <c r="T5" s="281" t="s">
        <v>312</v>
      </c>
      <c r="U5" s="281" t="s">
        <v>310</v>
      </c>
      <c r="V5" s="281" t="s">
        <v>311</v>
      </c>
      <c r="W5" s="298"/>
      <c r="X5" s="281" t="s">
        <v>312</v>
      </c>
      <c r="Y5" s="187" t="s">
        <v>310</v>
      </c>
      <c r="Z5" s="281" t="s">
        <v>311</v>
      </c>
      <c r="AA5" s="281" t="s">
        <v>312</v>
      </c>
      <c r="AB5" s="281" t="s">
        <v>310</v>
      </c>
      <c r="AC5" s="281" t="s">
        <v>311</v>
      </c>
      <c r="AD5" s="298"/>
      <c r="AE5" s="299" t="s">
        <v>312</v>
      </c>
      <c r="AF5" s="300" t="s">
        <v>310</v>
      </c>
      <c r="AG5" s="299" t="s">
        <v>311</v>
      </c>
      <c r="AH5" s="299" t="s">
        <v>312</v>
      </c>
      <c r="AI5" s="281" t="s">
        <v>310</v>
      </c>
      <c r="AJ5" s="299" t="s">
        <v>311</v>
      </c>
    </row>
    <row r="6" spans="1:38" ht="5.0999999999999996" customHeight="1">
      <c r="A6" s="263"/>
      <c r="B6" s="77"/>
      <c r="C6" s="77"/>
      <c r="D6" s="77"/>
      <c r="E6" s="77"/>
      <c r="F6" s="77"/>
      <c r="G6" s="77"/>
      <c r="H6" s="77"/>
      <c r="I6" s="99"/>
      <c r="J6" s="99"/>
      <c r="Q6" s="293"/>
      <c r="R6" s="293"/>
      <c r="S6" s="293"/>
      <c r="T6" s="293"/>
      <c r="U6" s="293"/>
      <c r="V6" s="293"/>
      <c r="W6" s="293"/>
      <c r="X6" s="293"/>
      <c r="Y6" s="293"/>
      <c r="Z6" s="293"/>
      <c r="AA6" s="293"/>
      <c r="AB6" s="293"/>
      <c r="AC6" s="293"/>
      <c r="AD6" s="293"/>
      <c r="AE6" s="293"/>
      <c r="AF6" s="293"/>
      <c r="AG6" s="293"/>
      <c r="AH6" s="293"/>
      <c r="AI6" s="293"/>
      <c r="AJ6" s="293"/>
    </row>
    <row r="7" spans="1:38" ht="29.1" customHeight="1">
      <c r="A7" s="269" t="s">
        <v>2</v>
      </c>
      <c r="B7" s="76">
        <f>SUM(B8:B26)</f>
        <v>272</v>
      </c>
      <c r="C7" s="76" t="s">
        <v>97</v>
      </c>
      <c r="D7" s="76">
        <f>SUM(D8:D26)</f>
        <v>272</v>
      </c>
      <c r="E7" s="76">
        <f>SUM(E8:E26)</f>
        <v>164</v>
      </c>
      <c r="F7" s="76">
        <f>SUM(F8:F26)</f>
        <v>3</v>
      </c>
      <c r="G7" s="76">
        <f>SUM(G8:G26)</f>
        <v>161</v>
      </c>
      <c r="H7" s="76"/>
      <c r="I7" s="169">
        <f>SUM(I8:I26)</f>
        <v>272</v>
      </c>
      <c r="J7" s="169">
        <f t="shared" ref="J7:O7" si="0">SUM(J8:J26)</f>
        <v>24</v>
      </c>
      <c r="K7" s="169">
        <f t="shared" si="0"/>
        <v>248</v>
      </c>
      <c r="L7" s="169">
        <f t="shared" si="0"/>
        <v>0</v>
      </c>
      <c r="M7" s="169">
        <f t="shared" si="0"/>
        <v>148</v>
      </c>
      <c r="N7" s="169">
        <f t="shared" si="0"/>
        <v>10</v>
      </c>
      <c r="O7" s="169">
        <f t="shared" si="0"/>
        <v>138</v>
      </c>
      <c r="P7" s="24"/>
      <c r="Q7" s="294">
        <f>SUM(Q8:Q26)</f>
        <v>82</v>
      </c>
      <c r="R7" s="294" t="s">
        <v>97</v>
      </c>
      <c r="S7" s="294">
        <f>SUM(S8:S26)</f>
        <v>82</v>
      </c>
      <c r="T7" s="294">
        <f>SUM(T8:T26)</f>
        <v>28</v>
      </c>
      <c r="U7" s="294" t="s">
        <v>97</v>
      </c>
      <c r="V7" s="294">
        <f>SUM(V8:V26)</f>
        <v>28</v>
      </c>
      <c r="W7" s="23"/>
      <c r="X7" s="294">
        <f>SUM(X8:X26)</f>
        <v>285</v>
      </c>
      <c r="Y7" s="294">
        <f t="shared" ref="Y7:AI7" si="1">SUM(Y8:Y26)</f>
        <v>21</v>
      </c>
      <c r="Z7" s="294">
        <f t="shared" si="1"/>
        <v>264</v>
      </c>
      <c r="AA7" s="294">
        <f t="shared" si="1"/>
        <v>124</v>
      </c>
      <c r="AB7" s="294">
        <f t="shared" si="1"/>
        <v>6</v>
      </c>
      <c r="AC7" s="294">
        <f t="shared" si="1"/>
        <v>118</v>
      </c>
      <c r="AD7" s="294"/>
      <c r="AE7" s="82">
        <f t="shared" si="1"/>
        <v>778</v>
      </c>
      <c r="AF7" s="82">
        <f t="shared" si="1"/>
        <v>52</v>
      </c>
      <c r="AG7" s="82">
        <f t="shared" si="1"/>
        <v>726</v>
      </c>
      <c r="AH7" s="1124">
        <f t="shared" si="1"/>
        <v>1184</v>
      </c>
      <c r="AI7" s="82">
        <f t="shared" si="1"/>
        <v>88</v>
      </c>
      <c r="AJ7" s="1124">
        <f>SUM(AJ8:AJ26)</f>
        <v>1096</v>
      </c>
      <c r="AL7" s="772"/>
    </row>
    <row r="8" spans="1:38" ht="29.1" customHeight="1">
      <c r="A8" s="271" t="s">
        <v>200</v>
      </c>
      <c r="B8" s="61">
        <v>30</v>
      </c>
      <c r="C8" s="76" t="s">
        <v>97</v>
      </c>
      <c r="D8" s="134">
        <v>30</v>
      </c>
      <c r="E8" s="61">
        <v>8</v>
      </c>
      <c r="F8" s="61" t="s">
        <v>97</v>
      </c>
      <c r="G8" s="12">
        <v>8</v>
      </c>
      <c r="H8" s="12"/>
      <c r="I8" s="146">
        <v>24</v>
      </c>
      <c r="J8" s="146" t="s">
        <v>97</v>
      </c>
      <c r="K8" s="24">
        <v>24</v>
      </c>
      <c r="L8" s="24"/>
      <c r="M8" s="24">
        <v>11</v>
      </c>
      <c r="N8" s="24" t="s">
        <v>97</v>
      </c>
      <c r="O8" s="24">
        <v>11</v>
      </c>
      <c r="P8" s="24"/>
      <c r="Q8" s="23">
        <v>18</v>
      </c>
      <c r="R8" s="294" t="s">
        <v>97</v>
      </c>
      <c r="S8" s="23">
        <v>18</v>
      </c>
      <c r="T8" s="23">
        <v>6</v>
      </c>
      <c r="U8" s="294" t="s">
        <v>97</v>
      </c>
      <c r="V8" s="23">
        <v>6</v>
      </c>
      <c r="W8" s="23"/>
      <c r="X8" s="23">
        <v>28</v>
      </c>
      <c r="Y8" s="23">
        <v>5</v>
      </c>
      <c r="Z8" s="23">
        <v>23</v>
      </c>
      <c r="AA8" s="23">
        <v>11</v>
      </c>
      <c r="AB8" s="23" t="s">
        <v>117</v>
      </c>
      <c r="AC8" s="23">
        <v>11</v>
      </c>
      <c r="AD8" s="23"/>
      <c r="AE8" s="73">
        <v>75</v>
      </c>
      <c r="AF8" s="73">
        <v>10</v>
      </c>
      <c r="AG8" s="73">
        <v>65</v>
      </c>
      <c r="AH8" s="73">
        <v>120</v>
      </c>
      <c r="AI8" s="73">
        <v>8</v>
      </c>
      <c r="AJ8" s="73">
        <v>112</v>
      </c>
    </row>
    <row r="9" spans="1:38" ht="29.1" customHeight="1">
      <c r="A9" s="271" t="s">
        <v>202</v>
      </c>
      <c r="B9" s="61">
        <v>20</v>
      </c>
      <c r="C9" s="76" t="s">
        <v>97</v>
      </c>
      <c r="D9" s="134">
        <v>20</v>
      </c>
      <c r="E9" s="61">
        <v>13</v>
      </c>
      <c r="F9" s="61" t="s">
        <v>97</v>
      </c>
      <c r="G9" s="12">
        <v>13</v>
      </c>
      <c r="H9" s="12"/>
      <c r="I9" s="146">
        <v>29</v>
      </c>
      <c r="J9" s="146" t="s">
        <v>97</v>
      </c>
      <c r="K9" s="24">
        <v>29</v>
      </c>
      <c r="L9" s="24"/>
      <c r="M9" s="24">
        <v>27</v>
      </c>
      <c r="N9" s="24" t="s">
        <v>97</v>
      </c>
      <c r="O9" s="24">
        <v>27</v>
      </c>
      <c r="P9" s="24"/>
      <c r="Q9" s="23">
        <v>14</v>
      </c>
      <c r="R9" s="294" t="s">
        <v>97</v>
      </c>
      <c r="S9" s="23">
        <v>14</v>
      </c>
      <c r="T9" s="23">
        <v>4</v>
      </c>
      <c r="U9" s="294" t="s">
        <v>97</v>
      </c>
      <c r="V9" s="23">
        <v>4</v>
      </c>
      <c r="W9" s="23"/>
      <c r="X9" s="23">
        <v>28</v>
      </c>
      <c r="Y9" s="23" t="s">
        <v>117</v>
      </c>
      <c r="Z9" s="23">
        <v>28</v>
      </c>
      <c r="AA9" s="23">
        <v>17</v>
      </c>
      <c r="AB9" s="23" t="s">
        <v>117</v>
      </c>
      <c r="AC9" s="23">
        <v>17</v>
      </c>
      <c r="AD9" s="23"/>
      <c r="AE9" s="73">
        <v>73</v>
      </c>
      <c r="AF9" s="73">
        <v>3</v>
      </c>
      <c r="AG9" s="73">
        <v>70</v>
      </c>
      <c r="AH9" s="73">
        <v>177</v>
      </c>
      <c r="AI9" s="73" t="s">
        <v>0</v>
      </c>
      <c r="AJ9" s="73">
        <v>177</v>
      </c>
    </row>
    <row r="10" spans="1:38" ht="29.1" customHeight="1">
      <c r="A10" s="271" t="s">
        <v>201</v>
      </c>
      <c r="B10" s="61">
        <v>45</v>
      </c>
      <c r="C10" s="76" t="s">
        <v>97</v>
      </c>
      <c r="D10" s="134">
        <v>45</v>
      </c>
      <c r="E10" s="61">
        <v>26</v>
      </c>
      <c r="F10" s="61" t="s">
        <v>97</v>
      </c>
      <c r="G10" s="12">
        <v>26</v>
      </c>
      <c r="H10" s="12"/>
      <c r="I10" s="146">
        <v>34</v>
      </c>
      <c r="J10" s="146" t="s">
        <v>97</v>
      </c>
      <c r="K10" s="24">
        <v>34</v>
      </c>
      <c r="L10" s="24"/>
      <c r="M10" s="24">
        <v>12</v>
      </c>
      <c r="N10" s="24" t="s">
        <v>97</v>
      </c>
      <c r="O10" s="24">
        <v>12</v>
      </c>
      <c r="P10" s="24"/>
      <c r="Q10" s="23">
        <v>22</v>
      </c>
      <c r="R10" s="294" t="s">
        <v>97</v>
      </c>
      <c r="S10" s="23">
        <v>22</v>
      </c>
      <c r="T10" s="23">
        <v>2</v>
      </c>
      <c r="U10" s="294" t="s">
        <v>97</v>
      </c>
      <c r="V10" s="23">
        <v>2</v>
      </c>
      <c r="W10" s="23"/>
      <c r="X10" s="23">
        <v>43</v>
      </c>
      <c r="Y10" s="23">
        <v>2</v>
      </c>
      <c r="Z10" s="23">
        <v>41</v>
      </c>
      <c r="AA10" s="23">
        <v>9</v>
      </c>
      <c r="AB10" s="23" t="s">
        <v>117</v>
      </c>
      <c r="AC10" s="23">
        <v>9</v>
      </c>
      <c r="AD10" s="23"/>
      <c r="AE10" s="73">
        <v>112</v>
      </c>
      <c r="AF10" s="73" t="s">
        <v>0</v>
      </c>
      <c r="AG10" s="73">
        <v>112</v>
      </c>
      <c r="AH10" s="73">
        <v>97</v>
      </c>
      <c r="AI10" s="73">
        <v>1</v>
      </c>
      <c r="AJ10" s="73">
        <v>96</v>
      </c>
    </row>
    <row r="11" spans="1:38" ht="29.1" customHeight="1">
      <c r="A11" s="271" t="s">
        <v>203</v>
      </c>
      <c r="B11" s="61">
        <v>14</v>
      </c>
      <c r="C11" s="76" t="s">
        <v>97</v>
      </c>
      <c r="D11" s="134">
        <v>14</v>
      </c>
      <c r="E11" s="61">
        <v>16</v>
      </c>
      <c r="F11" s="61" t="s">
        <v>97</v>
      </c>
      <c r="G11" s="12">
        <v>16</v>
      </c>
      <c r="H11" s="12"/>
      <c r="I11" s="146">
        <v>22</v>
      </c>
      <c r="J11" s="146">
        <v>1</v>
      </c>
      <c r="K11" s="24">
        <v>21</v>
      </c>
      <c r="L11" s="24"/>
      <c r="M11" s="24">
        <v>18</v>
      </c>
      <c r="N11" s="24" t="s">
        <v>97</v>
      </c>
      <c r="O11" s="24">
        <v>18</v>
      </c>
      <c r="P11" s="24"/>
      <c r="Q11" s="23">
        <v>12</v>
      </c>
      <c r="R11" s="294" t="s">
        <v>97</v>
      </c>
      <c r="S11" s="23">
        <v>12</v>
      </c>
      <c r="T11" s="23">
        <v>10</v>
      </c>
      <c r="U11" s="294" t="s">
        <v>97</v>
      </c>
      <c r="V11" s="23">
        <v>10</v>
      </c>
      <c r="W11" s="23"/>
      <c r="X11" s="23">
        <v>37</v>
      </c>
      <c r="Y11" s="23" t="s">
        <v>117</v>
      </c>
      <c r="Z11" s="23">
        <v>37</v>
      </c>
      <c r="AA11" s="23">
        <v>24</v>
      </c>
      <c r="AB11" s="23" t="s">
        <v>117</v>
      </c>
      <c r="AC11" s="23">
        <v>24</v>
      </c>
      <c r="AD11" s="23"/>
      <c r="AE11" s="73">
        <v>55</v>
      </c>
      <c r="AF11" s="73">
        <v>3</v>
      </c>
      <c r="AG11" s="73">
        <v>52</v>
      </c>
      <c r="AH11" s="73">
        <v>257</v>
      </c>
      <c r="AI11" s="73">
        <v>38</v>
      </c>
      <c r="AJ11" s="73">
        <v>219</v>
      </c>
    </row>
    <row r="12" spans="1:38" ht="29.1" customHeight="1">
      <c r="A12" s="271" t="s">
        <v>204</v>
      </c>
      <c r="B12" s="61">
        <v>26</v>
      </c>
      <c r="C12" s="76" t="s">
        <v>97</v>
      </c>
      <c r="D12" s="134">
        <v>26</v>
      </c>
      <c r="E12" s="61">
        <v>14</v>
      </c>
      <c r="F12" s="61" t="s">
        <v>97</v>
      </c>
      <c r="G12" s="12">
        <v>14</v>
      </c>
      <c r="H12" s="12"/>
      <c r="I12" s="146">
        <v>22</v>
      </c>
      <c r="J12" s="146" t="s">
        <v>97</v>
      </c>
      <c r="K12" s="24">
        <v>22</v>
      </c>
      <c r="L12" s="24"/>
      <c r="M12" s="24">
        <v>16</v>
      </c>
      <c r="N12" s="24" t="s">
        <v>97</v>
      </c>
      <c r="O12" s="24">
        <v>16</v>
      </c>
      <c r="P12" s="24"/>
      <c r="Q12" s="23">
        <v>16</v>
      </c>
      <c r="R12" s="294" t="s">
        <v>97</v>
      </c>
      <c r="S12" s="23">
        <v>16</v>
      </c>
      <c r="T12" s="23">
        <v>6</v>
      </c>
      <c r="U12" s="294" t="s">
        <v>97</v>
      </c>
      <c r="V12" s="23">
        <v>6</v>
      </c>
      <c r="W12" s="23"/>
      <c r="X12" s="23">
        <v>27</v>
      </c>
      <c r="Y12" s="23" t="s">
        <v>117</v>
      </c>
      <c r="Z12" s="23">
        <v>27</v>
      </c>
      <c r="AA12" s="23">
        <v>12</v>
      </c>
      <c r="AB12" s="23" t="s">
        <v>117</v>
      </c>
      <c r="AC12" s="23">
        <v>12</v>
      </c>
      <c r="AD12" s="23"/>
      <c r="AE12" s="73">
        <v>113</v>
      </c>
      <c r="AF12" s="73" t="s">
        <v>0</v>
      </c>
      <c r="AG12" s="73">
        <v>113</v>
      </c>
      <c r="AH12" s="73">
        <v>86</v>
      </c>
      <c r="AI12" s="73">
        <v>3</v>
      </c>
      <c r="AJ12" s="73">
        <v>83</v>
      </c>
    </row>
    <row r="13" spans="1:38" ht="29.1" customHeight="1">
      <c r="A13" s="271" t="s">
        <v>240</v>
      </c>
      <c r="B13" s="61">
        <v>15</v>
      </c>
      <c r="C13" s="76" t="s">
        <v>97</v>
      </c>
      <c r="D13" s="134">
        <v>15</v>
      </c>
      <c r="E13" s="61">
        <v>17</v>
      </c>
      <c r="F13" s="61" t="s">
        <v>97</v>
      </c>
      <c r="G13" s="12">
        <v>17</v>
      </c>
      <c r="H13" s="12"/>
      <c r="I13" s="146">
        <v>25</v>
      </c>
      <c r="J13" s="146">
        <v>5</v>
      </c>
      <c r="K13" s="24">
        <v>20</v>
      </c>
      <c r="L13" s="24"/>
      <c r="M13" s="24">
        <v>9</v>
      </c>
      <c r="N13" s="24">
        <v>2</v>
      </c>
      <c r="O13" s="24">
        <v>7</v>
      </c>
      <c r="P13" s="24"/>
      <c r="Q13" s="23" t="s">
        <v>117</v>
      </c>
      <c r="R13" s="23" t="s">
        <v>117</v>
      </c>
      <c r="S13" s="23" t="s">
        <v>117</v>
      </c>
      <c r="T13" s="23" t="s">
        <v>117</v>
      </c>
      <c r="U13" s="23" t="s">
        <v>117</v>
      </c>
      <c r="V13" s="23" t="s">
        <v>117</v>
      </c>
      <c r="W13" s="23"/>
      <c r="X13" s="23">
        <v>24</v>
      </c>
      <c r="Y13" s="23" t="s">
        <v>117</v>
      </c>
      <c r="Z13" s="23">
        <v>24</v>
      </c>
      <c r="AA13" s="23">
        <v>5</v>
      </c>
      <c r="AB13" s="23">
        <v>3</v>
      </c>
      <c r="AC13" s="23">
        <v>2</v>
      </c>
      <c r="AD13" s="23"/>
      <c r="AE13" s="73">
        <v>69</v>
      </c>
      <c r="AF13" s="73">
        <v>9</v>
      </c>
      <c r="AG13" s="73">
        <v>60</v>
      </c>
      <c r="AH13" s="73">
        <v>93</v>
      </c>
      <c r="AI13" s="73">
        <v>6</v>
      </c>
      <c r="AJ13" s="73">
        <v>87</v>
      </c>
    </row>
    <row r="14" spans="1:38" ht="29.1" customHeight="1">
      <c r="A14" s="271" t="s">
        <v>241</v>
      </c>
      <c r="B14" s="61">
        <v>8</v>
      </c>
      <c r="C14" s="76" t="s">
        <v>97</v>
      </c>
      <c r="D14" s="134">
        <v>8</v>
      </c>
      <c r="E14" s="61">
        <v>6</v>
      </c>
      <c r="F14" s="61" t="s">
        <v>97</v>
      </c>
      <c r="G14" s="12">
        <v>6</v>
      </c>
      <c r="H14" s="12"/>
      <c r="I14" s="146">
        <v>10</v>
      </c>
      <c r="J14" s="146">
        <v>4</v>
      </c>
      <c r="K14" s="24">
        <v>6</v>
      </c>
      <c r="L14" s="24"/>
      <c r="M14" s="24">
        <v>5</v>
      </c>
      <c r="N14" s="24" t="s">
        <v>97</v>
      </c>
      <c r="O14" s="24">
        <v>5</v>
      </c>
      <c r="P14" s="24"/>
      <c r="Q14" s="23" t="s">
        <v>117</v>
      </c>
      <c r="R14" s="23" t="s">
        <v>117</v>
      </c>
      <c r="S14" s="23" t="s">
        <v>117</v>
      </c>
      <c r="T14" s="23" t="s">
        <v>117</v>
      </c>
      <c r="U14" s="23" t="s">
        <v>117</v>
      </c>
      <c r="V14" s="23" t="s">
        <v>117</v>
      </c>
      <c r="W14" s="23"/>
      <c r="X14" s="23">
        <v>4</v>
      </c>
      <c r="Y14" s="23">
        <v>2</v>
      </c>
      <c r="Z14" s="23">
        <v>2</v>
      </c>
      <c r="AA14" s="23" t="s">
        <v>117</v>
      </c>
      <c r="AB14" s="23" t="s">
        <v>117</v>
      </c>
      <c r="AC14" s="23" t="s">
        <v>0</v>
      </c>
      <c r="AD14" s="23"/>
      <c r="AE14" s="73">
        <v>9</v>
      </c>
      <c r="AF14" s="73" t="s">
        <v>0</v>
      </c>
      <c r="AG14" s="73">
        <v>9</v>
      </c>
      <c r="AH14" s="73">
        <v>40</v>
      </c>
      <c r="AI14" s="73">
        <v>1</v>
      </c>
      <c r="AJ14" s="73">
        <v>39</v>
      </c>
    </row>
    <row r="15" spans="1:38" ht="29.1" customHeight="1">
      <c r="A15" s="271" t="s">
        <v>242</v>
      </c>
      <c r="B15" s="61">
        <v>13</v>
      </c>
      <c r="C15" s="76" t="s">
        <v>97</v>
      </c>
      <c r="D15" s="134">
        <v>13</v>
      </c>
      <c r="E15" s="61">
        <v>9</v>
      </c>
      <c r="F15" s="61">
        <v>1</v>
      </c>
      <c r="G15" s="12">
        <v>8</v>
      </c>
      <c r="H15" s="12"/>
      <c r="I15" s="146">
        <v>15</v>
      </c>
      <c r="J15" s="146">
        <v>4</v>
      </c>
      <c r="K15" s="24">
        <v>11</v>
      </c>
      <c r="L15" s="24"/>
      <c r="M15" s="24">
        <v>2</v>
      </c>
      <c r="N15" s="24" t="s">
        <v>97</v>
      </c>
      <c r="O15" s="24">
        <v>2</v>
      </c>
      <c r="P15" s="24"/>
      <c r="Q15" s="23" t="s">
        <v>117</v>
      </c>
      <c r="R15" s="23" t="s">
        <v>117</v>
      </c>
      <c r="S15" s="23" t="s">
        <v>117</v>
      </c>
      <c r="T15" s="23" t="s">
        <v>117</v>
      </c>
      <c r="U15" s="23" t="s">
        <v>117</v>
      </c>
      <c r="V15" s="23" t="s">
        <v>117</v>
      </c>
      <c r="W15" s="23"/>
      <c r="X15" s="23">
        <v>5</v>
      </c>
      <c r="Y15" s="23">
        <v>2</v>
      </c>
      <c r="Z15" s="23">
        <v>3</v>
      </c>
      <c r="AA15" s="23">
        <v>8</v>
      </c>
      <c r="AB15" s="23" t="s">
        <v>117</v>
      </c>
      <c r="AC15" s="23">
        <v>8</v>
      </c>
      <c r="AD15" s="23"/>
      <c r="AE15" s="73">
        <v>22</v>
      </c>
      <c r="AF15" s="73">
        <v>1</v>
      </c>
      <c r="AG15" s="73">
        <v>21</v>
      </c>
      <c r="AH15" s="73">
        <v>47</v>
      </c>
      <c r="AI15" s="73" t="s">
        <v>0</v>
      </c>
      <c r="AJ15" s="73">
        <v>47</v>
      </c>
    </row>
    <row r="16" spans="1:38" ht="29.1" customHeight="1">
      <c r="A16" s="271" t="s">
        <v>243</v>
      </c>
      <c r="B16" s="61">
        <v>20</v>
      </c>
      <c r="C16" s="76" t="s">
        <v>97</v>
      </c>
      <c r="D16" s="134">
        <v>20</v>
      </c>
      <c r="E16" s="61">
        <v>6</v>
      </c>
      <c r="F16" s="61" t="s">
        <v>97</v>
      </c>
      <c r="G16" s="12">
        <v>6</v>
      </c>
      <c r="H16" s="12"/>
      <c r="I16" s="146">
        <v>11</v>
      </c>
      <c r="J16" s="146">
        <v>1</v>
      </c>
      <c r="K16" s="24">
        <v>10</v>
      </c>
      <c r="L16" s="24"/>
      <c r="M16" s="24">
        <v>4</v>
      </c>
      <c r="N16" s="24" t="s">
        <v>97</v>
      </c>
      <c r="O16" s="24">
        <v>4</v>
      </c>
      <c r="P16" s="24"/>
      <c r="Q16" s="23" t="s">
        <v>117</v>
      </c>
      <c r="R16" s="23" t="s">
        <v>117</v>
      </c>
      <c r="S16" s="23" t="s">
        <v>117</v>
      </c>
      <c r="T16" s="23" t="s">
        <v>117</v>
      </c>
      <c r="U16" s="23" t="s">
        <v>117</v>
      </c>
      <c r="V16" s="23" t="s">
        <v>117</v>
      </c>
      <c r="W16" s="23"/>
      <c r="X16" s="23">
        <v>10</v>
      </c>
      <c r="Y16" s="23" t="s">
        <v>117</v>
      </c>
      <c r="Z16" s="23">
        <v>10</v>
      </c>
      <c r="AA16" s="23">
        <v>9</v>
      </c>
      <c r="AB16" s="23">
        <v>1</v>
      </c>
      <c r="AC16" s="23">
        <v>8</v>
      </c>
      <c r="AD16" s="23"/>
      <c r="AE16" s="73">
        <v>28</v>
      </c>
      <c r="AF16" s="73" t="s">
        <v>0</v>
      </c>
      <c r="AG16" s="73">
        <v>28</v>
      </c>
      <c r="AH16" s="73">
        <v>26</v>
      </c>
      <c r="AI16" s="73">
        <v>1</v>
      </c>
      <c r="AJ16" s="73">
        <v>25</v>
      </c>
    </row>
    <row r="17" spans="1:36" ht="29.1" customHeight="1">
      <c r="A17" s="271" t="s">
        <v>244</v>
      </c>
      <c r="B17" s="61">
        <v>13</v>
      </c>
      <c r="C17" s="76" t="s">
        <v>97</v>
      </c>
      <c r="D17" s="134">
        <v>13</v>
      </c>
      <c r="E17" s="61" t="s">
        <v>97</v>
      </c>
      <c r="F17" s="61" t="s">
        <v>97</v>
      </c>
      <c r="G17" s="61" t="s">
        <v>97</v>
      </c>
      <c r="H17" s="12"/>
      <c r="I17" s="146">
        <v>12</v>
      </c>
      <c r="J17" s="146" t="s">
        <v>97</v>
      </c>
      <c r="K17" s="24">
        <v>12</v>
      </c>
      <c r="L17" s="24"/>
      <c r="M17" s="24">
        <v>4</v>
      </c>
      <c r="N17" s="24">
        <v>1</v>
      </c>
      <c r="O17" s="24">
        <v>3</v>
      </c>
      <c r="P17" s="24"/>
      <c r="Q17" s="23" t="s">
        <v>117</v>
      </c>
      <c r="R17" s="23" t="s">
        <v>117</v>
      </c>
      <c r="S17" s="23" t="s">
        <v>117</v>
      </c>
      <c r="T17" s="23" t="s">
        <v>117</v>
      </c>
      <c r="U17" s="23" t="s">
        <v>117</v>
      </c>
      <c r="V17" s="23" t="s">
        <v>117</v>
      </c>
      <c r="W17" s="23"/>
      <c r="X17" s="23">
        <v>12</v>
      </c>
      <c r="Y17" s="23">
        <v>1</v>
      </c>
      <c r="Z17" s="23">
        <v>11</v>
      </c>
      <c r="AA17" s="23">
        <v>7</v>
      </c>
      <c r="AB17" s="23" t="s">
        <v>117</v>
      </c>
      <c r="AC17" s="23">
        <v>7</v>
      </c>
      <c r="AD17" s="23"/>
      <c r="AE17" s="73">
        <v>28</v>
      </c>
      <c r="AF17" s="73" t="s">
        <v>0</v>
      </c>
      <c r="AG17" s="73">
        <v>28</v>
      </c>
      <c r="AH17" s="73">
        <v>26</v>
      </c>
      <c r="AI17" s="73" t="s">
        <v>0</v>
      </c>
      <c r="AJ17" s="73">
        <v>26</v>
      </c>
    </row>
    <row r="18" spans="1:36" ht="29.1" customHeight="1">
      <c r="A18" s="271" t="s">
        <v>245</v>
      </c>
      <c r="B18" s="61">
        <v>12</v>
      </c>
      <c r="C18" s="76" t="s">
        <v>97</v>
      </c>
      <c r="D18" s="134">
        <v>12</v>
      </c>
      <c r="E18" s="61">
        <v>12</v>
      </c>
      <c r="F18" s="61">
        <v>2</v>
      </c>
      <c r="G18" s="12">
        <v>10</v>
      </c>
      <c r="H18" s="12"/>
      <c r="I18" s="146">
        <v>2</v>
      </c>
      <c r="J18" s="146" t="s">
        <v>97</v>
      </c>
      <c r="K18" s="24">
        <v>2</v>
      </c>
      <c r="L18" s="24"/>
      <c r="M18" s="24">
        <v>7</v>
      </c>
      <c r="N18" s="24" t="s">
        <v>97</v>
      </c>
      <c r="O18" s="24">
        <v>7</v>
      </c>
      <c r="P18" s="24"/>
      <c r="Q18" s="23" t="s">
        <v>117</v>
      </c>
      <c r="R18" s="23" t="s">
        <v>117</v>
      </c>
      <c r="S18" s="23" t="s">
        <v>117</v>
      </c>
      <c r="T18" s="23" t="s">
        <v>117</v>
      </c>
      <c r="U18" s="23" t="s">
        <v>117</v>
      </c>
      <c r="V18" s="23" t="s">
        <v>117</v>
      </c>
      <c r="W18" s="23"/>
      <c r="X18" s="23">
        <v>5</v>
      </c>
      <c r="Y18" s="23">
        <v>1</v>
      </c>
      <c r="Z18" s="23">
        <v>4</v>
      </c>
      <c r="AA18" s="23">
        <v>3</v>
      </c>
      <c r="AB18" s="23" t="s">
        <v>117</v>
      </c>
      <c r="AC18" s="23">
        <v>3</v>
      </c>
      <c r="AD18" s="23"/>
      <c r="AE18" s="73">
        <v>27</v>
      </c>
      <c r="AF18" s="73" t="s">
        <v>0</v>
      </c>
      <c r="AG18" s="73">
        <v>27</v>
      </c>
      <c r="AH18" s="73">
        <v>48</v>
      </c>
      <c r="AI18" s="73">
        <v>8</v>
      </c>
      <c r="AJ18" s="73">
        <v>40</v>
      </c>
    </row>
    <row r="19" spans="1:36" ht="29.1" customHeight="1">
      <c r="A19" s="271" t="s">
        <v>246</v>
      </c>
      <c r="B19" s="61">
        <v>19</v>
      </c>
      <c r="C19" s="76" t="s">
        <v>97</v>
      </c>
      <c r="D19" s="134">
        <v>19</v>
      </c>
      <c r="E19" s="61">
        <v>5</v>
      </c>
      <c r="F19" s="61" t="s">
        <v>97</v>
      </c>
      <c r="G19" s="12">
        <v>5</v>
      </c>
      <c r="H19" s="12"/>
      <c r="I19" s="146">
        <v>22</v>
      </c>
      <c r="J19" s="146">
        <v>1</v>
      </c>
      <c r="K19" s="24">
        <v>21</v>
      </c>
      <c r="L19" s="24"/>
      <c r="M19" s="24">
        <v>11</v>
      </c>
      <c r="N19" s="24">
        <v>4</v>
      </c>
      <c r="O19" s="24">
        <v>7</v>
      </c>
      <c r="P19" s="24"/>
      <c r="Q19" s="23" t="s">
        <v>117</v>
      </c>
      <c r="R19" s="23" t="s">
        <v>117</v>
      </c>
      <c r="S19" s="23" t="s">
        <v>117</v>
      </c>
      <c r="T19" s="23" t="s">
        <v>117</v>
      </c>
      <c r="U19" s="23" t="s">
        <v>117</v>
      </c>
      <c r="V19" s="23" t="s">
        <v>117</v>
      </c>
      <c r="W19" s="23"/>
      <c r="X19" s="23">
        <v>13</v>
      </c>
      <c r="Y19" s="23">
        <v>1</v>
      </c>
      <c r="Z19" s="23">
        <v>12</v>
      </c>
      <c r="AA19" s="23">
        <v>12</v>
      </c>
      <c r="AB19" s="23" t="s">
        <v>117</v>
      </c>
      <c r="AC19" s="23">
        <v>12</v>
      </c>
      <c r="AD19" s="23"/>
      <c r="AE19" s="73">
        <v>76</v>
      </c>
      <c r="AF19" s="73">
        <v>1</v>
      </c>
      <c r="AG19" s="73">
        <v>75</v>
      </c>
      <c r="AH19" s="73">
        <v>59</v>
      </c>
      <c r="AI19" s="73" t="s">
        <v>0</v>
      </c>
      <c r="AJ19" s="73">
        <v>59</v>
      </c>
    </row>
    <row r="20" spans="1:36" ht="29.1" customHeight="1">
      <c r="A20" s="271" t="s">
        <v>247</v>
      </c>
      <c r="B20" s="61">
        <v>15</v>
      </c>
      <c r="C20" s="76" t="s">
        <v>97</v>
      </c>
      <c r="D20" s="134">
        <v>15</v>
      </c>
      <c r="E20" s="61">
        <v>13</v>
      </c>
      <c r="F20" s="61" t="s">
        <v>97</v>
      </c>
      <c r="G20" s="12">
        <v>13</v>
      </c>
      <c r="H20" s="12"/>
      <c r="I20" s="146">
        <v>11</v>
      </c>
      <c r="J20" s="146">
        <v>1</v>
      </c>
      <c r="K20" s="24">
        <v>10</v>
      </c>
      <c r="L20" s="24"/>
      <c r="M20" s="24">
        <v>8</v>
      </c>
      <c r="N20" s="24" t="s">
        <v>97</v>
      </c>
      <c r="O20" s="24">
        <v>8</v>
      </c>
      <c r="P20" s="24"/>
      <c r="Q20" s="23" t="s">
        <v>117</v>
      </c>
      <c r="R20" s="23" t="s">
        <v>117</v>
      </c>
      <c r="S20" s="23" t="s">
        <v>117</v>
      </c>
      <c r="T20" s="23" t="s">
        <v>117</v>
      </c>
      <c r="U20" s="23" t="s">
        <v>117</v>
      </c>
      <c r="V20" s="23" t="s">
        <v>117</v>
      </c>
      <c r="W20" s="23"/>
      <c r="X20" s="23">
        <v>12</v>
      </c>
      <c r="Y20" s="23">
        <v>3</v>
      </c>
      <c r="Z20" s="23">
        <v>9</v>
      </c>
      <c r="AA20" s="23" t="s">
        <v>117</v>
      </c>
      <c r="AB20" s="23" t="s">
        <v>117</v>
      </c>
      <c r="AC20" s="23" t="s">
        <v>0</v>
      </c>
      <c r="AD20" s="23"/>
      <c r="AE20" s="73">
        <v>25</v>
      </c>
      <c r="AF20" s="73">
        <v>5</v>
      </c>
      <c r="AG20" s="73">
        <v>20</v>
      </c>
      <c r="AH20" s="73">
        <v>29</v>
      </c>
      <c r="AI20" s="73">
        <v>3</v>
      </c>
      <c r="AJ20" s="73">
        <v>26</v>
      </c>
    </row>
    <row r="21" spans="1:36" ht="29.1" customHeight="1">
      <c r="A21" s="271" t="s">
        <v>248</v>
      </c>
      <c r="B21" s="61">
        <v>9</v>
      </c>
      <c r="C21" s="76" t="s">
        <v>97</v>
      </c>
      <c r="D21" s="134">
        <v>9</v>
      </c>
      <c r="E21" s="61">
        <v>13</v>
      </c>
      <c r="F21" s="61" t="s">
        <v>97</v>
      </c>
      <c r="G21" s="12">
        <v>13</v>
      </c>
      <c r="H21" s="12"/>
      <c r="I21" s="146">
        <v>13</v>
      </c>
      <c r="J21" s="146">
        <v>1</v>
      </c>
      <c r="K21" s="24">
        <v>12</v>
      </c>
      <c r="L21" s="24"/>
      <c r="M21" s="24">
        <v>6</v>
      </c>
      <c r="N21" s="24">
        <v>1</v>
      </c>
      <c r="O21" s="24">
        <v>5</v>
      </c>
      <c r="P21" s="24"/>
      <c r="Q21" s="23" t="s">
        <v>117</v>
      </c>
      <c r="R21" s="23" t="s">
        <v>117</v>
      </c>
      <c r="S21" s="23" t="s">
        <v>117</v>
      </c>
      <c r="T21" s="23" t="s">
        <v>117</v>
      </c>
      <c r="U21" s="23" t="s">
        <v>117</v>
      </c>
      <c r="V21" s="23" t="s">
        <v>117</v>
      </c>
      <c r="W21" s="23"/>
      <c r="X21" s="23">
        <v>18</v>
      </c>
      <c r="Y21" s="23" t="s">
        <v>117</v>
      </c>
      <c r="Z21" s="23">
        <v>18</v>
      </c>
      <c r="AA21" s="23">
        <v>2</v>
      </c>
      <c r="AB21" s="23" t="s">
        <v>117</v>
      </c>
      <c r="AC21" s="23">
        <v>2</v>
      </c>
      <c r="AD21" s="23"/>
      <c r="AE21" s="73">
        <v>29</v>
      </c>
      <c r="AF21" s="73">
        <v>2</v>
      </c>
      <c r="AG21" s="73">
        <v>27</v>
      </c>
      <c r="AH21" s="73">
        <v>13</v>
      </c>
      <c r="AI21" s="73" t="s">
        <v>0</v>
      </c>
      <c r="AJ21" s="73">
        <v>13</v>
      </c>
    </row>
    <row r="22" spans="1:36" ht="29.1" customHeight="1">
      <c r="A22" s="271" t="s">
        <v>205</v>
      </c>
      <c r="B22" s="61">
        <v>6</v>
      </c>
      <c r="C22" s="76" t="s">
        <v>97</v>
      </c>
      <c r="D22" s="134">
        <v>6</v>
      </c>
      <c r="E22" s="61" t="s">
        <v>97</v>
      </c>
      <c r="F22" s="61" t="s">
        <v>97</v>
      </c>
      <c r="G22" s="61" t="s">
        <v>97</v>
      </c>
      <c r="H22" s="12"/>
      <c r="I22" s="146">
        <v>8</v>
      </c>
      <c r="J22" s="146">
        <v>2</v>
      </c>
      <c r="K22" s="24">
        <v>6</v>
      </c>
      <c r="L22" s="24"/>
      <c r="M22" s="24" t="s">
        <v>97</v>
      </c>
      <c r="N22" s="24" t="s">
        <v>97</v>
      </c>
      <c r="O22" s="24" t="s">
        <v>97</v>
      </c>
      <c r="P22" s="24"/>
      <c r="Q22" s="23" t="s">
        <v>117</v>
      </c>
      <c r="R22" s="23" t="s">
        <v>117</v>
      </c>
      <c r="S22" s="23" t="s">
        <v>117</v>
      </c>
      <c r="T22" s="23" t="s">
        <v>117</v>
      </c>
      <c r="U22" s="23" t="s">
        <v>117</v>
      </c>
      <c r="V22" s="23" t="s">
        <v>117</v>
      </c>
      <c r="W22" s="23"/>
      <c r="X22" s="23">
        <v>3</v>
      </c>
      <c r="Y22" s="23" t="s">
        <v>117</v>
      </c>
      <c r="Z22" s="23">
        <v>3</v>
      </c>
      <c r="AA22" s="23">
        <v>1</v>
      </c>
      <c r="AB22" s="23">
        <v>1</v>
      </c>
      <c r="AC22" s="23" t="s">
        <v>0</v>
      </c>
      <c r="AD22" s="23"/>
      <c r="AE22" s="73">
        <v>4</v>
      </c>
      <c r="AF22" s="73">
        <v>3</v>
      </c>
      <c r="AG22" s="73">
        <v>1</v>
      </c>
      <c r="AH22" s="73" t="s">
        <v>0</v>
      </c>
      <c r="AI22" s="73" t="s">
        <v>0</v>
      </c>
      <c r="AJ22" s="73" t="s">
        <v>0</v>
      </c>
    </row>
    <row r="23" spans="1:36" ht="29.1" customHeight="1">
      <c r="A23" s="271" t="s">
        <v>206</v>
      </c>
      <c r="B23" s="61" t="s">
        <v>97</v>
      </c>
      <c r="C23" s="76" t="s">
        <v>97</v>
      </c>
      <c r="D23" s="76" t="s">
        <v>97</v>
      </c>
      <c r="E23" s="61" t="s">
        <v>97</v>
      </c>
      <c r="F23" s="61" t="s">
        <v>97</v>
      </c>
      <c r="G23" s="61" t="s">
        <v>97</v>
      </c>
      <c r="H23" s="12"/>
      <c r="I23" s="146">
        <v>1</v>
      </c>
      <c r="J23" s="146">
        <v>1</v>
      </c>
      <c r="K23" s="146" t="s">
        <v>97</v>
      </c>
      <c r="L23" s="24"/>
      <c r="M23" s="24" t="s">
        <v>97</v>
      </c>
      <c r="N23" s="24" t="s">
        <v>97</v>
      </c>
      <c r="O23" s="24" t="s">
        <v>97</v>
      </c>
      <c r="P23" s="24"/>
      <c r="Q23" s="23" t="s">
        <v>117</v>
      </c>
      <c r="R23" s="23" t="s">
        <v>117</v>
      </c>
      <c r="S23" s="23" t="s">
        <v>117</v>
      </c>
      <c r="T23" s="23" t="s">
        <v>117</v>
      </c>
      <c r="U23" s="23" t="s">
        <v>117</v>
      </c>
      <c r="V23" s="23" t="s">
        <v>117</v>
      </c>
      <c r="W23" s="23"/>
      <c r="X23" s="23">
        <v>2</v>
      </c>
      <c r="Y23" s="23" t="s">
        <v>117</v>
      </c>
      <c r="Z23" s="23">
        <v>2</v>
      </c>
      <c r="AA23" s="23" t="s">
        <v>117</v>
      </c>
      <c r="AB23" s="23" t="s">
        <v>117</v>
      </c>
      <c r="AC23" s="23" t="s">
        <v>0</v>
      </c>
      <c r="AD23" s="23"/>
      <c r="AE23" s="73">
        <v>5</v>
      </c>
      <c r="AF23" s="73">
        <v>5</v>
      </c>
      <c r="AG23" s="73" t="s">
        <v>0</v>
      </c>
      <c r="AH23" s="73">
        <v>3</v>
      </c>
      <c r="AI23" s="73">
        <v>3</v>
      </c>
      <c r="AJ23" s="73" t="s">
        <v>0</v>
      </c>
    </row>
    <row r="24" spans="1:36" ht="29.1" customHeight="1">
      <c r="A24" s="271" t="s">
        <v>207</v>
      </c>
      <c r="B24" s="61">
        <v>4</v>
      </c>
      <c r="C24" s="76" t="s">
        <v>97</v>
      </c>
      <c r="D24" s="134">
        <v>4</v>
      </c>
      <c r="E24" s="61">
        <v>3</v>
      </c>
      <c r="F24" s="61" t="s">
        <v>97</v>
      </c>
      <c r="G24" s="100">
        <v>3</v>
      </c>
      <c r="H24" s="100"/>
      <c r="I24" s="146">
        <v>7</v>
      </c>
      <c r="J24" s="146">
        <v>1</v>
      </c>
      <c r="K24" s="24">
        <v>6</v>
      </c>
      <c r="L24" s="24"/>
      <c r="M24" s="24">
        <v>5</v>
      </c>
      <c r="N24" s="24">
        <v>2</v>
      </c>
      <c r="O24" s="24">
        <v>3</v>
      </c>
      <c r="P24" s="24"/>
      <c r="Q24" s="23" t="s">
        <v>117</v>
      </c>
      <c r="R24" s="23" t="s">
        <v>117</v>
      </c>
      <c r="S24" s="23" t="s">
        <v>117</v>
      </c>
      <c r="T24" s="23" t="s">
        <v>117</v>
      </c>
      <c r="U24" s="23" t="s">
        <v>117</v>
      </c>
      <c r="V24" s="23" t="s">
        <v>117</v>
      </c>
      <c r="W24" s="23"/>
      <c r="X24" s="23">
        <v>8</v>
      </c>
      <c r="Y24" s="23">
        <v>3</v>
      </c>
      <c r="Z24" s="23">
        <v>5</v>
      </c>
      <c r="AA24" s="23">
        <v>1</v>
      </c>
      <c r="AB24" s="23" t="s">
        <v>117</v>
      </c>
      <c r="AC24" s="23">
        <v>1</v>
      </c>
      <c r="AD24" s="23"/>
      <c r="AE24" s="73">
        <v>17</v>
      </c>
      <c r="AF24" s="73">
        <v>6</v>
      </c>
      <c r="AG24" s="73">
        <v>11</v>
      </c>
      <c r="AH24" s="73">
        <v>30</v>
      </c>
      <c r="AI24" s="73">
        <v>5</v>
      </c>
      <c r="AJ24" s="73">
        <v>25</v>
      </c>
    </row>
    <row r="25" spans="1:36" ht="29.1" customHeight="1">
      <c r="A25" s="271" t="s">
        <v>208</v>
      </c>
      <c r="B25" s="61" t="s">
        <v>97</v>
      </c>
      <c r="C25" s="76" t="s">
        <v>97</v>
      </c>
      <c r="D25" s="134"/>
      <c r="E25" s="61"/>
      <c r="F25" s="61" t="s">
        <v>97</v>
      </c>
      <c r="G25" s="61" t="s">
        <v>97</v>
      </c>
      <c r="H25" s="100"/>
      <c r="I25" s="146" t="s">
        <v>97</v>
      </c>
      <c r="J25" s="146" t="s">
        <v>97</v>
      </c>
      <c r="K25" s="146" t="s">
        <v>97</v>
      </c>
      <c r="L25" s="146"/>
      <c r="M25" s="146" t="s">
        <v>97</v>
      </c>
      <c r="N25" s="146" t="s">
        <v>97</v>
      </c>
      <c r="O25" s="146" t="s">
        <v>97</v>
      </c>
      <c r="P25" s="24"/>
      <c r="Q25" s="23" t="s">
        <v>117</v>
      </c>
      <c r="R25" s="23" t="s">
        <v>117</v>
      </c>
      <c r="S25" s="23" t="s">
        <v>117</v>
      </c>
      <c r="T25" s="23" t="s">
        <v>117</v>
      </c>
      <c r="U25" s="23" t="s">
        <v>117</v>
      </c>
      <c r="V25" s="23" t="s">
        <v>117</v>
      </c>
      <c r="W25" s="23"/>
      <c r="X25" s="23">
        <v>4</v>
      </c>
      <c r="Y25" s="23" t="s">
        <v>117</v>
      </c>
      <c r="Z25" s="23">
        <v>4</v>
      </c>
      <c r="AA25" s="23">
        <v>3</v>
      </c>
      <c r="AB25" s="23">
        <v>1</v>
      </c>
      <c r="AC25" s="23">
        <v>2</v>
      </c>
      <c r="AD25" s="23"/>
      <c r="AE25" s="73">
        <v>4</v>
      </c>
      <c r="AF25" s="73">
        <v>1</v>
      </c>
      <c r="AG25" s="73">
        <v>3</v>
      </c>
      <c r="AH25" s="73">
        <v>2</v>
      </c>
      <c r="AI25" s="73">
        <v>2</v>
      </c>
      <c r="AJ25" s="73" t="s">
        <v>0</v>
      </c>
    </row>
    <row r="26" spans="1:36" ht="29.1" customHeight="1">
      <c r="A26" s="271" t="s">
        <v>209</v>
      </c>
      <c r="B26" s="61">
        <v>3</v>
      </c>
      <c r="C26" s="76" t="s">
        <v>97</v>
      </c>
      <c r="D26" s="134">
        <v>3</v>
      </c>
      <c r="E26" s="61">
        <v>3</v>
      </c>
      <c r="F26" s="61" t="s">
        <v>97</v>
      </c>
      <c r="G26" s="100">
        <v>3</v>
      </c>
      <c r="H26" s="100"/>
      <c r="I26" s="146">
        <v>4</v>
      </c>
      <c r="J26" s="146">
        <v>2</v>
      </c>
      <c r="K26" s="24">
        <v>2</v>
      </c>
      <c r="L26" s="24"/>
      <c r="M26" s="24">
        <v>3</v>
      </c>
      <c r="N26" s="146" t="s">
        <v>97</v>
      </c>
      <c r="O26" s="24">
        <v>3</v>
      </c>
      <c r="P26" s="24"/>
      <c r="Q26" s="23" t="s">
        <v>117</v>
      </c>
      <c r="R26" s="23" t="s">
        <v>117</v>
      </c>
      <c r="S26" s="23" t="s">
        <v>117</v>
      </c>
      <c r="T26" s="23" t="s">
        <v>117</v>
      </c>
      <c r="U26" s="23" t="s">
        <v>117</v>
      </c>
      <c r="V26" s="23" t="s">
        <v>117</v>
      </c>
      <c r="W26" s="23"/>
      <c r="X26" s="23">
        <v>2</v>
      </c>
      <c r="Y26" s="23">
        <v>1</v>
      </c>
      <c r="Z26" s="23">
        <v>1</v>
      </c>
      <c r="AA26" s="23" t="s">
        <v>117</v>
      </c>
      <c r="AB26" s="23" t="s">
        <v>117</v>
      </c>
      <c r="AC26" s="23" t="s">
        <v>0</v>
      </c>
      <c r="AD26" s="23"/>
      <c r="AE26" s="73">
        <v>7</v>
      </c>
      <c r="AF26" s="73">
        <v>3</v>
      </c>
      <c r="AG26" s="73">
        <v>4</v>
      </c>
      <c r="AH26" s="73">
        <v>31</v>
      </c>
      <c r="AI26" s="73">
        <v>9</v>
      </c>
      <c r="AJ26" s="73">
        <v>22</v>
      </c>
    </row>
    <row r="27" spans="1:36" ht="5.0999999999999996" customHeight="1">
      <c r="A27" s="297"/>
      <c r="B27" s="295"/>
      <c r="C27" s="296"/>
      <c r="D27" s="296"/>
      <c r="E27" s="144"/>
      <c r="F27" s="144"/>
      <c r="G27" s="144"/>
      <c r="H27" s="144"/>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t="s">
        <v>45</v>
      </c>
      <c r="AG27" s="145"/>
      <c r="AH27" s="145"/>
      <c r="AI27" s="145"/>
      <c r="AJ27" s="145"/>
    </row>
    <row r="28" spans="1:36" ht="11.1" customHeight="1">
      <c r="A28" s="170"/>
      <c r="B28" s="21"/>
      <c r="C28" s="122"/>
      <c r="D28" s="122"/>
      <c r="E28" s="123"/>
      <c r="F28" s="85"/>
      <c r="G28" s="85"/>
      <c r="H28" s="85"/>
      <c r="AJ28" s="349" t="s">
        <v>562</v>
      </c>
    </row>
    <row r="29" spans="1:36" ht="9" customHeight="1">
      <c r="B29" s="71"/>
      <c r="C29" s="63"/>
      <c r="D29" s="63"/>
      <c r="E29" s="63"/>
      <c r="F29" s="63"/>
      <c r="G29" s="22"/>
      <c r="H29" s="22"/>
    </row>
    <row r="30" spans="1:36" ht="27.75" customHeight="1">
      <c r="A30" s="1243" t="str">
        <f>A1</f>
        <v>8.29   PUNO: DENUNCIAS Y EXPEDIENTES INGRESADOS EN LAS FISCALÍAS CIVIL, DE FAMILIA Y MIXTAS, SOBRE 
            INFRACCIONES COMETIDAS POR ADOLESCENTES, 2021-2023</v>
      </c>
      <c r="B30" s="1243"/>
      <c r="C30" s="1243"/>
      <c r="D30" s="1243"/>
      <c r="E30" s="1243"/>
      <c r="F30" s="1243"/>
      <c r="G30" s="1243"/>
      <c r="H30" s="1243"/>
      <c r="I30" s="1243"/>
      <c r="J30" s="1243"/>
      <c r="K30" s="1243"/>
      <c r="L30" s="1243"/>
      <c r="M30" s="1243"/>
      <c r="N30" s="1243"/>
      <c r="O30" s="1243"/>
      <c r="P30" s="1243"/>
      <c r="Q30" s="1243"/>
      <c r="R30" s="1243"/>
      <c r="S30" s="1243"/>
      <c r="T30" s="1243"/>
      <c r="U30" s="1243"/>
      <c r="V30" s="1243"/>
      <c r="W30" s="1243"/>
      <c r="X30" s="1243"/>
      <c r="Y30" s="1243"/>
      <c r="Z30" s="1243"/>
      <c r="AA30" s="1243"/>
      <c r="AB30" s="1243"/>
      <c r="AC30" s="1243"/>
      <c r="AD30" s="1243"/>
      <c r="AE30" s="1243"/>
      <c r="AF30" s="1243"/>
      <c r="AG30" s="1243"/>
      <c r="AH30" s="1243"/>
      <c r="AI30" s="1243"/>
      <c r="AJ30" s="1243"/>
    </row>
    <row r="31" spans="1:36" ht="5.0999999999999996" customHeight="1">
      <c r="A31" s="17"/>
      <c r="B31" s="71"/>
      <c r="C31" s="63"/>
      <c r="D31" s="63"/>
      <c r="E31" s="63"/>
      <c r="F31" s="71"/>
      <c r="G31" s="22"/>
      <c r="H31" s="22"/>
      <c r="AJ31" s="347"/>
    </row>
    <row r="32" spans="1:36" ht="21.95" customHeight="1">
      <c r="A32" s="1245" t="s">
        <v>53</v>
      </c>
      <c r="B32" s="1249">
        <v>2013</v>
      </c>
      <c r="C32" s="1201"/>
      <c r="D32" s="1201"/>
      <c r="E32" s="1201"/>
      <c r="F32" s="1201"/>
      <c r="G32" s="1201"/>
      <c r="H32" s="282"/>
      <c r="I32" s="1201">
        <v>2014</v>
      </c>
      <c r="J32" s="1201"/>
      <c r="K32" s="1201"/>
      <c r="L32" s="1201"/>
      <c r="M32" s="1201"/>
      <c r="N32" s="1201"/>
      <c r="O32" s="1201"/>
      <c r="P32" s="287"/>
      <c r="Q32" s="1205" t="s">
        <v>269</v>
      </c>
      <c r="R32" s="1205"/>
      <c r="S32" s="1205"/>
      <c r="T32" s="1205"/>
      <c r="U32" s="1205"/>
      <c r="V32" s="1205"/>
      <c r="W32" s="288"/>
      <c r="X32" s="1205">
        <v>2016</v>
      </c>
      <c r="Y32" s="1205"/>
      <c r="Z32" s="1205"/>
      <c r="AA32" s="1205"/>
      <c r="AB32" s="1205"/>
      <c r="AC32" s="1205"/>
      <c r="AD32" s="268"/>
      <c r="AE32" s="1205">
        <v>2022</v>
      </c>
      <c r="AF32" s="1205"/>
      <c r="AG32" s="1205"/>
      <c r="AH32" s="1205"/>
      <c r="AI32" s="1205"/>
      <c r="AJ32" s="1205"/>
    </row>
    <row r="33" spans="1:36" ht="21.95" customHeight="1">
      <c r="A33" s="1246"/>
      <c r="B33" s="1247" t="s">
        <v>58</v>
      </c>
      <c r="C33" s="1244"/>
      <c r="D33" s="1244"/>
      <c r="E33" s="1201" t="s">
        <v>102</v>
      </c>
      <c r="F33" s="1201"/>
      <c r="G33" s="1201"/>
      <c r="H33" s="178"/>
      <c r="I33" s="1244" t="s">
        <v>58</v>
      </c>
      <c r="J33" s="1244"/>
      <c r="K33" s="1244"/>
      <c r="L33" s="289"/>
      <c r="M33" s="289"/>
      <c r="N33" s="283" t="s">
        <v>102</v>
      </c>
      <c r="O33" s="283"/>
      <c r="P33" s="135"/>
      <c r="Q33" s="1248" t="s">
        <v>58</v>
      </c>
      <c r="R33" s="1248"/>
      <c r="S33" s="1248"/>
      <c r="T33" s="1248" t="s">
        <v>102</v>
      </c>
      <c r="U33" s="1248"/>
      <c r="V33" s="1248"/>
      <c r="W33" s="97"/>
      <c r="X33" s="1248" t="s">
        <v>58</v>
      </c>
      <c r="Y33" s="1248"/>
      <c r="Z33" s="1248"/>
      <c r="AA33" s="1248" t="s">
        <v>102</v>
      </c>
      <c r="AB33" s="1248"/>
      <c r="AC33" s="1248"/>
      <c r="AD33" s="97"/>
      <c r="AE33" s="1248" t="s">
        <v>58</v>
      </c>
      <c r="AF33" s="1248"/>
      <c r="AG33" s="1248"/>
      <c r="AH33" s="1248" t="s">
        <v>102</v>
      </c>
      <c r="AI33" s="1248"/>
      <c r="AJ33" s="1248"/>
    </row>
    <row r="34" spans="1:36" ht="21.95" customHeight="1">
      <c r="A34" s="1246"/>
      <c r="B34" s="290" t="s">
        <v>210</v>
      </c>
      <c r="C34" s="284" t="s">
        <v>211</v>
      </c>
      <c r="D34" s="290" t="s">
        <v>212</v>
      </c>
      <c r="E34" s="290" t="s">
        <v>210</v>
      </c>
      <c r="F34" s="284" t="s">
        <v>211</v>
      </c>
      <c r="G34" s="290" t="s">
        <v>212</v>
      </c>
      <c r="H34" s="285"/>
      <c r="I34" s="290" t="s">
        <v>210</v>
      </c>
      <c r="J34" s="284" t="s">
        <v>211</v>
      </c>
      <c r="K34" s="290" t="s">
        <v>212</v>
      </c>
      <c r="L34" s="291"/>
      <c r="M34" s="290" t="s">
        <v>210</v>
      </c>
      <c r="N34" s="290" t="s">
        <v>211</v>
      </c>
      <c r="O34" s="290" t="s">
        <v>212</v>
      </c>
      <c r="P34" s="292"/>
      <c r="Q34" s="281" t="s">
        <v>312</v>
      </c>
      <c r="R34" s="187" t="s">
        <v>310</v>
      </c>
      <c r="S34" s="281" t="s">
        <v>311</v>
      </c>
      <c r="T34" s="281" t="s">
        <v>312</v>
      </c>
      <c r="U34" s="281" t="s">
        <v>310</v>
      </c>
      <c r="V34" s="281" t="s">
        <v>311</v>
      </c>
      <c r="W34" s="298"/>
      <c r="X34" s="281" t="s">
        <v>312</v>
      </c>
      <c r="Y34" s="187" t="s">
        <v>310</v>
      </c>
      <c r="Z34" s="281" t="s">
        <v>311</v>
      </c>
      <c r="AA34" s="281" t="s">
        <v>312</v>
      </c>
      <c r="AB34" s="281" t="s">
        <v>310</v>
      </c>
      <c r="AC34" s="281" t="s">
        <v>311</v>
      </c>
      <c r="AD34" s="298"/>
      <c r="AE34" s="299" t="s">
        <v>312</v>
      </c>
      <c r="AF34" s="300" t="s">
        <v>310</v>
      </c>
      <c r="AG34" s="299" t="s">
        <v>311</v>
      </c>
      <c r="AH34" s="299" t="s">
        <v>312</v>
      </c>
      <c r="AI34" s="281" t="s">
        <v>310</v>
      </c>
      <c r="AJ34" s="299" t="s">
        <v>311</v>
      </c>
    </row>
    <row r="35" spans="1:36" ht="5.0999999999999996" customHeight="1">
      <c r="A35" s="263"/>
      <c r="B35" s="77"/>
      <c r="C35" s="77"/>
      <c r="D35" s="77"/>
      <c r="E35" s="77"/>
      <c r="F35" s="77"/>
      <c r="G35" s="77"/>
      <c r="H35" s="77"/>
      <c r="I35" s="99"/>
      <c r="J35" s="99"/>
      <c r="Q35" s="293"/>
      <c r="R35" s="293"/>
      <c r="S35" s="293"/>
      <c r="T35" s="293"/>
      <c r="U35" s="293"/>
      <c r="V35" s="293"/>
      <c r="W35" s="293"/>
      <c r="X35" s="293"/>
      <c r="Y35" s="293"/>
      <c r="Z35" s="293"/>
      <c r="AA35" s="293"/>
      <c r="AB35" s="293"/>
      <c r="AC35" s="293"/>
      <c r="AD35" s="293"/>
      <c r="AE35" s="293"/>
      <c r="AF35" s="293"/>
      <c r="AG35" s="293"/>
      <c r="AH35" s="293"/>
      <c r="AI35" s="293"/>
      <c r="AJ35" s="293"/>
    </row>
    <row r="36" spans="1:36" ht="27.95" customHeight="1">
      <c r="A36" s="269" t="s">
        <v>2</v>
      </c>
      <c r="B36" s="76">
        <f>SUM(B37:B55)</f>
        <v>272</v>
      </c>
      <c r="C36" s="76" t="s">
        <v>97</v>
      </c>
      <c r="D36" s="76">
        <f>SUM(D37:D55)</f>
        <v>272</v>
      </c>
      <c r="E36" s="76">
        <f>SUM(E37:E55)</f>
        <v>164</v>
      </c>
      <c r="F36" s="76">
        <f>SUM(F37:F55)</f>
        <v>3</v>
      </c>
      <c r="G36" s="76">
        <f>SUM(G37:G55)</f>
        <v>161</v>
      </c>
      <c r="H36" s="76"/>
      <c r="I36" s="169">
        <f>SUM(I37:I55)</f>
        <v>272</v>
      </c>
      <c r="J36" s="169">
        <f t="shared" ref="J36:O36" si="2">SUM(J37:J55)</f>
        <v>24</v>
      </c>
      <c r="K36" s="169">
        <f t="shared" si="2"/>
        <v>248</v>
      </c>
      <c r="L36" s="169">
        <f t="shared" si="2"/>
        <v>0</v>
      </c>
      <c r="M36" s="169">
        <f t="shared" si="2"/>
        <v>148</v>
      </c>
      <c r="N36" s="169">
        <f t="shared" si="2"/>
        <v>10</v>
      </c>
      <c r="O36" s="169">
        <f t="shared" si="2"/>
        <v>138</v>
      </c>
      <c r="P36" s="24"/>
      <c r="Q36" s="294">
        <f>SUM(Q37:Q55)</f>
        <v>82</v>
      </c>
      <c r="R36" s="294" t="s">
        <v>97</v>
      </c>
      <c r="S36" s="294">
        <f>SUM(S37:S55)</f>
        <v>82</v>
      </c>
      <c r="T36" s="294">
        <f>SUM(T37:T55)</f>
        <v>28</v>
      </c>
      <c r="U36" s="294" t="s">
        <v>97</v>
      </c>
      <c r="V36" s="294">
        <f>SUM(V37:V55)</f>
        <v>28</v>
      </c>
      <c r="W36" s="23"/>
      <c r="X36" s="294">
        <f t="shared" ref="X36:AC36" si="3">SUM(X37:X55)</f>
        <v>285</v>
      </c>
      <c r="Y36" s="294">
        <f t="shared" si="3"/>
        <v>21</v>
      </c>
      <c r="Z36" s="294">
        <f t="shared" si="3"/>
        <v>264</v>
      </c>
      <c r="AA36" s="294">
        <f t="shared" si="3"/>
        <v>124</v>
      </c>
      <c r="AB36" s="294">
        <f t="shared" si="3"/>
        <v>6</v>
      </c>
      <c r="AC36" s="294">
        <f t="shared" si="3"/>
        <v>118</v>
      </c>
      <c r="AD36" s="294"/>
      <c r="AE36" s="82">
        <f t="shared" ref="AE36:AJ36" si="4">SUM(AE37:AE55)</f>
        <v>915</v>
      </c>
      <c r="AF36" s="82">
        <f t="shared" si="4"/>
        <v>72</v>
      </c>
      <c r="AG36" s="82">
        <f t="shared" si="4"/>
        <v>843</v>
      </c>
      <c r="AH36" s="1124">
        <f t="shared" si="4"/>
        <v>1364</v>
      </c>
      <c r="AI36" s="82">
        <f t="shared" si="4"/>
        <v>56</v>
      </c>
      <c r="AJ36" s="1124">
        <f t="shared" si="4"/>
        <v>1308</v>
      </c>
    </row>
    <row r="37" spans="1:36" ht="27.95" customHeight="1">
      <c r="A37" s="271" t="s">
        <v>200</v>
      </c>
      <c r="B37" s="61">
        <v>30</v>
      </c>
      <c r="C37" s="76" t="s">
        <v>97</v>
      </c>
      <c r="D37" s="134">
        <v>30</v>
      </c>
      <c r="E37" s="61">
        <v>8</v>
      </c>
      <c r="F37" s="61" t="s">
        <v>97</v>
      </c>
      <c r="G37" s="12">
        <v>8</v>
      </c>
      <c r="H37" s="12"/>
      <c r="I37" s="146">
        <v>24</v>
      </c>
      <c r="J37" s="146" t="s">
        <v>97</v>
      </c>
      <c r="K37" s="24">
        <v>24</v>
      </c>
      <c r="L37" s="24"/>
      <c r="M37" s="24">
        <v>11</v>
      </c>
      <c r="N37" s="24" t="s">
        <v>97</v>
      </c>
      <c r="O37" s="24">
        <v>11</v>
      </c>
      <c r="P37" s="24"/>
      <c r="Q37" s="23">
        <v>18</v>
      </c>
      <c r="R37" s="294" t="s">
        <v>97</v>
      </c>
      <c r="S37" s="23">
        <v>18</v>
      </c>
      <c r="T37" s="23">
        <v>6</v>
      </c>
      <c r="U37" s="294" t="s">
        <v>97</v>
      </c>
      <c r="V37" s="23">
        <v>6</v>
      </c>
      <c r="W37" s="23"/>
      <c r="X37" s="23">
        <v>28</v>
      </c>
      <c r="Y37" s="23">
        <v>5</v>
      </c>
      <c r="Z37" s="23">
        <v>23</v>
      </c>
      <c r="AA37" s="23">
        <v>11</v>
      </c>
      <c r="AB37" s="23" t="s">
        <v>117</v>
      </c>
      <c r="AC37" s="23">
        <v>11</v>
      </c>
      <c r="AD37" s="23"/>
      <c r="AE37" s="73">
        <v>74</v>
      </c>
      <c r="AF37" s="73">
        <v>1</v>
      </c>
      <c r="AG37" s="73">
        <f>+AE37-AF37</f>
        <v>73</v>
      </c>
      <c r="AH37" s="73">
        <v>105</v>
      </c>
      <c r="AI37" s="73">
        <v>1</v>
      </c>
      <c r="AJ37" s="73">
        <f>+AH37-AI37</f>
        <v>104</v>
      </c>
    </row>
    <row r="38" spans="1:36" ht="27.95" customHeight="1">
      <c r="A38" s="271" t="s">
        <v>202</v>
      </c>
      <c r="B38" s="61">
        <v>20</v>
      </c>
      <c r="C38" s="76" t="s">
        <v>97</v>
      </c>
      <c r="D38" s="134">
        <v>20</v>
      </c>
      <c r="E38" s="61">
        <v>13</v>
      </c>
      <c r="F38" s="61" t="s">
        <v>97</v>
      </c>
      <c r="G38" s="12">
        <v>13</v>
      </c>
      <c r="H38" s="12"/>
      <c r="I38" s="146">
        <v>29</v>
      </c>
      <c r="J38" s="146" t="s">
        <v>97</v>
      </c>
      <c r="K38" s="24">
        <v>29</v>
      </c>
      <c r="L38" s="24"/>
      <c r="M38" s="24">
        <v>27</v>
      </c>
      <c r="N38" s="24" t="s">
        <v>97</v>
      </c>
      <c r="O38" s="24">
        <v>27</v>
      </c>
      <c r="P38" s="24"/>
      <c r="Q38" s="23">
        <v>14</v>
      </c>
      <c r="R38" s="294" t="s">
        <v>97</v>
      </c>
      <c r="S38" s="23">
        <v>14</v>
      </c>
      <c r="T38" s="23">
        <v>4</v>
      </c>
      <c r="U38" s="294" t="s">
        <v>97</v>
      </c>
      <c r="V38" s="23">
        <v>4</v>
      </c>
      <c r="W38" s="23"/>
      <c r="X38" s="23">
        <v>28</v>
      </c>
      <c r="Y38" s="23" t="s">
        <v>117</v>
      </c>
      <c r="Z38" s="23">
        <v>28</v>
      </c>
      <c r="AA38" s="23">
        <v>17</v>
      </c>
      <c r="AB38" s="23" t="s">
        <v>117</v>
      </c>
      <c r="AC38" s="23">
        <v>17</v>
      </c>
      <c r="AD38" s="23"/>
      <c r="AE38" s="73">
        <v>79</v>
      </c>
      <c r="AF38" s="73">
        <v>4</v>
      </c>
      <c r="AG38" s="73">
        <f t="shared" ref="AG38:AG55" si="5">+AE38-AF38</f>
        <v>75</v>
      </c>
      <c r="AH38" s="73">
        <v>184</v>
      </c>
      <c r="AI38" s="73">
        <v>0</v>
      </c>
      <c r="AJ38" s="73">
        <f>+AH38-AI38</f>
        <v>184</v>
      </c>
    </row>
    <row r="39" spans="1:36" ht="27.95" customHeight="1">
      <c r="A39" s="271" t="s">
        <v>201</v>
      </c>
      <c r="B39" s="61">
        <v>45</v>
      </c>
      <c r="C39" s="76" t="s">
        <v>97</v>
      </c>
      <c r="D39" s="134">
        <v>45</v>
      </c>
      <c r="E39" s="61">
        <v>26</v>
      </c>
      <c r="F39" s="61" t="s">
        <v>97</v>
      </c>
      <c r="G39" s="12">
        <v>26</v>
      </c>
      <c r="H39" s="12"/>
      <c r="I39" s="146">
        <v>34</v>
      </c>
      <c r="J39" s="146" t="s">
        <v>97</v>
      </c>
      <c r="K39" s="24">
        <v>34</v>
      </c>
      <c r="L39" s="24"/>
      <c r="M39" s="24">
        <v>12</v>
      </c>
      <c r="N39" s="24" t="s">
        <v>97</v>
      </c>
      <c r="O39" s="24">
        <v>12</v>
      </c>
      <c r="P39" s="24"/>
      <c r="Q39" s="23">
        <v>22</v>
      </c>
      <c r="R39" s="294" t="s">
        <v>97</v>
      </c>
      <c r="S39" s="23">
        <v>22</v>
      </c>
      <c r="T39" s="23">
        <v>2</v>
      </c>
      <c r="U39" s="294" t="s">
        <v>97</v>
      </c>
      <c r="V39" s="23">
        <v>2</v>
      </c>
      <c r="W39" s="23"/>
      <c r="X39" s="23">
        <v>43</v>
      </c>
      <c r="Y39" s="23">
        <v>2</v>
      </c>
      <c r="Z39" s="23">
        <v>41</v>
      </c>
      <c r="AA39" s="23">
        <v>9</v>
      </c>
      <c r="AB39" s="23" t="s">
        <v>117</v>
      </c>
      <c r="AC39" s="23">
        <v>9</v>
      </c>
      <c r="AD39" s="23"/>
      <c r="AE39" s="73">
        <v>151</v>
      </c>
      <c r="AF39" s="73">
        <v>9</v>
      </c>
      <c r="AG39" s="73">
        <f t="shared" si="5"/>
        <v>142</v>
      </c>
      <c r="AH39" s="73">
        <v>83</v>
      </c>
      <c r="AI39" s="73">
        <v>2</v>
      </c>
      <c r="AJ39" s="73">
        <f t="shared" ref="AJ39:AJ55" si="6">+AH39-AI39</f>
        <v>81</v>
      </c>
    </row>
    <row r="40" spans="1:36" ht="27.95" customHeight="1">
      <c r="A40" s="271" t="s">
        <v>203</v>
      </c>
      <c r="B40" s="61">
        <v>14</v>
      </c>
      <c r="C40" s="76" t="s">
        <v>97</v>
      </c>
      <c r="D40" s="134">
        <v>14</v>
      </c>
      <c r="E40" s="61">
        <v>16</v>
      </c>
      <c r="F40" s="61" t="s">
        <v>97</v>
      </c>
      <c r="G40" s="12">
        <v>16</v>
      </c>
      <c r="H40" s="12"/>
      <c r="I40" s="146">
        <v>22</v>
      </c>
      <c r="J40" s="146">
        <v>1</v>
      </c>
      <c r="K40" s="24">
        <v>21</v>
      </c>
      <c r="L40" s="24"/>
      <c r="M40" s="24">
        <v>18</v>
      </c>
      <c r="N40" s="24" t="s">
        <v>97</v>
      </c>
      <c r="O40" s="24">
        <v>18</v>
      </c>
      <c r="P40" s="24"/>
      <c r="Q40" s="23">
        <v>12</v>
      </c>
      <c r="R40" s="294" t="s">
        <v>97</v>
      </c>
      <c r="S40" s="23">
        <v>12</v>
      </c>
      <c r="T40" s="23">
        <v>10</v>
      </c>
      <c r="U40" s="294" t="s">
        <v>97</v>
      </c>
      <c r="V40" s="23">
        <v>10</v>
      </c>
      <c r="W40" s="23"/>
      <c r="X40" s="23">
        <v>37</v>
      </c>
      <c r="Y40" s="23" t="s">
        <v>117</v>
      </c>
      <c r="Z40" s="23">
        <v>37</v>
      </c>
      <c r="AA40" s="23">
        <v>24</v>
      </c>
      <c r="AB40" s="23" t="s">
        <v>117</v>
      </c>
      <c r="AC40" s="23">
        <v>24</v>
      </c>
      <c r="AD40" s="23"/>
      <c r="AE40" s="73">
        <v>72</v>
      </c>
      <c r="AF40" s="73">
        <v>4</v>
      </c>
      <c r="AG40" s="73">
        <f t="shared" si="5"/>
        <v>68</v>
      </c>
      <c r="AH40" s="73">
        <v>268</v>
      </c>
      <c r="AI40" s="73">
        <v>5</v>
      </c>
      <c r="AJ40" s="73">
        <f t="shared" si="6"/>
        <v>263</v>
      </c>
    </row>
    <row r="41" spans="1:36" ht="27.95" customHeight="1">
      <c r="A41" s="271" t="s">
        <v>204</v>
      </c>
      <c r="B41" s="61">
        <v>26</v>
      </c>
      <c r="C41" s="76" t="s">
        <v>97</v>
      </c>
      <c r="D41" s="134">
        <v>26</v>
      </c>
      <c r="E41" s="61">
        <v>14</v>
      </c>
      <c r="F41" s="61" t="s">
        <v>97</v>
      </c>
      <c r="G41" s="12">
        <v>14</v>
      </c>
      <c r="H41" s="12"/>
      <c r="I41" s="146">
        <v>22</v>
      </c>
      <c r="J41" s="146" t="s">
        <v>97</v>
      </c>
      <c r="K41" s="24">
        <v>22</v>
      </c>
      <c r="L41" s="24"/>
      <c r="M41" s="24">
        <v>16</v>
      </c>
      <c r="N41" s="24" t="s">
        <v>97</v>
      </c>
      <c r="O41" s="24">
        <v>16</v>
      </c>
      <c r="P41" s="24"/>
      <c r="Q41" s="23">
        <v>16</v>
      </c>
      <c r="R41" s="294" t="s">
        <v>97</v>
      </c>
      <c r="S41" s="23">
        <v>16</v>
      </c>
      <c r="T41" s="23">
        <v>6</v>
      </c>
      <c r="U41" s="294" t="s">
        <v>97</v>
      </c>
      <c r="V41" s="23">
        <v>6</v>
      </c>
      <c r="W41" s="23"/>
      <c r="X41" s="23">
        <v>27</v>
      </c>
      <c r="Y41" s="23" t="s">
        <v>117</v>
      </c>
      <c r="Z41" s="23">
        <v>27</v>
      </c>
      <c r="AA41" s="23">
        <v>12</v>
      </c>
      <c r="AB41" s="23" t="s">
        <v>117</v>
      </c>
      <c r="AC41" s="23">
        <v>12</v>
      </c>
      <c r="AD41" s="23"/>
      <c r="AE41" s="73">
        <v>137</v>
      </c>
      <c r="AF41" s="73">
        <v>9</v>
      </c>
      <c r="AG41" s="73">
        <f t="shared" si="5"/>
        <v>128</v>
      </c>
      <c r="AH41" s="73">
        <v>116</v>
      </c>
      <c r="AI41" s="73">
        <v>1</v>
      </c>
      <c r="AJ41" s="73">
        <f t="shared" si="6"/>
        <v>115</v>
      </c>
    </row>
    <row r="42" spans="1:36" ht="27.95" customHeight="1">
      <c r="A42" s="271" t="s">
        <v>240</v>
      </c>
      <c r="B42" s="61">
        <v>15</v>
      </c>
      <c r="C42" s="76" t="s">
        <v>97</v>
      </c>
      <c r="D42" s="134">
        <v>15</v>
      </c>
      <c r="E42" s="61">
        <v>17</v>
      </c>
      <c r="F42" s="61" t="s">
        <v>97</v>
      </c>
      <c r="G42" s="12">
        <v>17</v>
      </c>
      <c r="H42" s="12"/>
      <c r="I42" s="146">
        <v>25</v>
      </c>
      <c r="J42" s="146">
        <v>5</v>
      </c>
      <c r="K42" s="24">
        <v>20</v>
      </c>
      <c r="L42" s="24"/>
      <c r="M42" s="24">
        <v>9</v>
      </c>
      <c r="N42" s="24">
        <v>2</v>
      </c>
      <c r="O42" s="24">
        <v>7</v>
      </c>
      <c r="P42" s="24"/>
      <c r="Q42" s="23" t="s">
        <v>117</v>
      </c>
      <c r="R42" s="23" t="s">
        <v>117</v>
      </c>
      <c r="S42" s="23" t="s">
        <v>117</v>
      </c>
      <c r="T42" s="23" t="s">
        <v>117</v>
      </c>
      <c r="U42" s="23" t="s">
        <v>117</v>
      </c>
      <c r="V42" s="23" t="s">
        <v>117</v>
      </c>
      <c r="W42" s="23"/>
      <c r="X42" s="23">
        <v>24</v>
      </c>
      <c r="Y42" s="23" t="s">
        <v>117</v>
      </c>
      <c r="Z42" s="23">
        <v>24</v>
      </c>
      <c r="AA42" s="23">
        <v>5</v>
      </c>
      <c r="AB42" s="23">
        <v>3</v>
      </c>
      <c r="AC42" s="23">
        <v>2</v>
      </c>
      <c r="AD42" s="23"/>
      <c r="AE42" s="73">
        <v>63</v>
      </c>
      <c r="AF42" s="73">
        <v>7</v>
      </c>
      <c r="AG42" s="73">
        <f t="shared" si="5"/>
        <v>56</v>
      </c>
      <c r="AH42" s="73">
        <v>140</v>
      </c>
      <c r="AI42" s="73">
        <v>0</v>
      </c>
      <c r="AJ42" s="73">
        <f t="shared" si="6"/>
        <v>140</v>
      </c>
    </row>
    <row r="43" spans="1:36" ht="27.95" customHeight="1">
      <c r="A43" s="271" t="s">
        <v>241</v>
      </c>
      <c r="B43" s="61">
        <v>8</v>
      </c>
      <c r="C43" s="76" t="s">
        <v>97</v>
      </c>
      <c r="D43" s="134">
        <v>8</v>
      </c>
      <c r="E43" s="61">
        <v>6</v>
      </c>
      <c r="F43" s="61" t="s">
        <v>97</v>
      </c>
      <c r="G43" s="12">
        <v>6</v>
      </c>
      <c r="H43" s="12"/>
      <c r="I43" s="146">
        <v>10</v>
      </c>
      <c r="J43" s="146">
        <v>4</v>
      </c>
      <c r="K43" s="24">
        <v>6</v>
      </c>
      <c r="L43" s="24"/>
      <c r="M43" s="24">
        <v>5</v>
      </c>
      <c r="N43" s="24" t="s">
        <v>97</v>
      </c>
      <c r="O43" s="24">
        <v>5</v>
      </c>
      <c r="P43" s="24"/>
      <c r="Q43" s="23" t="s">
        <v>117</v>
      </c>
      <c r="R43" s="23" t="s">
        <v>117</v>
      </c>
      <c r="S43" s="23" t="s">
        <v>117</v>
      </c>
      <c r="T43" s="23" t="s">
        <v>117</v>
      </c>
      <c r="U43" s="23" t="s">
        <v>117</v>
      </c>
      <c r="V43" s="23" t="s">
        <v>117</v>
      </c>
      <c r="W43" s="23"/>
      <c r="X43" s="23">
        <v>4</v>
      </c>
      <c r="Y43" s="23">
        <v>2</v>
      </c>
      <c r="Z43" s="23">
        <v>2</v>
      </c>
      <c r="AA43" s="23" t="s">
        <v>117</v>
      </c>
      <c r="AB43" s="23" t="s">
        <v>117</v>
      </c>
      <c r="AC43" s="23" t="s">
        <v>0</v>
      </c>
      <c r="AD43" s="23"/>
      <c r="AE43" s="73">
        <v>33</v>
      </c>
      <c r="AF43" s="73">
        <v>5</v>
      </c>
      <c r="AG43" s="73">
        <f t="shared" si="5"/>
        <v>28</v>
      </c>
      <c r="AH43" s="73">
        <v>25</v>
      </c>
      <c r="AI43" s="73">
        <v>11</v>
      </c>
      <c r="AJ43" s="73">
        <f t="shared" si="6"/>
        <v>14</v>
      </c>
    </row>
    <row r="44" spans="1:36" ht="27.95" customHeight="1">
      <c r="A44" s="271" t="s">
        <v>242</v>
      </c>
      <c r="B44" s="61">
        <v>13</v>
      </c>
      <c r="C44" s="76" t="s">
        <v>97</v>
      </c>
      <c r="D44" s="134">
        <v>13</v>
      </c>
      <c r="E44" s="61">
        <v>9</v>
      </c>
      <c r="F44" s="61">
        <v>1</v>
      </c>
      <c r="G44" s="12">
        <v>8</v>
      </c>
      <c r="H44" s="12"/>
      <c r="I44" s="146">
        <v>15</v>
      </c>
      <c r="J44" s="146">
        <v>4</v>
      </c>
      <c r="K44" s="24">
        <v>11</v>
      </c>
      <c r="L44" s="24"/>
      <c r="M44" s="24">
        <v>2</v>
      </c>
      <c r="N44" s="24" t="s">
        <v>97</v>
      </c>
      <c r="O44" s="24">
        <v>2</v>
      </c>
      <c r="P44" s="24"/>
      <c r="Q44" s="23" t="s">
        <v>117</v>
      </c>
      <c r="R44" s="23" t="s">
        <v>117</v>
      </c>
      <c r="S44" s="23" t="s">
        <v>117</v>
      </c>
      <c r="T44" s="23" t="s">
        <v>117</v>
      </c>
      <c r="U44" s="23" t="s">
        <v>117</v>
      </c>
      <c r="V44" s="23" t="s">
        <v>117</v>
      </c>
      <c r="W44" s="23"/>
      <c r="X44" s="23">
        <v>5</v>
      </c>
      <c r="Y44" s="23">
        <v>2</v>
      </c>
      <c r="Z44" s="23">
        <v>3</v>
      </c>
      <c r="AA44" s="23">
        <v>8</v>
      </c>
      <c r="AB44" s="23" t="s">
        <v>117</v>
      </c>
      <c r="AC44" s="23">
        <v>8</v>
      </c>
      <c r="AD44" s="23"/>
      <c r="AE44" s="73">
        <v>26</v>
      </c>
      <c r="AF44" s="73">
        <v>6</v>
      </c>
      <c r="AG44" s="73">
        <v>20</v>
      </c>
      <c r="AH44" s="73">
        <v>92</v>
      </c>
      <c r="AI44" s="73">
        <v>5</v>
      </c>
      <c r="AJ44" s="73">
        <f t="shared" si="6"/>
        <v>87</v>
      </c>
    </row>
    <row r="45" spans="1:36" ht="27.95" customHeight="1">
      <c r="A45" s="271" t="s">
        <v>243</v>
      </c>
      <c r="B45" s="61">
        <v>20</v>
      </c>
      <c r="C45" s="76" t="s">
        <v>97</v>
      </c>
      <c r="D45" s="134">
        <v>20</v>
      </c>
      <c r="E45" s="61">
        <v>6</v>
      </c>
      <c r="F45" s="61" t="s">
        <v>97</v>
      </c>
      <c r="G45" s="12">
        <v>6</v>
      </c>
      <c r="H45" s="12"/>
      <c r="I45" s="146">
        <v>11</v>
      </c>
      <c r="J45" s="146">
        <v>1</v>
      </c>
      <c r="K45" s="24">
        <v>10</v>
      </c>
      <c r="L45" s="24"/>
      <c r="M45" s="24">
        <v>4</v>
      </c>
      <c r="N45" s="24" t="s">
        <v>97</v>
      </c>
      <c r="O45" s="24">
        <v>4</v>
      </c>
      <c r="P45" s="24"/>
      <c r="Q45" s="23" t="s">
        <v>117</v>
      </c>
      <c r="R45" s="23" t="s">
        <v>117</v>
      </c>
      <c r="S45" s="23" t="s">
        <v>117</v>
      </c>
      <c r="T45" s="23" t="s">
        <v>117</v>
      </c>
      <c r="U45" s="23" t="s">
        <v>117</v>
      </c>
      <c r="V45" s="23" t="s">
        <v>117</v>
      </c>
      <c r="W45" s="23"/>
      <c r="X45" s="23">
        <v>10</v>
      </c>
      <c r="Y45" s="23" t="s">
        <v>117</v>
      </c>
      <c r="Z45" s="23">
        <v>10</v>
      </c>
      <c r="AA45" s="23">
        <v>9</v>
      </c>
      <c r="AB45" s="23">
        <v>1</v>
      </c>
      <c r="AC45" s="23">
        <v>8</v>
      </c>
      <c r="AD45" s="23"/>
      <c r="AE45" s="73">
        <v>42</v>
      </c>
      <c r="AF45" s="73">
        <v>1</v>
      </c>
      <c r="AG45" s="73">
        <f t="shared" si="5"/>
        <v>41</v>
      </c>
      <c r="AH45" s="73">
        <v>16</v>
      </c>
      <c r="AI45" s="73">
        <v>0</v>
      </c>
      <c r="AJ45" s="73">
        <f t="shared" si="6"/>
        <v>16</v>
      </c>
    </row>
    <row r="46" spans="1:36" ht="27.95" customHeight="1">
      <c r="A46" s="271" t="s">
        <v>244</v>
      </c>
      <c r="B46" s="61">
        <v>13</v>
      </c>
      <c r="C46" s="76" t="s">
        <v>97</v>
      </c>
      <c r="D46" s="134">
        <v>13</v>
      </c>
      <c r="E46" s="61" t="s">
        <v>97</v>
      </c>
      <c r="F46" s="61" t="s">
        <v>97</v>
      </c>
      <c r="G46" s="61" t="s">
        <v>97</v>
      </c>
      <c r="H46" s="12"/>
      <c r="I46" s="146">
        <v>12</v>
      </c>
      <c r="J46" s="146" t="s">
        <v>97</v>
      </c>
      <c r="K46" s="24">
        <v>12</v>
      </c>
      <c r="L46" s="24"/>
      <c r="M46" s="24">
        <v>4</v>
      </c>
      <c r="N46" s="24">
        <v>1</v>
      </c>
      <c r="O46" s="24">
        <v>3</v>
      </c>
      <c r="P46" s="24"/>
      <c r="Q46" s="23" t="s">
        <v>117</v>
      </c>
      <c r="R46" s="23" t="s">
        <v>117</v>
      </c>
      <c r="S46" s="23" t="s">
        <v>117</v>
      </c>
      <c r="T46" s="23" t="s">
        <v>117</v>
      </c>
      <c r="U46" s="23" t="s">
        <v>117</v>
      </c>
      <c r="V46" s="23" t="s">
        <v>117</v>
      </c>
      <c r="W46" s="23"/>
      <c r="X46" s="23">
        <v>12</v>
      </c>
      <c r="Y46" s="23">
        <v>1</v>
      </c>
      <c r="Z46" s="23">
        <v>11</v>
      </c>
      <c r="AA46" s="23">
        <v>7</v>
      </c>
      <c r="AB46" s="23" t="s">
        <v>117</v>
      </c>
      <c r="AC46" s="23">
        <v>7</v>
      </c>
      <c r="AD46" s="23"/>
      <c r="AE46" s="73">
        <v>25</v>
      </c>
      <c r="AF46" s="73">
        <v>2</v>
      </c>
      <c r="AG46" s="73">
        <f t="shared" si="5"/>
        <v>23</v>
      </c>
      <c r="AH46" s="73">
        <v>30</v>
      </c>
      <c r="AI46" s="73">
        <v>0</v>
      </c>
      <c r="AJ46" s="73">
        <f t="shared" si="6"/>
        <v>30</v>
      </c>
    </row>
    <row r="47" spans="1:36" ht="27.95" customHeight="1">
      <c r="A47" s="271" t="s">
        <v>245</v>
      </c>
      <c r="B47" s="61">
        <v>12</v>
      </c>
      <c r="C47" s="76" t="s">
        <v>97</v>
      </c>
      <c r="D47" s="134">
        <v>12</v>
      </c>
      <c r="E47" s="61">
        <v>12</v>
      </c>
      <c r="F47" s="61">
        <v>2</v>
      </c>
      <c r="G47" s="12">
        <v>10</v>
      </c>
      <c r="H47" s="12"/>
      <c r="I47" s="146">
        <v>2</v>
      </c>
      <c r="J47" s="146" t="s">
        <v>97</v>
      </c>
      <c r="K47" s="24">
        <v>2</v>
      </c>
      <c r="L47" s="24"/>
      <c r="M47" s="24">
        <v>7</v>
      </c>
      <c r="N47" s="24" t="s">
        <v>97</v>
      </c>
      <c r="O47" s="24">
        <v>7</v>
      </c>
      <c r="P47" s="24"/>
      <c r="Q47" s="23" t="s">
        <v>117</v>
      </c>
      <c r="R47" s="23" t="s">
        <v>117</v>
      </c>
      <c r="S47" s="23" t="s">
        <v>117</v>
      </c>
      <c r="T47" s="23" t="s">
        <v>117</v>
      </c>
      <c r="U47" s="23" t="s">
        <v>117</v>
      </c>
      <c r="V47" s="23" t="s">
        <v>117</v>
      </c>
      <c r="W47" s="23"/>
      <c r="X47" s="23">
        <v>5</v>
      </c>
      <c r="Y47" s="23">
        <v>1</v>
      </c>
      <c r="Z47" s="23">
        <v>4</v>
      </c>
      <c r="AA47" s="23">
        <v>3</v>
      </c>
      <c r="AB47" s="23" t="s">
        <v>117</v>
      </c>
      <c r="AC47" s="23">
        <v>3</v>
      </c>
      <c r="AD47" s="23"/>
      <c r="AE47" s="73">
        <v>46</v>
      </c>
      <c r="AF47" s="73">
        <v>0</v>
      </c>
      <c r="AG47" s="73">
        <f t="shared" si="5"/>
        <v>46</v>
      </c>
      <c r="AH47" s="73">
        <v>79</v>
      </c>
      <c r="AI47" s="73">
        <v>2</v>
      </c>
      <c r="AJ47" s="73">
        <f t="shared" si="6"/>
        <v>77</v>
      </c>
    </row>
    <row r="48" spans="1:36" ht="27.95" customHeight="1">
      <c r="A48" s="271" t="s">
        <v>246</v>
      </c>
      <c r="B48" s="61">
        <v>19</v>
      </c>
      <c r="C48" s="76" t="s">
        <v>97</v>
      </c>
      <c r="D48" s="134">
        <v>19</v>
      </c>
      <c r="E48" s="61">
        <v>5</v>
      </c>
      <c r="F48" s="61" t="s">
        <v>97</v>
      </c>
      <c r="G48" s="12">
        <v>5</v>
      </c>
      <c r="H48" s="12"/>
      <c r="I48" s="146">
        <v>22</v>
      </c>
      <c r="J48" s="146">
        <v>1</v>
      </c>
      <c r="K48" s="24">
        <v>21</v>
      </c>
      <c r="L48" s="24"/>
      <c r="M48" s="24">
        <v>11</v>
      </c>
      <c r="N48" s="24">
        <v>4</v>
      </c>
      <c r="O48" s="24">
        <v>7</v>
      </c>
      <c r="P48" s="24"/>
      <c r="Q48" s="23" t="s">
        <v>117</v>
      </c>
      <c r="R48" s="23" t="s">
        <v>117</v>
      </c>
      <c r="S48" s="23" t="s">
        <v>117</v>
      </c>
      <c r="T48" s="23" t="s">
        <v>117</v>
      </c>
      <c r="U48" s="23" t="s">
        <v>117</v>
      </c>
      <c r="V48" s="23" t="s">
        <v>117</v>
      </c>
      <c r="W48" s="23"/>
      <c r="X48" s="23">
        <v>13</v>
      </c>
      <c r="Y48" s="23">
        <v>1</v>
      </c>
      <c r="Z48" s="23">
        <v>12</v>
      </c>
      <c r="AA48" s="23">
        <v>12</v>
      </c>
      <c r="AB48" s="23" t="s">
        <v>117</v>
      </c>
      <c r="AC48" s="23">
        <v>12</v>
      </c>
      <c r="AD48" s="23"/>
      <c r="AE48" s="73">
        <v>105</v>
      </c>
      <c r="AF48" s="73">
        <v>7</v>
      </c>
      <c r="AG48" s="73">
        <f t="shared" si="5"/>
        <v>98</v>
      </c>
      <c r="AH48" s="73">
        <v>92</v>
      </c>
      <c r="AI48" s="73">
        <v>0</v>
      </c>
      <c r="AJ48" s="73">
        <f t="shared" si="6"/>
        <v>92</v>
      </c>
    </row>
    <row r="49" spans="1:36" ht="27.95" customHeight="1">
      <c r="A49" s="271" t="s">
        <v>247</v>
      </c>
      <c r="B49" s="61">
        <v>15</v>
      </c>
      <c r="C49" s="76" t="s">
        <v>97</v>
      </c>
      <c r="D49" s="134">
        <v>15</v>
      </c>
      <c r="E49" s="61">
        <v>13</v>
      </c>
      <c r="F49" s="61" t="s">
        <v>97</v>
      </c>
      <c r="G49" s="12">
        <v>13</v>
      </c>
      <c r="H49" s="12"/>
      <c r="I49" s="146">
        <v>11</v>
      </c>
      <c r="J49" s="146">
        <v>1</v>
      </c>
      <c r="K49" s="24">
        <v>10</v>
      </c>
      <c r="L49" s="24"/>
      <c r="M49" s="24">
        <v>8</v>
      </c>
      <c r="N49" s="24" t="s">
        <v>97</v>
      </c>
      <c r="O49" s="24">
        <v>8</v>
      </c>
      <c r="P49" s="24"/>
      <c r="Q49" s="23" t="s">
        <v>117</v>
      </c>
      <c r="R49" s="23" t="s">
        <v>117</v>
      </c>
      <c r="S49" s="23" t="s">
        <v>117</v>
      </c>
      <c r="T49" s="23" t="s">
        <v>117</v>
      </c>
      <c r="U49" s="23" t="s">
        <v>117</v>
      </c>
      <c r="V49" s="23" t="s">
        <v>117</v>
      </c>
      <c r="W49" s="23"/>
      <c r="X49" s="23">
        <v>12</v>
      </c>
      <c r="Y49" s="23">
        <v>3</v>
      </c>
      <c r="Z49" s="23">
        <v>9</v>
      </c>
      <c r="AA49" s="23" t="s">
        <v>117</v>
      </c>
      <c r="AB49" s="23" t="s">
        <v>117</v>
      </c>
      <c r="AC49" s="23" t="s">
        <v>0</v>
      </c>
      <c r="AD49" s="23"/>
      <c r="AE49" s="73">
        <v>22</v>
      </c>
      <c r="AF49" s="73">
        <v>3</v>
      </c>
      <c r="AG49" s="73">
        <f t="shared" si="5"/>
        <v>19</v>
      </c>
      <c r="AH49" s="73">
        <v>37</v>
      </c>
      <c r="AI49" s="73">
        <v>3</v>
      </c>
      <c r="AJ49" s="73">
        <f t="shared" si="6"/>
        <v>34</v>
      </c>
    </row>
    <row r="50" spans="1:36" ht="27.95" customHeight="1">
      <c r="A50" s="271" t="s">
        <v>248</v>
      </c>
      <c r="B50" s="61">
        <v>9</v>
      </c>
      <c r="C50" s="76" t="s">
        <v>97</v>
      </c>
      <c r="D50" s="134">
        <v>9</v>
      </c>
      <c r="E50" s="61">
        <v>13</v>
      </c>
      <c r="F50" s="61" t="s">
        <v>97</v>
      </c>
      <c r="G50" s="12">
        <v>13</v>
      </c>
      <c r="H50" s="12"/>
      <c r="I50" s="146">
        <v>13</v>
      </c>
      <c r="J50" s="146">
        <v>1</v>
      </c>
      <c r="K50" s="24">
        <v>12</v>
      </c>
      <c r="L50" s="24"/>
      <c r="M50" s="24">
        <v>6</v>
      </c>
      <c r="N50" s="24">
        <v>1</v>
      </c>
      <c r="O50" s="24">
        <v>5</v>
      </c>
      <c r="P50" s="24"/>
      <c r="Q50" s="23" t="s">
        <v>117</v>
      </c>
      <c r="R50" s="23" t="s">
        <v>117</v>
      </c>
      <c r="S50" s="23" t="s">
        <v>117</v>
      </c>
      <c r="T50" s="23" t="s">
        <v>117</v>
      </c>
      <c r="U50" s="23" t="s">
        <v>117</v>
      </c>
      <c r="V50" s="23" t="s">
        <v>117</v>
      </c>
      <c r="W50" s="23"/>
      <c r="X50" s="23">
        <v>18</v>
      </c>
      <c r="Y50" s="23" t="s">
        <v>117</v>
      </c>
      <c r="Z50" s="23">
        <v>18</v>
      </c>
      <c r="AA50" s="23">
        <v>2</v>
      </c>
      <c r="AB50" s="23" t="s">
        <v>117</v>
      </c>
      <c r="AC50" s="23">
        <v>2</v>
      </c>
      <c r="AD50" s="23"/>
      <c r="AE50" s="73">
        <v>10</v>
      </c>
      <c r="AF50" s="73">
        <v>0</v>
      </c>
      <c r="AG50" s="73">
        <f t="shared" si="5"/>
        <v>10</v>
      </c>
      <c r="AH50" s="73">
        <v>30</v>
      </c>
      <c r="AI50" s="73">
        <v>2</v>
      </c>
      <c r="AJ50" s="73">
        <f t="shared" si="6"/>
        <v>28</v>
      </c>
    </row>
    <row r="51" spans="1:36" ht="27.95" customHeight="1">
      <c r="A51" s="271" t="s">
        <v>205</v>
      </c>
      <c r="B51" s="61">
        <v>6</v>
      </c>
      <c r="C51" s="76" t="s">
        <v>97</v>
      </c>
      <c r="D51" s="134">
        <v>6</v>
      </c>
      <c r="E51" s="61" t="s">
        <v>97</v>
      </c>
      <c r="F51" s="61" t="s">
        <v>97</v>
      </c>
      <c r="G51" s="61" t="s">
        <v>97</v>
      </c>
      <c r="H51" s="12"/>
      <c r="I51" s="146">
        <v>8</v>
      </c>
      <c r="J51" s="146">
        <v>2</v>
      </c>
      <c r="K51" s="24">
        <v>6</v>
      </c>
      <c r="L51" s="24"/>
      <c r="M51" s="24" t="s">
        <v>97</v>
      </c>
      <c r="N51" s="24" t="s">
        <v>97</v>
      </c>
      <c r="O51" s="24" t="s">
        <v>97</v>
      </c>
      <c r="P51" s="24"/>
      <c r="Q51" s="23" t="s">
        <v>117</v>
      </c>
      <c r="R51" s="23" t="s">
        <v>117</v>
      </c>
      <c r="S51" s="23" t="s">
        <v>117</v>
      </c>
      <c r="T51" s="23" t="s">
        <v>117</v>
      </c>
      <c r="U51" s="23" t="s">
        <v>117</v>
      </c>
      <c r="V51" s="23" t="s">
        <v>117</v>
      </c>
      <c r="W51" s="23"/>
      <c r="X51" s="23">
        <v>3</v>
      </c>
      <c r="Y51" s="23" t="s">
        <v>117</v>
      </c>
      <c r="Z51" s="23">
        <v>3</v>
      </c>
      <c r="AA51" s="23">
        <v>1</v>
      </c>
      <c r="AB51" s="23">
        <v>1</v>
      </c>
      <c r="AC51" s="23" t="s">
        <v>0</v>
      </c>
      <c r="AD51" s="23"/>
      <c r="AE51" s="73">
        <v>3</v>
      </c>
      <c r="AF51" s="73">
        <v>1</v>
      </c>
      <c r="AG51" s="73">
        <f t="shared" si="5"/>
        <v>2</v>
      </c>
      <c r="AH51" s="73">
        <v>0</v>
      </c>
      <c r="AI51" s="73">
        <v>0</v>
      </c>
      <c r="AJ51" s="73">
        <f t="shared" si="6"/>
        <v>0</v>
      </c>
    </row>
    <row r="52" spans="1:36" ht="27.95" customHeight="1">
      <c r="A52" s="271" t="s">
        <v>206</v>
      </c>
      <c r="B52" s="61" t="s">
        <v>97</v>
      </c>
      <c r="C52" s="76" t="s">
        <v>97</v>
      </c>
      <c r="D52" s="76" t="s">
        <v>97</v>
      </c>
      <c r="E52" s="61" t="s">
        <v>97</v>
      </c>
      <c r="F52" s="61" t="s">
        <v>97</v>
      </c>
      <c r="G52" s="61" t="s">
        <v>97</v>
      </c>
      <c r="H52" s="12"/>
      <c r="I52" s="146">
        <v>1</v>
      </c>
      <c r="J52" s="146">
        <v>1</v>
      </c>
      <c r="K52" s="146" t="s">
        <v>97</v>
      </c>
      <c r="L52" s="24"/>
      <c r="M52" s="24" t="s">
        <v>97</v>
      </c>
      <c r="N52" s="24" t="s">
        <v>97</v>
      </c>
      <c r="O52" s="24" t="s">
        <v>97</v>
      </c>
      <c r="P52" s="24"/>
      <c r="Q52" s="23" t="s">
        <v>117</v>
      </c>
      <c r="R52" s="23" t="s">
        <v>117</v>
      </c>
      <c r="S52" s="23" t="s">
        <v>117</v>
      </c>
      <c r="T52" s="23" t="s">
        <v>117</v>
      </c>
      <c r="U52" s="23" t="s">
        <v>117</v>
      </c>
      <c r="V52" s="23" t="s">
        <v>117</v>
      </c>
      <c r="W52" s="23"/>
      <c r="X52" s="23">
        <v>2</v>
      </c>
      <c r="Y52" s="23" t="s">
        <v>117</v>
      </c>
      <c r="Z52" s="23">
        <v>2</v>
      </c>
      <c r="AA52" s="23" t="s">
        <v>117</v>
      </c>
      <c r="AB52" s="23" t="s">
        <v>117</v>
      </c>
      <c r="AC52" s="23" t="s">
        <v>0</v>
      </c>
      <c r="AD52" s="23"/>
      <c r="AE52" s="73">
        <v>4</v>
      </c>
      <c r="AF52" s="73">
        <v>4</v>
      </c>
      <c r="AG52" s="73">
        <f t="shared" si="5"/>
        <v>0</v>
      </c>
      <c r="AH52" s="73">
        <v>2</v>
      </c>
      <c r="AI52" s="73">
        <v>2</v>
      </c>
      <c r="AJ52" s="73">
        <f t="shared" si="6"/>
        <v>0</v>
      </c>
    </row>
    <row r="53" spans="1:36" ht="27.95" customHeight="1">
      <c r="A53" s="271" t="s">
        <v>207</v>
      </c>
      <c r="B53" s="61">
        <v>4</v>
      </c>
      <c r="C53" s="76" t="s">
        <v>97</v>
      </c>
      <c r="D53" s="134">
        <v>4</v>
      </c>
      <c r="E53" s="61">
        <v>3</v>
      </c>
      <c r="F53" s="61" t="s">
        <v>97</v>
      </c>
      <c r="G53" s="100">
        <v>3</v>
      </c>
      <c r="H53" s="100"/>
      <c r="I53" s="146">
        <v>7</v>
      </c>
      <c r="J53" s="146">
        <v>1</v>
      </c>
      <c r="K53" s="24">
        <v>6</v>
      </c>
      <c r="L53" s="24"/>
      <c r="M53" s="24">
        <v>5</v>
      </c>
      <c r="N53" s="24">
        <v>2</v>
      </c>
      <c r="O53" s="24">
        <v>3</v>
      </c>
      <c r="P53" s="24"/>
      <c r="Q53" s="23" t="s">
        <v>117</v>
      </c>
      <c r="R53" s="23" t="s">
        <v>117</v>
      </c>
      <c r="S53" s="23" t="s">
        <v>117</v>
      </c>
      <c r="T53" s="23" t="s">
        <v>117</v>
      </c>
      <c r="U53" s="23" t="s">
        <v>117</v>
      </c>
      <c r="V53" s="23" t="s">
        <v>117</v>
      </c>
      <c r="W53" s="23"/>
      <c r="X53" s="23">
        <v>8</v>
      </c>
      <c r="Y53" s="23">
        <v>3</v>
      </c>
      <c r="Z53" s="23">
        <v>5</v>
      </c>
      <c r="AA53" s="23">
        <v>1</v>
      </c>
      <c r="AB53" s="23" t="s">
        <v>117</v>
      </c>
      <c r="AC53" s="23">
        <v>1</v>
      </c>
      <c r="AD53" s="23"/>
      <c r="AE53" s="73">
        <v>10</v>
      </c>
      <c r="AF53" s="73">
        <v>5</v>
      </c>
      <c r="AG53" s="73">
        <f t="shared" si="5"/>
        <v>5</v>
      </c>
      <c r="AH53" s="73">
        <v>26</v>
      </c>
      <c r="AI53" s="73">
        <v>9</v>
      </c>
      <c r="AJ53" s="73">
        <f t="shared" si="6"/>
        <v>17</v>
      </c>
    </row>
    <row r="54" spans="1:36" ht="27.95" customHeight="1">
      <c r="A54" s="271" t="s">
        <v>208</v>
      </c>
      <c r="B54" s="61" t="s">
        <v>97</v>
      </c>
      <c r="C54" s="76" t="s">
        <v>97</v>
      </c>
      <c r="D54" s="134"/>
      <c r="E54" s="61"/>
      <c r="F54" s="61" t="s">
        <v>97</v>
      </c>
      <c r="G54" s="61" t="s">
        <v>97</v>
      </c>
      <c r="H54" s="100"/>
      <c r="I54" s="146" t="s">
        <v>97</v>
      </c>
      <c r="J54" s="146" t="s">
        <v>97</v>
      </c>
      <c r="K54" s="146" t="s">
        <v>97</v>
      </c>
      <c r="L54" s="146"/>
      <c r="M54" s="146" t="s">
        <v>97</v>
      </c>
      <c r="N54" s="146" t="s">
        <v>97</v>
      </c>
      <c r="O54" s="146" t="s">
        <v>97</v>
      </c>
      <c r="P54" s="24"/>
      <c r="Q54" s="23" t="s">
        <v>117</v>
      </c>
      <c r="R54" s="23" t="s">
        <v>117</v>
      </c>
      <c r="S54" s="23" t="s">
        <v>117</v>
      </c>
      <c r="T54" s="23" t="s">
        <v>117</v>
      </c>
      <c r="U54" s="23" t="s">
        <v>117</v>
      </c>
      <c r="V54" s="23" t="s">
        <v>117</v>
      </c>
      <c r="W54" s="23"/>
      <c r="X54" s="23">
        <v>4</v>
      </c>
      <c r="Y54" s="23" t="s">
        <v>117</v>
      </c>
      <c r="Z54" s="23">
        <v>4</v>
      </c>
      <c r="AA54" s="23">
        <v>3</v>
      </c>
      <c r="AB54" s="23">
        <v>1</v>
      </c>
      <c r="AC54" s="23">
        <v>2</v>
      </c>
      <c r="AD54" s="23"/>
      <c r="AE54" s="73">
        <v>7</v>
      </c>
      <c r="AF54" s="73">
        <v>1</v>
      </c>
      <c r="AG54" s="73">
        <f t="shared" si="5"/>
        <v>6</v>
      </c>
      <c r="AH54" s="73">
        <v>10</v>
      </c>
      <c r="AI54" s="73">
        <v>4</v>
      </c>
      <c r="AJ54" s="73">
        <f t="shared" si="6"/>
        <v>6</v>
      </c>
    </row>
    <row r="55" spans="1:36" ht="27.95" customHeight="1">
      <c r="A55" s="271" t="s">
        <v>209</v>
      </c>
      <c r="B55" s="61">
        <v>3</v>
      </c>
      <c r="C55" s="76" t="s">
        <v>97</v>
      </c>
      <c r="D55" s="134">
        <v>3</v>
      </c>
      <c r="E55" s="61">
        <v>3</v>
      </c>
      <c r="F55" s="61" t="s">
        <v>97</v>
      </c>
      <c r="G55" s="100">
        <v>3</v>
      </c>
      <c r="H55" s="100"/>
      <c r="I55" s="146">
        <v>4</v>
      </c>
      <c r="J55" s="146">
        <v>2</v>
      </c>
      <c r="K55" s="24">
        <v>2</v>
      </c>
      <c r="L55" s="24"/>
      <c r="M55" s="24">
        <v>3</v>
      </c>
      <c r="N55" s="146" t="s">
        <v>97</v>
      </c>
      <c r="O55" s="24">
        <v>3</v>
      </c>
      <c r="P55" s="24"/>
      <c r="Q55" s="23" t="s">
        <v>117</v>
      </c>
      <c r="R55" s="23" t="s">
        <v>117</v>
      </c>
      <c r="S55" s="23" t="s">
        <v>117</v>
      </c>
      <c r="T55" s="23" t="s">
        <v>117</v>
      </c>
      <c r="U55" s="23" t="s">
        <v>117</v>
      </c>
      <c r="V55" s="23" t="s">
        <v>117</v>
      </c>
      <c r="W55" s="23"/>
      <c r="X55" s="23">
        <v>2</v>
      </c>
      <c r="Y55" s="23">
        <v>1</v>
      </c>
      <c r="Z55" s="23">
        <v>1</v>
      </c>
      <c r="AA55" s="23" t="s">
        <v>117</v>
      </c>
      <c r="AB55" s="23" t="s">
        <v>117</v>
      </c>
      <c r="AC55" s="23" t="s">
        <v>0</v>
      </c>
      <c r="AD55" s="23"/>
      <c r="AE55" s="73">
        <v>6</v>
      </c>
      <c r="AF55" s="73">
        <v>3</v>
      </c>
      <c r="AG55" s="73">
        <f t="shared" si="5"/>
        <v>3</v>
      </c>
      <c r="AH55" s="73">
        <v>29</v>
      </c>
      <c r="AI55" s="73">
        <v>9</v>
      </c>
      <c r="AJ55" s="73">
        <f t="shared" si="6"/>
        <v>20</v>
      </c>
    </row>
    <row r="56" spans="1:36" ht="3.75" customHeight="1">
      <c r="A56" s="297"/>
      <c r="B56" s="295"/>
      <c r="C56" s="296"/>
      <c r="D56" s="296"/>
      <c r="E56" s="144"/>
      <c r="F56" s="144"/>
      <c r="G56" s="144"/>
      <c r="H56" s="144"/>
      <c r="I56" s="145"/>
      <c r="J56" s="145"/>
      <c r="K56" s="145"/>
      <c r="L56" s="145"/>
      <c r="M56" s="145"/>
      <c r="N56" s="145"/>
      <c r="O56" s="145"/>
      <c r="P56" s="145"/>
      <c r="Q56" s="145"/>
      <c r="R56" s="145"/>
      <c r="S56" s="145"/>
      <c r="T56" s="145"/>
      <c r="U56" s="145"/>
      <c r="V56" s="145"/>
      <c r="W56" s="145"/>
      <c r="X56" s="145"/>
      <c r="Y56" s="145"/>
      <c r="Z56" s="145"/>
      <c r="AA56" s="145"/>
      <c r="AB56" s="145"/>
      <c r="AC56" s="145"/>
      <c r="AD56" s="145"/>
      <c r="AE56" s="145"/>
      <c r="AF56" s="145" t="s">
        <v>45</v>
      </c>
      <c r="AG56" s="145"/>
      <c r="AH56" s="145"/>
      <c r="AI56" s="145"/>
      <c r="AJ56" s="145"/>
    </row>
    <row r="57" spans="1:36" ht="11.1" customHeight="1">
      <c r="A57" s="170"/>
      <c r="B57" s="21"/>
      <c r="C57" s="122"/>
      <c r="D57" s="122"/>
      <c r="E57" s="123"/>
      <c r="F57" s="85"/>
      <c r="G57" s="85"/>
      <c r="H57" s="85"/>
      <c r="AJ57" s="349" t="s">
        <v>562</v>
      </c>
    </row>
    <row r="58" spans="1:36" ht="11.1" customHeight="1">
      <c r="A58" s="852"/>
    </row>
    <row r="59" spans="1:36" ht="11.1" customHeight="1">
      <c r="A59" s="852"/>
    </row>
    <row r="61" spans="1:36" ht="27.75" customHeight="1">
      <c r="A61" s="1243" t="str">
        <f>A1</f>
        <v>8.29   PUNO: DENUNCIAS Y EXPEDIENTES INGRESADOS EN LAS FISCALÍAS CIVIL, DE FAMILIA Y MIXTAS, SOBRE 
            INFRACCIONES COMETIDAS POR ADOLESCENTES, 2021-2023</v>
      </c>
      <c r="B61" s="1243"/>
      <c r="C61" s="1243"/>
      <c r="D61" s="1243"/>
      <c r="E61" s="1243"/>
      <c r="F61" s="1243"/>
      <c r="G61" s="1243"/>
      <c r="H61" s="1243"/>
      <c r="I61" s="1243"/>
      <c r="J61" s="1243"/>
      <c r="K61" s="1243"/>
      <c r="L61" s="1243"/>
      <c r="M61" s="1243"/>
      <c r="N61" s="1243"/>
      <c r="O61" s="1243"/>
      <c r="P61" s="1243"/>
      <c r="Q61" s="1243"/>
      <c r="R61" s="1243"/>
      <c r="S61" s="1243"/>
      <c r="T61" s="1243"/>
      <c r="U61" s="1243"/>
      <c r="V61" s="1243"/>
      <c r="W61" s="1243"/>
      <c r="X61" s="1243"/>
      <c r="Y61" s="1243"/>
      <c r="Z61" s="1243"/>
      <c r="AA61" s="1243"/>
      <c r="AB61" s="1243"/>
      <c r="AC61" s="1243"/>
      <c r="AD61" s="1243"/>
      <c r="AE61" s="1243"/>
      <c r="AF61" s="1243"/>
      <c r="AG61" s="1243"/>
      <c r="AH61" s="1243"/>
      <c r="AI61" s="1243"/>
      <c r="AJ61" s="1243"/>
    </row>
    <row r="62" spans="1:36" ht="9" customHeight="1">
      <c r="A62" s="17"/>
      <c r="B62" s="71"/>
      <c r="C62" s="63"/>
      <c r="D62" s="63"/>
      <c r="E62" s="63"/>
      <c r="F62" s="71"/>
      <c r="G62" s="22"/>
      <c r="H62" s="22"/>
      <c r="AJ62" s="347" t="s">
        <v>516</v>
      </c>
    </row>
    <row r="63" spans="1:36" ht="21.95" customHeight="1">
      <c r="A63" s="1245" t="s">
        <v>53</v>
      </c>
      <c r="B63" s="1249">
        <v>2013</v>
      </c>
      <c r="C63" s="1201"/>
      <c r="D63" s="1201"/>
      <c r="E63" s="1201"/>
      <c r="F63" s="1201"/>
      <c r="G63" s="1201"/>
      <c r="H63" s="282"/>
      <c r="I63" s="1201">
        <v>2014</v>
      </c>
      <c r="J63" s="1201"/>
      <c r="K63" s="1201"/>
      <c r="L63" s="1201"/>
      <c r="M63" s="1201"/>
      <c r="N63" s="1201"/>
      <c r="O63" s="1201"/>
      <c r="P63" s="287"/>
      <c r="Q63" s="1205" t="s">
        <v>269</v>
      </c>
      <c r="R63" s="1205"/>
      <c r="S63" s="1205"/>
      <c r="T63" s="1205"/>
      <c r="U63" s="1205"/>
      <c r="V63" s="1205"/>
      <c r="W63" s="288"/>
      <c r="X63" s="1205">
        <v>2016</v>
      </c>
      <c r="Y63" s="1205"/>
      <c r="Z63" s="1205"/>
      <c r="AA63" s="1205"/>
      <c r="AB63" s="1205"/>
      <c r="AC63" s="1205"/>
      <c r="AD63" s="268"/>
      <c r="AE63" s="1204" t="s">
        <v>488</v>
      </c>
      <c r="AF63" s="1205"/>
      <c r="AG63" s="1205"/>
      <c r="AH63" s="1205"/>
      <c r="AI63" s="1205"/>
      <c r="AJ63" s="1205"/>
    </row>
    <row r="64" spans="1:36" ht="21.95" customHeight="1">
      <c r="A64" s="1246"/>
      <c r="B64" s="1247" t="s">
        <v>58</v>
      </c>
      <c r="C64" s="1244"/>
      <c r="D64" s="1244"/>
      <c r="E64" s="1201" t="s">
        <v>102</v>
      </c>
      <c r="F64" s="1201"/>
      <c r="G64" s="1201"/>
      <c r="H64" s="178"/>
      <c r="I64" s="1244" t="s">
        <v>58</v>
      </c>
      <c r="J64" s="1244"/>
      <c r="K64" s="1244"/>
      <c r="L64" s="289"/>
      <c r="M64" s="289"/>
      <c r="N64" s="283" t="s">
        <v>102</v>
      </c>
      <c r="O64" s="283"/>
      <c r="P64" s="135"/>
      <c r="Q64" s="1248" t="s">
        <v>58</v>
      </c>
      <c r="R64" s="1248"/>
      <c r="S64" s="1248"/>
      <c r="T64" s="1248" t="s">
        <v>102</v>
      </c>
      <c r="U64" s="1248"/>
      <c r="V64" s="1248"/>
      <c r="W64" s="97"/>
      <c r="X64" s="1248" t="s">
        <v>58</v>
      </c>
      <c r="Y64" s="1248"/>
      <c r="Z64" s="1248"/>
      <c r="AA64" s="1248" t="s">
        <v>102</v>
      </c>
      <c r="AB64" s="1248"/>
      <c r="AC64" s="1248"/>
      <c r="AD64" s="97"/>
      <c r="AE64" s="1251" t="s">
        <v>58</v>
      </c>
      <c r="AF64" s="1248"/>
      <c r="AG64" s="1248"/>
      <c r="AH64" s="1248" t="s">
        <v>102</v>
      </c>
      <c r="AI64" s="1248"/>
      <c r="AJ64" s="1248"/>
    </row>
    <row r="65" spans="1:36" ht="21.95" customHeight="1">
      <c r="A65" s="1246"/>
      <c r="B65" s="290" t="s">
        <v>210</v>
      </c>
      <c r="C65" s="284" t="s">
        <v>211</v>
      </c>
      <c r="D65" s="290" t="s">
        <v>212</v>
      </c>
      <c r="E65" s="290" t="s">
        <v>210</v>
      </c>
      <c r="F65" s="284" t="s">
        <v>211</v>
      </c>
      <c r="G65" s="290" t="s">
        <v>212</v>
      </c>
      <c r="H65" s="285"/>
      <c r="I65" s="290" t="s">
        <v>210</v>
      </c>
      <c r="J65" s="284" t="s">
        <v>211</v>
      </c>
      <c r="K65" s="290" t="s">
        <v>212</v>
      </c>
      <c r="L65" s="291"/>
      <c r="M65" s="290" t="s">
        <v>210</v>
      </c>
      <c r="N65" s="290" t="s">
        <v>211</v>
      </c>
      <c r="O65" s="290" t="s">
        <v>212</v>
      </c>
      <c r="P65" s="292"/>
      <c r="Q65" s="281" t="s">
        <v>312</v>
      </c>
      <c r="R65" s="187" t="s">
        <v>310</v>
      </c>
      <c r="S65" s="281" t="s">
        <v>311</v>
      </c>
      <c r="T65" s="281" t="s">
        <v>312</v>
      </c>
      <c r="U65" s="281" t="s">
        <v>310</v>
      </c>
      <c r="V65" s="281" t="s">
        <v>311</v>
      </c>
      <c r="W65" s="298"/>
      <c r="X65" s="281" t="s">
        <v>312</v>
      </c>
      <c r="Y65" s="187" t="s">
        <v>310</v>
      </c>
      <c r="Z65" s="281" t="s">
        <v>311</v>
      </c>
      <c r="AA65" s="281" t="s">
        <v>312</v>
      </c>
      <c r="AB65" s="281" t="s">
        <v>310</v>
      </c>
      <c r="AC65" s="281" t="s">
        <v>311</v>
      </c>
      <c r="AD65" s="298"/>
      <c r="AE65" s="1115" t="s">
        <v>312</v>
      </c>
      <c r="AF65" s="300" t="s">
        <v>310</v>
      </c>
      <c r="AG65" s="299" t="s">
        <v>311</v>
      </c>
      <c r="AH65" s="299" t="s">
        <v>312</v>
      </c>
      <c r="AI65" s="281" t="s">
        <v>310</v>
      </c>
      <c r="AJ65" s="299" t="s">
        <v>311</v>
      </c>
    </row>
    <row r="66" spans="1:36" ht="4.5" customHeight="1">
      <c r="A66" s="263"/>
      <c r="B66" s="77"/>
      <c r="C66" s="77"/>
      <c r="D66" s="77"/>
      <c r="E66" s="77"/>
      <c r="F66" s="77"/>
      <c r="G66" s="77"/>
      <c r="H66" s="77"/>
      <c r="I66" s="99"/>
      <c r="J66" s="99"/>
      <c r="Q66" s="293"/>
      <c r="R66" s="293"/>
      <c r="S66" s="293"/>
      <c r="T66" s="293"/>
      <c r="U66" s="293"/>
      <c r="V66" s="293"/>
      <c r="W66" s="293"/>
      <c r="X66" s="293"/>
      <c r="Y66" s="293"/>
      <c r="Z66" s="293"/>
      <c r="AA66" s="293"/>
      <c r="AB66" s="293"/>
      <c r="AC66" s="293"/>
      <c r="AD66" s="293"/>
      <c r="AE66" s="1116"/>
      <c r="AF66" s="293"/>
      <c r="AG66" s="293"/>
      <c r="AH66" s="293"/>
      <c r="AI66" s="293"/>
      <c r="AJ66" s="293"/>
    </row>
    <row r="67" spans="1:36" ht="27.75" customHeight="1">
      <c r="A67" s="269" t="s">
        <v>2</v>
      </c>
      <c r="B67" s="76">
        <f>SUM(B68:B86)</f>
        <v>272</v>
      </c>
      <c r="C67" s="76" t="s">
        <v>97</v>
      </c>
      <c r="D67" s="76">
        <f>SUM(D68:D86)</f>
        <v>272</v>
      </c>
      <c r="E67" s="76">
        <f>SUM(E68:E86)</f>
        <v>164</v>
      </c>
      <c r="F67" s="76">
        <f>SUM(F68:F86)</f>
        <v>3</v>
      </c>
      <c r="G67" s="76">
        <f>SUM(G68:G86)</f>
        <v>161</v>
      </c>
      <c r="H67" s="76"/>
      <c r="I67" s="169">
        <f>SUM(I68:I86)</f>
        <v>272</v>
      </c>
      <c r="J67" s="169">
        <f t="shared" ref="J67:O67" si="7">SUM(J68:J86)</f>
        <v>24</v>
      </c>
      <c r="K67" s="169">
        <f t="shared" si="7"/>
        <v>248</v>
      </c>
      <c r="L67" s="169">
        <f t="shared" si="7"/>
        <v>0</v>
      </c>
      <c r="M67" s="169">
        <f t="shared" si="7"/>
        <v>148</v>
      </c>
      <c r="N67" s="169">
        <f t="shared" si="7"/>
        <v>10</v>
      </c>
      <c r="O67" s="169">
        <f t="shared" si="7"/>
        <v>138</v>
      </c>
      <c r="P67" s="24"/>
      <c r="Q67" s="294">
        <f>SUM(Q68:Q86)</f>
        <v>82</v>
      </c>
      <c r="R67" s="294" t="s">
        <v>97</v>
      </c>
      <c r="S67" s="294">
        <f>SUM(S68:S86)</f>
        <v>82</v>
      </c>
      <c r="T67" s="294">
        <f>SUM(T68:T86)</f>
        <v>28</v>
      </c>
      <c r="U67" s="294" t="s">
        <v>97</v>
      </c>
      <c r="V67" s="294">
        <f>SUM(V68:V86)</f>
        <v>28</v>
      </c>
      <c r="W67" s="23"/>
      <c r="X67" s="294">
        <f t="shared" ref="X67:AC67" si="8">SUM(X68:X86)</f>
        <v>285</v>
      </c>
      <c r="Y67" s="294">
        <f t="shared" si="8"/>
        <v>21</v>
      </c>
      <c r="Z67" s="294">
        <f t="shared" si="8"/>
        <v>264</v>
      </c>
      <c r="AA67" s="294">
        <f t="shared" si="8"/>
        <v>124</v>
      </c>
      <c r="AB67" s="294">
        <f t="shared" si="8"/>
        <v>6</v>
      </c>
      <c r="AC67" s="294">
        <f t="shared" si="8"/>
        <v>118</v>
      </c>
      <c r="AD67" s="294"/>
      <c r="AE67" s="1117">
        <f t="shared" ref="AE67:AJ67" si="9">SUM(AE68:AE86)</f>
        <v>397</v>
      </c>
      <c r="AF67" s="82">
        <f t="shared" si="9"/>
        <v>100</v>
      </c>
      <c r="AG67" s="82">
        <f t="shared" si="9"/>
        <v>309</v>
      </c>
      <c r="AH67" s="82">
        <f t="shared" si="9"/>
        <v>567</v>
      </c>
      <c r="AI67" s="82">
        <f t="shared" si="9"/>
        <v>96</v>
      </c>
      <c r="AJ67" s="82">
        <f t="shared" si="9"/>
        <v>471</v>
      </c>
    </row>
    <row r="68" spans="1:36" ht="27.75" customHeight="1">
      <c r="A68" s="271" t="s">
        <v>200</v>
      </c>
      <c r="B68" s="61">
        <v>30</v>
      </c>
      <c r="C68" s="76" t="s">
        <v>97</v>
      </c>
      <c r="D68" s="134">
        <v>30</v>
      </c>
      <c r="E68" s="61">
        <v>8</v>
      </c>
      <c r="F68" s="61" t="s">
        <v>97</v>
      </c>
      <c r="G68" s="12">
        <v>8</v>
      </c>
      <c r="H68" s="12"/>
      <c r="I68" s="146">
        <v>24</v>
      </c>
      <c r="J68" s="146" t="s">
        <v>97</v>
      </c>
      <c r="K68" s="24">
        <v>24</v>
      </c>
      <c r="L68" s="24"/>
      <c r="M68" s="24">
        <v>11</v>
      </c>
      <c r="N68" s="24" t="s">
        <v>97</v>
      </c>
      <c r="O68" s="24">
        <v>11</v>
      </c>
      <c r="P68" s="24"/>
      <c r="Q68" s="23">
        <v>18</v>
      </c>
      <c r="R68" s="294" t="s">
        <v>97</v>
      </c>
      <c r="S68" s="23">
        <v>18</v>
      </c>
      <c r="T68" s="23">
        <v>6</v>
      </c>
      <c r="U68" s="294" t="s">
        <v>97</v>
      </c>
      <c r="V68" s="23">
        <v>6</v>
      </c>
      <c r="W68" s="23"/>
      <c r="X68" s="23">
        <v>28</v>
      </c>
      <c r="Y68" s="23">
        <v>5</v>
      </c>
      <c r="Z68" s="23">
        <v>23</v>
      </c>
      <c r="AA68" s="23">
        <v>11</v>
      </c>
      <c r="AB68" s="23" t="s">
        <v>117</v>
      </c>
      <c r="AC68" s="23">
        <v>11</v>
      </c>
      <c r="AD68" s="23"/>
      <c r="AE68" s="1118">
        <v>42</v>
      </c>
      <c r="AF68" s="73">
        <v>3</v>
      </c>
      <c r="AG68" s="73">
        <f>+AE68-AF68</f>
        <v>39</v>
      </c>
      <c r="AH68" s="73">
        <v>51</v>
      </c>
      <c r="AI68" s="73">
        <v>0</v>
      </c>
      <c r="AJ68" s="73">
        <f>+AH68-AI68</f>
        <v>51</v>
      </c>
    </row>
    <row r="69" spans="1:36" ht="27.75" customHeight="1">
      <c r="A69" s="271" t="s">
        <v>202</v>
      </c>
      <c r="B69" s="61">
        <v>20</v>
      </c>
      <c r="C69" s="76" t="s">
        <v>97</v>
      </c>
      <c r="D69" s="134">
        <v>20</v>
      </c>
      <c r="E69" s="61">
        <v>13</v>
      </c>
      <c r="F69" s="61" t="s">
        <v>97</v>
      </c>
      <c r="G69" s="12">
        <v>13</v>
      </c>
      <c r="H69" s="12"/>
      <c r="I69" s="146">
        <v>29</v>
      </c>
      <c r="J69" s="146" t="s">
        <v>97</v>
      </c>
      <c r="K69" s="24">
        <v>29</v>
      </c>
      <c r="L69" s="24"/>
      <c r="M69" s="24">
        <v>27</v>
      </c>
      <c r="N69" s="24" t="s">
        <v>97</v>
      </c>
      <c r="O69" s="24">
        <v>27</v>
      </c>
      <c r="P69" s="24"/>
      <c r="Q69" s="23">
        <v>14</v>
      </c>
      <c r="R69" s="294" t="s">
        <v>97</v>
      </c>
      <c r="S69" s="23">
        <v>14</v>
      </c>
      <c r="T69" s="23">
        <v>4</v>
      </c>
      <c r="U69" s="294" t="s">
        <v>97</v>
      </c>
      <c r="V69" s="23">
        <v>4</v>
      </c>
      <c r="W69" s="23"/>
      <c r="X69" s="23">
        <v>28</v>
      </c>
      <c r="Y69" s="23" t="s">
        <v>117</v>
      </c>
      <c r="Z69" s="23">
        <v>28</v>
      </c>
      <c r="AA69" s="23">
        <v>17</v>
      </c>
      <c r="AB69" s="23" t="s">
        <v>117</v>
      </c>
      <c r="AC69" s="23">
        <v>17</v>
      </c>
      <c r="AD69" s="23"/>
      <c r="AE69" s="1118">
        <v>32</v>
      </c>
      <c r="AF69" s="73">
        <v>8</v>
      </c>
      <c r="AG69" s="73">
        <f t="shared" ref="AG69:AG74" si="10">+AE69-AF69</f>
        <v>24</v>
      </c>
      <c r="AH69" s="73">
        <v>107</v>
      </c>
      <c r="AI69" s="73">
        <v>13</v>
      </c>
      <c r="AJ69" s="73">
        <f t="shared" ref="AJ69:AJ86" si="11">+AH69-AI69</f>
        <v>94</v>
      </c>
    </row>
    <row r="70" spans="1:36" ht="27.75" customHeight="1">
      <c r="A70" s="271" t="s">
        <v>201</v>
      </c>
      <c r="B70" s="61">
        <v>45</v>
      </c>
      <c r="C70" s="76" t="s">
        <v>97</v>
      </c>
      <c r="D70" s="134">
        <v>45</v>
      </c>
      <c r="E70" s="61">
        <v>26</v>
      </c>
      <c r="F70" s="61" t="s">
        <v>97</v>
      </c>
      <c r="G70" s="12">
        <v>26</v>
      </c>
      <c r="H70" s="12"/>
      <c r="I70" s="146">
        <v>34</v>
      </c>
      <c r="J70" s="146" t="s">
        <v>97</v>
      </c>
      <c r="K70" s="24">
        <v>34</v>
      </c>
      <c r="L70" s="24"/>
      <c r="M70" s="24">
        <v>12</v>
      </c>
      <c r="N70" s="24" t="s">
        <v>97</v>
      </c>
      <c r="O70" s="24">
        <v>12</v>
      </c>
      <c r="P70" s="24"/>
      <c r="Q70" s="23">
        <v>22</v>
      </c>
      <c r="R70" s="294" t="s">
        <v>97</v>
      </c>
      <c r="S70" s="23">
        <v>22</v>
      </c>
      <c r="T70" s="23">
        <v>2</v>
      </c>
      <c r="U70" s="294" t="s">
        <v>97</v>
      </c>
      <c r="V70" s="23">
        <v>2</v>
      </c>
      <c r="W70" s="23"/>
      <c r="X70" s="23">
        <v>43</v>
      </c>
      <c r="Y70" s="23">
        <v>2</v>
      </c>
      <c r="Z70" s="23">
        <v>41</v>
      </c>
      <c r="AA70" s="23">
        <v>9</v>
      </c>
      <c r="AB70" s="23" t="s">
        <v>117</v>
      </c>
      <c r="AC70" s="23">
        <v>9</v>
      </c>
      <c r="AD70" s="23"/>
      <c r="AE70" s="1118">
        <v>58</v>
      </c>
      <c r="AF70" s="73">
        <v>8</v>
      </c>
      <c r="AG70" s="73">
        <f t="shared" si="10"/>
        <v>50</v>
      </c>
      <c r="AH70" s="73">
        <v>32</v>
      </c>
      <c r="AI70" s="73">
        <v>4</v>
      </c>
      <c r="AJ70" s="73">
        <f t="shared" si="11"/>
        <v>28</v>
      </c>
    </row>
    <row r="71" spans="1:36" ht="27.75" customHeight="1">
      <c r="A71" s="271" t="s">
        <v>203</v>
      </c>
      <c r="B71" s="61">
        <v>14</v>
      </c>
      <c r="C71" s="76" t="s">
        <v>97</v>
      </c>
      <c r="D71" s="134">
        <v>14</v>
      </c>
      <c r="E71" s="61">
        <v>16</v>
      </c>
      <c r="F71" s="61" t="s">
        <v>97</v>
      </c>
      <c r="G71" s="12">
        <v>16</v>
      </c>
      <c r="H71" s="12"/>
      <c r="I71" s="146">
        <v>22</v>
      </c>
      <c r="J71" s="146">
        <v>1</v>
      </c>
      <c r="K71" s="24">
        <v>21</v>
      </c>
      <c r="L71" s="24"/>
      <c r="M71" s="24">
        <v>18</v>
      </c>
      <c r="N71" s="24" t="s">
        <v>97</v>
      </c>
      <c r="O71" s="24">
        <v>18</v>
      </c>
      <c r="P71" s="24"/>
      <c r="Q71" s="23">
        <v>12</v>
      </c>
      <c r="R71" s="294" t="s">
        <v>97</v>
      </c>
      <c r="S71" s="23">
        <v>12</v>
      </c>
      <c r="T71" s="23">
        <v>10</v>
      </c>
      <c r="U71" s="294" t="s">
        <v>97</v>
      </c>
      <c r="V71" s="23">
        <v>10</v>
      </c>
      <c r="W71" s="23"/>
      <c r="X71" s="23">
        <v>37</v>
      </c>
      <c r="Y71" s="23" t="s">
        <v>117</v>
      </c>
      <c r="Z71" s="23">
        <v>37</v>
      </c>
      <c r="AA71" s="23">
        <v>24</v>
      </c>
      <c r="AB71" s="23" t="s">
        <v>117</v>
      </c>
      <c r="AC71" s="23">
        <v>24</v>
      </c>
      <c r="AD71" s="23"/>
      <c r="AE71" s="1118">
        <v>35</v>
      </c>
      <c r="AF71" s="73">
        <v>0</v>
      </c>
      <c r="AG71" s="73">
        <f t="shared" si="10"/>
        <v>35</v>
      </c>
      <c r="AH71" s="73">
        <v>109</v>
      </c>
      <c r="AI71" s="73">
        <v>2</v>
      </c>
      <c r="AJ71" s="73">
        <f t="shared" si="11"/>
        <v>107</v>
      </c>
    </row>
    <row r="72" spans="1:36" ht="27.75" customHeight="1">
      <c r="A72" s="271" t="s">
        <v>204</v>
      </c>
      <c r="B72" s="61">
        <v>26</v>
      </c>
      <c r="C72" s="76" t="s">
        <v>97</v>
      </c>
      <c r="D72" s="134">
        <v>26</v>
      </c>
      <c r="E72" s="61">
        <v>14</v>
      </c>
      <c r="F72" s="61" t="s">
        <v>97</v>
      </c>
      <c r="G72" s="12">
        <v>14</v>
      </c>
      <c r="H72" s="12"/>
      <c r="I72" s="146">
        <v>22</v>
      </c>
      <c r="J72" s="146" t="s">
        <v>97</v>
      </c>
      <c r="K72" s="24">
        <v>22</v>
      </c>
      <c r="L72" s="24"/>
      <c r="M72" s="24">
        <v>16</v>
      </c>
      <c r="N72" s="24" t="s">
        <v>97</v>
      </c>
      <c r="O72" s="24">
        <v>16</v>
      </c>
      <c r="P72" s="24"/>
      <c r="Q72" s="23">
        <v>16</v>
      </c>
      <c r="R72" s="294" t="s">
        <v>97</v>
      </c>
      <c r="S72" s="23">
        <v>16</v>
      </c>
      <c r="T72" s="23">
        <v>6</v>
      </c>
      <c r="U72" s="294" t="s">
        <v>97</v>
      </c>
      <c r="V72" s="23">
        <v>6</v>
      </c>
      <c r="W72" s="23"/>
      <c r="X72" s="23">
        <v>27</v>
      </c>
      <c r="Y72" s="23" t="s">
        <v>117</v>
      </c>
      <c r="Z72" s="23">
        <v>27</v>
      </c>
      <c r="AA72" s="23">
        <v>12</v>
      </c>
      <c r="AB72" s="23" t="s">
        <v>117</v>
      </c>
      <c r="AC72" s="23">
        <v>12</v>
      </c>
      <c r="AD72" s="23"/>
      <c r="AE72" s="1118">
        <v>76</v>
      </c>
      <c r="AF72" s="73">
        <v>39</v>
      </c>
      <c r="AG72" s="73">
        <f t="shared" si="10"/>
        <v>37</v>
      </c>
      <c r="AH72" s="73">
        <v>37</v>
      </c>
      <c r="AI72" s="73">
        <v>2</v>
      </c>
      <c r="AJ72" s="73">
        <f t="shared" si="11"/>
        <v>35</v>
      </c>
    </row>
    <row r="73" spans="1:36" ht="27.75" customHeight="1">
      <c r="A73" s="271" t="s">
        <v>240</v>
      </c>
      <c r="B73" s="61">
        <v>15</v>
      </c>
      <c r="C73" s="76" t="s">
        <v>97</v>
      </c>
      <c r="D73" s="134">
        <v>15</v>
      </c>
      <c r="E73" s="61">
        <v>17</v>
      </c>
      <c r="F73" s="61" t="s">
        <v>97</v>
      </c>
      <c r="G73" s="12">
        <v>17</v>
      </c>
      <c r="H73" s="12"/>
      <c r="I73" s="146">
        <v>25</v>
      </c>
      <c r="J73" s="146">
        <v>5</v>
      </c>
      <c r="K73" s="24">
        <v>20</v>
      </c>
      <c r="L73" s="24"/>
      <c r="M73" s="24">
        <v>9</v>
      </c>
      <c r="N73" s="24">
        <v>2</v>
      </c>
      <c r="O73" s="24">
        <v>7</v>
      </c>
      <c r="P73" s="24"/>
      <c r="Q73" s="23" t="s">
        <v>117</v>
      </c>
      <c r="R73" s="23" t="s">
        <v>117</v>
      </c>
      <c r="S73" s="23" t="s">
        <v>117</v>
      </c>
      <c r="T73" s="23" t="s">
        <v>117</v>
      </c>
      <c r="U73" s="23" t="s">
        <v>117</v>
      </c>
      <c r="V73" s="23" t="s">
        <v>117</v>
      </c>
      <c r="W73" s="23"/>
      <c r="X73" s="23">
        <v>24</v>
      </c>
      <c r="Y73" s="23" t="s">
        <v>117</v>
      </c>
      <c r="Z73" s="23">
        <v>24</v>
      </c>
      <c r="AA73" s="23">
        <v>5</v>
      </c>
      <c r="AB73" s="23">
        <v>3</v>
      </c>
      <c r="AC73" s="23">
        <v>2</v>
      </c>
      <c r="AD73" s="23"/>
      <c r="AE73" s="1118">
        <v>29</v>
      </c>
      <c r="AF73" s="73">
        <v>10</v>
      </c>
      <c r="AG73" s="73">
        <f t="shared" si="10"/>
        <v>19</v>
      </c>
      <c r="AH73" s="73">
        <v>60</v>
      </c>
      <c r="AI73" s="73">
        <v>26</v>
      </c>
      <c r="AJ73" s="73">
        <f t="shared" si="11"/>
        <v>34</v>
      </c>
    </row>
    <row r="74" spans="1:36" ht="27.75" customHeight="1">
      <c r="A74" s="271" t="s">
        <v>241</v>
      </c>
      <c r="B74" s="61">
        <v>8</v>
      </c>
      <c r="C74" s="76" t="s">
        <v>97</v>
      </c>
      <c r="D74" s="134">
        <v>8</v>
      </c>
      <c r="E74" s="61">
        <v>6</v>
      </c>
      <c r="F74" s="61" t="s">
        <v>97</v>
      </c>
      <c r="G74" s="12">
        <v>6</v>
      </c>
      <c r="H74" s="12"/>
      <c r="I74" s="146">
        <v>10</v>
      </c>
      <c r="J74" s="146">
        <v>4</v>
      </c>
      <c r="K74" s="24">
        <v>6</v>
      </c>
      <c r="L74" s="24"/>
      <c r="M74" s="24">
        <v>5</v>
      </c>
      <c r="N74" s="24" t="s">
        <v>97</v>
      </c>
      <c r="O74" s="24">
        <v>5</v>
      </c>
      <c r="P74" s="24"/>
      <c r="Q74" s="23" t="s">
        <v>117</v>
      </c>
      <c r="R74" s="23" t="s">
        <v>117</v>
      </c>
      <c r="S74" s="23" t="s">
        <v>117</v>
      </c>
      <c r="T74" s="23" t="s">
        <v>117</v>
      </c>
      <c r="U74" s="23" t="s">
        <v>117</v>
      </c>
      <c r="V74" s="23" t="s">
        <v>117</v>
      </c>
      <c r="W74" s="23"/>
      <c r="X74" s="23">
        <v>4</v>
      </c>
      <c r="Y74" s="23">
        <v>2</v>
      </c>
      <c r="Z74" s="23">
        <v>2</v>
      </c>
      <c r="AA74" s="23" t="s">
        <v>117</v>
      </c>
      <c r="AB74" s="23" t="s">
        <v>117</v>
      </c>
      <c r="AC74" s="23" t="s">
        <v>0</v>
      </c>
      <c r="AD74" s="23"/>
      <c r="AE74" s="1118">
        <v>11</v>
      </c>
      <c r="AF74" s="73">
        <v>1</v>
      </c>
      <c r="AG74" s="73">
        <f t="shared" si="10"/>
        <v>10</v>
      </c>
      <c r="AH74" s="73">
        <v>25</v>
      </c>
      <c r="AI74" s="73">
        <v>5</v>
      </c>
      <c r="AJ74" s="73">
        <f t="shared" si="11"/>
        <v>20</v>
      </c>
    </row>
    <row r="75" spans="1:36" ht="27.75" customHeight="1">
      <c r="A75" s="271" t="s">
        <v>242</v>
      </c>
      <c r="B75" s="61">
        <v>13</v>
      </c>
      <c r="C75" s="76" t="s">
        <v>97</v>
      </c>
      <c r="D75" s="134">
        <v>13</v>
      </c>
      <c r="E75" s="61">
        <v>9</v>
      </c>
      <c r="F75" s="61">
        <v>1</v>
      </c>
      <c r="G75" s="12">
        <v>8</v>
      </c>
      <c r="H75" s="12"/>
      <c r="I75" s="146">
        <v>15</v>
      </c>
      <c r="J75" s="146">
        <v>4</v>
      </c>
      <c r="K75" s="24">
        <v>11</v>
      </c>
      <c r="L75" s="24"/>
      <c r="M75" s="24">
        <v>2</v>
      </c>
      <c r="N75" s="24" t="s">
        <v>97</v>
      </c>
      <c r="O75" s="24">
        <v>2</v>
      </c>
      <c r="P75" s="24"/>
      <c r="Q75" s="23" t="s">
        <v>117</v>
      </c>
      <c r="R75" s="23" t="s">
        <v>117</v>
      </c>
      <c r="S75" s="23" t="s">
        <v>117</v>
      </c>
      <c r="T75" s="23" t="s">
        <v>117</v>
      </c>
      <c r="U75" s="23" t="s">
        <v>117</v>
      </c>
      <c r="V75" s="23" t="s">
        <v>117</v>
      </c>
      <c r="W75" s="23"/>
      <c r="X75" s="23">
        <v>5</v>
      </c>
      <c r="Y75" s="23">
        <v>2</v>
      </c>
      <c r="Z75" s="23">
        <v>3</v>
      </c>
      <c r="AA75" s="23">
        <v>8</v>
      </c>
      <c r="AB75" s="23" t="s">
        <v>117</v>
      </c>
      <c r="AC75" s="23">
        <v>8</v>
      </c>
      <c r="AD75" s="23"/>
      <c r="AE75" s="1118">
        <v>11</v>
      </c>
      <c r="AF75" s="73">
        <v>3</v>
      </c>
      <c r="AG75" s="73">
        <v>20</v>
      </c>
      <c r="AH75" s="73">
        <v>14</v>
      </c>
      <c r="AI75" s="73">
        <v>1</v>
      </c>
      <c r="AJ75" s="73">
        <f t="shared" si="11"/>
        <v>13</v>
      </c>
    </row>
    <row r="76" spans="1:36" ht="27.75" customHeight="1">
      <c r="A76" s="271" t="s">
        <v>243</v>
      </c>
      <c r="B76" s="61">
        <v>20</v>
      </c>
      <c r="C76" s="76" t="s">
        <v>97</v>
      </c>
      <c r="D76" s="134">
        <v>20</v>
      </c>
      <c r="E76" s="61">
        <v>6</v>
      </c>
      <c r="F76" s="61" t="s">
        <v>97</v>
      </c>
      <c r="G76" s="12">
        <v>6</v>
      </c>
      <c r="H76" s="12"/>
      <c r="I76" s="146">
        <v>11</v>
      </c>
      <c r="J76" s="146">
        <v>1</v>
      </c>
      <c r="K76" s="24">
        <v>10</v>
      </c>
      <c r="L76" s="24"/>
      <c r="M76" s="24">
        <v>4</v>
      </c>
      <c r="N76" s="24" t="s">
        <v>97</v>
      </c>
      <c r="O76" s="24">
        <v>4</v>
      </c>
      <c r="P76" s="24"/>
      <c r="Q76" s="23" t="s">
        <v>117</v>
      </c>
      <c r="R76" s="23" t="s">
        <v>117</v>
      </c>
      <c r="S76" s="23" t="s">
        <v>117</v>
      </c>
      <c r="T76" s="23" t="s">
        <v>117</v>
      </c>
      <c r="U76" s="23" t="s">
        <v>117</v>
      </c>
      <c r="V76" s="23" t="s">
        <v>117</v>
      </c>
      <c r="W76" s="23"/>
      <c r="X76" s="23">
        <v>10</v>
      </c>
      <c r="Y76" s="23" t="s">
        <v>117</v>
      </c>
      <c r="Z76" s="23">
        <v>10</v>
      </c>
      <c r="AA76" s="23">
        <v>9</v>
      </c>
      <c r="AB76" s="23">
        <v>1</v>
      </c>
      <c r="AC76" s="23">
        <v>8</v>
      </c>
      <c r="AD76" s="23"/>
      <c r="AE76" s="1118">
        <v>9</v>
      </c>
      <c r="AF76" s="73">
        <v>1</v>
      </c>
      <c r="AG76" s="73">
        <f t="shared" ref="AG76:AG86" si="12">+AE76-AF76</f>
        <v>8</v>
      </c>
      <c r="AH76" s="73">
        <v>7</v>
      </c>
      <c r="AI76" s="73">
        <v>1</v>
      </c>
      <c r="AJ76" s="73">
        <f t="shared" si="11"/>
        <v>6</v>
      </c>
    </row>
    <row r="77" spans="1:36" ht="27.75" customHeight="1">
      <c r="A77" s="271" t="s">
        <v>244</v>
      </c>
      <c r="B77" s="61">
        <v>13</v>
      </c>
      <c r="C77" s="76" t="s">
        <v>97</v>
      </c>
      <c r="D77" s="134">
        <v>13</v>
      </c>
      <c r="E77" s="61" t="s">
        <v>97</v>
      </c>
      <c r="F77" s="61" t="s">
        <v>97</v>
      </c>
      <c r="G77" s="61" t="s">
        <v>97</v>
      </c>
      <c r="H77" s="12"/>
      <c r="I77" s="146">
        <v>12</v>
      </c>
      <c r="J77" s="146" t="s">
        <v>97</v>
      </c>
      <c r="K77" s="24">
        <v>12</v>
      </c>
      <c r="L77" s="24"/>
      <c r="M77" s="24">
        <v>4</v>
      </c>
      <c r="N77" s="24">
        <v>1</v>
      </c>
      <c r="O77" s="24">
        <v>3</v>
      </c>
      <c r="P77" s="24"/>
      <c r="Q77" s="23" t="s">
        <v>117</v>
      </c>
      <c r="R77" s="23" t="s">
        <v>117</v>
      </c>
      <c r="S77" s="23" t="s">
        <v>117</v>
      </c>
      <c r="T77" s="23" t="s">
        <v>117</v>
      </c>
      <c r="U77" s="23" t="s">
        <v>117</v>
      </c>
      <c r="V77" s="23" t="s">
        <v>117</v>
      </c>
      <c r="W77" s="23"/>
      <c r="X77" s="23">
        <v>12</v>
      </c>
      <c r="Y77" s="23">
        <v>1</v>
      </c>
      <c r="Z77" s="23">
        <v>11</v>
      </c>
      <c r="AA77" s="23">
        <v>7</v>
      </c>
      <c r="AB77" s="23" t="s">
        <v>117</v>
      </c>
      <c r="AC77" s="23">
        <v>7</v>
      </c>
      <c r="AD77" s="23"/>
      <c r="AE77" s="1118">
        <v>12</v>
      </c>
      <c r="AF77" s="73">
        <v>1</v>
      </c>
      <c r="AG77" s="73">
        <f t="shared" si="12"/>
        <v>11</v>
      </c>
      <c r="AH77" s="73">
        <v>13</v>
      </c>
      <c r="AI77" s="73">
        <v>1</v>
      </c>
      <c r="AJ77" s="73">
        <f t="shared" si="11"/>
        <v>12</v>
      </c>
    </row>
    <row r="78" spans="1:36" ht="27.75" customHeight="1">
      <c r="A78" s="271" t="s">
        <v>245</v>
      </c>
      <c r="B78" s="61">
        <v>12</v>
      </c>
      <c r="C78" s="76" t="s">
        <v>97</v>
      </c>
      <c r="D78" s="134">
        <v>12</v>
      </c>
      <c r="E78" s="61">
        <v>12</v>
      </c>
      <c r="F78" s="61">
        <v>2</v>
      </c>
      <c r="G78" s="12">
        <v>10</v>
      </c>
      <c r="H78" s="12"/>
      <c r="I78" s="146">
        <v>2</v>
      </c>
      <c r="J78" s="146" t="s">
        <v>97</v>
      </c>
      <c r="K78" s="24">
        <v>2</v>
      </c>
      <c r="L78" s="24"/>
      <c r="M78" s="24">
        <v>7</v>
      </c>
      <c r="N78" s="24" t="s">
        <v>97</v>
      </c>
      <c r="O78" s="24">
        <v>7</v>
      </c>
      <c r="P78" s="24"/>
      <c r="Q78" s="23" t="s">
        <v>117</v>
      </c>
      <c r="R78" s="23" t="s">
        <v>117</v>
      </c>
      <c r="S78" s="23" t="s">
        <v>117</v>
      </c>
      <c r="T78" s="23" t="s">
        <v>117</v>
      </c>
      <c r="U78" s="23" t="s">
        <v>117</v>
      </c>
      <c r="V78" s="23" t="s">
        <v>117</v>
      </c>
      <c r="W78" s="23"/>
      <c r="X78" s="23">
        <v>5</v>
      </c>
      <c r="Y78" s="23">
        <v>1</v>
      </c>
      <c r="Z78" s="23">
        <v>4</v>
      </c>
      <c r="AA78" s="23">
        <v>3</v>
      </c>
      <c r="AB78" s="23" t="s">
        <v>117</v>
      </c>
      <c r="AC78" s="23">
        <v>3</v>
      </c>
      <c r="AD78" s="23"/>
      <c r="AE78" s="1118">
        <v>11</v>
      </c>
      <c r="AF78" s="73">
        <v>0</v>
      </c>
      <c r="AG78" s="73">
        <f t="shared" si="12"/>
        <v>11</v>
      </c>
      <c r="AH78" s="73">
        <v>36</v>
      </c>
      <c r="AI78" s="73">
        <v>0</v>
      </c>
      <c r="AJ78" s="73">
        <f t="shared" si="11"/>
        <v>36</v>
      </c>
    </row>
    <row r="79" spans="1:36" ht="27.75" customHeight="1">
      <c r="A79" s="271" t="s">
        <v>246</v>
      </c>
      <c r="B79" s="61">
        <v>19</v>
      </c>
      <c r="C79" s="76" t="s">
        <v>97</v>
      </c>
      <c r="D79" s="134">
        <v>19</v>
      </c>
      <c r="E79" s="61">
        <v>5</v>
      </c>
      <c r="F79" s="61" t="s">
        <v>97</v>
      </c>
      <c r="G79" s="12">
        <v>5</v>
      </c>
      <c r="H79" s="12"/>
      <c r="I79" s="146">
        <v>22</v>
      </c>
      <c r="J79" s="146">
        <v>1</v>
      </c>
      <c r="K79" s="24">
        <v>21</v>
      </c>
      <c r="L79" s="24"/>
      <c r="M79" s="24">
        <v>11</v>
      </c>
      <c r="N79" s="24">
        <v>4</v>
      </c>
      <c r="O79" s="24">
        <v>7</v>
      </c>
      <c r="P79" s="24"/>
      <c r="Q79" s="23" t="s">
        <v>117</v>
      </c>
      <c r="R79" s="23" t="s">
        <v>117</v>
      </c>
      <c r="S79" s="23" t="s">
        <v>117</v>
      </c>
      <c r="T79" s="23" t="s">
        <v>117</v>
      </c>
      <c r="U79" s="23" t="s">
        <v>117</v>
      </c>
      <c r="V79" s="23" t="s">
        <v>117</v>
      </c>
      <c r="W79" s="23"/>
      <c r="X79" s="23">
        <v>13</v>
      </c>
      <c r="Y79" s="23">
        <v>1</v>
      </c>
      <c r="Z79" s="23">
        <v>12</v>
      </c>
      <c r="AA79" s="23">
        <v>12</v>
      </c>
      <c r="AB79" s="23" t="s">
        <v>117</v>
      </c>
      <c r="AC79" s="23">
        <v>12</v>
      </c>
      <c r="AD79" s="23"/>
      <c r="AE79" s="1118">
        <v>37</v>
      </c>
      <c r="AF79" s="73">
        <v>11</v>
      </c>
      <c r="AG79" s="73">
        <f t="shared" si="12"/>
        <v>26</v>
      </c>
      <c r="AH79" s="73">
        <v>40</v>
      </c>
      <c r="AI79" s="73">
        <v>25</v>
      </c>
      <c r="AJ79" s="73">
        <f t="shared" si="11"/>
        <v>15</v>
      </c>
    </row>
    <row r="80" spans="1:36" ht="27.75" customHeight="1">
      <c r="A80" s="271" t="s">
        <v>247</v>
      </c>
      <c r="B80" s="61">
        <v>15</v>
      </c>
      <c r="C80" s="76" t="s">
        <v>97</v>
      </c>
      <c r="D80" s="134">
        <v>15</v>
      </c>
      <c r="E80" s="61">
        <v>13</v>
      </c>
      <c r="F80" s="61" t="s">
        <v>97</v>
      </c>
      <c r="G80" s="12">
        <v>13</v>
      </c>
      <c r="H80" s="12"/>
      <c r="I80" s="146">
        <v>11</v>
      </c>
      <c r="J80" s="146">
        <v>1</v>
      </c>
      <c r="K80" s="24">
        <v>10</v>
      </c>
      <c r="L80" s="24"/>
      <c r="M80" s="24">
        <v>8</v>
      </c>
      <c r="N80" s="24" t="s">
        <v>97</v>
      </c>
      <c r="O80" s="24">
        <v>8</v>
      </c>
      <c r="P80" s="24"/>
      <c r="Q80" s="23" t="s">
        <v>117</v>
      </c>
      <c r="R80" s="23" t="s">
        <v>117</v>
      </c>
      <c r="S80" s="23" t="s">
        <v>117</v>
      </c>
      <c r="T80" s="23" t="s">
        <v>117</v>
      </c>
      <c r="U80" s="23" t="s">
        <v>117</v>
      </c>
      <c r="V80" s="23" t="s">
        <v>117</v>
      </c>
      <c r="W80" s="23"/>
      <c r="X80" s="23">
        <v>12</v>
      </c>
      <c r="Y80" s="23">
        <v>3</v>
      </c>
      <c r="Z80" s="23">
        <v>9</v>
      </c>
      <c r="AA80" s="23" t="s">
        <v>117</v>
      </c>
      <c r="AB80" s="23" t="s">
        <v>117</v>
      </c>
      <c r="AC80" s="23" t="s">
        <v>0</v>
      </c>
      <c r="AD80" s="23"/>
      <c r="AE80" s="1118">
        <v>9</v>
      </c>
      <c r="AF80" s="73">
        <v>1</v>
      </c>
      <c r="AG80" s="73">
        <f t="shared" si="12"/>
        <v>8</v>
      </c>
      <c r="AH80" s="73">
        <v>12</v>
      </c>
      <c r="AI80" s="73">
        <v>1</v>
      </c>
      <c r="AJ80" s="73">
        <f t="shared" si="11"/>
        <v>11</v>
      </c>
    </row>
    <row r="81" spans="1:36" ht="27.75" customHeight="1">
      <c r="A81" s="271" t="s">
        <v>248</v>
      </c>
      <c r="B81" s="61">
        <v>9</v>
      </c>
      <c r="C81" s="76" t="s">
        <v>97</v>
      </c>
      <c r="D81" s="134">
        <v>9</v>
      </c>
      <c r="E81" s="61">
        <v>13</v>
      </c>
      <c r="F81" s="61" t="s">
        <v>97</v>
      </c>
      <c r="G81" s="12">
        <v>13</v>
      </c>
      <c r="H81" s="12"/>
      <c r="I81" s="146">
        <v>13</v>
      </c>
      <c r="J81" s="146">
        <v>1</v>
      </c>
      <c r="K81" s="24">
        <v>12</v>
      </c>
      <c r="L81" s="24"/>
      <c r="M81" s="24">
        <v>6</v>
      </c>
      <c r="N81" s="24">
        <v>1</v>
      </c>
      <c r="O81" s="24">
        <v>5</v>
      </c>
      <c r="P81" s="24"/>
      <c r="Q81" s="23" t="s">
        <v>117</v>
      </c>
      <c r="R81" s="23" t="s">
        <v>117</v>
      </c>
      <c r="S81" s="23" t="s">
        <v>117</v>
      </c>
      <c r="T81" s="23" t="s">
        <v>117</v>
      </c>
      <c r="U81" s="23" t="s">
        <v>117</v>
      </c>
      <c r="V81" s="23" t="s">
        <v>117</v>
      </c>
      <c r="W81" s="23"/>
      <c r="X81" s="23">
        <v>18</v>
      </c>
      <c r="Y81" s="23" t="s">
        <v>117</v>
      </c>
      <c r="Z81" s="23">
        <v>18</v>
      </c>
      <c r="AA81" s="23">
        <v>2</v>
      </c>
      <c r="AB81" s="23" t="s">
        <v>117</v>
      </c>
      <c r="AC81" s="23">
        <v>2</v>
      </c>
      <c r="AD81" s="23"/>
      <c r="AE81" s="1118">
        <v>5</v>
      </c>
      <c r="AF81" s="73">
        <v>2</v>
      </c>
      <c r="AG81" s="73">
        <f t="shared" si="12"/>
        <v>3</v>
      </c>
      <c r="AH81" s="73">
        <v>7</v>
      </c>
      <c r="AI81" s="73">
        <v>3</v>
      </c>
      <c r="AJ81" s="73">
        <f t="shared" si="11"/>
        <v>4</v>
      </c>
    </row>
    <row r="82" spans="1:36" ht="27.75" customHeight="1">
      <c r="A82" s="271" t="s">
        <v>205</v>
      </c>
      <c r="B82" s="61">
        <v>6</v>
      </c>
      <c r="C82" s="76" t="s">
        <v>97</v>
      </c>
      <c r="D82" s="134">
        <v>6</v>
      </c>
      <c r="E82" s="61" t="s">
        <v>97</v>
      </c>
      <c r="F82" s="61" t="s">
        <v>97</v>
      </c>
      <c r="G82" s="61" t="s">
        <v>97</v>
      </c>
      <c r="H82" s="12"/>
      <c r="I82" s="146">
        <v>8</v>
      </c>
      <c r="J82" s="146">
        <v>2</v>
      </c>
      <c r="K82" s="24">
        <v>6</v>
      </c>
      <c r="L82" s="24"/>
      <c r="M82" s="24" t="s">
        <v>97</v>
      </c>
      <c r="N82" s="24" t="s">
        <v>97</v>
      </c>
      <c r="O82" s="24" t="s">
        <v>97</v>
      </c>
      <c r="P82" s="24"/>
      <c r="Q82" s="23" t="s">
        <v>117</v>
      </c>
      <c r="R82" s="23" t="s">
        <v>117</v>
      </c>
      <c r="S82" s="23" t="s">
        <v>117</v>
      </c>
      <c r="T82" s="23" t="s">
        <v>117</v>
      </c>
      <c r="U82" s="23" t="s">
        <v>117</v>
      </c>
      <c r="V82" s="23" t="s">
        <v>117</v>
      </c>
      <c r="W82" s="23"/>
      <c r="X82" s="23">
        <v>3</v>
      </c>
      <c r="Y82" s="23" t="s">
        <v>117</v>
      </c>
      <c r="Z82" s="23">
        <v>3</v>
      </c>
      <c r="AA82" s="23">
        <v>1</v>
      </c>
      <c r="AB82" s="23">
        <v>1</v>
      </c>
      <c r="AC82" s="23" t="s">
        <v>0</v>
      </c>
      <c r="AD82" s="23"/>
      <c r="AE82" s="1118">
        <v>2</v>
      </c>
      <c r="AF82" s="73">
        <v>2</v>
      </c>
      <c r="AG82" s="73">
        <f t="shared" si="12"/>
        <v>0</v>
      </c>
      <c r="AH82" s="73">
        <v>0</v>
      </c>
      <c r="AI82" s="73">
        <v>0</v>
      </c>
      <c r="AJ82" s="73">
        <f t="shared" si="11"/>
        <v>0</v>
      </c>
    </row>
    <row r="83" spans="1:36" ht="27.75" customHeight="1">
      <c r="A83" s="271" t="s">
        <v>206</v>
      </c>
      <c r="B83" s="61" t="s">
        <v>97</v>
      </c>
      <c r="C83" s="76" t="s">
        <v>97</v>
      </c>
      <c r="D83" s="76" t="s">
        <v>97</v>
      </c>
      <c r="E83" s="61" t="s">
        <v>97</v>
      </c>
      <c r="F83" s="61" t="s">
        <v>97</v>
      </c>
      <c r="G83" s="61" t="s">
        <v>97</v>
      </c>
      <c r="H83" s="12"/>
      <c r="I83" s="146">
        <v>1</v>
      </c>
      <c r="J83" s="146">
        <v>1</v>
      </c>
      <c r="K83" s="146" t="s">
        <v>97</v>
      </c>
      <c r="L83" s="24"/>
      <c r="M83" s="24" t="s">
        <v>97</v>
      </c>
      <c r="N83" s="24" t="s">
        <v>97</v>
      </c>
      <c r="O83" s="24" t="s">
        <v>97</v>
      </c>
      <c r="P83" s="24"/>
      <c r="Q83" s="23" t="s">
        <v>117</v>
      </c>
      <c r="R83" s="23" t="s">
        <v>117</v>
      </c>
      <c r="S83" s="23" t="s">
        <v>117</v>
      </c>
      <c r="T83" s="23" t="s">
        <v>117</v>
      </c>
      <c r="U83" s="23" t="s">
        <v>117</v>
      </c>
      <c r="V83" s="23" t="s">
        <v>117</v>
      </c>
      <c r="W83" s="23"/>
      <c r="X83" s="23">
        <v>2</v>
      </c>
      <c r="Y83" s="23" t="s">
        <v>117</v>
      </c>
      <c r="Z83" s="23">
        <v>2</v>
      </c>
      <c r="AA83" s="23" t="s">
        <v>117</v>
      </c>
      <c r="AB83" s="23" t="s">
        <v>117</v>
      </c>
      <c r="AC83" s="23" t="s">
        <v>0</v>
      </c>
      <c r="AD83" s="23"/>
      <c r="AE83" s="1118">
        <v>1</v>
      </c>
      <c r="AF83" s="73">
        <v>1</v>
      </c>
      <c r="AG83" s="73">
        <f t="shared" si="12"/>
        <v>0</v>
      </c>
      <c r="AH83" s="73">
        <v>2</v>
      </c>
      <c r="AI83" s="73">
        <v>2</v>
      </c>
      <c r="AJ83" s="73">
        <f t="shared" si="11"/>
        <v>0</v>
      </c>
    </row>
    <row r="84" spans="1:36" ht="27.75" customHeight="1">
      <c r="A84" s="271" t="s">
        <v>207</v>
      </c>
      <c r="B84" s="61">
        <v>4</v>
      </c>
      <c r="C84" s="76" t="s">
        <v>97</v>
      </c>
      <c r="D84" s="134">
        <v>4</v>
      </c>
      <c r="E84" s="61">
        <v>3</v>
      </c>
      <c r="F84" s="61" t="s">
        <v>97</v>
      </c>
      <c r="G84" s="100">
        <v>3</v>
      </c>
      <c r="H84" s="100"/>
      <c r="I84" s="146">
        <v>7</v>
      </c>
      <c r="J84" s="146">
        <v>1</v>
      </c>
      <c r="K84" s="24">
        <v>6</v>
      </c>
      <c r="L84" s="24"/>
      <c r="M84" s="24">
        <v>5</v>
      </c>
      <c r="N84" s="24">
        <v>2</v>
      </c>
      <c r="O84" s="24">
        <v>3</v>
      </c>
      <c r="P84" s="24"/>
      <c r="Q84" s="23" t="s">
        <v>117</v>
      </c>
      <c r="R84" s="23" t="s">
        <v>117</v>
      </c>
      <c r="S84" s="23" t="s">
        <v>117</v>
      </c>
      <c r="T84" s="23" t="s">
        <v>117</v>
      </c>
      <c r="U84" s="23" t="s">
        <v>117</v>
      </c>
      <c r="V84" s="23" t="s">
        <v>117</v>
      </c>
      <c r="W84" s="23"/>
      <c r="X84" s="23">
        <v>8</v>
      </c>
      <c r="Y84" s="23">
        <v>3</v>
      </c>
      <c r="Z84" s="23">
        <v>5</v>
      </c>
      <c r="AA84" s="23">
        <v>1</v>
      </c>
      <c r="AB84" s="23" t="s">
        <v>117</v>
      </c>
      <c r="AC84" s="23">
        <v>1</v>
      </c>
      <c r="AD84" s="23"/>
      <c r="AE84" s="1118">
        <v>14</v>
      </c>
      <c r="AF84" s="73">
        <v>6</v>
      </c>
      <c r="AG84" s="73">
        <f t="shared" si="12"/>
        <v>8</v>
      </c>
      <c r="AH84" s="73">
        <v>6</v>
      </c>
      <c r="AI84" s="73">
        <v>3</v>
      </c>
      <c r="AJ84" s="73">
        <f t="shared" si="11"/>
        <v>3</v>
      </c>
    </row>
    <row r="85" spans="1:36" ht="27.75" customHeight="1">
      <c r="A85" s="271" t="s">
        <v>208</v>
      </c>
      <c r="B85" s="61" t="s">
        <v>97</v>
      </c>
      <c r="C85" s="76" t="s">
        <v>97</v>
      </c>
      <c r="D85" s="134"/>
      <c r="E85" s="61"/>
      <c r="F85" s="61" t="s">
        <v>97</v>
      </c>
      <c r="G85" s="61" t="s">
        <v>97</v>
      </c>
      <c r="H85" s="100"/>
      <c r="I85" s="146" t="s">
        <v>97</v>
      </c>
      <c r="J85" s="146" t="s">
        <v>97</v>
      </c>
      <c r="K85" s="146" t="s">
        <v>97</v>
      </c>
      <c r="L85" s="146"/>
      <c r="M85" s="146" t="s">
        <v>97</v>
      </c>
      <c r="N85" s="146" t="s">
        <v>97</v>
      </c>
      <c r="O85" s="146" t="s">
        <v>97</v>
      </c>
      <c r="P85" s="24"/>
      <c r="Q85" s="23" t="s">
        <v>117</v>
      </c>
      <c r="R85" s="23" t="s">
        <v>117</v>
      </c>
      <c r="S85" s="23" t="s">
        <v>117</v>
      </c>
      <c r="T85" s="23" t="s">
        <v>117</v>
      </c>
      <c r="U85" s="23" t="s">
        <v>117</v>
      </c>
      <c r="V85" s="23" t="s">
        <v>117</v>
      </c>
      <c r="W85" s="23"/>
      <c r="X85" s="23">
        <v>4</v>
      </c>
      <c r="Y85" s="23" t="s">
        <v>117</v>
      </c>
      <c r="Z85" s="23">
        <v>4</v>
      </c>
      <c r="AA85" s="23">
        <v>3</v>
      </c>
      <c r="AB85" s="23">
        <v>1</v>
      </c>
      <c r="AC85" s="23">
        <v>2</v>
      </c>
      <c r="AD85" s="23"/>
      <c r="AE85" s="1118">
        <v>1</v>
      </c>
      <c r="AF85" s="73">
        <v>1</v>
      </c>
      <c r="AG85" s="73">
        <f t="shared" si="12"/>
        <v>0</v>
      </c>
      <c r="AH85" s="73">
        <v>3</v>
      </c>
      <c r="AI85" s="73">
        <v>3</v>
      </c>
      <c r="AJ85" s="73">
        <f t="shared" si="11"/>
        <v>0</v>
      </c>
    </row>
    <row r="86" spans="1:36" ht="27.75" customHeight="1">
      <c r="A86" s="271" t="s">
        <v>209</v>
      </c>
      <c r="B86" s="61">
        <v>3</v>
      </c>
      <c r="C86" s="76" t="s">
        <v>97</v>
      </c>
      <c r="D86" s="134">
        <v>3</v>
      </c>
      <c r="E86" s="61">
        <v>3</v>
      </c>
      <c r="F86" s="61" t="s">
        <v>97</v>
      </c>
      <c r="G86" s="100">
        <v>3</v>
      </c>
      <c r="H86" s="100"/>
      <c r="I86" s="146">
        <v>4</v>
      </c>
      <c r="J86" s="146">
        <v>2</v>
      </c>
      <c r="K86" s="24">
        <v>2</v>
      </c>
      <c r="L86" s="24"/>
      <c r="M86" s="24">
        <v>3</v>
      </c>
      <c r="N86" s="146" t="s">
        <v>97</v>
      </c>
      <c r="O86" s="24">
        <v>3</v>
      </c>
      <c r="P86" s="24"/>
      <c r="Q86" s="23" t="s">
        <v>117</v>
      </c>
      <c r="R86" s="23" t="s">
        <v>117</v>
      </c>
      <c r="S86" s="23" t="s">
        <v>117</v>
      </c>
      <c r="T86" s="23" t="s">
        <v>117</v>
      </c>
      <c r="U86" s="23" t="s">
        <v>117</v>
      </c>
      <c r="V86" s="23" t="s">
        <v>117</v>
      </c>
      <c r="W86" s="23"/>
      <c r="X86" s="23">
        <v>2</v>
      </c>
      <c r="Y86" s="23">
        <v>1</v>
      </c>
      <c r="Z86" s="23">
        <v>1</v>
      </c>
      <c r="AA86" s="23" t="s">
        <v>117</v>
      </c>
      <c r="AB86" s="23" t="s">
        <v>117</v>
      </c>
      <c r="AC86" s="23" t="s">
        <v>0</v>
      </c>
      <c r="AD86" s="23"/>
      <c r="AE86" s="1118">
        <v>2</v>
      </c>
      <c r="AF86" s="73">
        <v>2</v>
      </c>
      <c r="AG86" s="73">
        <f t="shared" si="12"/>
        <v>0</v>
      </c>
      <c r="AH86" s="73">
        <v>6</v>
      </c>
      <c r="AI86" s="73">
        <v>4</v>
      </c>
      <c r="AJ86" s="73">
        <f t="shared" si="11"/>
        <v>2</v>
      </c>
    </row>
    <row r="87" spans="1:36" ht="3.75" customHeight="1">
      <c r="A87" s="297"/>
      <c r="B87" s="295"/>
      <c r="C87" s="296"/>
      <c r="D87" s="296"/>
      <c r="E87" s="144"/>
      <c r="F87" s="144"/>
      <c r="G87" s="144"/>
      <c r="H87" s="144"/>
      <c r="I87" s="145"/>
      <c r="J87" s="145"/>
      <c r="K87" s="145"/>
      <c r="L87" s="145"/>
      <c r="M87" s="145"/>
      <c r="N87" s="145"/>
      <c r="O87" s="145"/>
      <c r="P87" s="145"/>
      <c r="Q87" s="145"/>
      <c r="R87" s="145"/>
      <c r="S87" s="145"/>
      <c r="T87" s="145"/>
      <c r="U87" s="145"/>
      <c r="V87" s="145"/>
      <c r="W87" s="145"/>
      <c r="X87" s="145"/>
      <c r="Y87" s="145"/>
      <c r="Z87" s="145"/>
      <c r="AA87" s="145"/>
      <c r="AB87" s="145"/>
      <c r="AC87" s="145"/>
      <c r="AD87" s="145"/>
      <c r="AE87" s="1119"/>
      <c r="AF87" s="145" t="s">
        <v>45</v>
      </c>
      <c r="AG87" s="145"/>
      <c r="AH87" s="145"/>
      <c r="AI87" s="145"/>
      <c r="AJ87" s="145"/>
    </row>
    <row r="88" spans="1:36">
      <c r="A88" s="170" t="s">
        <v>492</v>
      </c>
      <c r="B88" s="21"/>
      <c r="C88" s="122"/>
      <c r="D88" s="122"/>
      <c r="E88" s="123"/>
      <c r="F88" s="85"/>
      <c r="G88" s="85"/>
      <c r="H88" s="85"/>
    </row>
    <row r="89" spans="1:36" ht="9.75" customHeight="1">
      <c r="A89" s="1250" t="s">
        <v>460</v>
      </c>
      <c r="B89" s="1250"/>
      <c r="C89" s="1250"/>
      <c r="D89" s="1250"/>
      <c r="E89" s="1250"/>
      <c r="F89" s="1250"/>
      <c r="G89" s="1250"/>
      <c r="H89" s="1250"/>
      <c r="I89" s="1250"/>
      <c r="J89" s="1250"/>
      <c r="K89" s="1250"/>
      <c r="L89" s="1250"/>
      <c r="M89" s="1250"/>
      <c r="N89" s="1250"/>
      <c r="O89" s="1250"/>
      <c r="P89" s="1250"/>
      <c r="Q89" s="1250"/>
      <c r="R89" s="1250"/>
      <c r="S89" s="1250"/>
      <c r="T89" s="1250"/>
      <c r="U89" s="1250"/>
      <c r="V89" s="1250"/>
      <c r="W89" s="1250"/>
      <c r="X89" s="1250"/>
      <c r="Y89" s="1250"/>
      <c r="Z89" s="1250"/>
      <c r="AA89" s="1250"/>
      <c r="AB89" s="1250"/>
      <c r="AC89" s="1250"/>
      <c r="AD89" s="1250"/>
      <c r="AE89" s="1250"/>
      <c r="AF89" s="1250"/>
      <c r="AG89" s="1250"/>
      <c r="AH89" s="1250"/>
      <c r="AI89" s="1250"/>
      <c r="AJ89" s="1250"/>
    </row>
    <row r="90" spans="1:36" ht="9" customHeight="1">
      <c r="A90" s="852" t="s">
        <v>584</v>
      </c>
    </row>
  </sheetData>
  <mergeCells count="49">
    <mergeCell ref="A89:AJ89"/>
    <mergeCell ref="A61:AJ61"/>
    <mergeCell ref="A63:A65"/>
    <mergeCell ref="B63:G63"/>
    <mergeCell ref="I63:O63"/>
    <mergeCell ref="Q63:V63"/>
    <mergeCell ref="X63:AC63"/>
    <mergeCell ref="AE63:AJ63"/>
    <mergeCell ref="B64:D64"/>
    <mergeCell ref="E64:G64"/>
    <mergeCell ref="I64:K64"/>
    <mergeCell ref="Q64:S64"/>
    <mergeCell ref="T64:V64"/>
    <mergeCell ref="X64:Z64"/>
    <mergeCell ref="AA64:AC64"/>
    <mergeCell ref="AE64:AG64"/>
    <mergeCell ref="AH64:AJ64"/>
    <mergeCell ref="Q32:V32"/>
    <mergeCell ref="I32:O32"/>
    <mergeCell ref="B32:G32"/>
    <mergeCell ref="AH33:AJ33"/>
    <mergeCell ref="AE33:AG33"/>
    <mergeCell ref="AA33:AC33"/>
    <mergeCell ref="X33:Z33"/>
    <mergeCell ref="T33:V33"/>
    <mergeCell ref="Q33:S33"/>
    <mergeCell ref="I33:K33"/>
    <mergeCell ref="A1:AJ1"/>
    <mergeCell ref="X32:AC32"/>
    <mergeCell ref="B4:D4"/>
    <mergeCell ref="E4:G4"/>
    <mergeCell ref="A3:A5"/>
    <mergeCell ref="I3:O3"/>
    <mergeCell ref="B3:G3"/>
    <mergeCell ref="I4:K4"/>
    <mergeCell ref="Q3:V3"/>
    <mergeCell ref="Q4:S4"/>
    <mergeCell ref="T4:V4"/>
    <mergeCell ref="A32:A34"/>
    <mergeCell ref="A30:AJ30"/>
    <mergeCell ref="E33:G33"/>
    <mergeCell ref="B33:D33"/>
    <mergeCell ref="AE32:AJ32"/>
    <mergeCell ref="AE3:AJ3"/>
    <mergeCell ref="AE4:AG4"/>
    <mergeCell ref="AH4:AJ4"/>
    <mergeCell ref="X3:AC3"/>
    <mergeCell ref="X4:Z4"/>
    <mergeCell ref="AA4:AC4"/>
  </mergeCells>
  <phoneticPr fontId="24" type="noConversion"/>
  <pageMargins left="0.78740157480314965" right="0.78740157480314965" top="0.98425196850393704" bottom="0.98425196850393704" header="0.31496062992125984" footer="0"/>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87"/>
  <sheetViews>
    <sheetView showGridLines="0" topLeftCell="A358" zoomScaleNormal="100" zoomScaleSheetLayoutView="115" workbookViewId="0">
      <selection activeCell="Q393" sqref="Q393"/>
    </sheetView>
  </sheetViews>
  <sheetFormatPr baseColWidth="10" defaultColWidth="11.42578125" defaultRowHeight="12.75"/>
  <cols>
    <col min="1" max="1" width="26.7109375" style="335" customWidth="1"/>
    <col min="2" max="5" width="14.7109375" style="335" customWidth="1"/>
    <col min="6" max="6" width="11.42578125" style="335"/>
    <col min="7" max="7" width="24.140625" customWidth="1"/>
    <col min="8" max="8" width="6.42578125" customWidth="1"/>
    <col min="9" max="9" width="9.7109375" bestFit="1" customWidth="1"/>
    <col min="10" max="10" width="7.42578125" bestFit="1" customWidth="1"/>
    <col min="11" max="11" width="7.140625" customWidth="1"/>
    <col min="12" max="12" width="8.140625" bestFit="1" customWidth="1"/>
    <col min="13" max="13" width="9.42578125" customWidth="1"/>
    <col min="14" max="14" width="8.85546875" customWidth="1"/>
    <col min="15" max="15" width="8.140625" bestFit="1" customWidth="1"/>
    <col min="16" max="16" width="10.7109375" customWidth="1"/>
    <col min="17" max="17" width="11" customWidth="1"/>
    <col min="44" max="16384" width="11.42578125" style="335"/>
  </cols>
  <sheetData>
    <row r="1" spans="1:5" ht="13.5" hidden="1">
      <c r="A1" s="542" t="s">
        <v>333</v>
      </c>
      <c r="B1" s="542"/>
      <c r="C1" s="542"/>
      <c r="D1" s="542"/>
      <c r="E1" s="542"/>
    </row>
    <row r="2" spans="1:5" ht="13.5" hidden="1">
      <c r="A2" s="336" t="s">
        <v>192</v>
      </c>
      <c r="B2" s="336"/>
      <c r="C2" s="336"/>
      <c r="D2" s="336"/>
      <c r="E2" s="103"/>
    </row>
    <row r="3" spans="1:5" ht="5.0999999999999996" hidden="1" customHeight="1">
      <c r="A3" s="873"/>
      <c r="B3" s="873"/>
      <c r="C3" s="818"/>
      <c r="D3" s="103"/>
      <c r="E3" s="103"/>
    </row>
    <row r="4" spans="1:5" ht="30" hidden="1" customHeight="1">
      <c r="A4" s="1257" t="s">
        <v>23</v>
      </c>
      <c r="B4" s="874"/>
      <c r="C4" s="1259">
        <v>2012</v>
      </c>
      <c r="D4" s="1259"/>
      <c r="E4" s="1259"/>
    </row>
    <row r="5" spans="1:5" ht="30" hidden="1" customHeight="1">
      <c r="A5" s="1258"/>
      <c r="B5" s="875" t="s">
        <v>2</v>
      </c>
      <c r="C5" s="284" t="s">
        <v>100</v>
      </c>
      <c r="D5" s="284" t="s">
        <v>101</v>
      </c>
      <c r="E5" s="284" t="s">
        <v>110</v>
      </c>
    </row>
    <row r="6" spans="1:5" ht="5.0999999999999996" hidden="1" customHeight="1">
      <c r="A6" s="308"/>
      <c r="B6" s="103"/>
      <c r="C6" s="178"/>
      <c r="D6" s="103"/>
      <c r="E6" s="103"/>
    </row>
    <row r="7" spans="1:5" ht="15" hidden="1" customHeight="1">
      <c r="A7" s="310" t="s">
        <v>162</v>
      </c>
      <c r="B7" s="628">
        <v>4</v>
      </c>
      <c r="C7" s="687">
        <v>1</v>
      </c>
      <c r="D7" s="687">
        <v>1</v>
      </c>
      <c r="E7" s="687">
        <v>1</v>
      </c>
    </row>
    <row r="8" spans="1:5" ht="15" hidden="1" customHeight="1">
      <c r="A8" s="876" t="s">
        <v>59</v>
      </c>
      <c r="B8" s="877"/>
      <c r="C8" s="878"/>
      <c r="D8" s="878"/>
      <c r="E8" s="878"/>
    </row>
    <row r="9" spans="1:5" ht="15" hidden="1" customHeight="1">
      <c r="A9" s="310" t="s">
        <v>60</v>
      </c>
      <c r="B9" s="506">
        <f>SUM(C9:E9)</f>
        <v>1233</v>
      </c>
      <c r="C9" s="506">
        <f>SUM(C10:C20)</f>
        <v>478</v>
      </c>
      <c r="D9" s="506">
        <f>SUM(D10:D19)</f>
        <v>36</v>
      </c>
      <c r="E9" s="506">
        <f>SUM(E10:E20)</f>
        <v>719</v>
      </c>
    </row>
    <row r="10" spans="1:5" ht="15" hidden="1" customHeight="1">
      <c r="A10" s="879" t="s">
        <v>61</v>
      </c>
      <c r="B10" s="506">
        <f>SUM(C10:E10)</f>
        <v>187</v>
      </c>
      <c r="C10" s="687">
        <v>77</v>
      </c>
      <c r="D10" s="687">
        <v>15</v>
      </c>
      <c r="E10" s="687">
        <v>95</v>
      </c>
    </row>
    <row r="11" spans="1:5" ht="15" hidden="1" customHeight="1">
      <c r="A11" s="879" t="s">
        <v>112</v>
      </c>
      <c r="B11" s="506">
        <f>SUM(C11:E11)</f>
        <v>5</v>
      </c>
      <c r="C11" s="687" t="s">
        <v>0</v>
      </c>
      <c r="D11" s="687" t="s">
        <v>0</v>
      </c>
      <c r="E11" s="687">
        <v>5</v>
      </c>
    </row>
    <row r="12" spans="1:5" ht="15" hidden="1" customHeight="1">
      <c r="A12" s="879" t="s">
        <v>62</v>
      </c>
      <c r="B12" s="506">
        <f>SUM(C12:E12)</f>
        <v>285</v>
      </c>
      <c r="C12" s="687">
        <v>136</v>
      </c>
      <c r="D12" s="687">
        <v>7</v>
      </c>
      <c r="E12" s="687">
        <v>142</v>
      </c>
    </row>
    <row r="13" spans="1:5" ht="15" hidden="1" customHeight="1">
      <c r="A13" s="879" t="s">
        <v>63</v>
      </c>
      <c r="B13" s="506">
        <f>SUM(C13:E13)</f>
        <v>257</v>
      </c>
      <c r="C13" s="687">
        <v>85</v>
      </c>
      <c r="D13" s="687">
        <v>7</v>
      </c>
      <c r="E13" s="687">
        <v>165</v>
      </c>
    </row>
    <row r="14" spans="1:5" ht="15" hidden="1" customHeight="1">
      <c r="A14" s="879" t="s">
        <v>64</v>
      </c>
      <c r="B14" s="506" t="s">
        <v>52</v>
      </c>
      <c r="C14" s="687" t="s">
        <v>0</v>
      </c>
      <c r="D14" s="687" t="s">
        <v>0</v>
      </c>
      <c r="E14" s="687" t="s">
        <v>0</v>
      </c>
    </row>
    <row r="15" spans="1:5" ht="15" hidden="1" customHeight="1">
      <c r="A15" s="880" t="s">
        <v>66</v>
      </c>
      <c r="B15" s="506">
        <f>SUM(C15:E15)</f>
        <v>2</v>
      </c>
      <c r="C15" s="687">
        <v>1</v>
      </c>
      <c r="D15" s="687" t="s">
        <v>0</v>
      </c>
      <c r="E15" s="687">
        <v>1</v>
      </c>
    </row>
    <row r="16" spans="1:5" ht="15" hidden="1" customHeight="1">
      <c r="A16" s="879" t="s">
        <v>111</v>
      </c>
      <c r="B16" s="506">
        <f>SUM(C16:E16)</f>
        <v>7</v>
      </c>
      <c r="C16" s="687">
        <v>1</v>
      </c>
      <c r="D16" s="687" t="s">
        <v>0</v>
      </c>
      <c r="E16" s="687">
        <v>6</v>
      </c>
    </row>
    <row r="17" spans="1:5" ht="15" hidden="1" customHeight="1">
      <c r="A17" s="879" t="s">
        <v>254</v>
      </c>
      <c r="B17" s="506">
        <f>SUM(C17:E17)</f>
        <v>19</v>
      </c>
      <c r="C17" s="687">
        <v>3</v>
      </c>
      <c r="D17" s="687">
        <v>2</v>
      </c>
      <c r="E17" s="687">
        <v>14</v>
      </c>
    </row>
    <row r="18" spans="1:5" ht="15" hidden="1" customHeight="1">
      <c r="A18" s="879" t="s">
        <v>255</v>
      </c>
      <c r="B18" s="506" t="s">
        <v>52</v>
      </c>
      <c r="C18" s="687" t="s">
        <v>0</v>
      </c>
      <c r="D18" s="687" t="s">
        <v>0</v>
      </c>
      <c r="E18" s="687" t="s">
        <v>0</v>
      </c>
    </row>
    <row r="19" spans="1:5" ht="15" hidden="1" customHeight="1">
      <c r="A19" s="879" t="s">
        <v>118</v>
      </c>
      <c r="B19" s="506">
        <f>SUM(C19:E19)</f>
        <v>452</v>
      </c>
      <c r="C19" s="687">
        <v>168</v>
      </c>
      <c r="D19" s="687">
        <v>5</v>
      </c>
      <c r="E19" s="687">
        <v>279</v>
      </c>
    </row>
    <row r="20" spans="1:5" ht="15" hidden="1" customHeight="1">
      <c r="A20" s="879" t="s">
        <v>67</v>
      </c>
      <c r="B20" s="134">
        <v>23</v>
      </c>
      <c r="C20" s="687">
        <v>7</v>
      </c>
      <c r="D20" s="687">
        <v>4</v>
      </c>
      <c r="E20" s="687">
        <v>12</v>
      </c>
    </row>
    <row r="21" spans="1:5" ht="15" hidden="1" customHeight="1">
      <c r="A21" s="310" t="s">
        <v>68</v>
      </c>
      <c r="B21" s="506">
        <f>SUM(C21:E21)</f>
        <v>1233</v>
      </c>
      <c r="C21" s="881">
        <f>SUM(C22:C23)</f>
        <v>478</v>
      </c>
      <c r="D21" s="881">
        <f>SUM(D22:D23)</f>
        <v>36</v>
      </c>
      <c r="E21" s="881">
        <f>SUM(E22:E23)</f>
        <v>719</v>
      </c>
    </row>
    <row r="22" spans="1:5" ht="15" hidden="1" customHeight="1">
      <c r="A22" s="545" t="s">
        <v>69</v>
      </c>
      <c r="B22" s="628">
        <v>659</v>
      </c>
      <c r="C22" s="687">
        <v>152</v>
      </c>
      <c r="D22" s="687" t="s">
        <v>96</v>
      </c>
      <c r="E22" s="687">
        <v>380</v>
      </c>
    </row>
    <row r="23" spans="1:5" ht="15" hidden="1" customHeight="1">
      <c r="A23" s="545" t="s">
        <v>70</v>
      </c>
      <c r="B23" s="628">
        <v>866</v>
      </c>
      <c r="C23" s="687">
        <v>326</v>
      </c>
      <c r="D23" s="687">
        <v>36</v>
      </c>
      <c r="E23" s="687">
        <v>339</v>
      </c>
    </row>
    <row r="24" spans="1:5" ht="15" hidden="1" customHeight="1">
      <c r="A24" s="310" t="s">
        <v>71</v>
      </c>
      <c r="B24" s="506">
        <f t="shared" ref="B24:B31" si="0">SUM(C24:E24)</f>
        <v>1233</v>
      </c>
      <c r="C24" s="882">
        <f>SUM(C25:C26)</f>
        <v>478</v>
      </c>
      <c r="D24" s="882">
        <f>SUM(D25:D26)</f>
        <v>36</v>
      </c>
      <c r="E24" s="882">
        <f>SUM(E25:E26)</f>
        <v>719</v>
      </c>
    </row>
    <row r="25" spans="1:5" ht="15" hidden="1" customHeight="1">
      <c r="A25" s="545" t="s">
        <v>72</v>
      </c>
      <c r="B25" s="506">
        <f t="shared" si="0"/>
        <v>1177</v>
      </c>
      <c r="C25" s="687">
        <v>478</v>
      </c>
      <c r="D25" s="687" t="s">
        <v>0</v>
      </c>
      <c r="E25" s="687">
        <v>699</v>
      </c>
    </row>
    <row r="26" spans="1:5" ht="15" hidden="1" customHeight="1">
      <c r="A26" s="545" t="s">
        <v>73</v>
      </c>
      <c r="B26" s="506">
        <f t="shared" si="0"/>
        <v>56</v>
      </c>
      <c r="C26" s="687" t="s">
        <v>0</v>
      </c>
      <c r="D26" s="687">
        <v>36</v>
      </c>
      <c r="E26" s="687">
        <v>20</v>
      </c>
    </row>
    <row r="27" spans="1:5" ht="15" hidden="1" customHeight="1">
      <c r="A27" s="876" t="s">
        <v>74</v>
      </c>
      <c r="B27" s="506">
        <f t="shared" si="0"/>
        <v>1233</v>
      </c>
      <c r="C27" s="881">
        <f>SUM(C28:C32)</f>
        <v>478</v>
      </c>
      <c r="D27" s="881">
        <f>SUM(D28:D32)</f>
        <v>36</v>
      </c>
      <c r="E27" s="881">
        <f>SUM(E28:E32)</f>
        <v>719</v>
      </c>
    </row>
    <row r="28" spans="1:5" ht="15" hidden="1" customHeight="1">
      <c r="A28" s="545" t="s">
        <v>256</v>
      </c>
      <c r="B28" s="506">
        <f t="shared" si="0"/>
        <v>33</v>
      </c>
      <c r="C28" s="687">
        <v>10</v>
      </c>
      <c r="D28" s="687">
        <v>6</v>
      </c>
      <c r="E28" s="687">
        <v>17</v>
      </c>
    </row>
    <row r="29" spans="1:5" ht="15" hidden="1" customHeight="1">
      <c r="A29" s="545" t="s">
        <v>75</v>
      </c>
      <c r="B29" s="506">
        <f t="shared" si="0"/>
        <v>413</v>
      </c>
      <c r="C29" s="687">
        <f>104+46</f>
        <v>150</v>
      </c>
      <c r="D29" s="687">
        <v>30</v>
      </c>
      <c r="E29" s="687">
        <f>160+73</f>
        <v>233</v>
      </c>
    </row>
    <row r="30" spans="1:5" ht="15" hidden="1" customHeight="1">
      <c r="A30" s="545" t="s">
        <v>76</v>
      </c>
      <c r="B30" s="506">
        <f t="shared" si="0"/>
        <v>661</v>
      </c>
      <c r="C30" s="687">
        <f>122+148</f>
        <v>270</v>
      </c>
      <c r="D30" s="687" t="s">
        <v>97</v>
      </c>
      <c r="E30" s="687">
        <v>391</v>
      </c>
    </row>
    <row r="31" spans="1:5" ht="15" hidden="1" customHeight="1">
      <c r="A31" s="545" t="s">
        <v>77</v>
      </c>
      <c r="B31" s="506">
        <f t="shared" si="0"/>
        <v>126</v>
      </c>
      <c r="C31" s="687">
        <f>11+12+11+14</f>
        <v>48</v>
      </c>
      <c r="D31" s="687" t="s">
        <v>97</v>
      </c>
      <c r="E31" s="687">
        <v>78</v>
      </c>
    </row>
    <row r="32" spans="1:5" ht="15" hidden="1" customHeight="1">
      <c r="A32" s="132" t="s">
        <v>214</v>
      </c>
      <c r="B32" s="140" t="s">
        <v>97</v>
      </c>
      <c r="C32" s="687" t="s">
        <v>0</v>
      </c>
      <c r="D32" s="687" t="s">
        <v>97</v>
      </c>
      <c r="E32" s="687" t="s">
        <v>97</v>
      </c>
    </row>
    <row r="33" spans="1:5" ht="15" hidden="1" customHeight="1">
      <c r="A33" s="310" t="s">
        <v>78</v>
      </c>
      <c r="B33" s="506">
        <f t="shared" ref="B33:B39" si="1">SUM(C33:E33)</f>
        <v>1233</v>
      </c>
      <c r="C33" s="311">
        <f>SUM(C34:C40)</f>
        <v>478</v>
      </c>
      <c r="D33" s="311">
        <f>SUM(D34:D40)</f>
        <v>36</v>
      </c>
      <c r="E33" s="311">
        <f>SUM(E34:E40)</f>
        <v>719</v>
      </c>
    </row>
    <row r="34" spans="1:5" ht="15" hidden="1" customHeight="1">
      <c r="A34" s="545" t="s">
        <v>79</v>
      </c>
      <c r="B34" s="506">
        <f t="shared" si="1"/>
        <v>414</v>
      </c>
      <c r="C34" s="687">
        <v>153</v>
      </c>
      <c r="D34" s="687">
        <v>30</v>
      </c>
      <c r="E34" s="687">
        <v>231</v>
      </c>
    </row>
    <row r="35" spans="1:5" ht="15" hidden="1" customHeight="1">
      <c r="A35" s="545" t="s">
        <v>80</v>
      </c>
      <c r="B35" s="506">
        <f t="shared" si="1"/>
        <v>222</v>
      </c>
      <c r="C35" s="687">
        <v>93</v>
      </c>
      <c r="D35" s="687" t="s">
        <v>97</v>
      </c>
      <c r="E35" s="687">
        <v>129</v>
      </c>
    </row>
    <row r="36" spans="1:5" ht="15" hidden="1" customHeight="1">
      <c r="A36" s="545" t="s">
        <v>81</v>
      </c>
      <c r="B36" s="506">
        <f t="shared" si="1"/>
        <v>527</v>
      </c>
      <c r="C36" s="687">
        <v>208</v>
      </c>
      <c r="D36" s="687">
        <v>6</v>
      </c>
      <c r="E36" s="687">
        <v>313</v>
      </c>
    </row>
    <row r="37" spans="1:5" ht="15" hidden="1" customHeight="1">
      <c r="A37" s="545" t="s">
        <v>82</v>
      </c>
      <c r="B37" s="506">
        <f t="shared" si="1"/>
        <v>22</v>
      </c>
      <c r="C37" s="687">
        <v>9</v>
      </c>
      <c r="D37" s="687" t="s">
        <v>97</v>
      </c>
      <c r="E37" s="687">
        <v>13</v>
      </c>
    </row>
    <row r="38" spans="1:5" ht="15" hidden="1" customHeight="1">
      <c r="A38" s="545" t="s">
        <v>83</v>
      </c>
      <c r="B38" s="506">
        <f t="shared" si="1"/>
        <v>8</v>
      </c>
      <c r="C38" s="687">
        <v>3</v>
      </c>
      <c r="D38" s="687" t="s">
        <v>97</v>
      </c>
      <c r="E38" s="687">
        <v>5</v>
      </c>
    </row>
    <row r="39" spans="1:5" ht="15" hidden="1" customHeight="1">
      <c r="A39" s="545" t="s">
        <v>84</v>
      </c>
      <c r="B39" s="506">
        <f t="shared" si="1"/>
        <v>40</v>
      </c>
      <c r="C39" s="687">
        <v>12</v>
      </c>
      <c r="D39" s="687" t="s">
        <v>97</v>
      </c>
      <c r="E39" s="687">
        <v>28</v>
      </c>
    </row>
    <row r="40" spans="1:5" ht="15" hidden="1" customHeight="1">
      <c r="A40" s="133" t="s">
        <v>215</v>
      </c>
      <c r="B40" s="140" t="s">
        <v>97</v>
      </c>
      <c r="C40" s="687" t="s">
        <v>0</v>
      </c>
      <c r="D40" s="687" t="s">
        <v>117</v>
      </c>
      <c r="E40" s="687" t="s">
        <v>0</v>
      </c>
    </row>
    <row r="41" spans="1:5" ht="5.0999999999999996" hidden="1" customHeight="1">
      <c r="A41" s="883"/>
      <c r="B41" s="636"/>
      <c r="C41" s="884"/>
      <c r="D41" s="885"/>
      <c r="E41" s="636"/>
    </row>
    <row r="42" spans="1:5" hidden="1">
      <c r="A42" s="886"/>
      <c r="B42" s="789"/>
      <c r="C42" s="149"/>
    </row>
    <row r="43" spans="1:5" hidden="1"/>
    <row r="44" spans="1:5" hidden="1"/>
    <row r="45" spans="1:5" hidden="1"/>
    <row r="46" spans="1:5" hidden="1"/>
    <row r="47" spans="1:5" hidden="1"/>
    <row r="48" spans="1:5" hidden="1"/>
    <row r="49" spans="1:5" hidden="1"/>
    <row r="50" spans="1:5" ht="13.5" hidden="1">
      <c r="A50" s="542" t="s">
        <v>261</v>
      </c>
      <c r="B50" s="542"/>
      <c r="C50" s="542"/>
      <c r="D50" s="542"/>
      <c r="E50" s="542"/>
    </row>
    <row r="51" spans="1:5" ht="13.5" hidden="1">
      <c r="A51" s="336" t="s">
        <v>267</v>
      </c>
      <c r="B51" s="336"/>
      <c r="C51" s="336"/>
      <c r="D51" s="336"/>
      <c r="E51" s="103"/>
    </row>
    <row r="52" spans="1:5" ht="9.9499999999999993" hidden="1" customHeight="1">
      <c r="A52" s="873"/>
      <c r="B52" s="873"/>
      <c r="C52" s="818"/>
      <c r="D52" s="103"/>
      <c r="E52" s="103"/>
    </row>
    <row r="53" spans="1:5" ht="30" hidden="1" customHeight="1">
      <c r="A53" s="1260" t="s">
        <v>259</v>
      </c>
      <c r="B53" s="874"/>
      <c r="C53" s="1259">
        <v>2013</v>
      </c>
      <c r="D53" s="1259"/>
      <c r="E53" s="1259"/>
    </row>
    <row r="54" spans="1:5" ht="30" hidden="1" customHeight="1">
      <c r="A54" s="1261"/>
      <c r="B54" s="875" t="s">
        <v>2</v>
      </c>
      <c r="C54" s="284" t="s">
        <v>100</v>
      </c>
      <c r="D54" s="284" t="s">
        <v>101</v>
      </c>
      <c r="E54" s="284" t="s">
        <v>110</v>
      </c>
    </row>
    <row r="55" spans="1:5" ht="5.0999999999999996" hidden="1" customHeight="1">
      <c r="A55" s="308"/>
      <c r="B55" s="103"/>
      <c r="C55" s="178"/>
      <c r="D55" s="103"/>
      <c r="E55" s="103"/>
    </row>
    <row r="56" spans="1:5" ht="16.5" hidden="1" customHeight="1">
      <c r="A56" s="310" t="s">
        <v>162</v>
      </c>
      <c r="B56" s="628">
        <v>4</v>
      </c>
      <c r="C56" s="687">
        <v>1</v>
      </c>
      <c r="D56" s="687">
        <v>1</v>
      </c>
      <c r="E56" s="687">
        <v>1</v>
      </c>
    </row>
    <row r="57" spans="1:5" ht="16.5" hidden="1" customHeight="1">
      <c r="A57" s="876" t="s">
        <v>59</v>
      </c>
      <c r="B57" s="506">
        <v>1462</v>
      </c>
      <c r="C57" s="887">
        <v>476</v>
      </c>
      <c r="D57" s="887">
        <v>148</v>
      </c>
      <c r="E57" s="887">
        <v>715</v>
      </c>
    </row>
    <row r="58" spans="1:5" ht="16.5" hidden="1" customHeight="1">
      <c r="A58" s="310" t="s">
        <v>259</v>
      </c>
      <c r="B58" s="506">
        <f t="shared" ref="B58:B80" si="2">SUM(C58:E58)</f>
        <v>1339</v>
      </c>
      <c r="C58" s="506">
        <f>SUM(C59:C69)</f>
        <v>476</v>
      </c>
      <c r="D58" s="506">
        <f>SUM(D59:D69)</f>
        <v>148</v>
      </c>
      <c r="E58" s="506">
        <f>SUM(E59:E69)</f>
        <v>715</v>
      </c>
    </row>
    <row r="59" spans="1:5" ht="16.5" hidden="1" customHeight="1">
      <c r="A59" s="879" t="s">
        <v>216</v>
      </c>
      <c r="B59" s="506">
        <f t="shared" si="2"/>
        <v>180</v>
      </c>
      <c r="C59" s="687">
        <v>73</v>
      </c>
      <c r="D59" s="687">
        <v>22</v>
      </c>
      <c r="E59" s="687">
        <v>85</v>
      </c>
    </row>
    <row r="60" spans="1:5" ht="16.5" hidden="1" customHeight="1">
      <c r="A60" s="879" t="s">
        <v>217</v>
      </c>
      <c r="B60" s="506">
        <f t="shared" si="2"/>
        <v>3</v>
      </c>
      <c r="C60" s="687">
        <v>1</v>
      </c>
      <c r="D60" s="687" t="s">
        <v>0</v>
      </c>
      <c r="E60" s="687">
        <v>2</v>
      </c>
    </row>
    <row r="61" spans="1:5" ht="16.5" hidden="1" customHeight="1">
      <c r="A61" s="879" t="s">
        <v>218</v>
      </c>
      <c r="B61" s="506">
        <f t="shared" si="2"/>
        <v>335</v>
      </c>
      <c r="C61" s="687">
        <v>138</v>
      </c>
      <c r="D61" s="687">
        <v>10</v>
      </c>
      <c r="E61" s="687">
        <v>187</v>
      </c>
    </row>
    <row r="62" spans="1:5" ht="16.5" hidden="1" customHeight="1">
      <c r="A62" s="879" t="s">
        <v>219</v>
      </c>
      <c r="B62" s="506">
        <f t="shared" si="2"/>
        <v>287</v>
      </c>
      <c r="C62" s="687">
        <v>67</v>
      </c>
      <c r="D62" s="687">
        <v>13</v>
      </c>
      <c r="E62" s="687">
        <v>207</v>
      </c>
    </row>
    <row r="63" spans="1:5" ht="16.5" hidden="1" customHeight="1">
      <c r="A63" s="879" t="s">
        <v>220</v>
      </c>
      <c r="B63" s="506">
        <f t="shared" si="2"/>
        <v>0</v>
      </c>
      <c r="C63" s="687" t="s">
        <v>0</v>
      </c>
      <c r="D63" s="687" t="s">
        <v>0</v>
      </c>
      <c r="E63" s="687" t="s">
        <v>0</v>
      </c>
    </row>
    <row r="64" spans="1:5" ht="16.5" hidden="1" customHeight="1">
      <c r="A64" s="880" t="s">
        <v>221</v>
      </c>
      <c r="B64" s="506">
        <f t="shared" si="2"/>
        <v>3</v>
      </c>
      <c r="C64" s="687">
        <v>1</v>
      </c>
      <c r="D64" s="687" t="s">
        <v>0</v>
      </c>
      <c r="E64" s="687">
        <v>2</v>
      </c>
    </row>
    <row r="65" spans="1:5" ht="16.5" hidden="1" customHeight="1">
      <c r="A65" s="879" t="s">
        <v>222</v>
      </c>
      <c r="B65" s="506">
        <f t="shared" si="2"/>
        <v>10</v>
      </c>
      <c r="C65" s="687">
        <v>5</v>
      </c>
      <c r="D65" s="687" t="s">
        <v>0</v>
      </c>
      <c r="E65" s="687">
        <v>5</v>
      </c>
    </row>
    <row r="66" spans="1:5" ht="16.5" hidden="1" customHeight="1">
      <c r="A66" s="879" t="s">
        <v>249</v>
      </c>
      <c r="B66" s="506">
        <f t="shared" si="2"/>
        <v>15</v>
      </c>
      <c r="C66" s="687">
        <v>5</v>
      </c>
      <c r="D66" s="687" t="s">
        <v>0</v>
      </c>
      <c r="E66" s="687">
        <v>10</v>
      </c>
    </row>
    <row r="67" spans="1:5" ht="16.5" hidden="1" customHeight="1">
      <c r="A67" s="879" t="s">
        <v>250</v>
      </c>
      <c r="B67" s="506">
        <f t="shared" si="2"/>
        <v>1</v>
      </c>
      <c r="C67" s="687">
        <v>1</v>
      </c>
      <c r="D67" s="687" t="s">
        <v>0</v>
      </c>
      <c r="E67" s="687" t="s">
        <v>0</v>
      </c>
    </row>
    <row r="68" spans="1:5" ht="16.5" hidden="1" customHeight="1">
      <c r="A68" s="879" t="s">
        <v>223</v>
      </c>
      <c r="B68" s="506">
        <f t="shared" si="2"/>
        <v>472</v>
      </c>
      <c r="C68" s="687">
        <v>179</v>
      </c>
      <c r="D68" s="687">
        <v>92</v>
      </c>
      <c r="E68" s="687">
        <v>201</v>
      </c>
    </row>
    <row r="69" spans="1:5" ht="16.5" hidden="1" customHeight="1">
      <c r="A69" s="879" t="s">
        <v>224</v>
      </c>
      <c r="B69" s="506">
        <f t="shared" si="2"/>
        <v>33</v>
      </c>
      <c r="C69" s="687">
        <v>6</v>
      </c>
      <c r="D69" s="687">
        <v>11</v>
      </c>
      <c r="E69" s="687">
        <v>16</v>
      </c>
    </row>
    <row r="70" spans="1:5" ht="16.5" hidden="1" customHeight="1">
      <c r="A70" s="310" t="s">
        <v>68</v>
      </c>
      <c r="B70" s="506">
        <f t="shared" si="2"/>
        <v>1339</v>
      </c>
      <c r="C70" s="881">
        <f>SUM(C71:C72)</f>
        <v>476</v>
      </c>
      <c r="D70" s="881">
        <f>SUM(D71:D72)</f>
        <v>148</v>
      </c>
      <c r="E70" s="881">
        <f>SUM(E71:E72)</f>
        <v>715</v>
      </c>
    </row>
    <row r="71" spans="1:5" ht="16.5" hidden="1" customHeight="1">
      <c r="A71" s="545" t="s">
        <v>178</v>
      </c>
      <c r="B71" s="506">
        <f t="shared" si="2"/>
        <v>561</v>
      </c>
      <c r="C71" s="687">
        <v>126</v>
      </c>
      <c r="D71" s="687">
        <v>110</v>
      </c>
      <c r="E71" s="687">
        <v>325</v>
      </c>
    </row>
    <row r="72" spans="1:5" ht="16.5" hidden="1" customHeight="1">
      <c r="A72" s="545" t="s">
        <v>179</v>
      </c>
      <c r="B72" s="506">
        <f t="shared" si="2"/>
        <v>778</v>
      </c>
      <c r="C72" s="687">
        <v>350</v>
      </c>
      <c r="D72" s="687">
        <v>38</v>
      </c>
      <c r="E72" s="687">
        <v>390</v>
      </c>
    </row>
    <row r="73" spans="1:5" ht="16.5" hidden="1" customHeight="1">
      <c r="A73" s="310" t="s">
        <v>71</v>
      </c>
      <c r="B73" s="506">
        <f t="shared" si="2"/>
        <v>1339</v>
      </c>
      <c r="C73" s="881">
        <f>SUM(C74:C75)</f>
        <v>476</v>
      </c>
      <c r="D73" s="881">
        <f>SUM(D74:D75)</f>
        <v>148</v>
      </c>
      <c r="E73" s="881">
        <f>SUM(E74:E75)</f>
        <v>715</v>
      </c>
    </row>
    <row r="74" spans="1:5" ht="16.5" hidden="1" customHeight="1">
      <c r="A74" s="545" t="s">
        <v>180</v>
      </c>
      <c r="B74" s="506">
        <f t="shared" si="2"/>
        <v>1143</v>
      </c>
      <c r="C74" s="687">
        <v>476</v>
      </c>
      <c r="D74" s="687" t="s">
        <v>0</v>
      </c>
      <c r="E74" s="687">
        <v>667</v>
      </c>
    </row>
    <row r="75" spans="1:5" ht="16.5" hidden="1" customHeight="1">
      <c r="A75" s="545" t="s">
        <v>181</v>
      </c>
      <c r="B75" s="506">
        <f t="shared" si="2"/>
        <v>196</v>
      </c>
      <c r="C75" s="687" t="s">
        <v>0</v>
      </c>
      <c r="D75" s="687">
        <v>148</v>
      </c>
      <c r="E75" s="687">
        <v>48</v>
      </c>
    </row>
    <row r="76" spans="1:5" ht="16.5" hidden="1" customHeight="1">
      <c r="A76" s="876" t="s">
        <v>74</v>
      </c>
      <c r="B76" s="506">
        <f t="shared" si="2"/>
        <v>1339</v>
      </c>
      <c r="C76" s="881">
        <f>SUM(C77:C81)</f>
        <v>476</v>
      </c>
      <c r="D76" s="881">
        <f>SUM(D77:D81)</f>
        <v>148</v>
      </c>
      <c r="E76" s="881">
        <f>SUM(E77:E81)</f>
        <v>715</v>
      </c>
    </row>
    <row r="77" spans="1:5" ht="16.5" hidden="1" customHeight="1">
      <c r="A77" s="545" t="s">
        <v>182</v>
      </c>
      <c r="B77" s="506">
        <f t="shared" si="2"/>
        <v>31</v>
      </c>
      <c r="C77" s="687">
        <v>9</v>
      </c>
      <c r="D77" s="687">
        <v>4</v>
      </c>
      <c r="E77" s="687">
        <v>18</v>
      </c>
    </row>
    <row r="78" spans="1:5" ht="16.5" hidden="1" customHeight="1">
      <c r="A78" s="545" t="s">
        <v>225</v>
      </c>
      <c r="B78" s="506">
        <f t="shared" si="2"/>
        <v>431</v>
      </c>
      <c r="C78" s="687">
        <f>102+51</f>
        <v>153</v>
      </c>
      <c r="D78" s="687">
        <f>26+18</f>
        <v>44</v>
      </c>
      <c r="E78" s="687">
        <f>164+70</f>
        <v>234</v>
      </c>
    </row>
    <row r="79" spans="1:5" ht="16.5" hidden="1" customHeight="1">
      <c r="A79" s="545" t="s">
        <v>226</v>
      </c>
      <c r="B79" s="506">
        <f t="shared" si="2"/>
        <v>677</v>
      </c>
      <c r="C79" s="687">
        <f>109+150</f>
        <v>259</v>
      </c>
      <c r="D79" s="687">
        <f>26+49</f>
        <v>75</v>
      </c>
      <c r="E79" s="687">
        <v>343</v>
      </c>
    </row>
    <row r="80" spans="1:5" ht="16.5" hidden="1" customHeight="1">
      <c r="A80" s="545" t="s">
        <v>227</v>
      </c>
      <c r="B80" s="506">
        <f t="shared" si="2"/>
        <v>191</v>
      </c>
      <c r="C80" s="687">
        <f>11+12+17+15</f>
        <v>55</v>
      </c>
      <c r="D80" s="687">
        <f>3+3+6+4</f>
        <v>16</v>
      </c>
      <c r="E80" s="687">
        <f>24+38+33+25</f>
        <v>120</v>
      </c>
    </row>
    <row r="81" spans="1:5" ht="16.5" hidden="1" customHeight="1">
      <c r="A81" s="545" t="s">
        <v>228</v>
      </c>
      <c r="B81" s="103">
        <v>9</v>
      </c>
      <c r="C81" s="687" t="s">
        <v>0</v>
      </c>
      <c r="D81" s="687">
        <v>9</v>
      </c>
      <c r="E81" s="687" t="s">
        <v>0</v>
      </c>
    </row>
    <row r="82" spans="1:5" ht="16.5" hidden="1" customHeight="1">
      <c r="A82" s="310" t="s">
        <v>78</v>
      </c>
      <c r="B82" s="506">
        <f t="shared" ref="B82:B89" si="3">SUM(C82:E82)</f>
        <v>1339</v>
      </c>
      <c r="C82" s="311">
        <f>SUM(C83:C89)</f>
        <v>476</v>
      </c>
      <c r="D82" s="311">
        <f>SUM(D83:D89)</f>
        <v>148</v>
      </c>
      <c r="E82" s="311">
        <f>SUM(E83:E89)</f>
        <v>715</v>
      </c>
    </row>
    <row r="83" spans="1:5" ht="16.5" hidden="1" customHeight="1">
      <c r="A83" s="545" t="s">
        <v>229</v>
      </c>
      <c r="B83" s="506">
        <f t="shared" si="3"/>
        <v>455</v>
      </c>
      <c r="C83" s="687">
        <v>148</v>
      </c>
      <c r="D83" s="687">
        <v>81</v>
      </c>
      <c r="E83" s="687">
        <v>226</v>
      </c>
    </row>
    <row r="84" spans="1:5" ht="16.5" hidden="1" customHeight="1">
      <c r="A84" s="545" t="s">
        <v>230</v>
      </c>
      <c r="B84" s="506">
        <f t="shared" si="3"/>
        <v>226</v>
      </c>
      <c r="C84" s="687">
        <v>91</v>
      </c>
      <c r="D84" s="687">
        <v>16</v>
      </c>
      <c r="E84" s="687">
        <v>119</v>
      </c>
    </row>
    <row r="85" spans="1:5" ht="16.5" hidden="1" customHeight="1">
      <c r="A85" s="545" t="s">
        <v>231</v>
      </c>
      <c r="B85" s="506">
        <f t="shared" si="3"/>
        <v>570</v>
      </c>
      <c r="C85" s="687">
        <v>213</v>
      </c>
      <c r="D85" s="687">
        <v>35</v>
      </c>
      <c r="E85" s="687">
        <v>322</v>
      </c>
    </row>
    <row r="86" spans="1:5" ht="16.5" hidden="1" customHeight="1">
      <c r="A86" s="545" t="s">
        <v>232</v>
      </c>
      <c r="B86" s="506">
        <f t="shared" si="3"/>
        <v>27</v>
      </c>
      <c r="C86" s="687">
        <v>9</v>
      </c>
      <c r="D86" s="687">
        <v>5</v>
      </c>
      <c r="E86" s="687">
        <v>13</v>
      </c>
    </row>
    <row r="87" spans="1:5" ht="16.5" hidden="1" customHeight="1">
      <c r="A87" s="545" t="s">
        <v>233</v>
      </c>
      <c r="B87" s="506">
        <f t="shared" si="3"/>
        <v>11</v>
      </c>
      <c r="C87" s="687">
        <v>5</v>
      </c>
      <c r="D87" s="687">
        <v>1</v>
      </c>
      <c r="E87" s="687">
        <v>5</v>
      </c>
    </row>
    <row r="88" spans="1:5" ht="16.5" hidden="1" customHeight="1">
      <c r="A88" s="545" t="s">
        <v>234</v>
      </c>
      <c r="B88" s="506">
        <f t="shared" si="3"/>
        <v>49</v>
      </c>
      <c r="C88" s="687">
        <v>10</v>
      </c>
      <c r="D88" s="687">
        <v>9</v>
      </c>
      <c r="E88" s="687">
        <v>30</v>
      </c>
    </row>
    <row r="89" spans="1:5" ht="16.5" hidden="1" customHeight="1">
      <c r="A89" s="545" t="s">
        <v>228</v>
      </c>
      <c r="B89" s="506">
        <f t="shared" si="3"/>
        <v>1</v>
      </c>
      <c r="C89" s="687" t="s">
        <v>0</v>
      </c>
      <c r="D89" s="687">
        <v>1</v>
      </c>
      <c r="E89" s="687" t="s">
        <v>0</v>
      </c>
    </row>
    <row r="90" spans="1:5" ht="5.0999999999999996" hidden="1" customHeight="1">
      <c r="A90" s="883"/>
      <c r="B90" s="636"/>
      <c r="C90" s="884"/>
      <c r="D90" s="885"/>
      <c r="E90" s="636"/>
    </row>
    <row r="91" spans="1:5" hidden="1">
      <c r="A91" s="723"/>
      <c r="B91" s="789"/>
      <c r="C91" s="149"/>
    </row>
    <row r="92" spans="1:5" ht="15" hidden="1" customHeight="1">
      <c r="A92" s="542" t="s">
        <v>367</v>
      </c>
      <c r="B92" s="336"/>
      <c r="C92" s="336"/>
      <c r="D92" s="336"/>
      <c r="E92" s="336"/>
    </row>
    <row r="93" spans="1:5" ht="15" hidden="1" customHeight="1">
      <c r="A93" s="336" t="s">
        <v>364</v>
      </c>
      <c r="B93" s="873"/>
      <c r="C93" s="818"/>
      <c r="D93" s="103"/>
      <c r="E93" s="103"/>
    </row>
    <row r="94" spans="1:5" ht="4.5" hidden="1" customHeight="1">
      <c r="A94" s="336"/>
      <c r="B94" s="873"/>
      <c r="C94" s="818"/>
      <c r="D94" s="103"/>
      <c r="E94" s="103"/>
    </row>
    <row r="95" spans="1:5" ht="27" hidden="1" customHeight="1">
      <c r="A95" s="1252" t="s">
        <v>259</v>
      </c>
      <c r="B95" s="844"/>
      <c r="C95" s="1265">
        <v>2014</v>
      </c>
      <c r="D95" s="1265"/>
      <c r="E95" s="1265"/>
    </row>
    <row r="96" spans="1:5" ht="25.5" hidden="1" customHeight="1">
      <c r="A96" s="1253"/>
      <c r="B96" s="305" t="s">
        <v>2</v>
      </c>
      <c r="C96" s="187" t="s">
        <v>100</v>
      </c>
      <c r="D96" s="187" t="s">
        <v>101</v>
      </c>
      <c r="E96" s="187" t="s">
        <v>110</v>
      </c>
    </row>
    <row r="97" spans="1:43" ht="15" hidden="1" customHeight="1">
      <c r="A97" s="302" t="s">
        <v>166</v>
      </c>
      <c r="B97" s="888">
        <v>4</v>
      </c>
      <c r="C97" s="889">
        <v>1</v>
      </c>
      <c r="D97" s="889">
        <v>1</v>
      </c>
      <c r="E97" s="889">
        <v>1</v>
      </c>
    </row>
    <row r="98" spans="1:43" ht="8.25" hidden="1" customHeight="1">
      <c r="A98" s="302"/>
      <c r="B98" s="888"/>
      <c r="C98" s="889"/>
      <c r="D98" s="889"/>
      <c r="E98" s="889"/>
    </row>
    <row r="99" spans="1:43" s="891" customFormat="1" ht="15.95" hidden="1" customHeight="1">
      <c r="A99" s="302" t="s">
        <v>167</v>
      </c>
      <c r="B99" s="890">
        <f>SUM(C99:E99)</f>
        <v>1490</v>
      </c>
      <c r="C99" s="95">
        <v>471</v>
      </c>
      <c r="D99" s="95">
        <v>148</v>
      </c>
      <c r="E99" s="95">
        <v>871</v>
      </c>
      <c r="G99"/>
      <c r="H99"/>
      <c r="I99"/>
      <c r="J99"/>
      <c r="K99"/>
      <c r="L99"/>
      <c r="M99"/>
      <c r="N99"/>
      <c r="O99"/>
      <c r="P99"/>
      <c r="Q99"/>
      <c r="R99"/>
      <c r="S99"/>
      <c r="T99"/>
      <c r="U99"/>
      <c r="V99"/>
      <c r="W99"/>
      <c r="X99"/>
      <c r="Y99"/>
      <c r="Z99"/>
      <c r="AA99"/>
      <c r="AB99"/>
      <c r="AC99"/>
      <c r="AD99"/>
      <c r="AE99"/>
      <c r="AF99"/>
      <c r="AG99"/>
      <c r="AH99"/>
      <c r="AI99"/>
      <c r="AJ99"/>
      <c r="AK99"/>
      <c r="AL99"/>
      <c r="AM99"/>
      <c r="AN99"/>
      <c r="AO99"/>
      <c r="AP99"/>
      <c r="AQ99"/>
    </row>
    <row r="100" spans="1:43" ht="15.95" hidden="1" customHeight="1">
      <c r="A100" s="302" t="s">
        <v>32</v>
      </c>
      <c r="B100" s="890">
        <v>1614</v>
      </c>
      <c r="C100" s="178">
        <f>SUM(C101:C113)</f>
        <v>471</v>
      </c>
      <c r="D100" s="178">
        <f>SUM(D101:D113)</f>
        <v>148</v>
      </c>
      <c r="E100" s="178">
        <f>SUM(E101:E113)</f>
        <v>871</v>
      </c>
    </row>
    <row r="101" spans="1:43" ht="15.95" hidden="1" customHeight="1">
      <c r="A101" s="132" t="s">
        <v>168</v>
      </c>
      <c r="B101" s="729">
        <v>195</v>
      </c>
      <c r="C101" s="409">
        <v>74</v>
      </c>
      <c r="D101" s="409">
        <v>21</v>
      </c>
      <c r="E101" s="409">
        <v>82</v>
      </c>
    </row>
    <row r="102" spans="1:43" ht="15.95" hidden="1" customHeight="1">
      <c r="A102" s="133" t="s">
        <v>169</v>
      </c>
      <c r="B102" s="729">
        <v>3</v>
      </c>
      <c r="C102" s="409">
        <v>1</v>
      </c>
      <c r="D102" s="409" t="s">
        <v>97</v>
      </c>
      <c r="E102" s="409">
        <v>2</v>
      </c>
    </row>
    <row r="103" spans="1:43" ht="15.95" hidden="1" customHeight="1">
      <c r="A103" s="133" t="s">
        <v>170</v>
      </c>
      <c r="B103" s="729">
        <v>369</v>
      </c>
      <c r="C103" s="409">
        <v>139</v>
      </c>
      <c r="D103" s="409">
        <v>10</v>
      </c>
      <c r="E103" s="409">
        <v>207</v>
      </c>
    </row>
    <row r="104" spans="1:43" ht="15.95" hidden="1" customHeight="1">
      <c r="A104" s="133" t="s">
        <v>171</v>
      </c>
      <c r="B104" s="729">
        <v>396</v>
      </c>
      <c r="C104" s="409">
        <v>66</v>
      </c>
      <c r="D104" s="409">
        <v>16</v>
      </c>
      <c r="E104" s="409">
        <v>231</v>
      </c>
    </row>
    <row r="105" spans="1:43" ht="15.95" hidden="1" customHeight="1">
      <c r="A105" s="133" t="s">
        <v>172</v>
      </c>
      <c r="B105" s="729">
        <v>0</v>
      </c>
      <c r="C105" s="409" t="s">
        <v>97</v>
      </c>
      <c r="D105" s="409" t="s">
        <v>97</v>
      </c>
      <c r="E105" s="409" t="s">
        <v>97</v>
      </c>
    </row>
    <row r="106" spans="1:43" ht="15.95" hidden="1" customHeight="1">
      <c r="A106" s="133" t="s">
        <v>173</v>
      </c>
      <c r="B106" s="729">
        <v>3</v>
      </c>
      <c r="C106" s="409">
        <v>1</v>
      </c>
      <c r="D106" s="409" t="s">
        <v>97</v>
      </c>
      <c r="E106" s="409">
        <v>2</v>
      </c>
    </row>
    <row r="107" spans="1:43" ht="15.95" hidden="1" customHeight="1">
      <c r="A107" s="133" t="s">
        <v>251</v>
      </c>
      <c r="B107" s="729">
        <v>581</v>
      </c>
      <c r="C107" s="409">
        <v>173</v>
      </c>
      <c r="D107" s="409">
        <v>91</v>
      </c>
      <c r="E107" s="409">
        <v>310</v>
      </c>
    </row>
    <row r="108" spans="1:43" ht="15.95" hidden="1" customHeight="1">
      <c r="A108" s="133" t="s">
        <v>174</v>
      </c>
      <c r="B108" s="729">
        <v>13</v>
      </c>
      <c r="C108" s="409">
        <v>5</v>
      </c>
      <c r="D108" s="409" t="s">
        <v>97</v>
      </c>
      <c r="E108" s="409">
        <v>5</v>
      </c>
    </row>
    <row r="109" spans="1:43" ht="15.95" hidden="1" customHeight="1">
      <c r="A109" s="133" t="s">
        <v>252</v>
      </c>
      <c r="B109" s="729">
        <v>22</v>
      </c>
      <c r="C109" s="409">
        <v>5</v>
      </c>
      <c r="D109" s="409" t="s">
        <v>97</v>
      </c>
      <c r="E109" s="409">
        <v>17</v>
      </c>
    </row>
    <row r="110" spans="1:43" ht="15.95" hidden="1" customHeight="1">
      <c r="A110" s="133" t="s">
        <v>253</v>
      </c>
      <c r="B110" s="729">
        <v>1</v>
      </c>
      <c r="C110" s="409">
        <v>1</v>
      </c>
      <c r="D110" s="409" t="s">
        <v>97</v>
      </c>
      <c r="E110" s="409" t="s">
        <v>97</v>
      </c>
    </row>
    <row r="111" spans="1:43" ht="15.95" hidden="1" customHeight="1">
      <c r="A111" s="133" t="s">
        <v>175</v>
      </c>
      <c r="B111" s="729">
        <v>8</v>
      </c>
      <c r="C111" s="409">
        <v>2</v>
      </c>
      <c r="D111" s="409">
        <v>5</v>
      </c>
      <c r="E111" s="409">
        <v>1</v>
      </c>
    </row>
    <row r="112" spans="1:43" ht="15.95" hidden="1" customHeight="1">
      <c r="A112" s="133" t="s">
        <v>176</v>
      </c>
      <c r="B112" s="729">
        <v>20</v>
      </c>
      <c r="C112" s="409">
        <v>4</v>
      </c>
      <c r="D112" s="409">
        <v>3</v>
      </c>
      <c r="E112" s="409">
        <v>13</v>
      </c>
    </row>
    <row r="113" spans="1:43" ht="15.95" hidden="1" customHeight="1">
      <c r="A113" s="133" t="s">
        <v>177</v>
      </c>
      <c r="B113" s="729">
        <v>3</v>
      </c>
      <c r="C113" s="409" t="s">
        <v>97</v>
      </c>
      <c r="D113" s="409">
        <v>2</v>
      </c>
      <c r="E113" s="409">
        <v>1</v>
      </c>
    </row>
    <row r="114" spans="1:43" s="891" customFormat="1" ht="15.95" hidden="1" customHeight="1">
      <c r="A114" s="302" t="s">
        <v>90</v>
      </c>
      <c r="B114" s="890">
        <v>1614</v>
      </c>
      <c r="C114" s="178">
        <f>SUM(C115:C116)</f>
        <v>471</v>
      </c>
      <c r="D114" s="178">
        <f>SUM(D115:D116)</f>
        <v>148</v>
      </c>
      <c r="E114" s="178">
        <f>SUM(E115:E116)</f>
        <v>871</v>
      </c>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row>
    <row r="115" spans="1:43" ht="15.95" hidden="1" customHeight="1">
      <c r="A115" s="133" t="s">
        <v>178</v>
      </c>
      <c r="B115" s="729">
        <v>607</v>
      </c>
      <c r="C115" s="409">
        <v>120</v>
      </c>
      <c r="D115" s="409">
        <v>109</v>
      </c>
      <c r="E115" s="409">
        <v>362</v>
      </c>
    </row>
    <row r="116" spans="1:43" ht="15.95" hidden="1" customHeight="1">
      <c r="A116" s="133" t="s">
        <v>179</v>
      </c>
      <c r="B116" s="729">
        <v>1007</v>
      </c>
      <c r="C116" s="409">
        <v>351</v>
      </c>
      <c r="D116" s="409">
        <v>39</v>
      </c>
      <c r="E116" s="409">
        <v>509</v>
      </c>
    </row>
    <row r="117" spans="1:43" s="891" customFormat="1" ht="15.95" hidden="1" customHeight="1">
      <c r="A117" s="302" t="s">
        <v>71</v>
      </c>
      <c r="B117" s="890">
        <v>1614</v>
      </c>
      <c r="C117" s="178">
        <f>SUM(C118:C119)</f>
        <v>471</v>
      </c>
      <c r="D117" s="178">
        <f>SUM(D118:D119)</f>
        <v>148</v>
      </c>
      <c r="E117" s="178">
        <f>SUM(E118:E119)</f>
        <v>871</v>
      </c>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row>
    <row r="118" spans="1:43" ht="15.95" hidden="1" customHeight="1">
      <c r="A118" s="133" t="s">
        <v>180</v>
      </c>
      <c r="B118" s="729">
        <v>1420</v>
      </c>
      <c r="C118" s="409">
        <v>471</v>
      </c>
      <c r="D118" s="409" t="s">
        <v>97</v>
      </c>
      <c r="E118" s="409">
        <v>825</v>
      </c>
    </row>
    <row r="119" spans="1:43" ht="15.95" hidden="1" customHeight="1">
      <c r="A119" s="133" t="s">
        <v>181</v>
      </c>
      <c r="B119" s="729">
        <v>194</v>
      </c>
      <c r="C119" s="409" t="s">
        <v>97</v>
      </c>
      <c r="D119" s="409">
        <v>148</v>
      </c>
      <c r="E119" s="409">
        <v>46</v>
      </c>
    </row>
    <row r="120" spans="1:43" s="891" customFormat="1" ht="15.95" hidden="1" customHeight="1">
      <c r="A120" s="303" t="s">
        <v>74</v>
      </c>
      <c r="B120" s="890">
        <v>1614</v>
      </c>
      <c r="C120" s="178">
        <f>SUM(C121:C125)</f>
        <v>471</v>
      </c>
      <c r="D120" s="178">
        <f>SUM(D121:D125)</f>
        <v>148</v>
      </c>
      <c r="E120" s="178">
        <f>SUM(E121:E125)</f>
        <v>871</v>
      </c>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row>
    <row r="121" spans="1:43" ht="15.95" hidden="1" customHeight="1">
      <c r="A121" s="132" t="s">
        <v>182</v>
      </c>
      <c r="B121" s="729">
        <v>33</v>
      </c>
      <c r="C121" s="409">
        <v>8</v>
      </c>
      <c r="D121" s="409">
        <v>5</v>
      </c>
      <c r="E121" s="409">
        <v>18</v>
      </c>
    </row>
    <row r="122" spans="1:43" ht="15.95" hidden="1" customHeight="1">
      <c r="A122" s="133" t="s">
        <v>183</v>
      </c>
      <c r="B122" s="729">
        <v>450</v>
      </c>
      <c r="C122" s="409">
        <v>150</v>
      </c>
      <c r="D122" s="409">
        <v>40</v>
      </c>
      <c r="E122" s="409">
        <v>230</v>
      </c>
    </row>
    <row r="123" spans="1:43" ht="15.95" hidden="1" customHeight="1">
      <c r="A123" s="133" t="s">
        <v>184</v>
      </c>
      <c r="B123" s="729">
        <v>928</v>
      </c>
      <c r="C123" s="409">
        <v>257</v>
      </c>
      <c r="D123" s="409">
        <v>80</v>
      </c>
      <c r="E123" s="409">
        <v>505</v>
      </c>
    </row>
    <row r="124" spans="1:43" ht="15.95" hidden="1" customHeight="1">
      <c r="A124" s="133" t="s">
        <v>185</v>
      </c>
      <c r="B124" s="729">
        <v>194</v>
      </c>
      <c r="C124" s="409">
        <v>55</v>
      </c>
      <c r="D124" s="409">
        <v>16</v>
      </c>
      <c r="E124" s="409">
        <v>118</v>
      </c>
    </row>
    <row r="125" spans="1:43" ht="15.95" hidden="1" customHeight="1">
      <c r="A125" s="133" t="s">
        <v>213</v>
      </c>
      <c r="B125" s="729">
        <v>9</v>
      </c>
      <c r="C125" s="409">
        <v>1</v>
      </c>
      <c r="D125" s="409">
        <v>7</v>
      </c>
      <c r="E125" s="409" t="s">
        <v>97</v>
      </c>
    </row>
    <row r="126" spans="1:43" s="891" customFormat="1" ht="15.95" hidden="1" customHeight="1">
      <c r="A126" s="302" t="s">
        <v>78</v>
      </c>
      <c r="B126" s="890">
        <v>1614</v>
      </c>
      <c r="C126" s="95">
        <f>SUM(C127:C133)</f>
        <v>471</v>
      </c>
      <c r="D126" s="95">
        <f>SUM(D127:D133)</f>
        <v>148</v>
      </c>
      <c r="E126" s="95">
        <f>SUM(E127:E133)</f>
        <v>871</v>
      </c>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row>
    <row r="127" spans="1:43" ht="15.95" hidden="1" customHeight="1">
      <c r="A127" s="133" t="s">
        <v>186</v>
      </c>
      <c r="B127" s="729">
        <v>504</v>
      </c>
      <c r="C127" s="409">
        <v>149</v>
      </c>
      <c r="D127" s="409">
        <v>80</v>
      </c>
      <c r="E127" s="409">
        <v>239</v>
      </c>
    </row>
    <row r="128" spans="1:43" ht="15.95" hidden="1" customHeight="1">
      <c r="A128" s="133" t="s">
        <v>187</v>
      </c>
      <c r="B128" s="729">
        <v>250</v>
      </c>
      <c r="C128" s="409">
        <v>90</v>
      </c>
      <c r="D128" s="409">
        <v>17</v>
      </c>
      <c r="E128" s="409">
        <v>138</v>
      </c>
    </row>
    <row r="129" spans="1:5" ht="15.95" hidden="1" customHeight="1">
      <c r="A129" s="133" t="s">
        <v>188</v>
      </c>
      <c r="B129" s="729">
        <v>770</v>
      </c>
      <c r="C129" s="409">
        <v>208</v>
      </c>
      <c r="D129" s="409">
        <v>35</v>
      </c>
      <c r="E129" s="409">
        <v>446</v>
      </c>
    </row>
    <row r="130" spans="1:5" ht="15.95" hidden="1" customHeight="1">
      <c r="A130" s="133" t="s">
        <v>189</v>
      </c>
      <c r="B130" s="729">
        <v>28</v>
      </c>
      <c r="C130" s="409">
        <v>9</v>
      </c>
      <c r="D130" s="409">
        <v>5</v>
      </c>
      <c r="E130" s="409">
        <v>14</v>
      </c>
    </row>
    <row r="131" spans="1:5" ht="15.95" hidden="1" customHeight="1">
      <c r="A131" s="133" t="s">
        <v>190</v>
      </c>
      <c r="B131" s="729">
        <v>11</v>
      </c>
      <c r="C131" s="409">
        <v>5</v>
      </c>
      <c r="D131" s="409">
        <v>1</v>
      </c>
      <c r="E131" s="409">
        <v>4</v>
      </c>
    </row>
    <row r="132" spans="1:5" ht="15.95" hidden="1" customHeight="1">
      <c r="A132" s="133" t="s">
        <v>191</v>
      </c>
      <c r="B132" s="729">
        <v>50</v>
      </c>
      <c r="C132" s="409">
        <v>10</v>
      </c>
      <c r="D132" s="409">
        <v>9</v>
      </c>
      <c r="E132" s="409">
        <v>30</v>
      </c>
    </row>
    <row r="133" spans="1:5" ht="15.95" hidden="1" customHeight="1">
      <c r="A133" s="133" t="s">
        <v>213</v>
      </c>
      <c r="B133" s="729">
        <v>1</v>
      </c>
      <c r="C133" s="409" t="s">
        <v>97</v>
      </c>
      <c r="D133" s="409">
        <v>1</v>
      </c>
      <c r="E133" s="409" t="s">
        <v>97</v>
      </c>
    </row>
    <row r="134" spans="1:5" ht="4.5" hidden="1" customHeight="1">
      <c r="A134" s="304"/>
      <c r="B134" s="892"/>
      <c r="C134" s="893"/>
      <c r="D134" s="893"/>
      <c r="E134" s="893"/>
    </row>
    <row r="135" spans="1:5" ht="13.5" hidden="1">
      <c r="A135" s="103"/>
      <c r="B135" s="894"/>
      <c r="C135" s="894"/>
      <c r="D135" s="894"/>
      <c r="E135" s="894"/>
    </row>
    <row r="136" spans="1:5" hidden="1">
      <c r="A136" s="873"/>
      <c r="B136" s="895"/>
      <c r="C136" s="818"/>
      <c r="D136" s="818"/>
      <c r="E136" s="818"/>
    </row>
    <row r="137" spans="1:5" ht="13.5" hidden="1">
      <c r="A137" s="542" t="s">
        <v>368</v>
      </c>
      <c r="B137" s="894"/>
      <c r="C137" s="894"/>
      <c r="D137" s="894"/>
      <c r="E137" s="894"/>
    </row>
    <row r="138" spans="1:5" ht="13.5" hidden="1">
      <c r="A138" s="336" t="s">
        <v>364</v>
      </c>
      <c r="B138" s="894"/>
      <c r="C138" s="894"/>
      <c r="D138" s="894"/>
      <c r="E138" s="818"/>
    </row>
    <row r="139" spans="1:5" hidden="1">
      <c r="A139" s="873"/>
      <c r="B139" s="895"/>
      <c r="C139" s="818"/>
      <c r="D139" s="818"/>
      <c r="E139" s="818"/>
    </row>
    <row r="140" spans="1:5" ht="27" hidden="1" customHeight="1">
      <c r="A140" s="1263" t="s">
        <v>259</v>
      </c>
      <c r="B140" s="268"/>
      <c r="C140" s="1205">
        <v>2015</v>
      </c>
      <c r="D140" s="1205"/>
      <c r="E140" s="1205"/>
    </row>
    <row r="141" spans="1:5" ht="25.5" hidden="1" customHeight="1">
      <c r="A141" s="1264"/>
      <c r="B141" s="301" t="s">
        <v>2</v>
      </c>
      <c r="C141" s="187" t="s">
        <v>100</v>
      </c>
      <c r="D141" s="187" t="s">
        <v>101</v>
      </c>
      <c r="E141" s="187" t="s">
        <v>110</v>
      </c>
    </row>
    <row r="142" spans="1:5" hidden="1">
      <c r="A142" s="302" t="s">
        <v>166</v>
      </c>
      <c r="B142" s="444">
        <v>4</v>
      </c>
      <c r="C142" s="444">
        <v>1</v>
      </c>
      <c r="D142" s="444">
        <v>1</v>
      </c>
      <c r="E142" s="444">
        <v>1</v>
      </c>
    </row>
    <row r="143" spans="1:5" ht="8.25" hidden="1" customHeight="1">
      <c r="A143" s="302"/>
      <c r="B143" s="445"/>
      <c r="C143" s="444"/>
      <c r="D143" s="444"/>
      <c r="E143" s="444"/>
    </row>
    <row r="144" spans="1:5" ht="15.75" hidden="1" customHeight="1">
      <c r="A144" s="302" t="s">
        <v>167</v>
      </c>
      <c r="B144" s="445">
        <v>1767</v>
      </c>
      <c r="C144" s="445">
        <v>486</v>
      </c>
      <c r="D144" s="446">
        <v>114</v>
      </c>
      <c r="E144" s="446">
        <v>1007</v>
      </c>
    </row>
    <row r="145" spans="1:5" ht="15.75" hidden="1" customHeight="1">
      <c r="A145" s="302" t="s">
        <v>32</v>
      </c>
      <c r="B145" s="445">
        <v>1767</v>
      </c>
      <c r="C145" s="445">
        <v>486</v>
      </c>
      <c r="D145" s="446">
        <f>SUM(D146:D157)</f>
        <v>114</v>
      </c>
      <c r="E145" s="446">
        <f>SUM(E146:E157)</f>
        <v>1007</v>
      </c>
    </row>
    <row r="146" spans="1:5" ht="15.75" hidden="1" customHeight="1">
      <c r="A146" s="132" t="s">
        <v>168</v>
      </c>
      <c r="B146" s="444">
        <v>241</v>
      </c>
      <c r="C146" s="444">
        <v>71</v>
      </c>
      <c r="D146" s="447">
        <v>14</v>
      </c>
      <c r="E146" s="447">
        <v>123</v>
      </c>
    </row>
    <row r="147" spans="1:5" ht="15.75" hidden="1" customHeight="1">
      <c r="A147" s="133" t="s">
        <v>169</v>
      </c>
      <c r="B147" s="444">
        <v>4</v>
      </c>
      <c r="C147" s="444">
        <v>3</v>
      </c>
      <c r="D147" s="447" t="s">
        <v>97</v>
      </c>
      <c r="E147" s="447">
        <v>1</v>
      </c>
    </row>
    <row r="148" spans="1:5" ht="15.75" hidden="1" customHeight="1">
      <c r="A148" s="133" t="s">
        <v>170</v>
      </c>
      <c r="B148" s="444">
        <v>416</v>
      </c>
      <c r="C148" s="444">
        <v>147</v>
      </c>
      <c r="D148" s="447">
        <v>11</v>
      </c>
      <c r="E148" s="447">
        <v>247</v>
      </c>
    </row>
    <row r="149" spans="1:5" ht="15.75" hidden="1" customHeight="1">
      <c r="A149" s="133" t="s">
        <v>171</v>
      </c>
      <c r="B149" s="444">
        <v>457</v>
      </c>
      <c r="C149" s="444">
        <v>85</v>
      </c>
      <c r="D149" s="447">
        <v>5</v>
      </c>
      <c r="E149" s="447">
        <v>276</v>
      </c>
    </row>
    <row r="150" spans="1:5" ht="15.75" hidden="1" customHeight="1">
      <c r="A150" s="133" t="s">
        <v>172</v>
      </c>
      <c r="B150" s="444" t="s">
        <v>97</v>
      </c>
      <c r="C150" s="444" t="s">
        <v>97</v>
      </c>
      <c r="D150" s="447" t="s">
        <v>97</v>
      </c>
      <c r="E150" s="447" t="s">
        <v>97</v>
      </c>
    </row>
    <row r="151" spans="1:5" ht="15.75" hidden="1" customHeight="1">
      <c r="A151" s="133" t="s">
        <v>173</v>
      </c>
      <c r="B151" s="444">
        <v>3</v>
      </c>
      <c r="C151" s="444">
        <v>1</v>
      </c>
      <c r="D151" s="447" t="s">
        <v>97</v>
      </c>
      <c r="E151" s="447">
        <v>2</v>
      </c>
    </row>
    <row r="152" spans="1:5" ht="15.75" hidden="1" customHeight="1">
      <c r="A152" s="133" t="s">
        <v>251</v>
      </c>
      <c r="B152" s="444">
        <v>573</v>
      </c>
      <c r="C152" s="444">
        <v>148</v>
      </c>
      <c r="D152" s="447">
        <v>82</v>
      </c>
      <c r="E152" s="447">
        <v>320</v>
      </c>
    </row>
    <row r="153" spans="1:5" ht="15.75" hidden="1" customHeight="1">
      <c r="A153" s="133" t="s">
        <v>174</v>
      </c>
      <c r="B153" s="444">
        <v>10</v>
      </c>
      <c r="C153" s="444">
        <v>4</v>
      </c>
      <c r="D153" s="447" t="s">
        <v>97</v>
      </c>
      <c r="E153" s="447">
        <v>4</v>
      </c>
    </row>
    <row r="154" spans="1:5" ht="15.75" hidden="1" customHeight="1">
      <c r="A154" s="133" t="s">
        <v>252</v>
      </c>
      <c r="B154" s="444">
        <v>25</v>
      </c>
      <c r="C154" s="445">
        <v>7</v>
      </c>
      <c r="D154" s="447" t="s">
        <v>97</v>
      </c>
      <c r="E154" s="447">
        <v>18</v>
      </c>
    </row>
    <row r="155" spans="1:5" ht="15.75" hidden="1" customHeight="1">
      <c r="A155" s="133" t="s">
        <v>253</v>
      </c>
      <c r="B155" s="444">
        <v>6</v>
      </c>
      <c r="C155" s="444">
        <v>6</v>
      </c>
      <c r="D155" s="447" t="s">
        <v>97</v>
      </c>
      <c r="E155" s="447" t="s">
        <v>97</v>
      </c>
    </row>
    <row r="156" spans="1:5" ht="15.75" hidden="1" customHeight="1">
      <c r="A156" s="133" t="s">
        <v>175</v>
      </c>
      <c r="B156" s="444">
        <v>4</v>
      </c>
      <c r="C156" s="444">
        <v>2</v>
      </c>
      <c r="D156" s="447">
        <v>1</v>
      </c>
      <c r="E156" s="447">
        <v>1</v>
      </c>
    </row>
    <row r="157" spans="1:5" ht="15.75" hidden="1" customHeight="1">
      <c r="A157" s="133" t="s">
        <v>176</v>
      </c>
      <c r="B157" s="444">
        <v>28</v>
      </c>
      <c r="C157" s="444">
        <v>12</v>
      </c>
      <c r="D157" s="447">
        <v>1</v>
      </c>
      <c r="E157" s="447">
        <v>15</v>
      </c>
    </row>
    <row r="158" spans="1:5" ht="15.75" hidden="1" customHeight="1">
      <c r="A158" s="133" t="s">
        <v>177</v>
      </c>
      <c r="B158" s="444" t="s">
        <v>97</v>
      </c>
      <c r="C158" s="444" t="s">
        <v>97</v>
      </c>
      <c r="D158" s="447" t="s">
        <v>97</v>
      </c>
      <c r="E158" s="447" t="s">
        <v>97</v>
      </c>
    </row>
    <row r="159" spans="1:5" ht="15.75" hidden="1" customHeight="1">
      <c r="A159" s="302" t="s">
        <v>90</v>
      </c>
      <c r="B159" s="445">
        <v>1767</v>
      </c>
      <c r="C159" s="445">
        <v>486</v>
      </c>
      <c r="D159" s="446">
        <f>SUM(D160:D161)</f>
        <v>114</v>
      </c>
      <c r="E159" s="446">
        <f>SUM(E160:E161)</f>
        <v>1007</v>
      </c>
    </row>
    <row r="160" spans="1:5" ht="15.75" hidden="1" customHeight="1">
      <c r="A160" s="133" t="s">
        <v>178</v>
      </c>
      <c r="B160" s="444">
        <v>722</v>
      </c>
      <c r="C160" s="445">
        <v>136</v>
      </c>
      <c r="D160" s="447">
        <v>57</v>
      </c>
      <c r="E160" s="447">
        <v>369</v>
      </c>
    </row>
    <row r="161" spans="1:5" ht="15.75" hidden="1" customHeight="1">
      <c r="A161" s="133" t="s">
        <v>179</v>
      </c>
      <c r="B161" s="444">
        <v>1045</v>
      </c>
      <c r="C161" s="444">
        <v>350</v>
      </c>
      <c r="D161" s="447">
        <v>57</v>
      </c>
      <c r="E161" s="447">
        <v>638</v>
      </c>
    </row>
    <row r="162" spans="1:5" ht="15.75" hidden="1" customHeight="1">
      <c r="A162" s="302" t="s">
        <v>71</v>
      </c>
      <c r="B162" s="445">
        <v>1767</v>
      </c>
      <c r="C162" s="445">
        <v>486</v>
      </c>
      <c r="D162" s="446">
        <f>SUM(D163:D164)</f>
        <v>114</v>
      </c>
      <c r="E162" s="446">
        <f>SUM(E163:E164)</f>
        <v>1007</v>
      </c>
    </row>
    <row r="163" spans="1:5" ht="15.75" hidden="1" customHeight="1">
      <c r="A163" s="133" t="s">
        <v>180</v>
      </c>
      <c r="B163" s="444">
        <v>1596</v>
      </c>
      <c r="C163" s="444">
        <v>486</v>
      </c>
      <c r="D163" s="447" t="s">
        <v>97</v>
      </c>
      <c r="E163" s="447">
        <v>950</v>
      </c>
    </row>
    <row r="164" spans="1:5" ht="15.75" hidden="1" customHeight="1">
      <c r="A164" s="133" t="s">
        <v>181</v>
      </c>
      <c r="B164" s="444">
        <v>171</v>
      </c>
      <c r="C164" s="444" t="s">
        <v>97</v>
      </c>
      <c r="D164" s="447">
        <v>114</v>
      </c>
      <c r="E164" s="447">
        <v>57</v>
      </c>
    </row>
    <row r="165" spans="1:5" ht="15.75" hidden="1" customHeight="1">
      <c r="A165" s="303" t="s">
        <v>74</v>
      </c>
      <c r="B165" s="445">
        <v>1767</v>
      </c>
      <c r="C165" s="445">
        <v>486</v>
      </c>
      <c r="D165" s="446">
        <f>SUM(D166:D170)</f>
        <v>114</v>
      </c>
      <c r="E165" s="446">
        <f>SUM(E166:E170)</f>
        <v>1007</v>
      </c>
    </row>
    <row r="166" spans="1:5" ht="15.75" hidden="1" customHeight="1">
      <c r="A166" s="132" t="s">
        <v>182</v>
      </c>
      <c r="B166" s="444">
        <v>28</v>
      </c>
      <c r="C166" s="445">
        <v>6</v>
      </c>
      <c r="D166" s="447">
        <v>5</v>
      </c>
      <c r="E166" s="447">
        <v>16</v>
      </c>
    </row>
    <row r="167" spans="1:5" ht="15.75" hidden="1" customHeight="1">
      <c r="A167" s="133" t="s">
        <v>183</v>
      </c>
      <c r="B167" s="444">
        <v>474</v>
      </c>
      <c r="C167" s="444">
        <v>140</v>
      </c>
      <c r="D167" s="447">
        <v>37</v>
      </c>
      <c r="E167" s="447">
        <v>262</v>
      </c>
    </row>
    <row r="168" spans="1:5" ht="15.75" hidden="1" customHeight="1">
      <c r="A168" s="133" t="s">
        <v>184</v>
      </c>
      <c r="B168" s="444">
        <v>1027</v>
      </c>
      <c r="C168" s="444">
        <v>267</v>
      </c>
      <c r="D168" s="447">
        <v>58</v>
      </c>
      <c r="E168" s="447">
        <v>610</v>
      </c>
    </row>
    <row r="169" spans="1:5" ht="15.75" hidden="1" customHeight="1">
      <c r="A169" s="133" t="s">
        <v>185</v>
      </c>
      <c r="B169" s="444">
        <v>198</v>
      </c>
      <c r="C169" s="444">
        <v>72</v>
      </c>
      <c r="D169" s="447">
        <v>8</v>
      </c>
      <c r="E169" s="447">
        <v>117</v>
      </c>
    </row>
    <row r="170" spans="1:5" ht="15.75" hidden="1" customHeight="1">
      <c r="A170" s="133" t="s">
        <v>213</v>
      </c>
      <c r="B170" s="444">
        <v>40</v>
      </c>
      <c r="C170" s="444">
        <v>1</v>
      </c>
      <c r="D170" s="447">
        <v>6</v>
      </c>
      <c r="E170" s="447">
        <v>2</v>
      </c>
    </row>
    <row r="171" spans="1:5" ht="15.75" hidden="1" customHeight="1">
      <c r="A171" s="302" t="s">
        <v>78</v>
      </c>
      <c r="B171" s="445">
        <v>1767</v>
      </c>
      <c r="C171" s="445">
        <v>486</v>
      </c>
      <c r="D171" s="446">
        <f>SUM(D172:D178)</f>
        <v>114</v>
      </c>
      <c r="E171" s="446">
        <f>SUM(E172:E178)</f>
        <v>1007</v>
      </c>
    </row>
    <row r="172" spans="1:5" ht="15.75" hidden="1" customHeight="1">
      <c r="A172" s="133" t="s">
        <v>186</v>
      </c>
      <c r="B172" s="444">
        <v>523</v>
      </c>
      <c r="C172" s="444">
        <v>134</v>
      </c>
      <c r="D172" s="447">
        <v>57</v>
      </c>
      <c r="E172" s="447">
        <v>288</v>
      </c>
    </row>
    <row r="173" spans="1:5" ht="15.75" hidden="1" customHeight="1">
      <c r="A173" s="133" t="s">
        <v>187</v>
      </c>
      <c r="B173" s="444">
        <v>258</v>
      </c>
      <c r="C173" s="444">
        <v>95</v>
      </c>
      <c r="D173" s="447">
        <v>12</v>
      </c>
      <c r="E173" s="447">
        <v>141</v>
      </c>
    </row>
    <row r="174" spans="1:5" ht="15.75" hidden="1" customHeight="1">
      <c r="A174" s="133" t="s">
        <v>188</v>
      </c>
      <c r="B174" s="444">
        <v>871</v>
      </c>
      <c r="C174" s="444">
        <v>222</v>
      </c>
      <c r="D174" s="447">
        <v>28</v>
      </c>
      <c r="E174" s="447">
        <v>519</v>
      </c>
    </row>
    <row r="175" spans="1:5" ht="15.75" hidden="1" customHeight="1">
      <c r="A175" s="133" t="s">
        <v>189</v>
      </c>
      <c r="B175" s="444">
        <v>34</v>
      </c>
      <c r="C175" s="448">
        <v>9</v>
      </c>
      <c r="D175" s="447">
        <v>5</v>
      </c>
      <c r="E175" s="447">
        <v>19</v>
      </c>
    </row>
    <row r="176" spans="1:5" ht="15.75" hidden="1" customHeight="1">
      <c r="A176" s="133" t="s">
        <v>190</v>
      </c>
      <c r="B176" s="444">
        <v>10</v>
      </c>
      <c r="C176" s="449">
        <v>5</v>
      </c>
      <c r="D176" s="447" t="s">
        <v>97</v>
      </c>
      <c r="E176" s="447">
        <v>3</v>
      </c>
    </row>
    <row r="177" spans="1:5" ht="15.75" hidden="1" customHeight="1">
      <c r="A177" s="133" t="s">
        <v>191</v>
      </c>
      <c r="B177" s="444">
        <v>63</v>
      </c>
      <c r="C177" s="447">
        <v>21</v>
      </c>
      <c r="D177" s="447">
        <v>4</v>
      </c>
      <c r="E177" s="447">
        <v>37</v>
      </c>
    </row>
    <row r="178" spans="1:5" ht="15.75" hidden="1" customHeight="1">
      <c r="A178" s="133" t="s">
        <v>213</v>
      </c>
      <c r="B178" s="447">
        <v>8</v>
      </c>
      <c r="C178" s="449" t="s">
        <v>97</v>
      </c>
      <c r="D178" s="447">
        <v>8</v>
      </c>
      <c r="E178" s="447" t="s">
        <v>97</v>
      </c>
    </row>
    <row r="179" spans="1:5" ht="9" hidden="1" customHeight="1">
      <c r="A179" s="896"/>
      <c r="B179" s="897"/>
      <c r="C179" s="897"/>
      <c r="D179" s="898"/>
      <c r="E179" s="898"/>
    </row>
    <row r="180" spans="1:5" ht="9" hidden="1" customHeight="1">
      <c r="A180" s="723"/>
      <c r="B180" s="789"/>
      <c r="C180" s="789"/>
      <c r="D180" s="899"/>
      <c r="E180" s="899"/>
    </row>
    <row r="181" spans="1:5" hidden="1">
      <c r="B181" s="899"/>
      <c r="C181" s="899"/>
      <c r="D181" s="899"/>
      <c r="E181" s="899"/>
    </row>
    <row r="182" spans="1:5" hidden="1">
      <c r="B182" s="899"/>
      <c r="C182" s="899"/>
      <c r="D182" s="899"/>
      <c r="E182" s="899"/>
    </row>
    <row r="183" spans="1:5" ht="13.5" hidden="1">
      <c r="A183" s="542" t="s">
        <v>368</v>
      </c>
      <c r="B183" s="894"/>
      <c r="C183" s="894"/>
      <c r="D183" s="894"/>
      <c r="E183" s="894"/>
    </row>
    <row r="184" spans="1:5" ht="13.5" hidden="1">
      <c r="A184" s="336" t="s">
        <v>378</v>
      </c>
      <c r="B184" s="894"/>
      <c r="C184" s="894"/>
      <c r="D184" s="894"/>
      <c r="E184" s="818"/>
    </row>
    <row r="185" spans="1:5" ht="10.5" hidden="1" customHeight="1">
      <c r="A185" s="873"/>
      <c r="B185" s="895"/>
      <c r="C185" s="818"/>
      <c r="D185" s="818"/>
      <c r="E185" s="818"/>
    </row>
    <row r="186" spans="1:5" hidden="1">
      <c r="A186" s="1262" t="s">
        <v>259</v>
      </c>
      <c r="B186" s="268"/>
      <c r="C186" s="1205">
        <v>2016</v>
      </c>
      <c r="D186" s="1205"/>
      <c r="E186" s="1205"/>
    </row>
    <row r="187" spans="1:5" ht="27" hidden="1" customHeight="1">
      <c r="A187" s="1262"/>
      <c r="B187" s="272" t="s">
        <v>2</v>
      </c>
      <c r="C187" s="357" t="s">
        <v>100</v>
      </c>
      <c r="D187" s="357" t="s">
        <v>101</v>
      </c>
      <c r="E187" s="357" t="s">
        <v>110</v>
      </c>
    </row>
    <row r="188" spans="1:5" ht="25.5" hidden="1" customHeight="1">
      <c r="A188" s="302" t="s">
        <v>166</v>
      </c>
      <c r="B188" s="440">
        <v>3</v>
      </c>
      <c r="C188" s="440">
        <v>1</v>
      </c>
      <c r="D188" s="440">
        <v>1</v>
      </c>
      <c r="E188" s="440">
        <v>1</v>
      </c>
    </row>
    <row r="189" spans="1:5" ht="5.25" hidden="1" customHeight="1">
      <c r="A189" s="302"/>
      <c r="B189" s="442"/>
      <c r="C189" s="440"/>
      <c r="D189" s="440"/>
      <c r="E189" s="440"/>
    </row>
    <row r="190" spans="1:5" ht="16.5" hidden="1" customHeight="1">
      <c r="A190" s="302" t="s">
        <v>167</v>
      </c>
      <c r="B190" s="442">
        <f t="shared" ref="B190:B203" si="4">SUM(C190:E190)</f>
        <v>1793</v>
      </c>
      <c r="C190" s="442">
        <f>SUM(C192:C204)</f>
        <v>493</v>
      </c>
      <c r="D190" s="442">
        <f>SUM(D192:D204)</f>
        <v>142</v>
      </c>
      <c r="E190" s="442">
        <f>SUM(E192:E204)</f>
        <v>1158</v>
      </c>
    </row>
    <row r="191" spans="1:5" ht="16.5" hidden="1" customHeight="1">
      <c r="A191" s="302" t="s">
        <v>32</v>
      </c>
      <c r="B191" s="442">
        <f t="shared" si="4"/>
        <v>1793</v>
      </c>
      <c r="C191" s="442">
        <f>SUM(C192:C204)</f>
        <v>493</v>
      </c>
      <c r="D191" s="442">
        <f>SUM(D192:D204)</f>
        <v>142</v>
      </c>
      <c r="E191" s="442">
        <f>SUM(E192:E204)</f>
        <v>1158</v>
      </c>
    </row>
    <row r="192" spans="1:5" ht="16.5" hidden="1" customHeight="1">
      <c r="A192" s="132" t="s">
        <v>168</v>
      </c>
      <c r="B192" s="440">
        <f t="shared" si="4"/>
        <v>224</v>
      </c>
      <c r="C192" s="440">
        <v>74</v>
      </c>
      <c r="D192" s="440">
        <v>13</v>
      </c>
      <c r="E192" s="440">
        <v>137</v>
      </c>
    </row>
    <row r="193" spans="1:5" ht="16.5" hidden="1" customHeight="1">
      <c r="A193" s="133" t="s">
        <v>169</v>
      </c>
      <c r="B193" s="440">
        <f t="shared" si="4"/>
        <v>19</v>
      </c>
      <c r="C193" s="440">
        <v>11</v>
      </c>
      <c r="D193" s="440">
        <v>1</v>
      </c>
      <c r="E193" s="440">
        <v>7</v>
      </c>
    </row>
    <row r="194" spans="1:5" ht="16.5" hidden="1" customHeight="1">
      <c r="A194" s="133" t="s">
        <v>170</v>
      </c>
      <c r="B194" s="440">
        <f t="shared" si="4"/>
        <v>477</v>
      </c>
      <c r="C194" s="440">
        <v>156</v>
      </c>
      <c r="D194" s="440">
        <v>23</v>
      </c>
      <c r="E194" s="440">
        <v>298</v>
      </c>
    </row>
    <row r="195" spans="1:5" ht="16.5" hidden="1" customHeight="1">
      <c r="A195" s="133" t="s">
        <v>171</v>
      </c>
      <c r="B195" s="440">
        <f t="shared" si="4"/>
        <v>404</v>
      </c>
      <c r="C195" s="440">
        <v>76</v>
      </c>
      <c r="D195" s="440">
        <v>17</v>
      </c>
      <c r="E195" s="440">
        <v>311</v>
      </c>
    </row>
    <row r="196" spans="1:5" ht="16.5" hidden="1" customHeight="1">
      <c r="A196" s="133" t="s">
        <v>172</v>
      </c>
      <c r="B196" s="440">
        <f t="shared" si="4"/>
        <v>0</v>
      </c>
      <c r="C196" s="443" t="s">
        <v>97</v>
      </c>
      <c r="D196" s="443" t="s">
        <v>97</v>
      </c>
      <c r="E196" s="443" t="s">
        <v>97</v>
      </c>
    </row>
    <row r="197" spans="1:5" ht="16.5" hidden="1" customHeight="1">
      <c r="A197" s="133" t="s">
        <v>173</v>
      </c>
      <c r="B197" s="440">
        <f t="shared" si="4"/>
        <v>3</v>
      </c>
      <c r="C197" s="440">
        <v>1</v>
      </c>
      <c r="D197" s="440">
        <v>1</v>
      </c>
      <c r="E197" s="440">
        <v>1</v>
      </c>
    </row>
    <row r="198" spans="1:5" ht="16.5" hidden="1" customHeight="1">
      <c r="A198" s="133" t="s">
        <v>251</v>
      </c>
      <c r="B198" s="440">
        <f t="shared" si="4"/>
        <v>550</v>
      </c>
      <c r="C198" s="440">
        <v>145</v>
      </c>
      <c r="D198" s="440">
        <v>75</v>
      </c>
      <c r="E198" s="440">
        <v>330</v>
      </c>
    </row>
    <row r="199" spans="1:5" ht="16.5" hidden="1" customHeight="1">
      <c r="A199" s="133" t="s">
        <v>174</v>
      </c>
      <c r="B199" s="440">
        <f t="shared" si="4"/>
        <v>9</v>
      </c>
      <c r="C199" s="440">
        <v>3</v>
      </c>
      <c r="D199" s="440">
        <v>4</v>
      </c>
      <c r="E199" s="440">
        <v>2</v>
      </c>
    </row>
    <row r="200" spans="1:5" ht="16.5" hidden="1" customHeight="1">
      <c r="A200" s="133" t="s">
        <v>252</v>
      </c>
      <c r="B200" s="440">
        <f t="shared" si="4"/>
        <v>42</v>
      </c>
      <c r="C200" s="442">
        <v>6</v>
      </c>
      <c r="D200" s="440">
        <v>1</v>
      </c>
      <c r="E200" s="440">
        <v>35</v>
      </c>
    </row>
    <row r="201" spans="1:5" ht="16.5" hidden="1" customHeight="1">
      <c r="A201" s="133" t="s">
        <v>253</v>
      </c>
      <c r="B201" s="440">
        <f t="shared" si="4"/>
        <v>28</v>
      </c>
      <c r="C201" s="440">
        <v>11</v>
      </c>
      <c r="D201" s="440">
        <v>1</v>
      </c>
      <c r="E201" s="440">
        <v>16</v>
      </c>
    </row>
    <row r="202" spans="1:5" ht="16.5" hidden="1" customHeight="1">
      <c r="A202" s="133" t="s">
        <v>175</v>
      </c>
      <c r="B202" s="440">
        <f t="shared" si="4"/>
        <v>9</v>
      </c>
      <c r="C202" s="440">
        <v>2</v>
      </c>
      <c r="D202" s="440">
        <v>1</v>
      </c>
      <c r="E202" s="440">
        <v>6</v>
      </c>
    </row>
    <row r="203" spans="1:5" ht="16.5" hidden="1" customHeight="1">
      <c r="A203" s="133" t="s">
        <v>176</v>
      </c>
      <c r="B203" s="440">
        <f t="shared" si="4"/>
        <v>28</v>
      </c>
      <c r="C203" s="440">
        <v>8</v>
      </c>
      <c r="D203" s="440">
        <v>5</v>
      </c>
      <c r="E203" s="440">
        <v>15</v>
      </c>
    </row>
    <row r="204" spans="1:5" ht="16.5" hidden="1" customHeight="1">
      <c r="A204" s="133" t="s">
        <v>177</v>
      </c>
      <c r="B204" s="439" t="s">
        <v>97</v>
      </c>
      <c r="C204" s="443" t="s">
        <v>97</v>
      </c>
      <c r="D204" s="443" t="s">
        <v>97</v>
      </c>
      <c r="E204" s="443" t="s">
        <v>97</v>
      </c>
    </row>
    <row r="205" spans="1:5" ht="16.5" hidden="1" customHeight="1">
      <c r="A205" s="302" t="s">
        <v>90</v>
      </c>
      <c r="B205" s="442">
        <f t="shared" ref="B205:B224" si="5">SUM(C205:E205)</f>
        <v>1793</v>
      </c>
      <c r="C205" s="442">
        <f>SUM(C206:C207)</f>
        <v>493</v>
      </c>
      <c r="D205" s="442">
        <f>SUM(D206:D207)</f>
        <v>142</v>
      </c>
      <c r="E205" s="442">
        <f>SUM(E206:E207)</f>
        <v>1158</v>
      </c>
    </row>
    <row r="206" spans="1:5" ht="16.5" hidden="1" customHeight="1">
      <c r="A206" s="133" t="s">
        <v>178</v>
      </c>
      <c r="B206" s="440">
        <f t="shared" si="5"/>
        <v>699</v>
      </c>
      <c r="C206" s="440">
        <v>168</v>
      </c>
      <c r="D206" s="440">
        <v>64</v>
      </c>
      <c r="E206" s="440">
        <v>467</v>
      </c>
    </row>
    <row r="207" spans="1:5" ht="16.5" hidden="1" customHeight="1">
      <c r="A207" s="133" t="s">
        <v>179</v>
      </c>
      <c r="B207" s="440">
        <f t="shared" si="5"/>
        <v>1094</v>
      </c>
      <c r="C207" s="440">
        <v>325</v>
      </c>
      <c r="D207" s="440">
        <v>78</v>
      </c>
      <c r="E207" s="440">
        <v>691</v>
      </c>
    </row>
    <row r="208" spans="1:5" ht="16.5" hidden="1" customHeight="1">
      <c r="A208" s="302" t="s">
        <v>71</v>
      </c>
      <c r="B208" s="442">
        <f t="shared" si="5"/>
        <v>1793</v>
      </c>
      <c r="C208" s="442">
        <f>SUM(C209:C210)</f>
        <v>493</v>
      </c>
      <c r="D208" s="442">
        <f>SUM(D209:D210)</f>
        <v>142</v>
      </c>
      <c r="E208" s="442">
        <f>SUM(E209:E210)</f>
        <v>1158</v>
      </c>
    </row>
    <row r="209" spans="1:5" ht="16.5" hidden="1" customHeight="1">
      <c r="A209" s="133" t="s">
        <v>180</v>
      </c>
      <c r="B209" s="440">
        <f t="shared" si="5"/>
        <v>1600</v>
      </c>
      <c r="C209" s="440">
        <v>493</v>
      </c>
      <c r="D209" s="440" t="s">
        <v>97</v>
      </c>
      <c r="E209" s="440">
        <v>1107</v>
      </c>
    </row>
    <row r="210" spans="1:5" ht="16.5" hidden="1" customHeight="1">
      <c r="A210" s="133" t="s">
        <v>181</v>
      </c>
      <c r="B210" s="440">
        <f t="shared" si="5"/>
        <v>193</v>
      </c>
      <c r="C210" s="440" t="s">
        <v>96</v>
      </c>
      <c r="D210" s="440">
        <v>142</v>
      </c>
      <c r="E210" s="440">
        <v>51</v>
      </c>
    </row>
    <row r="211" spans="1:5" ht="16.5" hidden="1" customHeight="1">
      <c r="A211" s="303" t="s">
        <v>74</v>
      </c>
      <c r="B211" s="442">
        <f t="shared" si="5"/>
        <v>1793</v>
      </c>
      <c r="C211" s="442">
        <f>SUM(C212:C216)</f>
        <v>493</v>
      </c>
      <c r="D211" s="442">
        <f>SUM(D212:D216)</f>
        <v>142</v>
      </c>
      <c r="E211" s="442">
        <f>SUM(E212:E216)</f>
        <v>1158</v>
      </c>
    </row>
    <row r="212" spans="1:5" ht="16.5" hidden="1" customHeight="1">
      <c r="A212" s="132" t="s">
        <v>182</v>
      </c>
      <c r="B212" s="440">
        <f t="shared" si="5"/>
        <v>31</v>
      </c>
      <c r="C212" s="440">
        <v>7</v>
      </c>
      <c r="D212" s="440">
        <v>6</v>
      </c>
      <c r="E212" s="440">
        <v>18</v>
      </c>
    </row>
    <row r="213" spans="1:5" ht="16.5" hidden="1" customHeight="1">
      <c r="A213" s="133" t="s">
        <v>183</v>
      </c>
      <c r="B213" s="440">
        <f t="shared" si="5"/>
        <v>461</v>
      </c>
      <c r="C213" s="440">
        <v>129</v>
      </c>
      <c r="D213" s="440">
        <v>48</v>
      </c>
      <c r="E213" s="440">
        <v>284</v>
      </c>
    </row>
    <row r="214" spans="1:5" ht="16.5" hidden="1" customHeight="1">
      <c r="A214" s="133" t="s">
        <v>184</v>
      </c>
      <c r="B214" s="440">
        <f t="shared" si="5"/>
        <v>1061</v>
      </c>
      <c r="C214" s="440">
        <v>270</v>
      </c>
      <c r="D214" s="440">
        <v>71</v>
      </c>
      <c r="E214" s="440">
        <v>720</v>
      </c>
    </row>
    <row r="215" spans="1:5" ht="16.5" hidden="1" customHeight="1">
      <c r="A215" s="133" t="s">
        <v>185</v>
      </c>
      <c r="B215" s="440">
        <f t="shared" si="5"/>
        <v>236</v>
      </c>
      <c r="C215" s="440">
        <v>87</v>
      </c>
      <c r="D215" s="440">
        <v>15</v>
      </c>
      <c r="E215" s="440">
        <v>134</v>
      </c>
    </row>
    <row r="216" spans="1:5" ht="16.5" hidden="1" customHeight="1">
      <c r="A216" s="133" t="s">
        <v>213</v>
      </c>
      <c r="B216" s="443">
        <f t="shared" si="5"/>
        <v>4</v>
      </c>
      <c r="C216" s="443" t="s">
        <v>97</v>
      </c>
      <c r="D216" s="443">
        <v>2</v>
      </c>
      <c r="E216" s="443">
        <v>2</v>
      </c>
    </row>
    <row r="217" spans="1:5" ht="16.5" hidden="1" customHeight="1">
      <c r="A217" s="302" t="s">
        <v>78</v>
      </c>
      <c r="B217" s="442">
        <f t="shared" si="5"/>
        <v>1793</v>
      </c>
      <c r="C217" s="442">
        <f>SUM(C218:C224)</f>
        <v>493</v>
      </c>
      <c r="D217" s="442">
        <f>SUM(D218:D224)</f>
        <v>142</v>
      </c>
      <c r="E217" s="442">
        <f>SUM(E218:E224)</f>
        <v>1158</v>
      </c>
    </row>
    <row r="218" spans="1:5" ht="16.5" hidden="1" customHeight="1">
      <c r="A218" s="133" t="s">
        <v>186</v>
      </c>
      <c r="B218" s="440">
        <f t="shared" si="5"/>
        <v>525</v>
      </c>
      <c r="C218" s="440">
        <v>131</v>
      </c>
      <c r="D218" s="440">
        <v>70</v>
      </c>
      <c r="E218" s="440">
        <v>324</v>
      </c>
    </row>
    <row r="219" spans="1:5" ht="16.5" hidden="1" customHeight="1">
      <c r="A219" s="133" t="s">
        <v>187</v>
      </c>
      <c r="B219" s="440">
        <f t="shared" si="5"/>
        <v>293</v>
      </c>
      <c r="C219" s="440">
        <v>100</v>
      </c>
      <c r="D219" s="440">
        <v>20</v>
      </c>
      <c r="E219" s="440">
        <v>173</v>
      </c>
    </row>
    <row r="220" spans="1:5" ht="16.5" hidden="1" customHeight="1">
      <c r="A220" s="133" t="s">
        <v>188</v>
      </c>
      <c r="B220" s="440">
        <f t="shared" si="5"/>
        <v>874</v>
      </c>
      <c r="C220" s="440">
        <v>230</v>
      </c>
      <c r="D220" s="440">
        <v>41</v>
      </c>
      <c r="E220" s="440">
        <v>603</v>
      </c>
    </row>
    <row r="221" spans="1:5" ht="16.5" hidden="1" customHeight="1">
      <c r="A221" s="133" t="s">
        <v>189</v>
      </c>
      <c r="B221" s="440">
        <f t="shared" si="5"/>
        <v>35</v>
      </c>
      <c r="C221" s="485">
        <v>9</v>
      </c>
      <c r="D221" s="440">
        <v>7</v>
      </c>
      <c r="E221" s="440">
        <v>19</v>
      </c>
    </row>
    <row r="222" spans="1:5" ht="16.5" hidden="1" customHeight="1">
      <c r="A222" s="133" t="s">
        <v>190</v>
      </c>
      <c r="B222" s="443">
        <f t="shared" si="5"/>
        <v>7</v>
      </c>
      <c r="C222" s="486">
        <v>5</v>
      </c>
      <c r="D222" s="443" t="s">
        <v>97</v>
      </c>
      <c r="E222" s="443">
        <v>2</v>
      </c>
    </row>
    <row r="223" spans="1:5" ht="16.5" hidden="1" customHeight="1">
      <c r="A223" s="133" t="s">
        <v>191</v>
      </c>
      <c r="B223" s="440">
        <f t="shared" si="5"/>
        <v>56</v>
      </c>
      <c r="C223" s="440">
        <v>18</v>
      </c>
      <c r="D223" s="440">
        <v>4</v>
      </c>
      <c r="E223" s="440">
        <v>34</v>
      </c>
    </row>
    <row r="224" spans="1:5" ht="16.5" hidden="1" customHeight="1">
      <c r="A224" s="304" t="s">
        <v>213</v>
      </c>
      <c r="B224" s="484">
        <f t="shared" si="5"/>
        <v>3</v>
      </c>
      <c r="C224" s="601" t="s">
        <v>97</v>
      </c>
      <c r="D224" s="450" t="s">
        <v>97</v>
      </c>
      <c r="E224" s="450">
        <v>3</v>
      </c>
    </row>
    <row r="225" spans="1:5" ht="13.5" hidden="1">
      <c r="A225" s="149"/>
      <c r="B225" s="899"/>
      <c r="C225" s="899"/>
      <c r="D225" s="409"/>
      <c r="E225" s="658" t="s">
        <v>161</v>
      </c>
    </row>
    <row r="226" spans="1:5" hidden="1">
      <c r="B226" s="899"/>
      <c r="C226" s="899"/>
      <c r="D226" s="899"/>
      <c r="E226" s="899"/>
    </row>
    <row r="227" spans="1:5" ht="13.5" hidden="1">
      <c r="A227" s="1135" t="s">
        <v>368</v>
      </c>
      <c r="B227" s="1135"/>
      <c r="C227" s="1135"/>
      <c r="D227" s="1135"/>
      <c r="E227" s="1135"/>
    </row>
    <row r="228" spans="1:5" ht="13.5" hidden="1">
      <c r="A228" s="542" t="s">
        <v>504</v>
      </c>
      <c r="B228" s="894"/>
      <c r="C228" s="894"/>
      <c r="D228" s="894"/>
      <c r="E228" s="818"/>
    </row>
    <row r="229" spans="1:5" ht="8.25" hidden="1" customHeight="1">
      <c r="A229" s="873"/>
      <c r="B229" s="895"/>
      <c r="C229" s="818"/>
      <c r="D229" s="818"/>
      <c r="E229" s="818"/>
    </row>
    <row r="230" spans="1:5" ht="12.75" hidden="1" customHeight="1">
      <c r="A230" s="1201" t="s">
        <v>259</v>
      </c>
      <c r="B230" s="1256">
        <v>2017</v>
      </c>
      <c r="C230" s="1205"/>
      <c r="D230" s="1205"/>
      <c r="E230" s="1205"/>
    </row>
    <row r="231" spans="1:5" ht="21.95" hidden="1" customHeight="1">
      <c r="A231" s="1202"/>
      <c r="B231" s="800" t="s">
        <v>2</v>
      </c>
      <c r="C231" s="357" t="s">
        <v>4</v>
      </c>
      <c r="D231" s="357" t="s">
        <v>101</v>
      </c>
      <c r="E231" s="357" t="s">
        <v>110</v>
      </c>
    </row>
    <row r="232" spans="1:5" ht="17.25" hidden="1" customHeight="1">
      <c r="A232" s="135" t="s">
        <v>166</v>
      </c>
      <c r="B232" s="801">
        <v>3</v>
      </c>
      <c r="C232" s="443">
        <v>1</v>
      </c>
      <c r="D232" s="443">
        <v>1</v>
      </c>
      <c r="E232" s="443">
        <v>1</v>
      </c>
    </row>
    <row r="233" spans="1:5" ht="7.5" hidden="1" customHeight="1">
      <c r="A233" s="135"/>
      <c r="B233" s="802"/>
      <c r="C233" s="443"/>
      <c r="D233" s="443"/>
      <c r="E233" s="443"/>
    </row>
    <row r="234" spans="1:5" ht="17.45" hidden="1" customHeight="1">
      <c r="A234" s="135" t="s">
        <v>167</v>
      </c>
      <c r="B234" s="802">
        <f t="shared" ref="B234:B239" si="6">SUM(C234:E234)</f>
        <v>1977</v>
      </c>
      <c r="C234" s="439">
        <f>SUM(C236:C247)</f>
        <v>702</v>
      </c>
      <c r="D234" s="439">
        <f>SUM(D236:D247)</f>
        <v>141</v>
      </c>
      <c r="E234" s="439">
        <f>SUM(E236:E247)</f>
        <v>1134</v>
      </c>
    </row>
    <row r="235" spans="1:5" ht="17.45" hidden="1" customHeight="1">
      <c r="A235" s="135" t="s">
        <v>32</v>
      </c>
      <c r="B235" s="802">
        <f t="shared" si="6"/>
        <v>1977</v>
      </c>
      <c r="C235" s="439">
        <f>SUM(C236:C247)</f>
        <v>702</v>
      </c>
      <c r="D235" s="439">
        <f>SUM(D236:D247)</f>
        <v>141</v>
      </c>
      <c r="E235" s="439">
        <f>SUM(E236:E247)</f>
        <v>1134</v>
      </c>
    </row>
    <row r="236" spans="1:5" ht="17.45" hidden="1" customHeight="1">
      <c r="A236" s="798" t="s">
        <v>451</v>
      </c>
      <c r="B236" s="801">
        <f t="shared" si="6"/>
        <v>188</v>
      </c>
      <c r="C236" s="443">
        <f>50+13+7</f>
        <v>70</v>
      </c>
      <c r="D236" s="443">
        <f>8+1+3</f>
        <v>12</v>
      </c>
      <c r="E236" s="443">
        <f>61+30+15</f>
        <v>106</v>
      </c>
    </row>
    <row r="237" spans="1:5" ht="17.45" hidden="1" customHeight="1">
      <c r="A237" s="798" t="s">
        <v>14</v>
      </c>
      <c r="B237" s="801">
        <f t="shared" si="6"/>
        <v>36</v>
      </c>
      <c r="C237" s="443">
        <v>12</v>
      </c>
      <c r="D237" s="443" t="s">
        <v>0</v>
      </c>
      <c r="E237" s="443">
        <v>24</v>
      </c>
    </row>
    <row r="238" spans="1:5" ht="17.45" hidden="1" customHeight="1">
      <c r="A238" s="798" t="s">
        <v>452</v>
      </c>
      <c r="B238" s="801">
        <f t="shared" si="6"/>
        <v>409</v>
      </c>
      <c r="C238" s="443">
        <f>118+28+15+3+1</f>
        <v>165</v>
      </c>
      <c r="D238" s="443" t="s">
        <v>0</v>
      </c>
      <c r="E238" s="443">
        <f>187+23+16+18</f>
        <v>244</v>
      </c>
    </row>
    <row r="239" spans="1:5" ht="17.45" hidden="1" customHeight="1">
      <c r="A239" s="798" t="s">
        <v>317</v>
      </c>
      <c r="B239" s="801">
        <f t="shared" si="6"/>
        <v>447</v>
      </c>
      <c r="C239" s="443">
        <f>86+6+25+4+3</f>
        <v>124</v>
      </c>
      <c r="D239" s="443">
        <f>6+1+3+1</f>
        <v>11</v>
      </c>
      <c r="E239" s="443">
        <f>247+19+26+14+6</f>
        <v>312</v>
      </c>
    </row>
    <row r="240" spans="1:5" ht="17.45" hidden="1" customHeight="1">
      <c r="A240" s="798" t="s">
        <v>436</v>
      </c>
      <c r="B240" s="801" t="s">
        <v>117</v>
      </c>
      <c r="C240" s="443" t="s">
        <v>117</v>
      </c>
      <c r="D240" s="443" t="s">
        <v>117</v>
      </c>
      <c r="E240" s="443" t="s">
        <v>117</v>
      </c>
    </row>
    <row r="241" spans="1:5" ht="17.45" hidden="1" customHeight="1">
      <c r="A241" s="798" t="s">
        <v>11</v>
      </c>
      <c r="B241" s="801">
        <f>SUM(C241:E241)</f>
        <v>605</v>
      </c>
      <c r="C241" s="443">
        <f>119+78+24+9</f>
        <v>230</v>
      </c>
      <c r="D241" s="443">
        <f>26+13+34+4</f>
        <v>77</v>
      </c>
      <c r="E241" s="443">
        <f>92+45+114+46+1</f>
        <v>298</v>
      </c>
    </row>
    <row r="242" spans="1:5" ht="17.45" hidden="1" customHeight="1">
      <c r="A242" s="798" t="s">
        <v>453</v>
      </c>
      <c r="B242" s="801">
        <f>SUM(C242:E242)</f>
        <v>7</v>
      </c>
      <c r="C242" s="443">
        <v>4</v>
      </c>
      <c r="D242" s="443">
        <v>0</v>
      </c>
      <c r="E242" s="443">
        <v>3</v>
      </c>
    </row>
    <row r="243" spans="1:5" ht="17.45" hidden="1" customHeight="1">
      <c r="A243" s="798" t="s">
        <v>454</v>
      </c>
      <c r="B243" s="801" t="s">
        <v>117</v>
      </c>
      <c r="C243" s="443" t="s">
        <v>117</v>
      </c>
      <c r="D243" s="443" t="s">
        <v>117</v>
      </c>
      <c r="E243" s="443" t="s">
        <v>117</v>
      </c>
    </row>
    <row r="244" spans="1:5" ht="17.45" hidden="1" customHeight="1">
      <c r="A244" s="798" t="s">
        <v>28</v>
      </c>
      <c r="B244" s="801" t="s">
        <v>117</v>
      </c>
      <c r="C244" s="443" t="s">
        <v>117</v>
      </c>
      <c r="D244" s="443" t="s">
        <v>117</v>
      </c>
      <c r="E244" s="443" t="s">
        <v>117</v>
      </c>
    </row>
    <row r="245" spans="1:5" ht="17.45" hidden="1" customHeight="1">
      <c r="A245" s="798" t="s">
        <v>455</v>
      </c>
      <c r="B245" s="801" t="s">
        <v>117</v>
      </c>
      <c r="C245" s="443" t="s">
        <v>117</v>
      </c>
      <c r="D245" s="443" t="s">
        <v>117</v>
      </c>
      <c r="E245" s="443" t="s">
        <v>117</v>
      </c>
    </row>
    <row r="246" spans="1:5" ht="17.45" hidden="1" customHeight="1">
      <c r="A246" s="798" t="s">
        <v>99</v>
      </c>
      <c r="B246" s="801" t="s">
        <v>117</v>
      </c>
      <c r="C246" s="443" t="s">
        <v>117</v>
      </c>
      <c r="D246" s="443" t="s">
        <v>117</v>
      </c>
      <c r="E246" s="443" t="s">
        <v>117</v>
      </c>
    </row>
    <row r="247" spans="1:5" ht="17.45" hidden="1" customHeight="1">
      <c r="A247" s="798" t="s">
        <v>3</v>
      </c>
      <c r="B247" s="801">
        <f t="shared" ref="B247:B253" si="7">SUM(C247:E247)</f>
        <v>285</v>
      </c>
      <c r="C247" s="443">
        <v>97</v>
      </c>
      <c r="D247" s="443">
        <v>41</v>
      </c>
      <c r="E247" s="443">
        <v>147</v>
      </c>
    </row>
    <row r="248" spans="1:5" ht="17.45" hidden="1" customHeight="1">
      <c r="A248" s="135" t="s">
        <v>90</v>
      </c>
      <c r="B248" s="802">
        <f t="shared" si="7"/>
        <v>1977</v>
      </c>
      <c r="C248" s="439">
        <f>SUM(C249:C250)</f>
        <v>702</v>
      </c>
      <c r="D248" s="439">
        <f>SUM(D249:D250)</f>
        <v>141</v>
      </c>
      <c r="E248" s="439">
        <f>SUM(E249:E250)</f>
        <v>1134</v>
      </c>
    </row>
    <row r="249" spans="1:5" ht="17.45" hidden="1" customHeight="1">
      <c r="A249" s="798" t="s">
        <v>284</v>
      </c>
      <c r="B249" s="801">
        <f t="shared" si="7"/>
        <v>805</v>
      </c>
      <c r="C249" s="443">
        <v>345</v>
      </c>
      <c r="D249" s="443">
        <v>59</v>
      </c>
      <c r="E249" s="443">
        <v>401</v>
      </c>
    </row>
    <row r="250" spans="1:5" ht="17.45" hidden="1" customHeight="1">
      <c r="A250" s="798" t="s">
        <v>285</v>
      </c>
      <c r="B250" s="801">
        <f t="shared" si="7"/>
        <v>1172</v>
      </c>
      <c r="C250" s="443">
        <v>357</v>
      </c>
      <c r="D250" s="443">
        <v>82</v>
      </c>
      <c r="E250" s="443">
        <v>733</v>
      </c>
    </row>
    <row r="251" spans="1:5" ht="17.45" hidden="1" customHeight="1">
      <c r="A251" s="135" t="s">
        <v>71</v>
      </c>
      <c r="B251" s="802">
        <f t="shared" si="7"/>
        <v>1977</v>
      </c>
      <c r="C251" s="439">
        <f>SUM(C252:C253)</f>
        <v>702</v>
      </c>
      <c r="D251" s="439">
        <f>SUM(D252:D253)</f>
        <v>141</v>
      </c>
      <c r="E251" s="439">
        <f>SUM(E252:E253)</f>
        <v>1134</v>
      </c>
    </row>
    <row r="252" spans="1:5" ht="17.45" hidden="1" customHeight="1">
      <c r="A252" s="798" t="s">
        <v>441</v>
      </c>
      <c r="B252" s="801">
        <f t="shared" si="7"/>
        <v>1788</v>
      </c>
      <c r="C252" s="443">
        <v>702</v>
      </c>
      <c r="D252" s="443" t="s">
        <v>97</v>
      </c>
      <c r="E252" s="443">
        <v>1086</v>
      </c>
    </row>
    <row r="253" spans="1:5" ht="17.45" hidden="1" customHeight="1">
      <c r="A253" s="798" t="s">
        <v>442</v>
      </c>
      <c r="B253" s="801">
        <f t="shared" si="7"/>
        <v>189</v>
      </c>
      <c r="C253" s="443" t="s">
        <v>96</v>
      </c>
      <c r="D253" s="443">
        <v>141</v>
      </c>
      <c r="E253" s="443">
        <v>48</v>
      </c>
    </row>
    <row r="254" spans="1:5" ht="17.45" hidden="1" customHeight="1">
      <c r="A254" s="799" t="s">
        <v>74</v>
      </c>
      <c r="B254" s="802">
        <f>SUM(B255:B259)</f>
        <v>2183</v>
      </c>
      <c r="C254" s="439" t="s">
        <v>117</v>
      </c>
      <c r="D254" s="439" t="s">
        <v>117</v>
      </c>
      <c r="E254" s="439" t="s">
        <v>117</v>
      </c>
    </row>
    <row r="255" spans="1:5" ht="17.45" hidden="1" customHeight="1">
      <c r="A255" s="798" t="s">
        <v>443</v>
      </c>
      <c r="B255" s="801">
        <v>41</v>
      </c>
      <c r="C255" s="443" t="s">
        <v>117</v>
      </c>
      <c r="D255" s="443" t="s">
        <v>117</v>
      </c>
      <c r="E255" s="443" t="s">
        <v>117</v>
      </c>
    </row>
    <row r="256" spans="1:5" ht="17.45" hidden="1" customHeight="1">
      <c r="A256" s="798" t="s">
        <v>87</v>
      </c>
      <c r="B256" s="801">
        <f>348+184</f>
        <v>532</v>
      </c>
      <c r="C256" s="443" t="s">
        <v>117</v>
      </c>
      <c r="D256" s="443" t="s">
        <v>117</v>
      </c>
      <c r="E256" s="443" t="s">
        <v>117</v>
      </c>
    </row>
    <row r="257" spans="1:5" ht="17.45" hidden="1" customHeight="1">
      <c r="A257" s="798" t="s">
        <v>88</v>
      </c>
      <c r="B257" s="801">
        <f>544+789</f>
        <v>1333</v>
      </c>
      <c r="C257" s="443" t="s">
        <v>117</v>
      </c>
      <c r="D257" s="443" t="s">
        <v>117</v>
      </c>
      <c r="E257" s="443" t="s">
        <v>117</v>
      </c>
    </row>
    <row r="258" spans="1:5" ht="17.45" hidden="1" customHeight="1">
      <c r="A258" s="798" t="s">
        <v>89</v>
      </c>
      <c r="B258" s="801">
        <f>46+101+78+52</f>
        <v>277</v>
      </c>
      <c r="C258" s="443" t="s">
        <v>117</v>
      </c>
      <c r="D258" s="443" t="s">
        <v>117</v>
      </c>
      <c r="E258" s="443" t="s">
        <v>117</v>
      </c>
    </row>
    <row r="259" spans="1:5" ht="17.45" hidden="1" customHeight="1">
      <c r="A259" s="798" t="s">
        <v>444</v>
      </c>
      <c r="B259" s="801" t="s">
        <v>117</v>
      </c>
      <c r="C259" s="443" t="s">
        <v>117</v>
      </c>
      <c r="D259" s="443" t="s">
        <v>117</v>
      </c>
      <c r="E259" s="443" t="s">
        <v>117</v>
      </c>
    </row>
    <row r="260" spans="1:5" ht="17.45" hidden="1" customHeight="1">
      <c r="A260" s="135" t="s">
        <v>78</v>
      </c>
      <c r="B260" s="802">
        <f>SUM(B261:B266)</f>
        <v>1994</v>
      </c>
      <c r="C260" s="439" t="s">
        <v>117</v>
      </c>
      <c r="D260" s="439" t="s">
        <v>117</v>
      </c>
      <c r="E260" s="439" t="s">
        <v>117</v>
      </c>
    </row>
    <row r="261" spans="1:5" ht="17.45" hidden="1" customHeight="1">
      <c r="A261" s="798" t="s">
        <v>445</v>
      </c>
      <c r="B261" s="801">
        <v>535</v>
      </c>
      <c r="C261" s="443" t="s">
        <v>117</v>
      </c>
      <c r="D261" s="443" t="s">
        <v>117</v>
      </c>
      <c r="E261" s="443" t="s">
        <v>117</v>
      </c>
    </row>
    <row r="262" spans="1:5" ht="17.45" hidden="1" customHeight="1">
      <c r="A262" s="798" t="s">
        <v>446</v>
      </c>
      <c r="B262" s="801">
        <v>289</v>
      </c>
      <c r="C262" s="443" t="s">
        <v>117</v>
      </c>
      <c r="D262" s="443" t="s">
        <v>117</v>
      </c>
      <c r="E262" s="443" t="s">
        <v>117</v>
      </c>
    </row>
    <row r="263" spans="1:5" ht="17.45" hidden="1" customHeight="1">
      <c r="A263" s="798" t="s">
        <v>447</v>
      </c>
      <c r="B263" s="801">
        <v>1092</v>
      </c>
      <c r="C263" s="443" t="s">
        <v>117</v>
      </c>
      <c r="D263" s="443" t="s">
        <v>117</v>
      </c>
      <c r="E263" s="443" t="s">
        <v>117</v>
      </c>
    </row>
    <row r="264" spans="1:5" ht="17.45" hidden="1" customHeight="1">
      <c r="A264" s="798" t="s">
        <v>448</v>
      </c>
      <c r="B264" s="801">
        <v>31</v>
      </c>
      <c r="C264" s="443" t="s">
        <v>117</v>
      </c>
      <c r="D264" s="443" t="s">
        <v>117</v>
      </c>
      <c r="E264" s="443" t="s">
        <v>117</v>
      </c>
    </row>
    <row r="265" spans="1:5" ht="17.45" hidden="1" customHeight="1">
      <c r="A265" s="798" t="s">
        <v>449</v>
      </c>
      <c r="B265" s="801">
        <v>6</v>
      </c>
      <c r="C265" s="443" t="s">
        <v>117</v>
      </c>
      <c r="D265" s="443" t="s">
        <v>117</v>
      </c>
      <c r="E265" s="443" t="s">
        <v>117</v>
      </c>
    </row>
    <row r="266" spans="1:5" ht="17.45" hidden="1" customHeight="1">
      <c r="A266" s="798" t="s">
        <v>450</v>
      </c>
      <c r="B266" s="801">
        <v>41</v>
      </c>
      <c r="C266" s="443" t="s">
        <v>117</v>
      </c>
      <c r="D266" s="443" t="s">
        <v>117</v>
      </c>
      <c r="E266" s="443" t="s">
        <v>117</v>
      </c>
    </row>
    <row r="267" spans="1:5" ht="17.45" hidden="1" customHeight="1">
      <c r="A267" s="804" t="s">
        <v>444</v>
      </c>
      <c r="B267" s="803" t="s">
        <v>117</v>
      </c>
      <c r="C267" s="601" t="s">
        <v>117</v>
      </c>
      <c r="D267" s="601" t="s">
        <v>117</v>
      </c>
      <c r="E267" s="601" t="s">
        <v>117</v>
      </c>
    </row>
    <row r="268" spans="1:5" ht="11.1" hidden="1" customHeight="1">
      <c r="A268" s="103"/>
      <c r="B268" s="444"/>
      <c r="C268" s="449"/>
      <c r="D268" s="449"/>
      <c r="E268" s="658" t="s">
        <v>161</v>
      </c>
    </row>
    <row r="269" spans="1:5" ht="16.5" hidden="1" customHeight="1">
      <c r="A269" s="103"/>
      <c r="B269" s="444"/>
      <c r="C269" s="449"/>
      <c r="D269" s="449"/>
      <c r="E269" s="449"/>
    </row>
    <row r="270" spans="1:5" ht="13.5" hidden="1" customHeight="1">
      <c r="A270" s="542" t="s">
        <v>368</v>
      </c>
      <c r="B270" s="894"/>
      <c r="C270" s="894"/>
      <c r="D270" s="894"/>
      <c r="E270" s="894"/>
    </row>
    <row r="271" spans="1:5" ht="13.5" hidden="1" customHeight="1">
      <c r="A271" s="542" t="s">
        <v>504</v>
      </c>
      <c r="B271" s="894"/>
      <c r="C271" s="894"/>
      <c r="D271" s="894"/>
      <c r="E271" s="818"/>
    </row>
    <row r="272" spans="1:5" ht="8.25" hidden="1" customHeight="1">
      <c r="A272" s="873"/>
      <c r="B272" s="895"/>
      <c r="C272" s="818"/>
      <c r="D272" s="818"/>
      <c r="E272" s="818"/>
    </row>
    <row r="273" spans="1:5" ht="12.75" hidden="1" customHeight="1">
      <c r="A273" s="1201" t="s">
        <v>259</v>
      </c>
      <c r="B273" s="1256" t="s">
        <v>476</v>
      </c>
      <c r="C273" s="1205"/>
      <c r="D273" s="1205"/>
      <c r="E273" s="1205"/>
    </row>
    <row r="274" spans="1:5" ht="18.95" hidden="1" customHeight="1">
      <c r="A274" s="1202"/>
      <c r="B274" s="800" t="s">
        <v>2</v>
      </c>
      <c r="C274" s="357" t="s">
        <v>4</v>
      </c>
      <c r="D274" s="357" t="s">
        <v>101</v>
      </c>
      <c r="E274" s="357" t="s">
        <v>110</v>
      </c>
    </row>
    <row r="275" spans="1:5" ht="15.95" hidden="1" customHeight="1">
      <c r="A275" s="135" t="s">
        <v>166</v>
      </c>
      <c r="B275" s="801">
        <v>3</v>
      </c>
      <c r="C275" s="443">
        <v>1</v>
      </c>
      <c r="D275" s="443">
        <v>1</v>
      </c>
      <c r="E275" s="443">
        <v>1</v>
      </c>
    </row>
    <row r="276" spans="1:5" ht="7.5" hidden="1" customHeight="1">
      <c r="A276" s="135"/>
      <c r="B276" s="801"/>
      <c r="C276" s="443"/>
      <c r="D276" s="443"/>
      <c r="E276" s="443"/>
    </row>
    <row r="277" spans="1:5" ht="15.95" hidden="1" customHeight="1">
      <c r="A277" s="135" t="s">
        <v>461</v>
      </c>
      <c r="B277" s="802">
        <f t="shared" ref="B277:B283" si="8">SUM(C277:E277)</f>
        <v>2266</v>
      </c>
      <c r="C277" s="439">
        <f>SUM(C279:C292)</f>
        <v>737</v>
      </c>
      <c r="D277" s="439">
        <f>SUM(D279:D292)</f>
        <v>188</v>
      </c>
      <c r="E277" s="439">
        <f>SUM(E279:E292)</f>
        <v>1341</v>
      </c>
    </row>
    <row r="278" spans="1:5" ht="15.95" hidden="1" customHeight="1">
      <c r="A278" s="135" t="s">
        <v>32</v>
      </c>
      <c r="B278" s="802">
        <f t="shared" si="8"/>
        <v>2266</v>
      </c>
      <c r="C278" s="439">
        <f>SUM(C279:C292)</f>
        <v>737</v>
      </c>
      <c r="D278" s="439">
        <f>SUM(D279:D292)</f>
        <v>188</v>
      </c>
      <c r="E278" s="439">
        <f>SUM(E279:E292)</f>
        <v>1341</v>
      </c>
    </row>
    <row r="279" spans="1:5" ht="16.5" hidden="1" customHeight="1">
      <c r="A279" s="798" t="s">
        <v>434</v>
      </c>
      <c r="B279" s="801">
        <f t="shared" si="8"/>
        <v>299</v>
      </c>
      <c r="C279" s="165">
        <v>105</v>
      </c>
      <c r="D279" s="165">
        <v>18</v>
      </c>
      <c r="E279" s="165">
        <v>176</v>
      </c>
    </row>
    <row r="280" spans="1:5" ht="16.5" hidden="1" customHeight="1">
      <c r="A280" s="798" t="s">
        <v>14</v>
      </c>
      <c r="B280" s="801">
        <f t="shared" si="8"/>
        <v>44</v>
      </c>
      <c r="C280" s="165">
        <v>22</v>
      </c>
      <c r="D280" s="443" t="s">
        <v>117</v>
      </c>
      <c r="E280" s="165">
        <v>22</v>
      </c>
    </row>
    <row r="281" spans="1:5" ht="16.5" hidden="1" customHeight="1">
      <c r="A281" s="798" t="s">
        <v>435</v>
      </c>
      <c r="B281" s="801">
        <f t="shared" si="8"/>
        <v>575</v>
      </c>
      <c r="C281" s="165">
        <v>192</v>
      </c>
      <c r="D281" s="165">
        <v>32</v>
      </c>
      <c r="E281" s="165">
        <v>351</v>
      </c>
    </row>
    <row r="282" spans="1:5" ht="16.5" hidden="1" customHeight="1">
      <c r="A282" s="798" t="s">
        <v>10</v>
      </c>
      <c r="B282" s="801">
        <f t="shared" si="8"/>
        <v>519</v>
      </c>
      <c r="C282" s="165">
        <v>129</v>
      </c>
      <c r="D282" s="165">
        <v>14</v>
      </c>
      <c r="E282" s="165">
        <v>376</v>
      </c>
    </row>
    <row r="283" spans="1:5" ht="16.5" hidden="1" customHeight="1">
      <c r="A283" s="798" t="s">
        <v>436</v>
      </c>
      <c r="B283" s="801">
        <f t="shared" si="8"/>
        <v>5</v>
      </c>
      <c r="C283" s="165">
        <v>1</v>
      </c>
      <c r="D283" s="443" t="s">
        <v>117</v>
      </c>
      <c r="E283" s="165">
        <v>4</v>
      </c>
    </row>
    <row r="284" spans="1:5" ht="16.5" hidden="1" customHeight="1">
      <c r="A284" s="798" t="s">
        <v>437</v>
      </c>
      <c r="B284" s="801">
        <f t="shared" ref="B284:B295" si="9">SUM(C284:E284)</f>
        <v>86</v>
      </c>
      <c r="C284" s="165">
        <f>7+1+5</f>
        <v>13</v>
      </c>
      <c r="D284" s="165">
        <f>4+3</f>
        <v>7</v>
      </c>
      <c r="E284" s="165">
        <f>33+33</f>
        <v>66</v>
      </c>
    </row>
    <row r="285" spans="1:5" ht="16.5" hidden="1" customHeight="1">
      <c r="A285" s="798" t="s">
        <v>438</v>
      </c>
      <c r="B285" s="801">
        <f t="shared" si="9"/>
        <v>10</v>
      </c>
      <c r="C285" s="165">
        <v>6</v>
      </c>
      <c r="D285" s="443" t="s">
        <v>117</v>
      </c>
      <c r="E285" s="165">
        <v>4</v>
      </c>
    </row>
    <row r="286" spans="1:5" ht="16.5" hidden="1" customHeight="1">
      <c r="A286" s="798" t="s">
        <v>439</v>
      </c>
      <c r="B286" s="801">
        <f t="shared" si="9"/>
        <v>45</v>
      </c>
      <c r="C286" s="165">
        <v>22</v>
      </c>
      <c r="D286" s="165">
        <v>5</v>
      </c>
      <c r="E286" s="165">
        <v>18</v>
      </c>
    </row>
    <row r="287" spans="1:5" ht="16.5" hidden="1" customHeight="1">
      <c r="A287" s="798" t="s">
        <v>28</v>
      </c>
      <c r="B287" s="801">
        <f t="shared" si="9"/>
        <v>3</v>
      </c>
      <c r="C287" s="165">
        <v>2</v>
      </c>
      <c r="D287" s="443" t="s">
        <v>117</v>
      </c>
      <c r="E287" s="165">
        <v>1</v>
      </c>
    </row>
    <row r="288" spans="1:5" ht="16.5" hidden="1" customHeight="1">
      <c r="A288" s="798" t="s">
        <v>432</v>
      </c>
      <c r="B288" s="801">
        <f t="shared" si="9"/>
        <v>10</v>
      </c>
      <c r="C288" s="165">
        <v>1</v>
      </c>
      <c r="D288" s="165">
        <v>2</v>
      </c>
      <c r="E288" s="165">
        <v>7</v>
      </c>
    </row>
    <row r="289" spans="1:5" ht="16.5" hidden="1" customHeight="1">
      <c r="A289" s="798" t="s">
        <v>99</v>
      </c>
      <c r="B289" s="801">
        <f t="shared" si="9"/>
        <v>47</v>
      </c>
      <c r="C289" s="165">
        <v>15</v>
      </c>
      <c r="D289" s="165">
        <v>7</v>
      </c>
      <c r="E289" s="165">
        <v>25</v>
      </c>
    </row>
    <row r="290" spans="1:5" ht="16.5" hidden="1" customHeight="1">
      <c r="A290" s="798" t="s">
        <v>431</v>
      </c>
      <c r="B290" s="801">
        <f t="shared" si="9"/>
        <v>0</v>
      </c>
      <c r="C290" s="443" t="s">
        <v>117</v>
      </c>
      <c r="D290" s="443" t="s">
        <v>117</v>
      </c>
      <c r="E290" s="443" t="s">
        <v>117</v>
      </c>
    </row>
    <row r="291" spans="1:5" ht="16.5" hidden="1" customHeight="1">
      <c r="A291" s="798" t="s">
        <v>433</v>
      </c>
      <c r="B291" s="801">
        <f t="shared" si="9"/>
        <v>623</v>
      </c>
      <c r="C291" s="165">
        <v>229</v>
      </c>
      <c r="D291" s="165">
        <v>103</v>
      </c>
      <c r="E291" s="165">
        <v>291</v>
      </c>
    </row>
    <row r="292" spans="1:5" ht="16.5" hidden="1" customHeight="1">
      <c r="A292" s="798" t="s">
        <v>3</v>
      </c>
      <c r="B292" s="801">
        <f t="shared" si="9"/>
        <v>0</v>
      </c>
      <c r="C292" s="443" t="s">
        <v>117</v>
      </c>
      <c r="D292" s="443" t="s">
        <v>117</v>
      </c>
      <c r="E292" s="443" t="s">
        <v>117</v>
      </c>
    </row>
    <row r="293" spans="1:5" ht="16.5" hidden="1" customHeight="1">
      <c r="A293" s="135" t="s">
        <v>90</v>
      </c>
      <c r="B293" s="802">
        <f t="shared" si="9"/>
        <v>2272</v>
      </c>
      <c r="C293" s="439">
        <f>SUM(C294:C295)</f>
        <v>737</v>
      </c>
      <c r="D293" s="439">
        <f>SUM(D294:D295)</f>
        <v>188</v>
      </c>
      <c r="E293" s="439">
        <f>SUM(E294:E295)</f>
        <v>1347</v>
      </c>
    </row>
    <row r="294" spans="1:5" ht="16.5" hidden="1" customHeight="1">
      <c r="A294" s="798" t="s">
        <v>284</v>
      </c>
      <c r="B294" s="801">
        <f t="shared" si="9"/>
        <v>791</v>
      </c>
      <c r="C294" s="165">
        <v>246</v>
      </c>
      <c r="D294" s="165">
        <f>1+82+2</f>
        <v>85</v>
      </c>
      <c r="E294" s="165">
        <f>458+2</f>
        <v>460</v>
      </c>
    </row>
    <row r="295" spans="1:5" ht="16.5" hidden="1" customHeight="1">
      <c r="A295" s="798" t="s">
        <v>285</v>
      </c>
      <c r="B295" s="801">
        <f t="shared" si="9"/>
        <v>1481</v>
      </c>
      <c r="C295" s="165">
        <f>474+17</f>
        <v>491</v>
      </c>
      <c r="D295" s="165">
        <v>103</v>
      </c>
      <c r="E295" s="165">
        <f>834+53</f>
        <v>887</v>
      </c>
    </row>
    <row r="296" spans="1:5" ht="16.5" hidden="1" customHeight="1">
      <c r="A296" s="135" t="s">
        <v>71</v>
      </c>
      <c r="B296" s="802">
        <f t="shared" ref="B296:B303" si="10">SUM(C296:E296)</f>
        <v>2272</v>
      </c>
      <c r="C296" s="439">
        <f>SUM(C297:C298)</f>
        <v>737</v>
      </c>
      <c r="D296" s="439">
        <f>SUM(D297:D298)</f>
        <v>188</v>
      </c>
      <c r="E296" s="439">
        <f>SUM(E297:E298)</f>
        <v>1347</v>
      </c>
    </row>
    <row r="297" spans="1:5" ht="16.5" hidden="1" customHeight="1">
      <c r="A297" s="798" t="s">
        <v>441</v>
      </c>
      <c r="B297" s="801">
        <f t="shared" si="10"/>
        <v>2039</v>
      </c>
      <c r="C297" s="165">
        <v>737</v>
      </c>
      <c r="D297" s="443" t="s">
        <v>117</v>
      </c>
      <c r="E297" s="165">
        <f>458+791+53</f>
        <v>1302</v>
      </c>
    </row>
    <row r="298" spans="1:5" ht="16.5" hidden="1" customHeight="1">
      <c r="A298" s="798" t="s">
        <v>442</v>
      </c>
      <c r="B298" s="801">
        <f t="shared" si="10"/>
        <v>233</v>
      </c>
      <c r="C298" s="443" t="s">
        <v>117</v>
      </c>
      <c r="D298" s="165">
        <v>188</v>
      </c>
      <c r="E298" s="165">
        <f>2+43</f>
        <v>45</v>
      </c>
    </row>
    <row r="299" spans="1:5" ht="16.5" hidden="1" customHeight="1">
      <c r="A299" s="799" t="s">
        <v>74</v>
      </c>
      <c r="B299" s="802">
        <f t="shared" si="10"/>
        <v>2272</v>
      </c>
      <c r="C299" s="439">
        <f>SUM(C300:C304)</f>
        <v>737</v>
      </c>
      <c r="D299" s="439">
        <f>SUM(D300:D304)</f>
        <v>188</v>
      </c>
      <c r="E299" s="439">
        <f>SUM(E300:E304)</f>
        <v>1347</v>
      </c>
    </row>
    <row r="300" spans="1:5" ht="16.5" hidden="1" customHeight="1">
      <c r="A300" s="798" t="s">
        <v>443</v>
      </c>
      <c r="B300" s="801">
        <f t="shared" si="10"/>
        <v>37</v>
      </c>
      <c r="C300" s="165">
        <v>9</v>
      </c>
      <c r="D300" s="165">
        <v>10</v>
      </c>
      <c r="E300" s="165">
        <v>18</v>
      </c>
    </row>
    <row r="301" spans="1:5" ht="16.5" hidden="1" customHeight="1">
      <c r="A301" s="798" t="s">
        <v>87</v>
      </c>
      <c r="B301" s="801">
        <f t="shared" si="10"/>
        <v>564</v>
      </c>
      <c r="C301" s="165">
        <f>123+59</f>
        <v>182</v>
      </c>
      <c r="D301" s="165">
        <f>50+24</f>
        <v>74</v>
      </c>
      <c r="E301" s="165">
        <f>178+130</f>
        <v>308</v>
      </c>
    </row>
    <row r="302" spans="1:5" ht="16.5" hidden="1" customHeight="1">
      <c r="A302" s="798" t="s">
        <v>88</v>
      </c>
      <c r="B302" s="801">
        <f t="shared" si="10"/>
        <v>1385</v>
      </c>
      <c r="C302" s="165">
        <f>163+250</f>
        <v>413</v>
      </c>
      <c r="D302" s="165">
        <f>35+48</f>
        <v>83</v>
      </c>
      <c r="E302" s="165">
        <f>337+552</f>
        <v>889</v>
      </c>
    </row>
    <row r="303" spans="1:5" ht="16.5" hidden="1" customHeight="1">
      <c r="A303" s="798" t="s">
        <v>89</v>
      </c>
      <c r="B303" s="801">
        <f t="shared" si="10"/>
        <v>285</v>
      </c>
      <c r="C303" s="165">
        <f>13+60+36+24</f>
        <v>133</v>
      </c>
      <c r="D303" s="165">
        <f>3+3+6+8</f>
        <v>20</v>
      </c>
      <c r="E303" s="165">
        <f>28+38+37+29</f>
        <v>132</v>
      </c>
    </row>
    <row r="304" spans="1:5" ht="16.5" hidden="1" customHeight="1">
      <c r="A304" s="798" t="s">
        <v>444</v>
      </c>
      <c r="B304" s="801" t="s">
        <v>117</v>
      </c>
      <c r="C304" s="443" t="s">
        <v>117</v>
      </c>
      <c r="D304" s="443">
        <v>1</v>
      </c>
      <c r="E304" s="443" t="s">
        <v>117</v>
      </c>
    </row>
    <row r="305" spans="1:5" ht="16.5" hidden="1" customHeight="1">
      <c r="A305" s="135" t="s">
        <v>78</v>
      </c>
      <c r="B305" s="900">
        <f>SUM(B306:B312)</f>
        <v>2272</v>
      </c>
      <c r="C305" s="138">
        <f>SUM(C306:C312)</f>
        <v>737</v>
      </c>
      <c r="D305" s="138">
        <f>SUM(D306:D312)</f>
        <v>188</v>
      </c>
      <c r="E305" s="138">
        <f>SUM(E306:E312)</f>
        <v>1347</v>
      </c>
    </row>
    <row r="306" spans="1:5" ht="16.5" hidden="1" customHeight="1">
      <c r="A306" s="798" t="s">
        <v>445</v>
      </c>
      <c r="B306" s="801">
        <f t="shared" ref="B306:B311" si="11">SUM(C306:E306)</f>
        <v>679</v>
      </c>
      <c r="C306" s="165">
        <v>179</v>
      </c>
      <c r="D306" s="165">
        <v>95</v>
      </c>
      <c r="E306" s="165">
        <v>405</v>
      </c>
    </row>
    <row r="307" spans="1:5" ht="16.5" hidden="1" customHeight="1">
      <c r="A307" s="798" t="s">
        <v>446</v>
      </c>
      <c r="B307" s="801">
        <f t="shared" si="11"/>
        <v>327</v>
      </c>
      <c r="C307" s="165">
        <v>159</v>
      </c>
      <c r="D307" s="165">
        <v>15</v>
      </c>
      <c r="E307" s="165">
        <v>153</v>
      </c>
    </row>
    <row r="308" spans="1:5" ht="16.5" hidden="1" customHeight="1">
      <c r="A308" s="798" t="s">
        <v>447</v>
      </c>
      <c r="B308" s="801">
        <f t="shared" si="11"/>
        <v>1164</v>
      </c>
      <c r="C308" s="165">
        <v>364</v>
      </c>
      <c r="D308" s="165">
        <v>58</v>
      </c>
      <c r="E308" s="165">
        <v>742</v>
      </c>
    </row>
    <row r="309" spans="1:5" ht="16.5" hidden="1" customHeight="1">
      <c r="A309" s="750" t="s">
        <v>448</v>
      </c>
      <c r="B309" s="443">
        <f t="shared" si="11"/>
        <v>45</v>
      </c>
      <c r="C309" s="165">
        <v>13</v>
      </c>
      <c r="D309" s="165">
        <v>10</v>
      </c>
      <c r="E309" s="165">
        <v>22</v>
      </c>
    </row>
    <row r="310" spans="1:5" ht="16.5" hidden="1" customHeight="1">
      <c r="A310" s="750" t="s">
        <v>449</v>
      </c>
      <c r="B310" s="443">
        <f t="shared" si="11"/>
        <v>9</v>
      </c>
      <c r="C310" s="165">
        <v>4</v>
      </c>
      <c r="D310" s="165">
        <v>3</v>
      </c>
      <c r="E310" s="165">
        <v>2</v>
      </c>
    </row>
    <row r="311" spans="1:5" ht="16.5" hidden="1" customHeight="1">
      <c r="A311" s="750" t="s">
        <v>450</v>
      </c>
      <c r="B311" s="443">
        <f t="shared" si="11"/>
        <v>48</v>
      </c>
      <c r="C311" s="165">
        <v>18</v>
      </c>
      <c r="D311" s="165">
        <v>7</v>
      </c>
      <c r="E311" s="165">
        <v>23</v>
      </c>
    </row>
    <row r="312" spans="1:5" ht="16.5" hidden="1" customHeight="1">
      <c r="A312" s="804" t="s">
        <v>444</v>
      </c>
      <c r="B312" s="601" t="s">
        <v>117</v>
      </c>
      <c r="C312" s="601" t="s">
        <v>117</v>
      </c>
      <c r="D312" s="601" t="s">
        <v>117</v>
      </c>
      <c r="E312" s="601" t="s">
        <v>117</v>
      </c>
    </row>
    <row r="313" spans="1:5" ht="11.1" hidden="1" customHeight="1">
      <c r="A313" s="723"/>
      <c r="C313" s="901"/>
      <c r="D313" s="93"/>
      <c r="E313" s="658" t="s">
        <v>161</v>
      </c>
    </row>
    <row r="314" spans="1:5" ht="13.5" hidden="1" customHeight="1">
      <c r="A314" s="542" t="s">
        <v>368</v>
      </c>
      <c r="B314" s="894"/>
      <c r="C314" s="894"/>
      <c r="D314" s="894"/>
      <c r="E314" s="894"/>
    </row>
    <row r="315" spans="1:5" ht="13.5" hidden="1" customHeight="1">
      <c r="A315" s="542" t="s">
        <v>504</v>
      </c>
      <c r="B315" s="894"/>
      <c r="C315" s="894"/>
      <c r="D315" s="894"/>
      <c r="E315" s="818"/>
    </row>
    <row r="316" spans="1:5" ht="8.25" hidden="1" customHeight="1">
      <c r="A316" s="873"/>
      <c r="B316" s="895"/>
      <c r="C316" s="818"/>
      <c r="D316" s="818"/>
      <c r="E316" s="818"/>
    </row>
    <row r="317" spans="1:5" ht="12.75" hidden="1" customHeight="1">
      <c r="A317" s="1254" t="s">
        <v>259</v>
      </c>
      <c r="B317" s="1256" t="s">
        <v>475</v>
      </c>
      <c r="C317" s="1205"/>
      <c r="D317" s="1205"/>
      <c r="E317" s="1205"/>
    </row>
    <row r="318" spans="1:5" ht="18.75" hidden="1" customHeight="1">
      <c r="A318" s="1255"/>
      <c r="B318" s="800" t="s">
        <v>2</v>
      </c>
      <c r="C318" s="357" t="s">
        <v>4</v>
      </c>
      <c r="D318" s="357" t="s">
        <v>101</v>
      </c>
      <c r="E318" s="357" t="s">
        <v>110</v>
      </c>
    </row>
    <row r="319" spans="1:5" ht="15.95" hidden="1" customHeight="1">
      <c r="A319" s="135" t="s">
        <v>166</v>
      </c>
      <c r="B319" s="801">
        <f>SUM(C319:E319)</f>
        <v>3</v>
      </c>
      <c r="C319" s="443">
        <v>1</v>
      </c>
      <c r="D319" s="443">
        <v>1</v>
      </c>
      <c r="E319" s="443">
        <v>1</v>
      </c>
    </row>
    <row r="320" spans="1:5" ht="7.5" hidden="1" customHeight="1">
      <c r="A320" s="135"/>
      <c r="B320" s="802"/>
      <c r="C320" s="443"/>
      <c r="D320" s="443"/>
      <c r="E320" s="443"/>
    </row>
    <row r="321" spans="1:5" ht="15.95" hidden="1" customHeight="1">
      <c r="A321" s="135" t="s">
        <v>461</v>
      </c>
      <c r="B321" s="802">
        <f>+B337</f>
        <v>2748</v>
      </c>
      <c r="C321" s="439">
        <f>+C337</f>
        <v>888</v>
      </c>
      <c r="D321" s="439">
        <f>+D337</f>
        <v>195</v>
      </c>
      <c r="E321" s="439">
        <f>+E337</f>
        <v>1665</v>
      </c>
    </row>
    <row r="322" spans="1:5" ht="15.95" hidden="1" customHeight="1">
      <c r="A322" s="135" t="s">
        <v>32</v>
      </c>
      <c r="B322" s="802">
        <f t="shared" ref="B322:B327" si="12">SUM(C322:E322)</f>
        <v>2521</v>
      </c>
      <c r="C322" s="439">
        <f>SUM(C323:C336)</f>
        <v>884</v>
      </c>
      <c r="D322" s="439">
        <f>SUM(D323:D336)</f>
        <v>193</v>
      </c>
      <c r="E322" s="439">
        <f>SUM(E323:E336)</f>
        <v>1444</v>
      </c>
    </row>
    <row r="323" spans="1:5" ht="16.5" hidden="1" customHeight="1">
      <c r="A323" s="798" t="s">
        <v>434</v>
      </c>
      <c r="B323" s="801">
        <f t="shared" si="12"/>
        <v>332</v>
      </c>
      <c r="C323" s="443">
        <v>126</v>
      </c>
      <c r="D323" s="443">
        <v>19</v>
      </c>
      <c r="E323" s="443">
        <v>187</v>
      </c>
    </row>
    <row r="324" spans="1:5" ht="16.5" hidden="1" customHeight="1">
      <c r="A324" s="798" t="s">
        <v>14</v>
      </c>
      <c r="B324" s="801">
        <f t="shared" si="12"/>
        <v>43</v>
      </c>
      <c r="C324" s="443">
        <v>22</v>
      </c>
      <c r="D324" s="443">
        <v>0</v>
      </c>
      <c r="E324" s="443">
        <v>21</v>
      </c>
    </row>
    <row r="325" spans="1:5" ht="16.5" hidden="1" customHeight="1">
      <c r="A325" s="798" t="s">
        <v>435</v>
      </c>
      <c r="B325" s="801">
        <f t="shared" si="12"/>
        <v>634</v>
      </c>
      <c r="C325" s="443">
        <v>223</v>
      </c>
      <c r="D325" s="443">
        <v>29</v>
      </c>
      <c r="E325" s="443">
        <v>382</v>
      </c>
    </row>
    <row r="326" spans="1:5" ht="16.5" hidden="1" customHeight="1">
      <c r="A326" s="798" t="s">
        <v>10</v>
      </c>
      <c r="B326" s="801">
        <f t="shared" si="12"/>
        <v>563</v>
      </c>
      <c r="C326" s="443">
        <v>178</v>
      </c>
      <c r="D326" s="443">
        <v>16</v>
      </c>
      <c r="E326" s="443">
        <v>369</v>
      </c>
    </row>
    <row r="327" spans="1:5" ht="16.5" hidden="1" customHeight="1">
      <c r="A327" s="798" t="s">
        <v>436</v>
      </c>
      <c r="B327" s="801">
        <f t="shared" si="12"/>
        <v>1</v>
      </c>
      <c r="C327" s="443">
        <v>1</v>
      </c>
      <c r="D327" s="443" t="s">
        <v>117</v>
      </c>
      <c r="E327" s="443" t="s">
        <v>117</v>
      </c>
    </row>
    <row r="328" spans="1:5" ht="16.5" hidden="1" customHeight="1">
      <c r="A328" s="798" t="s">
        <v>437</v>
      </c>
      <c r="B328" s="801">
        <f t="shared" ref="B328:B336" si="13">SUM(C328:E328)</f>
        <v>86</v>
      </c>
      <c r="C328" s="443">
        <v>10</v>
      </c>
      <c r="D328" s="443">
        <v>4</v>
      </c>
      <c r="E328" s="443">
        <f>29+43</f>
        <v>72</v>
      </c>
    </row>
    <row r="329" spans="1:5" ht="16.5" hidden="1" customHeight="1">
      <c r="A329" s="798" t="s">
        <v>438</v>
      </c>
      <c r="B329" s="801">
        <f t="shared" si="13"/>
        <v>47</v>
      </c>
      <c r="C329" s="443">
        <v>27</v>
      </c>
      <c r="D329" s="443">
        <v>6</v>
      </c>
      <c r="E329" s="443">
        <v>14</v>
      </c>
    </row>
    <row r="330" spans="1:5" ht="16.5" hidden="1" customHeight="1">
      <c r="A330" s="798" t="s">
        <v>439</v>
      </c>
      <c r="B330" s="801">
        <f t="shared" si="13"/>
        <v>63</v>
      </c>
      <c r="C330" s="443">
        <v>39</v>
      </c>
      <c r="D330" s="443">
        <v>5</v>
      </c>
      <c r="E330" s="443">
        <v>19</v>
      </c>
    </row>
    <row r="331" spans="1:5" ht="16.5" hidden="1" customHeight="1">
      <c r="A331" s="798" t="s">
        <v>28</v>
      </c>
      <c r="B331" s="801">
        <f t="shared" si="13"/>
        <v>5</v>
      </c>
      <c r="C331" s="443">
        <v>1</v>
      </c>
      <c r="D331" s="443">
        <v>0</v>
      </c>
      <c r="E331" s="443">
        <v>4</v>
      </c>
    </row>
    <row r="332" spans="1:5" ht="16.5" hidden="1" customHeight="1">
      <c r="A332" s="798" t="s">
        <v>432</v>
      </c>
      <c r="B332" s="801">
        <f t="shared" si="13"/>
        <v>8</v>
      </c>
      <c r="C332" s="443" t="s">
        <v>117</v>
      </c>
      <c r="D332" s="443">
        <v>1</v>
      </c>
      <c r="E332" s="443">
        <v>7</v>
      </c>
    </row>
    <row r="333" spans="1:5" ht="16.5" hidden="1" customHeight="1">
      <c r="A333" s="798" t="s">
        <v>99</v>
      </c>
      <c r="B333" s="801">
        <f t="shared" si="13"/>
        <v>48</v>
      </c>
      <c r="C333" s="443">
        <v>17</v>
      </c>
      <c r="D333" s="443">
        <v>7</v>
      </c>
      <c r="E333" s="443">
        <v>24</v>
      </c>
    </row>
    <row r="334" spans="1:5" ht="16.5" hidden="1" customHeight="1">
      <c r="A334" s="798" t="s">
        <v>431</v>
      </c>
      <c r="B334" s="801">
        <f t="shared" si="13"/>
        <v>0</v>
      </c>
      <c r="C334" s="443" t="s">
        <v>117</v>
      </c>
      <c r="D334" s="443">
        <v>0</v>
      </c>
      <c r="E334" s="443" t="s">
        <v>117</v>
      </c>
    </row>
    <row r="335" spans="1:5" ht="16.5" hidden="1" customHeight="1">
      <c r="A335" s="798" t="s">
        <v>433</v>
      </c>
      <c r="B335" s="801">
        <f t="shared" si="13"/>
        <v>689</v>
      </c>
      <c r="C335" s="443">
        <v>240</v>
      </c>
      <c r="D335" s="443">
        <v>106</v>
      </c>
      <c r="E335" s="443">
        <v>343</v>
      </c>
    </row>
    <row r="336" spans="1:5" ht="16.5" hidden="1" customHeight="1">
      <c r="A336" s="798" t="s">
        <v>3</v>
      </c>
      <c r="B336" s="801">
        <f t="shared" si="13"/>
        <v>2</v>
      </c>
      <c r="C336" s="443" t="s">
        <v>117</v>
      </c>
      <c r="D336" s="443" t="s">
        <v>117</v>
      </c>
      <c r="E336" s="443">
        <v>2</v>
      </c>
    </row>
    <row r="337" spans="1:5" ht="16.5" hidden="1" customHeight="1">
      <c r="A337" s="135" t="s">
        <v>90</v>
      </c>
      <c r="B337" s="802">
        <f t="shared" ref="B337:B342" si="14">SUM(C337:E337)</f>
        <v>2748</v>
      </c>
      <c r="C337" s="439">
        <f>SUM(C338:C339)</f>
        <v>888</v>
      </c>
      <c r="D337" s="439">
        <f>SUM(D338:D339)</f>
        <v>195</v>
      </c>
      <c r="E337" s="439">
        <f>SUM(E338:E339)</f>
        <v>1665</v>
      </c>
    </row>
    <row r="338" spans="1:5" ht="16.5" hidden="1" customHeight="1">
      <c r="A338" s="798" t="s">
        <v>284</v>
      </c>
      <c r="B338" s="801">
        <f t="shared" si="14"/>
        <v>914</v>
      </c>
      <c r="C338" s="443">
        <v>303</v>
      </c>
      <c r="D338" s="443">
        <v>87</v>
      </c>
      <c r="E338" s="443">
        <f>522+2</f>
        <v>524</v>
      </c>
    </row>
    <row r="339" spans="1:5" ht="16.5" hidden="1" customHeight="1">
      <c r="A339" s="798" t="s">
        <v>285</v>
      </c>
      <c r="B339" s="801">
        <f t="shared" si="14"/>
        <v>1834</v>
      </c>
      <c r="C339" s="443">
        <f>562+23</f>
        <v>585</v>
      </c>
      <c r="D339" s="443">
        <v>108</v>
      </c>
      <c r="E339" s="443">
        <f>1031+53+56+1</f>
        <v>1141</v>
      </c>
    </row>
    <row r="340" spans="1:5" ht="16.5" hidden="1" customHeight="1">
      <c r="A340" s="135" t="s">
        <v>71</v>
      </c>
      <c r="B340" s="802">
        <f t="shared" si="14"/>
        <v>2675</v>
      </c>
      <c r="C340" s="439">
        <f>SUM(C341:C342)</f>
        <v>815</v>
      </c>
      <c r="D340" s="439">
        <f>SUM(D341:D342)</f>
        <v>195</v>
      </c>
      <c r="E340" s="439">
        <f>SUM(E341:E342)</f>
        <v>1665</v>
      </c>
    </row>
    <row r="341" spans="1:5" ht="16.5" hidden="1" customHeight="1">
      <c r="A341" s="798" t="s">
        <v>441</v>
      </c>
      <c r="B341" s="801">
        <f t="shared" si="14"/>
        <v>2424</v>
      </c>
      <c r="C341" s="443">
        <v>815</v>
      </c>
      <c r="D341" s="443" t="s">
        <v>97</v>
      </c>
      <c r="E341" s="443">
        <v>1609</v>
      </c>
    </row>
    <row r="342" spans="1:5" ht="16.5" hidden="1" customHeight="1">
      <c r="A342" s="798" t="s">
        <v>442</v>
      </c>
      <c r="B342" s="801">
        <f t="shared" si="14"/>
        <v>251</v>
      </c>
      <c r="C342" s="443" t="s">
        <v>96</v>
      </c>
      <c r="D342" s="443">
        <v>195</v>
      </c>
      <c r="E342" s="443">
        <v>56</v>
      </c>
    </row>
    <row r="343" spans="1:5" ht="16.5" hidden="1" customHeight="1">
      <c r="A343" s="799" t="s">
        <v>74</v>
      </c>
      <c r="B343" s="802">
        <f>SUM(B344:B348)</f>
        <v>2738</v>
      </c>
      <c r="C343" s="439">
        <f>SUM(C344:C348)</f>
        <v>888</v>
      </c>
      <c r="D343" s="439">
        <f>SUM(D344:D348)</f>
        <v>195</v>
      </c>
      <c r="E343" s="439">
        <f>SUM(E344:E348)</f>
        <v>1665</v>
      </c>
    </row>
    <row r="344" spans="1:5" ht="16.5" hidden="1" customHeight="1">
      <c r="A344" s="798" t="s">
        <v>443</v>
      </c>
      <c r="B344" s="801">
        <f>SUM(C344:E344)</f>
        <v>44</v>
      </c>
      <c r="C344" s="443">
        <v>9</v>
      </c>
      <c r="D344" s="443">
        <v>11</v>
      </c>
      <c r="E344" s="443">
        <v>24</v>
      </c>
    </row>
    <row r="345" spans="1:5" ht="16.5" hidden="1" customHeight="1">
      <c r="A345" s="798" t="s">
        <v>87</v>
      </c>
      <c r="B345" s="801">
        <f>SUM(C345:E345)</f>
        <v>681</v>
      </c>
      <c r="C345" s="443">
        <f>143+57</f>
        <v>200</v>
      </c>
      <c r="D345" s="443">
        <f>48+20</f>
        <v>68</v>
      </c>
      <c r="E345" s="443">
        <f>235+178</f>
        <v>413</v>
      </c>
    </row>
    <row r="346" spans="1:5" ht="16.5" hidden="1" customHeight="1">
      <c r="A346" s="798" t="s">
        <v>88</v>
      </c>
      <c r="B346" s="801">
        <f>SUM(C346:E346)</f>
        <v>1674</v>
      </c>
      <c r="C346" s="443">
        <f>193+314</f>
        <v>507</v>
      </c>
      <c r="D346" s="443">
        <f>37+59</f>
        <v>96</v>
      </c>
      <c r="E346" s="443">
        <f>393+678</f>
        <v>1071</v>
      </c>
    </row>
    <row r="347" spans="1:5" ht="16.5" hidden="1" customHeight="1">
      <c r="A347" s="798" t="s">
        <v>89</v>
      </c>
      <c r="B347" s="801">
        <f>SUM(C347:E347)</f>
        <v>339</v>
      </c>
      <c r="C347" s="443">
        <f>20+70+39+43</f>
        <v>172</v>
      </c>
      <c r="D347" s="443">
        <f>4+3+6+6+1</f>
        <v>20</v>
      </c>
      <c r="E347" s="443">
        <f>34+46+35+32</f>
        <v>147</v>
      </c>
    </row>
    <row r="348" spans="1:5" ht="16.5" hidden="1" customHeight="1">
      <c r="A348" s="798" t="s">
        <v>444</v>
      </c>
      <c r="B348" s="801" t="s">
        <v>117</v>
      </c>
      <c r="C348" s="443" t="s">
        <v>117</v>
      </c>
      <c r="D348" s="443" t="s">
        <v>117</v>
      </c>
      <c r="E348" s="443">
        <v>10</v>
      </c>
    </row>
    <row r="349" spans="1:5" ht="16.5" hidden="1" customHeight="1">
      <c r="A349" s="135" t="s">
        <v>78</v>
      </c>
      <c r="B349" s="802">
        <f>SUM(B350:B355)</f>
        <v>2768</v>
      </c>
      <c r="C349" s="439">
        <f>SUM(C350:C356)</f>
        <v>888</v>
      </c>
      <c r="D349" s="439">
        <f>SUM(D350:D355)</f>
        <v>195</v>
      </c>
      <c r="E349" s="439">
        <f>SUM(E350:E355)</f>
        <v>1685</v>
      </c>
    </row>
    <row r="350" spans="1:5" ht="16.5" hidden="1" customHeight="1">
      <c r="A350" s="798" t="s">
        <v>445</v>
      </c>
      <c r="B350" s="801">
        <f t="shared" ref="B350:B356" si="15">SUM(C350:E350)</f>
        <v>857</v>
      </c>
      <c r="C350" s="443">
        <v>251</v>
      </c>
      <c r="D350" s="443">
        <v>100</v>
      </c>
      <c r="E350" s="443">
        <v>506</v>
      </c>
    </row>
    <row r="351" spans="1:5" ht="16.5" hidden="1" customHeight="1">
      <c r="A351" s="798" t="s">
        <v>446</v>
      </c>
      <c r="B351" s="801">
        <f t="shared" si="15"/>
        <v>409</v>
      </c>
      <c r="C351" s="443">
        <v>191</v>
      </c>
      <c r="D351" s="443">
        <v>16</v>
      </c>
      <c r="E351" s="443">
        <v>202</v>
      </c>
    </row>
    <row r="352" spans="1:5" ht="16.5" hidden="1" customHeight="1">
      <c r="A352" s="798" t="s">
        <v>447</v>
      </c>
      <c r="B352" s="801">
        <f t="shared" si="15"/>
        <v>1368</v>
      </c>
      <c r="C352" s="443">
        <v>407</v>
      </c>
      <c r="D352" s="443">
        <v>63</v>
      </c>
      <c r="E352" s="443">
        <v>898</v>
      </c>
    </row>
    <row r="353" spans="1:5" ht="16.5" hidden="1" customHeight="1">
      <c r="A353" s="798" t="s">
        <v>448</v>
      </c>
      <c r="B353" s="801">
        <f t="shared" si="15"/>
        <v>59</v>
      </c>
      <c r="C353" s="443">
        <v>16</v>
      </c>
      <c r="D353" s="443">
        <v>9</v>
      </c>
      <c r="E353" s="443">
        <v>34</v>
      </c>
    </row>
    <row r="354" spans="1:5" ht="16.5" hidden="1" customHeight="1">
      <c r="A354" s="798" t="s">
        <v>449</v>
      </c>
      <c r="B354" s="801">
        <f t="shared" si="15"/>
        <v>16</v>
      </c>
      <c r="C354" s="443">
        <v>7</v>
      </c>
      <c r="D354" s="443">
        <v>1</v>
      </c>
      <c r="E354" s="443">
        <v>8</v>
      </c>
    </row>
    <row r="355" spans="1:5" ht="16.5" hidden="1" customHeight="1">
      <c r="A355" s="798" t="s">
        <v>450</v>
      </c>
      <c r="B355" s="801">
        <f t="shared" si="15"/>
        <v>59</v>
      </c>
      <c r="C355" s="443">
        <v>16</v>
      </c>
      <c r="D355" s="443">
        <v>6</v>
      </c>
      <c r="E355" s="443">
        <v>37</v>
      </c>
    </row>
    <row r="356" spans="1:5" ht="16.5" hidden="1" customHeight="1">
      <c r="A356" s="804" t="s">
        <v>444</v>
      </c>
      <c r="B356" s="803">
        <f t="shared" si="15"/>
        <v>0</v>
      </c>
      <c r="C356" s="601" t="s">
        <v>117</v>
      </c>
      <c r="D356" s="601" t="s">
        <v>117</v>
      </c>
      <c r="E356" s="601" t="s">
        <v>117</v>
      </c>
    </row>
    <row r="357" spans="1:5" ht="11.1" hidden="1" customHeight="1">
      <c r="A357" s="723"/>
      <c r="C357" s="901"/>
      <c r="D357" s="93"/>
      <c r="E357" s="658" t="s">
        <v>161</v>
      </c>
    </row>
    <row r="358" spans="1:5" ht="13.5" customHeight="1">
      <c r="A358" s="1135" t="s">
        <v>368</v>
      </c>
      <c r="B358" s="1135"/>
      <c r="C358" s="1135"/>
      <c r="D358" s="1135"/>
      <c r="E358" s="1135"/>
    </row>
    <row r="359" spans="1:5" ht="13.5" customHeight="1">
      <c r="A359" s="1135" t="s">
        <v>518</v>
      </c>
      <c r="B359" s="1135"/>
      <c r="C359" s="1135"/>
      <c r="D359" s="1135"/>
      <c r="E359" s="1135"/>
    </row>
    <row r="360" spans="1:5" ht="5.0999999999999996" customHeight="1">
      <c r="A360" s="873"/>
      <c r="B360" s="895"/>
      <c r="C360" s="818"/>
      <c r="D360" s="818"/>
      <c r="E360" s="818"/>
    </row>
    <row r="361" spans="1:5" ht="12.75" customHeight="1">
      <c r="A361" s="1252" t="s">
        <v>32</v>
      </c>
      <c r="B361" s="1205" t="s">
        <v>474</v>
      </c>
      <c r="C361" s="1205"/>
      <c r="D361" s="1205"/>
      <c r="E361" s="1205"/>
    </row>
    <row r="362" spans="1:5" ht="18.95" customHeight="1">
      <c r="A362" s="1253"/>
      <c r="B362" s="272" t="s">
        <v>2</v>
      </c>
      <c r="C362" s="357" t="s">
        <v>4</v>
      </c>
      <c r="D362" s="357" t="s">
        <v>101</v>
      </c>
      <c r="E362" s="357" t="s">
        <v>110</v>
      </c>
    </row>
    <row r="363" spans="1:5" ht="15.95" customHeight="1">
      <c r="A363" s="302" t="s">
        <v>166</v>
      </c>
      <c r="B363" s="439">
        <f>SUM(C363:E363)</f>
        <v>3</v>
      </c>
      <c r="C363" s="439">
        <v>1</v>
      </c>
      <c r="D363" s="439">
        <v>1</v>
      </c>
      <c r="E363" s="439">
        <v>1</v>
      </c>
    </row>
    <row r="364" spans="1:5" ht="7.35" customHeight="1">
      <c r="A364" s="302"/>
      <c r="B364" s="439"/>
      <c r="C364" s="443"/>
      <c r="D364" s="443"/>
      <c r="E364" s="443"/>
    </row>
    <row r="365" spans="1:5" ht="15.95" customHeight="1">
      <c r="A365" s="302" t="s">
        <v>167</v>
      </c>
      <c r="B365" s="439">
        <f>+B381</f>
        <v>2208</v>
      </c>
      <c r="C365" s="439">
        <f>+C381</f>
        <v>695</v>
      </c>
      <c r="D365" s="439">
        <f>+D381</f>
        <v>166</v>
      </c>
      <c r="E365" s="439">
        <f>+E381</f>
        <v>1347</v>
      </c>
    </row>
    <row r="366" spans="1:5" ht="15.95" customHeight="1">
      <c r="A366" s="302" t="s">
        <v>32</v>
      </c>
      <c r="B366" s="439">
        <f>SUM(C366:E366)</f>
        <v>2179</v>
      </c>
      <c r="C366" s="439">
        <f>SUM(C367:C380)</f>
        <v>680</v>
      </c>
      <c r="D366" s="439">
        <f>SUM(D367:D380)</f>
        <v>165</v>
      </c>
      <c r="E366" s="439">
        <f>SUM(E367:E380)</f>
        <v>1334</v>
      </c>
    </row>
    <row r="367" spans="1:5" ht="16.5" customHeight="1">
      <c r="A367" s="1121" t="s">
        <v>434</v>
      </c>
      <c r="B367" s="443">
        <f t="shared" ref="B367:B378" si="16">SUM(C367:E367)</f>
        <v>297</v>
      </c>
      <c r="C367" s="443">
        <v>111</v>
      </c>
      <c r="D367" s="443">
        <v>18</v>
      </c>
      <c r="E367" s="443">
        <v>168</v>
      </c>
    </row>
    <row r="368" spans="1:5" ht="16.5" customHeight="1">
      <c r="A368" s="1121" t="s">
        <v>14</v>
      </c>
      <c r="B368" s="443">
        <f t="shared" si="16"/>
        <v>8</v>
      </c>
      <c r="C368" s="443">
        <v>5</v>
      </c>
      <c r="D368" s="443">
        <v>0</v>
      </c>
      <c r="E368" s="443">
        <v>3</v>
      </c>
    </row>
    <row r="369" spans="1:5" ht="16.5" customHeight="1">
      <c r="A369" s="1121" t="s">
        <v>435</v>
      </c>
      <c r="B369" s="443">
        <f t="shared" si="16"/>
        <v>615</v>
      </c>
      <c r="C369" s="443">
        <v>192</v>
      </c>
      <c r="D369" s="443">
        <v>30</v>
      </c>
      <c r="E369" s="443">
        <v>393</v>
      </c>
    </row>
    <row r="370" spans="1:5" ht="16.5" customHeight="1">
      <c r="A370" s="1121" t="s">
        <v>10</v>
      </c>
      <c r="B370" s="443">
        <f t="shared" si="16"/>
        <v>472</v>
      </c>
      <c r="C370" s="443">
        <v>126</v>
      </c>
      <c r="D370" s="443">
        <v>12</v>
      </c>
      <c r="E370" s="443">
        <v>334</v>
      </c>
    </row>
    <row r="371" spans="1:5" ht="16.5" customHeight="1">
      <c r="A371" s="1121" t="s">
        <v>436</v>
      </c>
      <c r="B371" s="443">
        <f t="shared" si="16"/>
        <v>0</v>
      </c>
      <c r="C371" s="443">
        <v>0</v>
      </c>
      <c r="D371" s="443">
        <v>0</v>
      </c>
      <c r="E371" s="443" t="s">
        <v>117</v>
      </c>
    </row>
    <row r="372" spans="1:5" ht="16.5" customHeight="1">
      <c r="A372" s="1121" t="s">
        <v>437</v>
      </c>
      <c r="B372" s="443">
        <f t="shared" si="16"/>
        <v>63</v>
      </c>
      <c r="C372" s="443">
        <v>5</v>
      </c>
      <c r="D372" s="443">
        <v>1</v>
      </c>
      <c r="E372" s="443">
        <f>21+1+35</f>
        <v>57</v>
      </c>
    </row>
    <row r="373" spans="1:5" ht="16.5" customHeight="1">
      <c r="A373" s="1121" t="s">
        <v>438</v>
      </c>
      <c r="B373" s="443">
        <f t="shared" si="16"/>
        <v>35</v>
      </c>
      <c r="C373" s="443">
        <v>14</v>
      </c>
      <c r="D373" s="443">
        <v>5</v>
      </c>
      <c r="E373" s="443">
        <v>16</v>
      </c>
    </row>
    <row r="374" spans="1:5" ht="16.5" customHeight="1">
      <c r="A374" s="1121" t="s">
        <v>439</v>
      </c>
      <c r="B374" s="443">
        <f t="shared" si="16"/>
        <v>33</v>
      </c>
      <c r="C374" s="443">
        <v>18</v>
      </c>
      <c r="D374" s="443">
        <v>1</v>
      </c>
      <c r="E374" s="443">
        <v>14</v>
      </c>
    </row>
    <row r="375" spans="1:5" ht="16.5" customHeight="1">
      <c r="A375" s="1121" t="s">
        <v>28</v>
      </c>
      <c r="B375" s="443">
        <f t="shared" si="16"/>
        <v>4</v>
      </c>
      <c r="C375" s="443">
        <v>0</v>
      </c>
      <c r="D375" s="443">
        <v>1</v>
      </c>
      <c r="E375" s="443">
        <v>3</v>
      </c>
    </row>
    <row r="376" spans="1:5" ht="16.5" customHeight="1">
      <c r="A376" s="1121" t="s">
        <v>432</v>
      </c>
      <c r="B376" s="443">
        <f t="shared" si="16"/>
        <v>5</v>
      </c>
      <c r="C376" s="443">
        <v>0</v>
      </c>
      <c r="D376" s="443">
        <v>0</v>
      </c>
      <c r="E376" s="443">
        <v>5</v>
      </c>
    </row>
    <row r="377" spans="1:5" ht="16.5" customHeight="1">
      <c r="A377" s="1121" t="s">
        <v>99</v>
      </c>
      <c r="B377" s="443">
        <f t="shared" si="16"/>
        <v>16</v>
      </c>
      <c r="C377" s="443">
        <v>5</v>
      </c>
      <c r="D377" s="443">
        <v>3</v>
      </c>
      <c r="E377" s="443">
        <v>8</v>
      </c>
    </row>
    <row r="378" spans="1:5" ht="16.5" customHeight="1">
      <c r="A378" s="1121" t="s">
        <v>431</v>
      </c>
      <c r="B378" s="443">
        <f t="shared" si="16"/>
        <v>0</v>
      </c>
      <c r="C378" s="443" t="s">
        <v>117</v>
      </c>
      <c r="D378" s="443" t="s">
        <v>117</v>
      </c>
      <c r="E378" s="443" t="s">
        <v>117</v>
      </c>
    </row>
    <row r="379" spans="1:5" ht="16.5" customHeight="1">
      <c r="A379" s="1121" t="s">
        <v>433</v>
      </c>
      <c r="B379" s="443">
        <f t="shared" ref="B379:B386" si="17">SUM(C379:E379)</f>
        <v>631</v>
      </c>
      <c r="C379" s="443">
        <v>204</v>
      </c>
      <c r="D379" s="443">
        <v>94</v>
      </c>
      <c r="E379" s="443">
        <v>333</v>
      </c>
    </row>
    <row r="380" spans="1:5" ht="16.5" customHeight="1">
      <c r="A380" s="1121" t="s">
        <v>3</v>
      </c>
      <c r="B380" s="443">
        <f t="shared" si="17"/>
        <v>0</v>
      </c>
      <c r="C380" s="443" t="s">
        <v>117</v>
      </c>
      <c r="D380" s="443" t="s">
        <v>117</v>
      </c>
      <c r="E380" s="443" t="s">
        <v>117</v>
      </c>
    </row>
    <row r="381" spans="1:5" ht="16.5" customHeight="1">
      <c r="A381" s="302" t="s">
        <v>90</v>
      </c>
      <c r="B381" s="439">
        <f t="shared" si="17"/>
        <v>2208</v>
      </c>
      <c r="C381" s="439">
        <f>SUM(C382:C383)</f>
        <v>695</v>
      </c>
      <c r="D381" s="439">
        <f>SUM(D382:D383)</f>
        <v>166</v>
      </c>
      <c r="E381" s="439">
        <f>SUM(E382:E383)</f>
        <v>1347</v>
      </c>
    </row>
    <row r="382" spans="1:5" ht="16.5" customHeight="1">
      <c r="A382" s="1121" t="s">
        <v>284</v>
      </c>
      <c r="B382" s="443">
        <f t="shared" si="17"/>
        <v>546</v>
      </c>
      <c r="C382" s="443">
        <v>155</v>
      </c>
      <c r="D382" s="443">
        <v>55</v>
      </c>
      <c r="E382" s="443">
        <v>336</v>
      </c>
    </row>
    <row r="383" spans="1:5" ht="16.5" customHeight="1">
      <c r="A383" s="1121" t="s">
        <v>285</v>
      </c>
      <c r="B383" s="443">
        <f t="shared" si="17"/>
        <v>1662</v>
      </c>
      <c r="C383" s="443">
        <v>540</v>
      </c>
      <c r="D383" s="443">
        <v>111</v>
      </c>
      <c r="E383" s="443">
        <v>1011</v>
      </c>
    </row>
    <row r="384" spans="1:5" ht="16.5" customHeight="1">
      <c r="A384" s="302" t="s">
        <v>71</v>
      </c>
      <c r="B384" s="439">
        <f t="shared" si="17"/>
        <v>2208</v>
      </c>
      <c r="C384" s="439">
        <f>SUM(C385:C386)</f>
        <v>695</v>
      </c>
      <c r="D384" s="439">
        <f>SUM(D385:D386)</f>
        <v>166</v>
      </c>
      <c r="E384" s="439">
        <f>SUM(E385:E386)</f>
        <v>1347</v>
      </c>
    </row>
    <row r="385" spans="1:5" ht="16.5" customHeight="1">
      <c r="A385" s="1121" t="s">
        <v>441</v>
      </c>
      <c r="B385" s="443">
        <f t="shared" si="17"/>
        <v>1994</v>
      </c>
      <c r="C385" s="443">
        <v>695</v>
      </c>
      <c r="D385" s="443" t="s">
        <v>117</v>
      </c>
      <c r="E385" s="443">
        <v>1299</v>
      </c>
    </row>
    <row r="386" spans="1:5" ht="16.5" customHeight="1">
      <c r="A386" s="1121" t="s">
        <v>442</v>
      </c>
      <c r="B386" s="443">
        <f t="shared" si="17"/>
        <v>214</v>
      </c>
      <c r="C386" s="443" t="s">
        <v>117</v>
      </c>
      <c r="D386" s="443">
        <v>166</v>
      </c>
      <c r="E386" s="443">
        <v>48</v>
      </c>
    </row>
    <row r="387" spans="1:5" ht="16.5" customHeight="1">
      <c r="A387" s="303" t="s">
        <v>74</v>
      </c>
      <c r="B387" s="439">
        <f>SUM(B388:B392)</f>
        <v>2208</v>
      </c>
      <c r="C387" s="439">
        <f>SUM(C388:C392)</f>
        <v>695</v>
      </c>
      <c r="D387" s="439">
        <f>SUM(D388:D392)</f>
        <v>166</v>
      </c>
      <c r="E387" s="439">
        <f>SUM(E388:E392)</f>
        <v>1347</v>
      </c>
    </row>
    <row r="388" spans="1:5" ht="16.5" customHeight="1">
      <c r="A388" s="1121" t="s">
        <v>443</v>
      </c>
      <c r="B388" s="443">
        <f t="shared" ref="B388:B399" si="18">SUM(C388:E388)</f>
        <v>31</v>
      </c>
      <c r="C388" s="443">
        <v>7</v>
      </c>
      <c r="D388" s="443">
        <v>8</v>
      </c>
      <c r="E388" s="443">
        <v>16</v>
      </c>
    </row>
    <row r="389" spans="1:5" ht="16.5" customHeight="1">
      <c r="A389" s="1121" t="s">
        <v>87</v>
      </c>
      <c r="B389" s="443">
        <f t="shared" si="18"/>
        <v>539</v>
      </c>
      <c r="C389" s="443">
        <f>106+45</f>
        <v>151</v>
      </c>
      <c r="D389" s="443">
        <f>39+26</f>
        <v>65</v>
      </c>
      <c r="E389" s="443">
        <v>323</v>
      </c>
    </row>
    <row r="390" spans="1:5" ht="16.5" customHeight="1">
      <c r="A390" s="1121" t="s">
        <v>88</v>
      </c>
      <c r="B390" s="443">
        <f t="shared" si="18"/>
        <v>1399</v>
      </c>
      <c r="C390" s="443">
        <f>152+272</f>
        <v>424</v>
      </c>
      <c r="D390" s="443">
        <f>33+47</f>
        <v>80</v>
      </c>
      <c r="E390" s="443">
        <v>895</v>
      </c>
    </row>
    <row r="391" spans="1:5" ht="16.5" customHeight="1">
      <c r="A391" s="1121" t="s">
        <v>89</v>
      </c>
      <c r="B391" s="443">
        <f t="shared" si="18"/>
        <v>238</v>
      </c>
      <c r="C391" s="443">
        <f>12+46+30+24+1</f>
        <v>113</v>
      </c>
      <c r="D391" s="443">
        <f>1+4+3+4</f>
        <v>12</v>
      </c>
      <c r="E391" s="443">
        <v>113</v>
      </c>
    </row>
    <row r="392" spans="1:5" ht="16.5" customHeight="1">
      <c r="A392" s="1121" t="s">
        <v>444</v>
      </c>
      <c r="B392" s="443">
        <f t="shared" si="18"/>
        <v>1</v>
      </c>
      <c r="C392" s="443" t="s">
        <v>117</v>
      </c>
      <c r="D392" s="443">
        <v>1</v>
      </c>
      <c r="E392" s="443" t="s">
        <v>117</v>
      </c>
    </row>
    <row r="393" spans="1:5" ht="16.5" customHeight="1">
      <c r="A393" s="302" t="s">
        <v>78</v>
      </c>
      <c r="B393" s="439">
        <f t="shared" si="18"/>
        <v>2208</v>
      </c>
      <c r="C393" s="439">
        <f>SUM(C394:C400)</f>
        <v>695</v>
      </c>
      <c r="D393" s="439">
        <f>SUM(D394:D400)</f>
        <v>166</v>
      </c>
      <c r="E393" s="439">
        <f>SUM(E394:E400)</f>
        <v>1347</v>
      </c>
    </row>
    <row r="394" spans="1:5" ht="16.5" customHeight="1">
      <c r="A394" s="1121" t="s">
        <v>445</v>
      </c>
      <c r="B394" s="443">
        <f t="shared" si="18"/>
        <v>742</v>
      </c>
      <c r="C394" s="443">
        <v>215</v>
      </c>
      <c r="D394" s="443">
        <v>83</v>
      </c>
      <c r="E394" s="443">
        <v>444</v>
      </c>
    </row>
    <row r="395" spans="1:5" ht="16.5" customHeight="1">
      <c r="A395" s="1121" t="s">
        <v>446</v>
      </c>
      <c r="B395" s="443">
        <f t="shared" si="18"/>
        <v>294</v>
      </c>
      <c r="C395" s="443">
        <v>141</v>
      </c>
      <c r="D395" s="443">
        <v>12</v>
      </c>
      <c r="E395" s="443">
        <v>141</v>
      </c>
    </row>
    <row r="396" spans="1:5" ht="16.5" customHeight="1">
      <c r="A396" s="1121" t="s">
        <v>447</v>
      </c>
      <c r="B396" s="443">
        <f t="shared" si="18"/>
        <v>1087</v>
      </c>
      <c r="C396" s="443">
        <v>314</v>
      </c>
      <c r="D396" s="443">
        <v>60</v>
      </c>
      <c r="E396" s="443">
        <v>713</v>
      </c>
    </row>
    <row r="397" spans="1:5" ht="16.5" customHeight="1">
      <c r="A397" s="1121" t="s">
        <v>448</v>
      </c>
      <c r="B397" s="443">
        <f t="shared" si="18"/>
        <v>39</v>
      </c>
      <c r="C397" s="443">
        <v>11</v>
      </c>
      <c r="D397" s="443">
        <v>7</v>
      </c>
      <c r="E397" s="443">
        <v>21</v>
      </c>
    </row>
    <row r="398" spans="1:5" ht="16.5" customHeight="1">
      <c r="A398" s="1121" t="s">
        <v>449</v>
      </c>
      <c r="B398" s="443">
        <f t="shared" si="18"/>
        <v>6</v>
      </c>
      <c r="C398" s="443">
        <v>3</v>
      </c>
      <c r="D398" s="443">
        <v>1</v>
      </c>
      <c r="E398" s="443">
        <v>2</v>
      </c>
    </row>
    <row r="399" spans="1:5" ht="16.5" customHeight="1">
      <c r="A399" s="1121" t="s">
        <v>450</v>
      </c>
      <c r="B399" s="443">
        <f t="shared" si="18"/>
        <v>40</v>
      </c>
      <c r="C399" s="443">
        <v>11</v>
      </c>
      <c r="D399" s="443">
        <v>3</v>
      </c>
      <c r="E399" s="443">
        <v>26</v>
      </c>
    </row>
    <row r="400" spans="1:5" ht="16.5" customHeight="1">
      <c r="A400" s="1122" t="s">
        <v>444</v>
      </c>
      <c r="B400" s="450" t="s">
        <v>117</v>
      </c>
      <c r="C400" s="601" t="s">
        <v>117</v>
      </c>
      <c r="D400" s="601" t="s">
        <v>117</v>
      </c>
      <c r="E400" s="601" t="s">
        <v>117</v>
      </c>
    </row>
    <row r="401" spans="1:6" ht="11.1" customHeight="1">
      <c r="A401" s="103"/>
      <c r="B401" s="444"/>
      <c r="C401" s="449"/>
      <c r="D401" s="449"/>
      <c r="E401" s="658" t="s">
        <v>161</v>
      </c>
    </row>
    <row r="402" spans="1:6" ht="13.5">
      <c r="A402" s="723"/>
      <c r="C402" s="901"/>
      <c r="D402" s="93"/>
      <c r="E402" s="323"/>
    </row>
    <row r="403" spans="1:6" ht="13.5" customHeight="1">
      <c r="A403" s="1135" t="str">
        <f>A358</f>
        <v>8.30   PUNO: POBLACIÓN PENAL REGISTRADA EN LA POLICÍA NACIONAL POR LOCAL PENITENCIARIO, SEGÚN TIPO DE</v>
      </c>
      <c r="B403" s="1135"/>
      <c r="C403" s="1135"/>
      <c r="D403" s="1135"/>
      <c r="E403" s="1135"/>
    </row>
    <row r="404" spans="1:6" ht="13.5" customHeight="1">
      <c r="A404" s="1135" t="str">
        <f>A359</f>
        <v xml:space="preserve">         DELITO, SITUACIÓN JURÍDICA, SEXO, NIVEL DE INSTRUCCIÓN Y ESTADO CIVIL, 2020 - 2024</v>
      </c>
      <c r="B404" s="1135"/>
      <c r="C404" s="1135"/>
      <c r="D404" s="1135"/>
      <c r="E404" s="1135"/>
    </row>
    <row r="405" spans="1:6" ht="5.0999999999999996" customHeight="1">
      <c r="A405" s="873"/>
      <c r="B405" s="895"/>
      <c r="C405" s="818"/>
      <c r="D405" s="818"/>
      <c r="E405" s="658"/>
    </row>
    <row r="406" spans="1:6" ht="12.75" customHeight="1">
      <c r="A406" s="1245" t="s">
        <v>32</v>
      </c>
      <c r="B406" s="1205" t="s">
        <v>473</v>
      </c>
      <c r="C406" s="1205"/>
      <c r="D406" s="1205"/>
      <c r="E406" s="1205"/>
    </row>
    <row r="407" spans="1:6" ht="18.95" customHeight="1">
      <c r="A407" s="1246"/>
      <c r="B407" s="272" t="s">
        <v>2</v>
      </c>
      <c r="C407" s="357" t="s">
        <v>4</v>
      </c>
      <c r="D407" s="357" t="s">
        <v>101</v>
      </c>
      <c r="E407" s="357" t="s">
        <v>110</v>
      </c>
    </row>
    <row r="408" spans="1:6" ht="15.95" customHeight="1">
      <c r="A408" s="302" t="s">
        <v>166</v>
      </c>
      <c r="B408" s="439">
        <v>3</v>
      </c>
      <c r="C408" s="439">
        <v>1</v>
      </c>
      <c r="D408" s="439">
        <v>1</v>
      </c>
      <c r="E408" s="439">
        <v>1</v>
      </c>
    </row>
    <row r="409" spans="1:6" ht="7.35" customHeight="1">
      <c r="A409" s="302"/>
      <c r="B409" s="439"/>
      <c r="C409" s="443"/>
      <c r="D409" s="443"/>
      <c r="E409" s="443"/>
    </row>
    <row r="410" spans="1:6" ht="15.95" customHeight="1">
      <c r="A410" s="302" t="s">
        <v>461</v>
      </c>
      <c r="B410" s="439">
        <f>SUM(C410:E410)</f>
        <v>2319</v>
      </c>
      <c r="C410" s="439">
        <f>+C426</f>
        <v>788</v>
      </c>
      <c r="D410" s="439">
        <f>+D426</f>
        <v>179</v>
      </c>
      <c r="E410" s="439">
        <f>+E426</f>
        <v>1352</v>
      </c>
    </row>
    <row r="411" spans="1:6" ht="15.95" customHeight="1">
      <c r="A411" s="302" t="s">
        <v>32</v>
      </c>
      <c r="B411" s="439">
        <f>SUM(C411:E411)</f>
        <v>2258</v>
      </c>
      <c r="C411" s="439">
        <f>SUM(C412:C425)</f>
        <v>776</v>
      </c>
      <c r="D411" s="439">
        <f>SUM(D412:D425)</f>
        <v>155</v>
      </c>
      <c r="E411" s="439">
        <f>SUM(E412:E425)</f>
        <v>1327</v>
      </c>
    </row>
    <row r="412" spans="1:6" ht="16.5" customHeight="1">
      <c r="A412" s="1121" t="s">
        <v>434</v>
      </c>
      <c r="B412" s="443">
        <f>SUM(C412:E412)</f>
        <v>287</v>
      </c>
      <c r="C412" s="443">
        <v>119</v>
      </c>
      <c r="D412" s="443">
        <v>18</v>
      </c>
      <c r="E412" s="443">
        <v>150</v>
      </c>
    </row>
    <row r="413" spans="1:6" ht="16.5" customHeight="1">
      <c r="A413" s="1121" t="s">
        <v>14</v>
      </c>
      <c r="B413" s="443">
        <f>SUM(C413:E413)</f>
        <v>17</v>
      </c>
      <c r="C413" s="443">
        <v>11</v>
      </c>
      <c r="D413" s="443">
        <v>0</v>
      </c>
      <c r="E413" s="443">
        <v>6</v>
      </c>
    </row>
    <row r="414" spans="1:6" ht="16.5" customHeight="1">
      <c r="A414" s="1121" t="s">
        <v>435</v>
      </c>
      <c r="B414" s="443">
        <f t="shared" ref="B414:B425" si="19">SUM(C414:E414)</f>
        <v>661</v>
      </c>
      <c r="C414" s="443">
        <v>219</v>
      </c>
      <c r="D414" s="443">
        <v>28</v>
      </c>
      <c r="E414" s="443">
        <v>414</v>
      </c>
    </row>
    <row r="415" spans="1:6" ht="16.5" customHeight="1">
      <c r="A415" s="1121" t="s">
        <v>10</v>
      </c>
      <c r="B415" s="443">
        <f t="shared" si="19"/>
        <v>470</v>
      </c>
      <c r="C415" s="443">
        <v>143</v>
      </c>
      <c r="D415" s="443">
        <v>11</v>
      </c>
      <c r="E415" s="443">
        <v>316</v>
      </c>
    </row>
    <row r="416" spans="1:6" ht="16.5" customHeight="1">
      <c r="A416" s="1121" t="s">
        <v>436</v>
      </c>
      <c r="B416" s="443">
        <f t="shared" si="19"/>
        <v>0</v>
      </c>
      <c r="C416" s="443">
        <v>0</v>
      </c>
      <c r="D416" s="443" t="s">
        <v>117</v>
      </c>
      <c r="E416" s="443">
        <v>0</v>
      </c>
      <c r="F416" s="910"/>
    </row>
    <row r="417" spans="1:6" ht="16.5" customHeight="1">
      <c r="A417" s="1121" t="s">
        <v>437</v>
      </c>
      <c r="B417" s="443">
        <f t="shared" si="19"/>
        <v>76</v>
      </c>
      <c r="C417" s="443">
        <v>8</v>
      </c>
      <c r="D417" s="443">
        <v>1</v>
      </c>
      <c r="E417" s="443">
        <f>29+1+37</f>
        <v>67</v>
      </c>
      <c r="F417" s="911"/>
    </row>
    <row r="418" spans="1:6" ht="16.5" customHeight="1">
      <c r="A418" s="1121" t="s">
        <v>438</v>
      </c>
      <c r="B418" s="443">
        <f t="shared" si="19"/>
        <v>46</v>
      </c>
      <c r="C418" s="443">
        <v>18</v>
      </c>
      <c r="D418" s="443">
        <v>11</v>
      </c>
      <c r="E418" s="443">
        <v>17</v>
      </c>
      <c r="F418" s="911"/>
    </row>
    <row r="419" spans="1:6" ht="16.5" customHeight="1">
      <c r="A419" s="1121" t="s">
        <v>439</v>
      </c>
      <c r="B419" s="443">
        <f t="shared" si="19"/>
        <v>37</v>
      </c>
      <c r="C419" s="443">
        <v>27</v>
      </c>
      <c r="D419" s="443">
        <v>1</v>
      </c>
      <c r="E419" s="443">
        <v>9</v>
      </c>
      <c r="F419" s="911"/>
    </row>
    <row r="420" spans="1:6" ht="16.5" customHeight="1">
      <c r="A420" s="1121" t="s">
        <v>28</v>
      </c>
      <c r="B420" s="443">
        <f t="shared" si="19"/>
        <v>4</v>
      </c>
      <c r="C420" s="443">
        <v>0</v>
      </c>
      <c r="D420" s="443">
        <v>0</v>
      </c>
      <c r="E420" s="443">
        <v>4</v>
      </c>
      <c r="F420" s="911"/>
    </row>
    <row r="421" spans="1:6" ht="16.5" customHeight="1">
      <c r="A421" s="1121" t="s">
        <v>432</v>
      </c>
      <c r="B421" s="443">
        <f t="shared" si="19"/>
        <v>4</v>
      </c>
      <c r="C421" s="443">
        <v>0</v>
      </c>
      <c r="D421" s="443">
        <v>0</v>
      </c>
      <c r="E421" s="443">
        <v>4</v>
      </c>
    </row>
    <row r="422" spans="1:6" ht="16.5" customHeight="1">
      <c r="A422" s="1121" t="s">
        <v>99</v>
      </c>
      <c r="B422" s="443">
        <f t="shared" si="19"/>
        <v>9</v>
      </c>
      <c r="C422" s="443">
        <v>3</v>
      </c>
      <c r="D422" s="443">
        <v>0</v>
      </c>
      <c r="E422" s="443">
        <v>6</v>
      </c>
    </row>
    <row r="423" spans="1:6" ht="16.5" customHeight="1">
      <c r="A423" s="1121" t="s">
        <v>431</v>
      </c>
      <c r="B423" s="443">
        <f t="shared" si="19"/>
        <v>0</v>
      </c>
      <c r="C423" s="443">
        <f>SUM(D423:E423)</f>
        <v>0</v>
      </c>
      <c r="D423" s="443">
        <f>SUM(E423:E423)</f>
        <v>0</v>
      </c>
      <c r="E423" s="443">
        <v>0</v>
      </c>
    </row>
    <row r="424" spans="1:6" ht="16.5" customHeight="1">
      <c r="A424" s="1121" t="s">
        <v>433</v>
      </c>
      <c r="B424" s="443">
        <f t="shared" si="19"/>
        <v>647</v>
      </c>
      <c r="C424" s="443">
        <v>228</v>
      </c>
      <c r="D424" s="443">
        <v>85</v>
      </c>
      <c r="E424" s="443">
        <v>334</v>
      </c>
    </row>
    <row r="425" spans="1:6" ht="16.5" customHeight="1">
      <c r="A425" s="1121" t="s">
        <v>3</v>
      </c>
      <c r="B425" s="443">
        <f t="shared" si="19"/>
        <v>0</v>
      </c>
      <c r="C425" s="443" t="s">
        <v>117</v>
      </c>
      <c r="D425" s="443" t="s">
        <v>117</v>
      </c>
      <c r="E425" s="443" t="s">
        <v>117</v>
      </c>
    </row>
    <row r="426" spans="1:6" ht="16.5" customHeight="1">
      <c r="A426" s="302" t="s">
        <v>90</v>
      </c>
      <c r="B426" s="439">
        <f t="shared" ref="B426:B431" si="20">SUM(C426:E426)</f>
        <v>2319</v>
      </c>
      <c r="C426" s="439">
        <f>SUM(C427:C428)</f>
        <v>788</v>
      </c>
      <c r="D426" s="439">
        <f>SUM(D427:D428)</f>
        <v>179</v>
      </c>
      <c r="E426" s="439">
        <f>SUM(E427:E428)</f>
        <v>1352</v>
      </c>
    </row>
    <row r="427" spans="1:6" ht="16.5" customHeight="1">
      <c r="A427" s="1121" t="s">
        <v>284</v>
      </c>
      <c r="B427" s="443">
        <f t="shared" si="20"/>
        <v>579</v>
      </c>
      <c r="C427" s="443">
        <v>143</v>
      </c>
      <c r="D427" s="443">
        <v>77</v>
      </c>
      <c r="E427" s="443">
        <v>359</v>
      </c>
    </row>
    <row r="428" spans="1:6" ht="16.5" customHeight="1">
      <c r="A428" s="1121" t="s">
        <v>285</v>
      </c>
      <c r="B428" s="443">
        <f t="shared" si="20"/>
        <v>1740</v>
      </c>
      <c r="C428" s="443">
        <v>645</v>
      </c>
      <c r="D428" s="443">
        <v>102</v>
      </c>
      <c r="E428" s="443">
        <v>993</v>
      </c>
    </row>
    <row r="429" spans="1:6" ht="16.5" customHeight="1">
      <c r="A429" s="302" t="s">
        <v>71</v>
      </c>
      <c r="B429" s="439">
        <f t="shared" si="20"/>
        <v>2319</v>
      </c>
      <c r="C429" s="439">
        <f>SUM(C430:C431)</f>
        <v>788</v>
      </c>
      <c r="D429" s="439">
        <f>SUM(D430:D431)</f>
        <v>179</v>
      </c>
      <c r="E429" s="439">
        <f>SUM(E430:E431)</f>
        <v>1352</v>
      </c>
    </row>
    <row r="430" spans="1:6" ht="16.5" customHeight="1">
      <c r="A430" s="1121" t="s">
        <v>441</v>
      </c>
      <c r="B430" s="443">
        <f t="shared" si="20"/>
        <v>2085</v>
      </c>
      <c r="C430" s="443">
        <v>788</v>
      </c>
      <c r="D430" s="443">
        <v>0</v>
      </c>
      <c r="E430" s="443">
        <v>1297</v>
      </c>
    </row>
    <row r="431" spans="1:6" ht="16.5" customHeight="1">
      <c r="A431" s="1121" t="s">
        <v>442</v>
      </c>
      <c r="B431" s="443">
        <f t="shared" si="20"/>
        <v>234</v>
      </c>
      <c r="C431" s="443" t="s">
        <v>117</v>
      </c>
      <c r="D431" s="443">
        <v>179</v>
      </c>
      <c r="E431" s="443">
        <v>55</v>
      </c>
    </row>
    <row r="432" spans="1:6" ht="16.5" customHeight="1">
      <c r="A432" s="303" t="s">
        <v>74</v>
      </c>
      <c r="B432" s="439">
        <f>SUM(B433:B437)</f>
        <v>2319</v>
      </c>
      <c r="C432" s="439">
        <f>SUM(C433:C437)</f>
        <v>788</v>
      </c>
      <c r="D432" s="439">
        <f>SUM(D433:D437)</f>
        <v>179</v>
      </c>
      <c r="E432" s="439">
        <f>SUM(E433:E437)</f>
        <v>1352</v>
      </c>
    </row>
    <row r="433" spans="1:5" ht="16.5" customHeight="1">
      <c r="A433" s="1121" t="s">
        <v>443</v>
      </c>
      <c r="B433" s="443">
        <f>SUM(C433:E433)</f>
        <v>34</v>
      </c>
      <c r="C433" s="443">
        <v>8</v>
      </c>
      <c r="D433" s="443">
        <v>6</v>
      </c>
      <c r="E433" s="443">
        <v>20</v>
      </c>
    </row>
    <row r="434" spans="1:5" ht="16.5" customHeight="1">
      <c r="A434" s="1121" t="s">
        <v>87</v>
      </c>
      <c r="B434" s="443">
        <f>SUM(C434:E434)</f>
        <v>521</v>
      </c>
      <c r="C434" s="443">
        <f>110+49</f>
        <v>159</v>
      </c>
      <c r="D434" s="443">
        <f>30+30</f>
        <v>60</v>
      </c>
      <c r="E434" s="443">
        <f>177+125</f>
        <v>302</v>
      </c>
    </row>
    <row r="435" spans="1:5" ht="16.5" customHeight="1">
      <c r="A435" s="1121" t="s">
        <v>88</v>
      </c>
      <c r="B435" s="443">
        <f>SUM(C435:E435)</f>
        <v>1507</v>
      </c>
      <c r="C435" s="443">
        <f>172+326</f>
        <v>498</v>
      </c>
      <c r="D435" s="443">
        <f>38+50</f>
        <v>88</v>
      </c>
      <c r="E435" s="443">
        <f>296+625</f>
        <v>921</v>
      </c>
    </row>
    <row r="436" spans="1:5" ht="16.5" customHeight="1">
      <c r="A436" s="1121" t="s">
        <v>89</v>
      </c>
      <c r="B436" s="443">
        <f>SUM(C436:E436)</f>
        <v>254</v>
      </c>
      <c r="C436" s="443">
        <f>12+55+29+26</f>
        <v>122</v>
      </c>
      <c r="D436" s="443">
        <f>2+9+8+5</f>
        <v>24</v>
      </c>
      <c r="E436" s="443">
        <f>22+31+25+30</f>
        <v>108</v>
      </c>
    </row>
    <row r="437" spans="1:5" ht="16.5" customHeight="1">
      <c r="A437" s="1121" t="s">
        <v>444</v>
      </c>
      <c r="B437" s="443">
        <f>SUM(C437:E437)</f>
        <v>3</v>
      </c>
      <c r="C437" s="443">
        <v>1</v>
      </c>
      <c r="D437" s="443">
        <v>1</v>
      </c>
      <c r="E437" s="443">
        <v>1</v>
      </c>
    </row>
    <row r="438" spans="1:5" ht="16.5" customHeight="1">
      <c r="A438" s="302" t="s">
        <v>78</v>
      </c>
      <c r="B438" s="439">
        <f>SUM(B439:B444)</f>
        <v>2319</v>
      </c>
      <c r="C438" s="439">
        <f>SUM(C439:C445)</f>
        <v>788</v>
      </c>
      <c r="D438" s="439">
        <f>SUM(D439:D445)</f>
        <v>179</v>
      </c>
      <c r="E438" s="439">
        <f>SUM(E439:E445)</f>
        <v>1352</v>
      </c>
    </row>
    <row r="439" spans="1:5" ht="16.5" customHeight="1">
      <c r="A439" s="1121" t="s">
        <v>445</v>
      </c>
      <c r="B439" s="443">
        <f t="shared" ref="B439:B444" si="21">SUM(C439:E439)</f>
        <v>818</v>
      </c>
      <c r="C439" s="443">
        <v>270</v>
      </c>
      <c r="D439" s="443">
        <v>93</v>
      </c>
      <c r="E439" s="443">
        <v>455</v>
      </c>
    </row>
    <row r="440" spans="1:5" ht="16.5" customHeight="1">
      <c r="A440" s="1121" t="s">
        <v>446</v>
      </c>
      <c r="B440" s="443">
        <f t="shared" si="21"/>
        <v>275</v>
      </c>
      <c r="C440" s="443">
        <v>123</v>
      </c>
      <c r="D440" s="443">
        <v>16</v>
      </c>
      <c r="E440" s="443">
        <v>136</v>
      </c>
    </row>
    <row r="441" spans="1:5" ht="16.5" customHeight="1">
      <c r="A441" s="1121" t="s">
        <v>447</v>
      </c>
      <c r="B441" s="443">
        <f t="shared" si="21"/>
        <v>1135</v>
      </c>
      <c r="C441" s="443">
        <v>366</v>
      </c>
      <c r="D441" s="443">
        <v>57</v>
      </c>
      <c r="E441" s="443">
        <v>712</v>
      </c>
    </row>
    <row r="442" spans="1:5" ht="16.5" customHeight="1">
      <c r="A442" s="1121" t="s">
        <v>448</v>
      </c>
      <c r="B442" s="443">
        <f t="shared" si="21"/>
        <v>46</v>
      </c>
      <c r="C442" s="443">
        <v>14</v>
      </c>
      <c r="D442" s="443">
        <v>8</v>
      </c>
      <c r="E442" s="443">
        <v>24</v>
      </c>
    </row>
    <row r="443" spans="1:5" ht="16.5" customHeight="1">
      <c r="A443" s="1121" t="s">
        <v>449</v>
      </c>
      <c r="B443" s="443">
        <f t="shared" si="21"/>
        <v>6</v>
      </c>
      <c r="C443" s="443">
        <v>4</v>
      </c>
      <c r="D443" s="443">
        <v>1</v>
      </c>
      <c r="E443" s="443">
        <v>1</v>
      </c>
    </row>
    <row r="444" spans="1:5" ht="16.5" customHeight="1">
      <c r="A444" s="1121" t="s">
        <v>450</v>
      </c>
      <c r="B444" s="443">
        <f t="shared" si="21"/>
        <v>39</v>
      </c>
      <c r="C444" s="443">
        <v>11</v>
      </c>
      <c r="D444" s="443">
        <v>4</v>
      </c>
      <c r="E444" s="443">
        <v>24</v>
      </c>
    </row>
    <row r="445" spans="1:5" ht="16.5" customHeight="1">
      <c r="A445" s="1122" t="s">
        <v>444</v>
      </c>
      <c r="B445" s="450" t="s">
        <v>117</v>
      </c>
      <c r="C445" s="601" t="s">
        <v>117</v>
      </c>
      <c r="D445" s="601" t="s">
        <v>117</v>
      </c>
      <c r="E445" s="601" t="s">
        <v>117</v>
      </c>
    </row>
    <row r="446" spans="1:5" ht="11.1" customHeight="1">
      <c r="A446" s="723"/>
      <c r="E446" s="658" t="s">
        <v>161</v>
      </c>
    </row>
    <row r="448" spans="1:5" ht="13.5" customHeight="1">
      <c r="A448" s="1135" t="str">
        <f>A358</f>
        <v>8.30   PUNO: POBLACIÓN PENAL REGISTRADA EN LA POLICÍA NACIONAL POR LOCAL PENITENCIARIO, SEGÚN TIPO DE</v>
      </c>
      <c r="B448" s="1135"/>
      <c r="C448" s="1135"/>
      <c r="D448" s="1135"/>
      <c r="E448" s="1135"/>
    </row>
    <row r="449" spans="1:5" ht="13.5" customHeight="1">
      <c r="A449" s="1135" t="str">
        <f>A359</f>
        <v xml:space="preserve">         DELITO, SITUACIÓN JURÍDICA, SEXO, NIVEL DE INSTRUCCIÓN Y ESTADO CIVIL, 2020 - 2024</v>
      </c>
      <c r="B449" s="1135"/>
      <c r="C449" s="1135"/>
      <c r="D449" s="1135"/>
      <c r="E449" s="1135"/>
    </row>
    <row r="450" spans="1:5" ht="5.0999999999999996" customHeight="1">
      <c r="A450" s="873"/>
      <c r="B450" s="895"/>
      <c r="C450" s="818"/>
      <c r="D450" s="818"/>
      <c r="E450" s="658"/>
    </row>
    <row r="451" spans="1:5" ht="12.75" customHeight="1">
      <c r="A451" s="1245" t="s">
        <v>32</v>
      </c>
      <c r="B451" s="1205" t="s">
        <v>472</v>
      </c>
      <c r="C451" s="1205"/>
      <c r="D451" s="1205"/>
      <c r="E451" s="1205"/>
    </row>
    <row r="452" spans="1:5" ht="18.95" customHeight="1">
      <c r="A452" s="1246"/>
      <c r="B452" s="272" t="s">
        <v>2</v>
      </c>
      <c r="C452" s="357" t="s">
        <v>4</v>
      </c>
      <c r="D452" s="357" t="s">
        <v>101</v>
      </c>
      <c r="E452" s="357" t="s">
        <v>110</v>
      </c>
    </row>
    <row r="453" spans="1:5" ht="15.95" customHeight="1">
      <c r="A453" s="302" t="s">
        <v>166</v>
      </c>
      <c r="B453" s="439">
        <v>3</v>
      </c>
      <c r="C453" s="439">
        <v>1</v>
      </c>
      <c r="D453" s="439">
        <v>1</v>
      </c>
      <c r="E453" s="439">
        <v>1</v>
      </c>
    </row>
    <row r="454" spans="1:5" ht="7.35" customHeight="1">
      <c r="A454" s="302"/>
      <c r="B454" s="439"/>
      <c r="C454" s="443"/>
      <c r="D454" s="443"/>
      <c r="E454" s="443"/>
    </row>
    <row r="455" spans="1:5" ht="15.95" customHeight="1">
      <c r="A455" s="302" t="s">
        <v>461</v>
      </c>
      <c r="B455" s="439">
        <f t="shared" ref="B455:B467" si="22">SUM(C455:E455)</f>
        <v>2325</v>
      </c>
      <c r="C455" s="439">
        <v>744</v>
      </c>
      <c r="D455" s="439">
        <f>+D471</f>
        <v>155</v>
      </c>
      <c r="E455" s="439">
        <f>+E471</f>
        <v>1426</v>
      </c>
    </row>
    <row r="456" spans="1:5" ht="15.95" customHeight="1">
      <c r="A456" s="302" t="s">
        <v>32</v>
      </c>
      <c r="B456" s="439">
        <f t="shared" si="22"/>
        <v>2284</v>
      </c>
      <c r="C456" s="439">
        <f>SUM(C457:C470)</f>
        <v>727</v>
      </c>
      <c r="D456" s="439">
        <f>SUM(D457:D470)</f>
        <v>145</v>
      </c>
      <c r="E456" s="439">
        <f>SUM(E457:E470)</f>
        <v>1412</v>
      </c>
    </row>
    <row r="457" spans="1:5" ht="16.5" customHeight="1">
      <c r="A457" s="1121" t="s">
        <v>434</v>
      </c>
      <c r="B457" s="443">
        <f t="shared" si="22"/>
        <v>301</v>
      </c>
      <c r="C457" s="443">
        <v>108</v>
      </c>
      <c r="D457" s="443">
        <v>25</v>
      </c>
      <c r="E457" s="443">
        <v>168</v>
      </c>
    </row>
    <row r="458" spans="1:5" ht="16.5" customHeight="1">
      <c r="A458" s="1121" t="s">
        <v>14</v>
      </c>
      <c r="B458" s="443">
        <f t="shared" si="22"/>
        <v>17</v>
      </c>
      <c r="C458" s="443">
        <v>8</v>
      </c>
      <c r="D458" s="443">
        <v>0</v>
      </c>
      <c r="E458" s="443">
        <v>9</v>
      </c>
    </row>
    <row r="459" spans="1:5" ht="16.5" customHeight="1">
      <c r="A459" s="1121" t="s">
        <v>435</v>
      </c>
      <c r="B459" s="443">
        <f t="shared" si="22"/>
        <v>690</v>
      </c>
      <c r="C459" s="443">
        <v>222</v>
      </c>
      <c r="D459" s="443">
        <v>20</v>
      </c>
      <c r="E459" s="443">
        <v>448</v>
      </c>
    </row>
    <row r="460" spans="1:5" ht="16.5" customHeight="1">
      <c r="A460" s="1121" t="s">
        <v>10</v>
      </c>
      <c r="B460" s="443">
        <f t="shared" si="22"/>
        <v>467</v>
      </c>
      <c r="C460" s="443">
        <v>129</v>
      </c>
      <c r="D460" s="443">
        <v>7</v>
      </c>
      <c r="E460" s="443">
        <v>331</v>
      </c>
    </row>
    <row r="461" spans="1:5" ht="16.5" customHeight="1">
      <c r="A461" s="1121" t="s">
        <v>436</v>
      </c>
      <c r="B461" s="443">
        <f t="shared" si="22"/>
        <v>1</v>
      </c>
      <c r="C461" s="443" t="s">
        <v>117</v>
      </c>
      <c r="D461" s="443">
        <v>1</v>
      </c>
      <c r="E461" s="443">
        <v>0</v>
      </c>
    </row>
    <row r="462" spans="1:5" ht="16.5" customHeight="1">
      <c r="A462" s="1121" t="s">
        <v>437</v>
      </c>
      <c r="B462" s="443">
        <f t="shared" si="22"/>
        <v>76</v>
      </c>
      <c r="C462" s="443">
        <f>3+4</f>
        <v>7</v>
      </c>
      <c r="D462" s="443">
        <v>0</v>
      </c>
      <c r="E462" s="443">
        <f>29+40</f>
        <v>69</v>
      </c>
    </row>
    <row r="463" spans="1:5" ht="16.5" customHeight="1">
      <c r="A463" s="1121" t="s">
        <v>438</v>
      </c>
      <c r="B463" s="443">
        <f t="shared" si="22"/>
        <v>61</v>
      </c>
      <c r="C463" s="443">
        <v>15</v>
      </c>
      <c r="D463" s="443">
        <v>15</v>
      </c>
      <c r="E463" s="443">
        <v>31</v>
      </c>
    </row>
    <row r="464" spans="1:5" ht="16.5" customHeight="1">
      <c r="A464" s="1121" t="s">
        <v>439</v>
      </c>
      <c r="B464" s="443">
        <f t="shared" si="22"/>
        <v>35</v>
      </c>
      <c r="C464" s="443">
        <v>26</v>
      </c>
      <c r="D464" s="443">
        <v>1</v>
      </c>
      <c r="E464" s="443">
        <v>8</v>
      </c>
    </row>
    <row r="465" spans="1:5" ht="16.5" customHeight="1">
      <c r="A465" s="1121" t="s">
        <v>28</v>
      </c>
      <c r="B465" s="443">
        <f t="shared" si="22"/>
        <v>7</v>
      </c>
      <c r="C465" s="443">
        <v>0</v>
      </c>
      <c r="D465" s="443">
        <v>1</v>
      </c>
      <c r="E465" s="443">
        <v>6</v>
      </c>
    </row>
    <row r="466" spans="1:5" ht="16.5" customHeight="1">
      <c r="A466" s="1121" t="s">
        <v>432</v>
      </c>
      <c r="B466" s="443">
        <f t="shared" si="22"/>
        <v>3</v>
      </c>
      <c r="C466" s="443">
        <v>0</v>
      </c>
      <c r="D466" s="443">
        <v>0</v>
      </c>
      <c r="E466" s="443">
        <v>3</v>
      </c>
    </row>
    <row r="467" spans="1:5" ht="16.5" customHeight="1">
      <c r="A467" s="1121" t="s">
        <v>99</v>
      </c>
      <c r="B467" s="443">
        <f t="shared" si="22"/>
        <v>11</v>
      </c>
      <c r="C467" s="443">
        <v>4</v>
      </c>
      <c r="D467" s="443">
        <v>1</v>
      </c>
      <c r="E467" s="443">
        <v>6</v>
      </c>
    </row>
    <row r="468" spans="1:5" ht="16.5" customHeight="1">
      <c r="A468" s="1121" t="s">
        <v>431</v>
      </c>
      <c r="B468" s="443">
        <f>SUM(C468:E468)</f>
        <v>0</v>
      </c>
      <c r="C468" s="443">
        <f>SUM(D468:E468)</f>
        <v>0</v>
      </c>
      <c r="D468" s="443">
        <f>SUM(E468:E468)</f>
        <v>0</v>
      </c>
      <c r="E468" s="443">
        <v>0</v>
      </c>
    </row>
    <row r="469" spans="1:5" ht="16.5" customHeight="1">
      <c r="A469" s="1121" t="s">
        <v>433</v>
      </c>
      <c r="B469" s="443">
        <f>SUM(C469:E469)</f>
        <v>615</v>
      </c>
      <c r="C469" s="443">
        <v>208</v>
      </c>
      <c r="D469" s="443">
        <v>74</v>
      </c>
      <c r="E469" s="443">
        <v>333</v>
      </c>
    </row>
    <row r="470" spans="1:5" ht="16.5" customHeight="1">
      <c r="A470" s="1121" t="s">
        <v>3</v>
      </c>
      <c r="B470" s="941">
        <f>SUM(C470:E470)</f>
        <v>0</v>
      </c>
      <c r="C470" s="941" t="s">
        <v>117</v>
      </c>
      <c r="D470" s="941" t="s">
        <v>117</v>
      </c>
      <c r="E470" s="941" t="s">
        <v>117</v>
      </c>
    </row>
    <row r="471" spans="1:5" ht="16.5" customHeight="1">
      <c r="A471" s="302" t="s">
        <v>90</v>
      </c>
      <c r="B471" s="940">
        <f t="shared" ref="B471:B490" si="23">SUM(C471:E471)</f>
        <v>2365</v>
      </c>
      <c r="C471" s="940">
        <f>SUM(C472:C473)</f>
        <v>784</v>
      </c>
      <c r="D471" s="940">
        <f>SUM(D472:D473)</f>
        <v>155</v>
      </c>
      <c r="E471" s="940">
        <f>SUM(E472:E473)</f>
        <v>1426</v>
      </c>
    </row>
    <row r="472" spans="1:5" ht="16.5" customHeight="1">
      <c r="A472" s="1121" t="s">
        <v>284</v>
      </c>
      <c r="B472" s="941">
        <f t="shared" si="23"/>
        <v>542</v>
      </c>
      <c r="C472" s="941">
        <v>138</v>
      </c>
      <c r="D472" s="941">
        <v>57</v>
      </c>
      <c r="E472" s="941">
        <v>347</v>
      </c>
    </row>
    <row r="473" spans="1:5" ht="16.5" customHeight="1">
      <c r="A473" s="1121" t="s">
        <v>285</v>
      </c>
      <c r="B473" s="941">
        <f t="shared" si="23"/>
        <v>1823</v>
      </c>
      <c r="C473" s="941">
        <v>646</v>
      </c>
      <c r="D473" s="941">
        <v>98</v>
      </c>
      <c r="E473" s="941">
        <v>1079</v>
      </c>
    </row>
    <row r="474" spans="1:5" ht="16.5" customHeight="1">
      <c r="A474" s="302" t="s">
        <v>71</v>
      </c>
      <c r="B474" s="940">
        <f t="shared" si="23"/>
        <v>2365</v>
      </c>
      <c r="C474" s="940">
        <f>SUM(C475:C476)</f>
        <v>784</v>
      </c>
      <c r="D474" s="940">
        <f>SUM(D475:D476)</f>
        <v>155</v>
      </c>
      <c r="E474" s="940">
        <f>SUM(E475:E476)</f>
        <v>1426</v>
      </c>
    </row>
    <row r="475" spans="1:5" ht="16.5" customHeight="1">
      <c r="A475" s="1121" t="s">
        <v>441</v>
      </c>
      <c r="B475" s="941">
        <f t="shared" si="23"/>
        <v>2162</v>
      </c>
      <c r="C475" s="941">
        <v>784</v>
      </c>
      <c r="D475" s="941" t="s">
        <v>117</v>
      </c>
      <c r="E475" s="941">
        <v>1378</v>
      </c>
    </row>
    <row r="476" spans="1:5" ht="16.5" customHeight="1">
      <c r="A476" s="1121" t="s">
        <v>442</v>
      </c>
      <c r="B476" s="941">
        <f t="shared" si="23"/>
        <v>203</v>
      </c>
      <c r="C476" s="941" t="s">
        <v>117</v>
      </c>
      <c r="D476" s="941">
        <v>155</v>
      </c>
      <c r="E476" s="941">
        <v>48</v>
      </c>
    </row>
    <row r="477" spans="1:5" ht="16.5" customHeight="1">
      <c r="A477" s="303" t="s">
        <v>74</v>
      </c>
      <c r="B477" s="940">
        <f t="shared" si="23"/>
        <v>2365</v>
      </c>
      <c r="C477" s="940">
        <f>SUM(C478:C482)</f>
        <v>784</v>
      </c>
      <c r="D477" s="940">
        <f>SUM(D478:D482)</f>
        <v>155</v>
      </c>
      <c r="E477" s="940">
        <f>SUM(E478:E482)</f>
        <v>1426</v>
      </c>
    </row>
    <row r="478" spans="1:5" ht="16.5" customHeight="1">
      <c r="A478" s="1121" t="s">
        <v>443</v>
      </c>
      <c r="B478" s="941">
        <f t="shared" si="23"/>
        <v>32</v>
      </c>
      <c r="C478" s="941">
        <v>8</v>
      </c>
      <c r="D478" s="941">
        <v>4</v>
      </c>
      <c r="E478" s="941">
        <v>20</v>
      </c>
    </row>
    <row r="479" spans="1:5" ht="34.5" customHeight="1">
      <c r="A479" s="1121" t="s">
        <v>87</v>
      </c>
      <c r="B479" s="941">
        <f t="shared" si="23"/>
        <v>501</v>
      </c>
      <c r="C479" s="941">
        <f>48+108</f>
        <v>156</v>
      </c>
      <c r="D479" s="941">
        <f>15+27</f>
        <v>42</v>
      </c>
      <c r="E479" s="941">
        <f>129+174</f>
        <v>303</v>
      </c>
    </row>
    <row r="480" spans="1:5" ht="16.5" customHeight="1">
      <c r="A480" s="1121" t="s">
        <v>88</v>
      </c>
      <c r="B480" s="941">
        <f t="shared" si="23"/>
        <v>1578</v>
      </c>
      <c r="C480" s="941">
        <f>333+171</f>
        <v>504</v>
      </c>
      <c r="D480" s="941">
        <f>58+27</f>
        <v>85</v>
      </c>
      <c r="E480" s="941">
        <f>664+325</f>
        <v>989</v>
      </c>
    </row>
    <row r="481" spans="1:43" ht="16.5" customHeight="1">
      <c r="A481" s="1121" t="s">
        <v>89</v>
      </c>
      <c r="B481" s="941">
        <f t="shared" si="23"/>
        <v>254</v>
      </c>
      <c r="C481" s="941">
        <f>50+11+28+27</f>
        <v>116</v>
      </c>
      <c r="D481" s="941">
        <f>11+1+4+8</f>
        <v>24</v>
      </c>
      <c r="E481" s="941">
        <f>37+24+31+22</f>
        <v>114</v>
      </c>
    </row>
    <row r="482" spans="1:43" ht="16.5" customHeight="1">
      <c r="A482" s="1121" t="s">
        <v>444</v>
      </c>
      <c r="B482" s="941" t="s">
        <v>117</v>
      </c>
      <c r="C482" s="941" t="s">
        <v>117</v>
      </c>
      <c r="D482" s="941" t="s">
        <v>117</v>
      </c>
      <c r="E482" s="941" t="s">
        <v>117</v>
      </c>
    </row>
    <row r="483" spans="1:43" ht="16.5" customHeight="1">
      <c r="A483" s="302" t="s">
        <v>78</v>
      </c>
      <c r="B483" s="940">
        <f t="shared" si="23"/>
        <v>2363</v>
      </c>
      <c r="C483" s="940">
        <f>SUM(C484:C490)</f>
        <v>744</v>
      </c>
      <c r="D483" s="940">
        <f>SUM(D484:D490)</f>
        <v>158</v>
      </c>
      <c r="E483" s="940">
        <f>SUM(E484:E490)</f>
        <v>1461</v>
      </c>
    </row>
    <row r="484" spans="1:43" ht="16.5" customHeight="1">
      <c r="A484" s="1121" t="s">
        <v>445</v>
      </c>
      <c r="B484" s="941">
        <f t="shared" si="23"/>
        <v>872</v>
      </c>
      <c r="C484" s="941">
        <v>264</v>
      </c>
      <c r="D484" s="941">
        <v>82</v>
      </c>
      <c r="E484" s="941">
        <v>526</v>
      </c>
    </row>
    <row r="485" spans="1:43" ht="16.5" customHeight="1">
      <c r="A485" s="1121" t="s">
        <v>446</v>
      </c>
      <c r="B485" s="941">
        <f t="shared" si="23"/>
        <v>275</v>
      </c>
      <c r="C485" s="941">
        <v>115</v>
      </c>
      <c r="D485" s="941">
        <v>14</v>
      </c>
      <c r="E485" s="941">
        <v>146</v>
      </c>
    </row>
    <row r="486" spans="1:43" ht="16.5" customHeight="1">
      <c r="A486" s="1121" t="s">
        <v>447</v>
      </c>
      <c r="B486" s="941">
        <f t="shared" si="23"/>
        <v>1123</v>
      </c>
      <c r="C486" s="941">
        <v>336</v>
      </c>
      <c r="D486" s="941">
        <v>49</v>
      </c>
      <c r="E486" s="941">
        <v>738</v>
      </c>
    </row>
    <row r="487" spans="1:43" ht="16.5" customHeight="1">
      <c r="A487" s="1121" t="s">
        <v>448</v>
      </c>
      <c r="B487" s="443">
        <f t="shared" si="23"/>
        <v>48</v>
      </c>
      <c r="C487" s="443">
        <v>15</v>
      </c>
      <c r="D487" s="443">
        <v>8</v>
      </c>
      <c r="E487" s="443">
        <v>25</v>
      </c>
    </row>
    <row r="488" spans="1:43" ht="16.5" customHeight="1">
      <c r="A488" s="1121" t="s">
        <v>449</v>
      </c>
      <c r="B488" s="443">
        <f t="shared" si="23"/>
        <v>4</v>
      </c>
      <c r="C488" s="443">
        <v>3</v>
      </c>
      <c r="D488" s="443">
        <v>0</v>
      </c>
      <c r="E488" s="443">
        <v>1</v>
      </c>
    </row>
    <row r="489" spans="1:43" ht="16.5" customHeight="1">
      <c r="A489" s="1121" t="s">
        <v>450</v>
      </c>
      <c r="B489" s="443">
        <f t="shared" si="23"/>
        <v>41</v>
      </c>
      <c r="C489" s="443">
        <v>11</v>
      </c>
      <c r="D489" s="443">
        <v>5</v>
      </c>
      <c r="E489" s="443">
        <v>25</v>
      </c>
    </row>
    <row r="490" spans="1:43" ht="16.5" customHeight="1">
      <c r="A490" s="1122" t="s">
        <v>444</v>
      </c>
      <c r="B490" s="601">
        <f t="shared" si="23"/>
        <v>0</v>
      </c>
      <c r="C490" s="601" t="s">
        <v>117</v>
      </c>
      <c r="D490" s="601" t="s">
        <v>117</v>
      </c>
      <c r="E490" s="601" t="s">
        <v>117</v>
      </c>
    </row>
    <row r="491" spans="1:43" s="334" customFormat="1" ht="11.1" customHeight="1">
      <c r="A491" s="149"/>
      <c r="E491" s="658" t="s">
        <v>161</v>
      </c>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row>
    <row r="492" spans="1:43" s="334" customFormat="1" ht="11.1" hidden="1" customHeight="1">
      <c r="A492" s="149"/>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row>
    <row r="493" spans="1:43" ht="11.1" customHeight="1">
      <c r="A493" s="723"/>
    </row>
    <row r="496" spans="1:43" ht="13.5">
      <c r="A496" s="1135" t="str">
        <f>A358</f>
        <v>8.30   PUNO: POBLACIÓN PENAL REGISTRADA EN LA POLICÍA NACIONAL POR LOCAL PENITENCIARIO, SEGÚN TIPO DE</v>
      </c>
      <c r="B496" s="1135"/>
      <c r="C496" s="1135"/>
      <c r="D496" s="1135"/>
      <c r="E496" s="1135"/>
    </row>
    <row r="497" spans="1:5" ht="13.5">
      <c r="A497" s="1135" t="str">
        <f>A359</f>
        <v xml:space="preserve">         DELITO, SITUACIÓN JURÍDICA, SEXO, NIVEL DE INSTRUCCIÓN Y ESTADO CIVIL, 2020 - 2024</v>
      </c>
      <c r="B497" s="1135"/>
      <c r="C497" s="1135"/>
      <c r="D497" s="1135"/>
      <c r="E497" s="1135"/>
    </row>
    <row r="498" spans="1:5" ht="5.0999999999999996" customHeight="1">
      <c r="A498" s="873"/>
      <c r="B498" s="895"/>
      <c r="C498" s="818"/>
      <c r="D498" s="818"/>
      <c r="E498" s="658"/>
    </row>
    <row r="499" spans="1:5">
      <c r="A499" s="1245" t="s">
        <v>32</v>
      </c>
      <c r="B499" s="1205">
        <v>2023</v>
      </c>
      <c r="C499" s="1205"/>
      <c r="D499" s="1205"/>
      <c r="E499" s="1205"/>
    </row>
    <row r="500" spans="1:5">
      <c r="A500" s="1246"/>
      <c r="B500" s="272" t="s">
        <v>2</v>
      </c>
      <c r="C500" s="357" t="s">
        <v>4</v>
      </c>
      <c r="D500" s="357" t="s">
        <v>101</v>
      </c>
      <c r="E500" s="357" t="s">
        <v>110</v>
      </c>
    </row>
    <row r="501" spans="1:5">
      <c r="A501" s="302" t="s">
        <v>166</v>
      </c>
      <c r="B501" s="439">
        <v>3</v>
      </c>
      <c r="C501" s="439">
        <v>1</v>
      </c>
      <c r="D501" s="439">
        <v>1</v>
      </c>
      <c r="E501" s="439">
        <v>1</v>
      </c>
    </row>
    <row r="502" spans="1:5">
      <c r="A502" s="302"/>
      <c r="B502" s="439"/>
      <c r="C502" s="443"/>
      <c r="D502" s="443"/>
      <c r="E502" s="443"/>
    </row>
    <row r="503" spans="1:5" ht="17.100000000000001" customHeight="1">
      <c r="A503" s="302" t="s">
        <v>461</v>
      </c>
      <c r="B503" s="439">
        <f t="shared" ref="B503:B504" si="24">SUM(C503:E503)</f>
        <v>2501</v>
      </c>
      <c r="C503" s="439">
        <v>776</v>
      </c>
      <c r="D503" s="439">
        <f>+D519</f>
        <v>169</v>
      </c>
      <c r="E503" s="439">
        <f>+E519</f>
        <v>1556</v>
      </c>
    </row>
    <row r="504" spans="1:5" ht="17.100000000000001" customHeight="1">
      <c r="A504" s="302" t="s">
        <v>32</v>
      </c>
      <c r="B504" s="439">
        <f t="shared" si="24"/>
        <v>0</v>
      </c>
      <c r="C504" s="439">
        <f>SUM(C505:C518)</f>
        <v>0</v>
      </c>
      <c r="D504" s="439">
        <f>SUM(D505:D518)</f>
        <v>0</v>
      </c>
      <c r="E504" s="439">
        <f>SUM(E505:E518)</f>
        <v>0</v>
      </c>
    </row>
    <row r="505" spans="1:5" ht="17.100000000000001" customHeight="1">
      <c r="A505" s="1121" t="s">
        <v>434</v>
      </c>
      <c r="B505" s="443" t="s">
        <v>117</v>
      </c>
      <c r="C505" s="443" t="s">
        <v>117</v>
      </c>
      <c r="D505" s="443" t="s">
        <v>117</v>
      </c>
      <c r="E505" s="443" t="s">
        <v>117</v>
      </c>
    </row>
    <row r="506" spans="1:5" ht="17.100000000000001" customHeight="1">
      <c r="A506" s="1121" t="s">
        <v>14</v>
      </c>
      <c r="B506" s="443" t="s">
        <v>117</v>
      </c>
      <c r="C506" s="443" t="s">
        <v>117</v>
      </c>
      <c r="D506" s="443" t="s">
        <v>117</v>
      </c>
      <c r="E506" s="443" t="s">
        <v>117</v>
      </c>
    </row>
    <row r="507" spans="1:5" ht="17.100000000000001" customHeight="1">
      <c r="A507" s="1121" t="s">
        <v>435</v>
      </c>
      <c r="B507" s="443" t="s">
        <v>117</v>
      </c>
      <c r="C507" s="443" t="s">
        <v>117</v>
      </c>
      <c r="D507" s="443" t="s">
        <v>117</v>
      </c>
      <c r="E507" s="443" t="s">
        <v>117</v>
      </c>
    </row>
    <row r="508" spans="1:5" ht="17.100000000000001" customHeight="1">
      <c r="A508" s="1121" t="s">
        <v>10</v>
      </c>
      <c r="B508" s="443" t="s">
        <v>117</v>
      </c>
      <c r="C508" s="443" t="s">
        <v>117</v>
      </c>
      <c r="D508" s="443" t="s">
        <v>117</v>
      </c>
      <c r="E508" s="443" t="s">
        <v>117</v>
      </c>
    </row>
    <row r="509" spans="1:5" ht="17.100000000000001" customHeight="1">
      <c r="A509" s="1121" t="s">
        <v>436</v>
      </c>
      <c r="B509" s="443" t="s">
        <v>117</v>
      </c>
      <c r="C509" s="443" t="s">
        <v>117</v>
      </c>
      <c r="D509" s="443" t="s">
        <v>117</v>
      </c>
      <c r="E509" s="443" t="s">
        <v>117</v>
      </c>
    </row>
    <row r="510" spans="1:5" ht="17.100000000000001" customHeight="1">
      <c r="A510" s="1121" t="s">
        <v>437</v>
      </c>
      <c r="B510" s="443" t="s">
        <v>117</v>
      </c>
      <c r="C510" s="443" t="s">
        <v>117</v>
      </c>
      <c r="D510" s="443" t="s">
        <v>117</v>
      </c>
      <c r="E510" s="443" t="s">
        <v>117</v>
      </c>
    </row>
    <row r="511" spans="1:5" ht="17.100000000000001" customHeight="1">
      <c r="A511" s="1121" t="s">
        <v>438</v>
      </c>
      <c r="B511" s="443" t="s">
        <v>117</v>
      </c>
      <c r="C511" s="443" t="s">
        <v>117</v>
      </c>
      <c r="D511" s="443" t="s">
        <v>117</v>
      </c>
      <c r="E511" s="443" t="s">
        <v>117</v>
      </c>
    </row>
    <row r="512" spans="1:5" ht="17.100000000000001" customHeight="1">
      <c r="A512" s="1121" t="s">
        <v>439</v>
      </c>
      <c r="B512" s="443" t="s">
        <v>117</v>
      </c>
      <c r="C512" s="443" t="s">
        <v>117</v>
      </c>
      <c r="D512" s="443" t="s">
        <v>117</v>
      </c>
      <c r="E512" s="443" t="s">
        <v>117</v>
      </c>
    </row>
    <row r="513" spans="1:5" ht="17.100000000000001" customHeight="1">
      <c r="A513" s="1121" t="s">
        <v>28</v>
      </c>
      <c r="B513" s="443" t="s">
        <v>117</v>
      </c>
      <c r="C513" s="443" t="s">
        <v>117</v>
      </c>
      <c r="D513" s="443" t="s">
        <v>117</v>
      </c>
      <c r="E513" s="443" t="s">
        <v>117</v>
      </c>
    </row>
    <row r="514" spans="1:5" ht="17.100000000000001" customHeight="1">
      <c r="A514" s="1121" t="s">
        <v>432</v>
      </c>
      <c r="B514" s="443" t="s">
        <v>117</v>
      </c>
      <c r="C514" s="443" t="s">
        <v>117</v>
      </c>
      <c r="D514" s="443" t="s">
        <v>117</v>
      </c>
      <c r="E514" s="443" t="s">
        <v>117</v>
      </c>
    </row>
    <row r="515" spans="1:5" ht="17.100000000000001" customHeight="1">
      <c r="A515" s="1121" t="s">
        <v>99</v>
      </c>
      <c r="B515" s="443" t="s">
        <v>117</v>
      </c>
      <c r="C515" s="443" t="s">
        <v>117</v>
      </c>
      <c r="D515" s="443" t="s">
        <v>117</v>
      </c>
      <c r="E515" s="443" t="s">
        <v>117</v>
      </c>
    </row>
    <row r="516" spans="1:5" ht="17.100000000000001" customHeight="1">
      <c r="A516" s="1121" t="s">
        <v>431</v>
      </c>
      <c r="B516" s="443" t="s">
        <v>117</v>
      </c>
      <c r="C516" s="443" t="s">
        <v>117</v>
      </c>
      <c r="D516" s="443" t="s">
        <v>117</v>
      </c>
      <c r="E516" s="443" t="s">
        <v>117</v>
      </c>
    </row>
    <row r="517" spans="1:5" ht="17.100000000000001" customHeight="1">
      <c r="A517" s="1121" t="s">
        <v>433</v>
      </c>
      <c r="B517" s="443" t="s">
        <v>117</v>
      </c>
      <c r="C517" s="443" t="s">
        <v>117</v>
      </c>
      <c r="D517" s="443" t="s">
        <v>117</v>
      </c>
      <c r="E517" s="443" t="s">
        <v>117</v>
      </c>
    </row>
    <row r="518" spans="1:5" ht="17.100000000000001" customHeight="1">
      <c r="A518" s="1121" t="s">
        <v>3</v>
      </c>
      <c r="B518" s="443" t="s">
        <v>117</v>
      </c>
      <c r="C518" s="443" t="s">
        <v>117</v>
      </c>
      <c r="D518" s="443" t="s">
        <v>117</v>
      </c>
      <c r="E518" s="443" t="s">
        <v>117</v>
      </c>
    </row>
    <row r="519" spans="1:5" ht="17.100000000000001" customHeight="1">
      <c r="A519" s="302" t="s">
        <v>90</v>
      </c>
      <c r="B519" s="940">
        <f t="shared" ref="B519:B531" si="25">SUM(C519:E519)</f>
        <v>2514</v>
      </c>
      <c r="C519" s="940">
        <f>SUM(C520:C521)</f>
        <v>789</v>
      </c>
      <c r="D519" s="940">
        <f>SUM(D520:D521)</f>
        <v>169</v>
      </c>
      <c r="E519" s="940">
        <f>SUM(E520:E521)</f>
        <v>1556</v>
      </c>
    </row>
    <row r="520" spans="1:5" ht="17.100000000000001" customHeight="1">
      <c r="A520" s="1121" t="s">
        <v>284</v>
      </c>
      <c r="B520" s="941">
        <f t="shared" si="25"/>
        <v>529</v>
      </c>
      <c r="C520" s="941">
        <v>110</v>
      </c>
      <c r="D520" s="941">
        <v>53</v>
      </c>
      <c r="E520" s="941">
        <v>366</v>
      </c>
    </row>
    <row r="521" spans="1:5" ht="17.100000000000001" customHeight="1">
      <c r="A521" s="1121" t="s">
        <v>285</v>
      </c>
      <c r="B521" s="941">
        <f t="shared" si="25"/>
        <v>1985</v>
      </c>
      <c r="C521" s="941">
        <v>679</v>
      </c>
      <c r="D521" s="941">
        <v>116</v>
      </c>
      <c r="E521" s="941">
        <v>1190</v>
      </c>
    </row>
    <row r="522" spans="1:5" ht="17.100000000000001" customHeight="1">
      <c r="A522" s="302" t="s">
        <v>71</v>
      </c>
      <c r="B522" s="940">
        <f t="shared" si="25"/>
        <v>2514</v>
      </c>
      <c r="C522" s="940">
        <f>SUM(C523:C524)</f>
        <v>789</v>
      </c>
      <c r="D522" s="940">
        <f>SUM(D523:D524)</f>
        <v>169</v>
      </c>
      <c r="E522" s="940">
        <f>SUM(E523:E524)</f>
        <v>1556</v>
      </c>
    </row>
    <row r="523" spans="1:5" ht="17.100000000000001" customHeight="1">
      <c r="A523" s="1121" t="s">
        <v>441</v>
      </c>
      <c r="B523" s="941">
        <f t="shared" si="25"/>
        <v>2304</v>
      </c>
      <c r="C523" s="941">
        <v>789</v>
      </c>
      <c r="D523" s="941" t="s">
        <v>117</v>
      </c>
      <c r="E523" s="941">
        <v>1515</v>
      </c>
    </row>
    <row r="524" spans="1:5" ht="17.100000000000001" customHeight="1">
      <c r="A524" s="1121" t="s">
        <v>442</v>
      </c>
      <c r="B524" s="941">
        <f t="shared" si="25"/>
        <v>210</v>
      </c>
      <c r="C524" s="941" t="s">
        <v>117</v>
      </c>
      <c r="D524" s="941">
        <v>169</v>
      </c>
      <c r="E524" s="941">
        <v>41</v>
      </c>
    </row>
    <row r="525" spans="1:5" ht="17.100000000000001" customHeight="1">
      <c r="A525" s="303" t="s">
        <v>74</v>
      </c>
      <c r="B525" s="940">
        <f t="shared" si="25"/>
        <v>2514</v>
      </c>
      <c r="C525" s="940">
        <f>SUM(C526:C530)</f>
        <v>789</v>
      </c>
      <c r="D525" s="940">
        <f>SUM(D526:D530)</f>
        <v>169</v>
      </c>
      <c r="E525" s="940">
        <f>SUM(E526:E530)</f>
        <v>1556</v>
      </c>
    </row>
    <row r="526" spans="1:5" ht="17.100000000000001" customHeight="1">
      <c r="A526" s="1121" t="s">
        <v>443</v>
      </c>
      <c r="B526" s="941">
        <f>SUM(C526:E526)</f>
        <v>32</v>
      </c>
      <c r="C526" s="941">
        <v>9</v>
      </c>
      <c r="D526" s="941">
        <v>3</v>
      </c>
      <c r="E526" s="941">
        <v>20</v>
      </c>
    </row>
    <row r="527" spans="1:5" ht="17.100000000000001" customHeight="1">
      <c r="A527" s="1121" t="s">
        <v>87</v>
      </c>
      <c r="B527" s="941">
        <f t="shared" si="25"/>
        <v>503</v>
      </c>
      <c r="C527" s="941">
        <f>51+95</f>
        <v>146</v>
      </c>
      <c r="D527" s="941">
        <f>18+29</f>
        <v>47</v>
      </c>
      <c r="E527" s="941">
        <f>136+174</f>
        <v>310</v>
      </c>
    </row>
    <row r="528" spans="1:5" ht="17.100000000000001" customHeight="1">
      <c r="A528" s="1121" t="s">
        <v>88</v>
      </c>
      <c r="B528" s="941">
        <f t="shared" si="25"/>
        <v>1713</v>
      </c>
      <c r="C528" s="941">
        <f>364+171</f>
        <v>535</v>
      </c>
      <c r="D528" s="941">
        <f>62+33</f>
        <v>95</v>
      </c>
      <c r="E528" s="941">
        <f>737+346</f>
        <v>1083</v>
      </c>
    </row>
    <row r="529" spans="1:5" ht="17.100000000000001" customHeight="1">
      <c r="A529" s="1121" t="s">
        <v>89</v>
      </c>
      <c r="B529" s="941">
        <f t="shared" si="25"/>
        <v>266</v>
      </c>
      <c r="C529" s="941">
        <v>99</v>
      </c>
      <c r="D529" s="941">
        <v>24</v>
      </c>
      <c r="E529" s="941">
        <v>143</v>
      </c>
    </row>
    <row r="530" spans="1:5" ht="17.100000000000001" customHeight="1">
      <c r="A530" s="1121" t="s">
        <v>444</v>
      </c>
      <c r="B530" s="941" t="s">
        <v>117</v>
      </c>
      <c r="C530" s="941" t="s">
        <v>117</v>
      </c>
      <c r="D530" s="941" t="s">
        <v>117</v>
      </c>
      <c r="E530" s="941" t="s">
        <v>117</v>
      </c>
    </row>
    <row r="531" spans="1:5" ht="17.100000000000001" customHeight="1">
      <c r="A531" s="302" t="s">
        <v>78</v>
      </c>
      <c r="B531" s="940">
        <f t="shared" si="25"/>
        <v>0</v>
      </c>
      <c r="C531" s="940">
        <f>SUM(C532:C538)</f>
        <v>0</v>
      </c>
      <c r="D531" s="940">
        <f>SUM(D532:D538)</f>
        <v>0</v>
      </c>
      <c r="E531" s="940">
        <f>SUM(E532:E538)</f>
        <v>0</v>
      </c>
    </row>
    <row r="532" spans="1:5" ht="17.100000000000001" customHeight="1">
      <c r="A532" s="1121" t="s">
        <v>445</v>
      </c>
      <c r="B532" s="941" t="s">
        <v>117</v>
      </c>
      <c r="C532" s="941" t="s">
        <v>117</v>
      </c>
      <c r="D532" s="941" t="s">
        <v>117</v>
      </c>
      <c r="E532" s="941" t="s">
        <v>117</v>
      </c>
    </row>
    <row r="533" spans="1:5" ht="17.100000000000001" customHeight="1">
      <c r="A533" s="1121" t="s">
        <v>446</v>
      </c>
      <c r="B533" s="941" t="s">
        <v>117</v>
      </c>
      <c r="C533" s="941" t="s">
        <v>117</v>
      </c>
      <c r="D533" s="941" t="s">
        <v>117</v>
      </c>
      <c r="E533" s="941" t="s">
        <v>117</v>
      </c>
    </row>
    <row r="534" spans="1:5" ht="17.100000000000001" customHeight="1">
      <c r="A534" s="1121" t="s">
        <v>447</v>
      </c>
      <c r="B534" s="443" t="s">
        <v>117</v>
      </c>
      <c r="C534" s="443" t="s">
        <v>117</v>
      </c>
      <c r="D534" s="443" t="s">
        <v>117</v>
      </c>
      <c r="E534" s="443" t="s">
        <v>117</v>
      </c>
    </row>
    <row r="535" spans="1:5" ht="17.100000000000001" customHeight="1">
      <c r="A535" s="1121" t="s">
        <v>448</v>
      </c>
      <c r="B535" s="443" t="s">
        <v>117</v>
      </c>
      <c r="C535" s="443" t="s">
        <v>117</v>
      </c>
      <c r="D535" s="443" t="s">
        <v>117</v>
      </c>
      <c r="E535" s="443" t="s">
        <v>117</v>
      </c>
    </row>
    <row r="536" spans="1:5" ht="17.100000000000001" customHeight="1">
      <c r="A536" s="1121" t="s">
        <v>449</v>
      </c>
      <c r="B536" s="443" t="s">
        <v>117</v>
      </c>
      <c r="C536" s="443" t="s">
        <v>117</v>
      </c>
      <c r="D536" s="443" t="s">
        <v>117</v>
      </c>
      <c r="E536" s="443" t="s">
        <v>117</v>
      </c>
    </row>
    <row r="537" spans="1:5" ht="17.100000000000001" customHeight="1">
      <c r="A537" s="1121" t="s">
        <v>450</v>
      </c>
      <c r="B537" s="443" t="s">
        <v>117</v>
      </c>
      <c r="C537" s="443" t="s">
        <v>117</v>
      </c>
      <c r="D537" s="443" t="s">
        <v>117</v>
      </c>
      <c r="E537" s="443" t="s">
        <v>117</v>
      </c>
    </row>
    <row r="538" spans="1:5" ht="17.100000000000001" customHeight="1">
      <c r="A538" s="1122" t="s">
        <v>444</v>
      </c>
      <c r="B538" s="601" t="s">
        <v>117</v>
      </c>
      <c r="C538" s="601" t="s">
        <v>117</v>
      </c>
      <c r="D538" s="601" t="s">
        <v>117</v>
      </c>
      <c r="E538" s="601" t="s">
        <v>117</v>
      </c>
    </row>
    <row r="539" spans="1:5">
      <c r="A539" s="149"/>
      <c r="B539" s="334"/>
      <c r="C539" s="334"/>
      <c r="D539" s="334"/>
      <c r="E539" s="658" t="s">
        <v>161</v>
      </c>
    </row>
    <row r="540" spans="1:5">
      <c r="A540" s="723"/>
      <c r="B540" s="334"/>
      <c r="C540" s="334"/>
      <c r="D540" s="334"/>
      <c r="E540" s="334"/>
    </row>
    <row r="543" spans="1:5" ht="13.5">
      <c r="A543" s="1135" t="str">
        <f>A358</f>
        <v>8.30   PUNO: POBLACIÓN PENAL REGISTRADA EN LA POLICÍA NACIONAL POR LOCAL PENITENCIARIO, SEGÚN TIPO DE</v>
      </c>
      <c r="B543" s="1135"/>
      <c r="C543" s="1135"/>
      <c r="D543" s="1135"/>
      <c r="E543" s="1135"/>
    </row>
    <row r="544" spans="1:5" ht="13.5">
      <c r="A544" s="1135" t="str">
        <f>A359</f>
        <v xml:space="preserve">         DELITO, SITUACIÓN JURÍDICA, SEXO, NIVEL DE INSTRUCCIÓN Y ESTADO CIVIL, 2020 - 2024</v>
      </c>
      <c r="B544" s="1135"/>
      <c r="C544" s="1135"/>
      <c r="D544" s="1135"/>
      <c r="E544" s="1135"/>
    </row>
    <row r="545" spans="1:5">
      <c r="A545" s="873"/>
      <c r="B545" s="895"/>
      <c r="C545" s="818"/>
      <c r="D545" s="818"/>
      <c r="E545" s="658" t="s">
        <v>516</v>
      </c>
    </row>
    <row r="546" spans="1:5">
      <c r="A546" s="1252" t="s">
        <v>32</v>
      </c>
      <c r="B546" s="1205">
        <v>2024</v>
      </c>
      <c r="C546" s="1205"/>
      <c r="D546" s="1205"/>
      <c r="E546" s="1205"/>
    </row>
    <row r="547" spans="1:5">
      <c r="A547" s="1253"/>
      <c r="B547" s="272" t="s">
        <v>2</v>
      </c>
      <c r="C547" s="357" t="s">
        <v>4</v>
      </c>
      <c r="D547" s="357" t="s">
        <v>101</v>
      </c>
      <c r="E547" s="357" t="s">
        <v>110</v>
      </c>
    </row>
    <row r="548" spans="1:5">
      <c r="A548" s="302" t="s">
        <v>166</v>
      </c>
      <c r="B548" s="439">
        <v>3</v>
      </c>
      <c r="C548" s="439">
        <v>1</v>
      </c>
      <c r="D548" s="439">
        <v>1</v>
      </c>
      <c r="E548" s="439">
        <v>1</v>
      </c>
    </row>
    <row r="549" spans="1:5" ht="12" customHeight="1">
      <c r="A549" s="302"/>
      <c r="B549" s="439"/>
      <c r="C549" s="443"/>
      <c r="D549" s="443"/>
      <c r="E549" s="443"/>
    </row>
    <row r="550" spans="1:5" ht="15.95" customHeight="1">
      <c r="A550" s="302" t="s">
        <v>461</v>
      </c>
      <c r="B550" s="439">
        <f t="shared" ref="B550:B551" si="26">SUM(C550:E550)</f>
        <v>2545</v>
      </c>
      <c r="C550" s="439">
        <v>776</v>
      </c>
      <c r="D550" s="439">
        <f>+D566</f>
        <v>168</v>
      </c>
      <c r="E550" s="439">
        <f>+E566</f>
        <v>1601</v>
      </c>
    </row>
    <row r="551" spans="1:5" ht="15.95" customHeight="1">
      <c r="A551" s="302" t="s">
        <v>32</v>
      </c>
      <c r="B551" s="439">
        <f t="shared" si="26"/>
        <v>0</v>
      </c>
      <c r="C551" s="439">
        <f>SUM(C552:C565)</f>
        <v>0</v>
      </c>
      <c r="D551" s="439">
        <f>SUM(D552:D565)</f>
        <v>0</v>
      </c>
      <c r="E551" s="439">
        <f>SUM(E552:E565)</f>
        <v>0</v>
      </c>
    </row>
    <row r="552" spans="1:5" ht="15.95" customHeight="1">
      <c r="A552" s="1121" t="s">
        <v>434</v>
      </c>
      <c r="B552" s="443" t="s">
        <v>117</v>
      </c>
      <c r="C552" s="443" t="s">
        <v>117</v>
      </c>
      <c r="D552" s="443" t="s">
        <v>117</v>
      </c>
      <c r="E552" s="443" t="s">
        <v>117</v>
      </c>
    </row>
    <row r="553" spans="1:5" ht="15.95" customHeight="1">
      <c r="A553" s="1121" t="s">
        <v>14</v>
      </c>
      <c r="B553" s="443" t="s">
        <v>117</v>
      </c>
      <c r="C553" s="443" t="s">
        <v>117</v>
      </c>
      <c r="D553" s="443" t="s">
        <v>117</v>
      </c>
      <c r="E553" s="443" t="s">
        <v>117</v>
      </c>
    </row>
    <row r="554" spans="1:5" ht="15.95" customHeight="1">
      <c r="A554" s="1121" t="s">
        <v>435</v>
      </c>
      <c r="B554" s="443" t="s">
        <v>117</v>
      </c>
      <c r="C554" s="443" t="s">
        <v>117</v>
      </c>
      <c r="D554" s="443" t="s">
        <v>117</v>
      </c>
      <c r="E554" s="443" t="s">
        <v>117</v>
      </c>
    </row>
    <row r="555" spans="1:5" ht="15.95" customHeight="1">
      <c r="A555" s="1121" t="s">
        <v>10</v>
      </c>
      <c r="B555" s="443" t="s">
        <v>117</v>
      </c>
      <c r="C555" s="443" t="s">
        <v>117</v>
      </c>
      <c r="D555" s="443" t="s">
        <v>117</v>
      </c>
      <c r="E555" s="443" t="s">
        <v>117</v>
      </c>
    </row>
    <row r="556" spans="1:5" ht="15.95" customHeight="1">
      <c r="A556" s="1121" t="s">
        <v>436</v>
      </c>
      <c r="B556" s="443" t="s">
        <v>117</v>
      </c>
      <c r="C556" s="443" t="s">
        <v>117</v>
      </c>
      <c r="D556" s="443" t="s">
        <v>117</v>
      </c>
      <c r="E556" s="443" t="s">
        <v>117</v>
      </c>
    </row>
    <row r="557" spans="1:5" ht="15.95" customHeight="1">
      <c r="A557" s="1121" t="s">
        <v>437</v>
      </c>
      <c r="B557" s="443" t="s">
        <v>117</v>
      </c>
      <c r="C557" s="443" t="s">
        <v>117</v>
      </c>
      <c r="D557" s="443" t="s">
        <v>117</v>
      </c>
      <c r="E557" s="443" t="s">
        <v>117</v>
      </c>
    </row>
    <row r="558" spans="1:5" ht="15.95" customHeight="1">
      <c r="A558" s="1121" t="s">
        <v>438</v>
      </c>
      <c r="B558" s="443" t="s">
        <v>117</v>
      </c>
      <c r="C558" s="443" t="s">
        <v>117</v>
      </c>
      <c r="D558" s="443" t="s">
        <v>117</v>
      </c>
      <c r="E558" s="443" t="s">
        <v>117</v>
      </c>
    </row>
    <row r="559" spans="1:5" ht="15.95" customHeight="1">
      <c r="A559" s="1121" t="s">
        <v>439</v>
      </c>
      <c r="B559" s="443" t="s">
        <v>117</v>
      </c>
      <c r="C559" s="443" t="s">
        <v>117</v>
      </c>
      <c r="D559" s="443" t="s">
        <v>117</v>
      </c>
      <c r="E559" s="443" t="s">
        <v>117</v>
      </c>
    </row>
    <row r="560" spans="1:5" ht="15.95" customHeight="1">
      <c r="A560" s="1121" t="s">
        <v>28</v>
      </c>
      <c r="B560" s="443" t="s">
        <v>117</v>
      </c>
      <c r="C560" s="443" t="s">
        <v>117</v>
      </c>
      <c r="D560" s="443" t="s">
        <v>117</v>
      </c>
      <c r="E560" s="443" t="s">
        <v>117</v>
      </c>
    </row>
    <row r="561" spans="1:5" ht="15.95" customHeight="1">
      <c r="A561" s="1121" t="s">
        <v>432</v>
      </c>
      <c r="B561" s="443" t="s">
        <v>117</v>
      </c>
      <c r="C561" s="443" t="s">
        <v>117</v>
      </c>
      <c r="D561" s="443" t="s">
        <v>117</v>
      </c>
      <c r="E561" s="443" t="s">
        <v>117</v>
      </c>
    </row>
    <row r="562" spans="1:5" ht="15.95" customHeight="1">
      <c r="A562" s="1121" t="s">
        <v>99</v>
      </c>
      <c r="B562" s="443" t="s">
        <v>117</v>
      </c>
      <c r="C562" s="443" t="s">
        <v>117</v>
      </c>
      <c r="D562" s="443" t="s">
        <v>117</v>
      </c>
      <c r="E562" s="443" t="s">
        <v>117</v>
      </c>
    </row>
    <row r="563" spans="1:5" ht="15.95" customHeight="1">
      <c r="A563" s="1121" t="s">
        <v>431</v>
      </c>
      <c r="B563" s="443" t="s">
        <v>117</v>
      </c>
      <c r="C563" s="443" t="s">
        <v>117</v>
      </c>
      <c r="D563" s="443" t="s">
        <v>117</v>
      </c>
      <c r="E563" s="443" t="s">
        <v>117</v>
      </c>
    </row>
    <row r="564" spans="1:5" ht="15.95" customHeight="1">
      <c r="A564" s="1121" t="s">
        <v>433</v>
      </c>
      <c r="B564" s="443" t="s">
        <v>117</v>
      </c>
      <c r="C564" s="443" t="s">
        <v>117</v>
      </c>
      <c r="D564" s="443" t="s">
        <v>117</v>
      </c>
      <c r="E564" s="443" t="s">
        <v>117</v>
      </c>
    </row>
    <row r="565" spans="1:5" ht="15.95" customHeight="1">
      <c r="A565" s="1121" t="s">
        <v>3</v>
      </c>
      <c r="B565" s="443" t="s">
        <v>117</v>
      </c>
      <c r="C565" s="443" t="s">
        <v>117</v>
      </c>
      <c r="D565" s="443" t="s">
        <v>117</v>
      </c>
      <c r="E565" s="443" t="s">
        <v>117</v>
      </c>
    </row>
    <row r="566" spans="1:5" ht="15.95" customHeight="1">
      <c r="A566" s="302" t="s">
        <v>90</v>
      </c>
      <c r="B566" s="940">
        <f t="shared" ref="B566:B572" si="27">SUM(C566:E566)</f>
        <v>2581</v>
      </c>
      <c r="C566" s="940">
        <f>SUM(C567:C568)</f>
        <v>812</v>
      </c>
      <c r="D566" s="940">
        <f>SUM(D567:D568)</f>
        <v>168</v>
      </c>
      <c r="E566" s="940">
        <f>SUM(E567:E568)</f>
        <v>1601</v>
      </c>
    </row>
    <row r="567" spans="1:5" ht="15.95" customHeight="1">
      <c r="A567" s="1121" t="s">
        <v>284</v>
      </c>
      <c r="B567" s="941">
        <f t="shared" si="27"/>
        <v>535</v>
      </c>
      <c r="C567" s="941">
        <v>111</v>
      </c>
      <c r="D567" s="941">
        <v>56</v>
      </c>
      <c r="E567" s="941">
        <v>368</v>
      </c>
    </row>
    <row r="568" spans="1:5" ht="15.95" customHeight="1">
      <c r="A568" s="1121" t="s">
        <v>285</v>
      </c>
      <c r="B568" s="941">
        <f t="shared" si="27"/>
        <v>2046</v>
      </c>
      <c r="C568" s="941">
        <v>701</v>
      </c>
      <c r="D568" s="941">
        <v>112</v>
      </c>
      <c r="E568" s="941">
        <v>1233</v>
      </c>
    </row>
    <row r="569" spans="1:5" ht="15.95" customHeight="1">
      <c r="A569" s="302" t="s">
        <v>71</v>
      </c>
      <c r="B569" s="940">
        <f t="shared" si="27"/>
        <v>2581</v>
      </c>
      <c r="C569" s="940">
        <f>SUM(C570:C571)</f>
        <v>812</v>
      </c>
      <c r="D569" s="940">
        <f>SUM(D570:D571)</f>
        <v>168</v>
      </c>
      <c r="E569" s="940">
        <f>SUM(E570:E571)</f>
        <v>1601</v>
      </c>
    </row>
    <row r="570" spans="1:5" ht="15.95" customHeight="1">
      <c r="A570" s="1121" t="s">
        <v>441</v>
      </c>
      <c r="B570" s="941">
        <f t="shared" si="27"/>
        <v>2378</v>
      </c>
      <c r="C570" s="941">
        <v>812</v>
      </c>
      <c r="D570" s="941" t="s">
        <v>117</v>
      </c>
      <c r="E570" s="941">
        <v>1566</v>
      </c>
    </row>
    <row r="571" spans="1:5" ht="15.95" customHeight="1">
      <c r="A571" s="1121" t="s">
        <v>442</v>
      </c>
      <c r="B571" s="941">
        <f t="shared" si="27"/>
        <v>203</v>
      </c>
      <c r="C571" s="941" t="s">
        <v>117</v>
      </c>
      <c r="D571" s="941">
        <v>168</v>
      </c>
      <c r="E571" s="941">
        <v>35</v>
      </c>
    </row>
    <row r="572" spans="1:5" ht="15.95" customHeight="1">
      <c r="A572" s="303" t="s">
        <v>74</v>
      </c>
      <c r="B572" s="940">
        <f t="shared" si="27"/>
        <v>2581</v>
      </c>
      <c r="C572" s="940">
        <f>SUM(C573:C577)</f>
        <v>812</v>
      </c>
      <c r="D572" s="940">
        <f>SUM(D573:D577)</f>
        <v>168</v>
      </c>
      <c r="E572" s="940">
        <f>SUM(E573:E577)</f>
        <v>1601</v>
      </c>
    </row>
    <row r="573" spans="1:5" ht="15.95" customHeight="1">
      <c r="A573" s="1121" t="s">
        <v>443</v>
      </c>
      <c r="B573" s="941">
        <f>SUM(C573:E573)</f>
        <v>30</v>
      </c>
      <c r="C573" s="941">
        <v>10</v>
      </c>
      <c r="D573" s="941">
        <v>3</v>
      </c>
      <c r="E573" s="941">
        <v>17</v>
      </c>
    </row>
    <row r="574" spans="1:5" ht="15.95" customHeight="1">
      <c r="A574" s="1121" t="s">
        <v>87</v>
      </c>
      <c r="B574" s="941">
        <f t="shared" ref="B574:B576" si="28">SUM(C574:E574)</f>
        <v>489</v>
      </c>
      <c r="C574" s="941">
        <v>138</v>
      </c>
      <c r="D574" s="941">
        <v>43</v>
      </c>
      <c r="E574" s="941">
        <v>308</v>
      </c>
    </row>
    <row r="575" spans="1:5" ht="15.95" customHeight="1">
      <c r="A575" s="1121" t="s">
        <v>88</v>
      </c>
      <c r="B575" s="941">
        <f t="shared" si="28"/>
        <v>1770</v>
      </c>
      <c r="C575" s="941">
        <v>555</v>
      </c>
      <c r="D575" s="941">
        <v>96</v>
      </c>
      <c r="E575" s="941">
        <v>1119</v>
      </c>
    </row>
    <row r="576" spans="1:5" ht="15.95" customHeight="1">
      <c r="A576" s="1121" t="s">
        <v>89</v>
      </c>
      <c r="B576" s="941">
        <f t="shared" si="28"/>
        <v>292</v>
      </c>
      <c r="C576" s="941">
        <v>109</v>
      </c>
      <c r="D576" s="941">
        <v>26</v>
      </c>
      <c r="E576" s="941">
        <v>157</v>
      </c>
    </row>
    <row r="577" spans="1:5" ht="15.95" customHeight="1">
      <c r="A577" s="1121" t="s">
        <v>444</v>
      </c>
      <c r="B577" s="941" t="s">
        <v>117</v>
      </c>
      <c r="C577" s="941" t="s">
        <v>117</v>
      </c>
      <c r="D577" s="941" t="s">
        <v>117</v>
      </c>
      <c r="E577" s="941" t="s">
        <v>117</v>
      </c>
    </row>
    <row r="578" spans="1:5" ht="15.95" customHeight="1">
      <c r="A578" s="302" t="s">
        <v>78</v>
      </c>
      <c r="B578" s="940">
        <f t="shared" ref="B578" si="29">SUM(C578:E578)</f>
        <v>0</v>
      </c>
      <c r="C578" s="940">
        <f>SUM(C579:C585)</f>
        <v>0</v>
      </c>
      <c r="D578" s="940">
        <f>SUM(D579:D585)</f>
        <v>0</v>
      </c>
      <c r="E578" s="940">
        <f>SUM(E579:E585)</f>
        <v>0</v>
      </c>
    </row>
    <row r="579" spans="1:5" ht="15.95" customHeight="1">
      <c r="A579" s="1121" t="s">
        <v>445</v>
      </c>
      <c r="B579" s="941" t="s">
        <v>117</v>
      </c>
      <c r="C579" s="941" t="s">
        <v>117</v>
      </c>
      <c r="D579" s="941" t="s">
        <v>117</v>
      </c>
      <c r="E579" s="941" t="s">
        <v>117</v>
      </c>
    </row>
    <row r="580" spans="1:5" ht="15.95" customHeight="1">
      <c r="A580" s="1121" t="s">
        <v>446</v>
      </c>
      <c r="B580" s="941" t="s">
        <v>117</v>
      </c>
      <c r="C580" s="941" t="s">
        <v>117</v>
      </c>
      <c r="D580" s="941" t="s">
        <v>117</v>
      </c>
      <c r="E580" s="941" t="s">
        <v>117</v>
      </c>
    </row>
    <row r="581" spans="1:5" ht="15.95" customHeight="1">
      <c r="A581" s="1121" t="s">
        <v>447</v>
      </c>
      <c r="B581" s="443" t="s">
        <v>117</v>
      </c>
      <c r="C581" s="443" t="s">
        <v>117</v>
      </c>
      <c r="D581" s="443" t="s">
        <v>117</v>
      </c>
      <c r="E581" s="443" t="s">
        <v>117</v>
      </c>
    </row>
    <row r="582" spans="1:5" ht="15.95" customHeight="1">
      <c r="A582" s="1121" t="s">
        <v>448</v>
      </c>
      <c r="B582" s="443" t="s">
        <v>117</v>
      </c>
      <c r="C582" s="443" t="s">
        <v>117</v>
      </c>
      <c r="D582" s="443" t="s">
        <v>117</v>
      </c>
      <c r="E582" s="443" t="s">
        <v>117</v>
      </c>
    </row>
    <row r="583" spans="1:5" ht="15.95" customHeight="1">
      <c r="A583" s="1121" t="s">
        <v>449</v>
      </c>
      <c r="B583" s="443" t="s">
        <v>117</v>
      </c>
      <c r="C583" s="443" t="s">
        <v>117</v>
      </c>
      <c r="D583" s="443" t="s">
        <v>117</v>
      </c>
      <c r="E583" s="443" t="s">
        <v>117</v>
      </c>
    </row>
    <row r="584" spans="1:5" ht="15.95" customHeight="1">
      <c r="A584" s="1121" t="s">
        <v>450</v>
      </c>
      <c r="B584" s="443" t="s">
        <v>117</v>
      </c>
      <c r="C584" s="443" t="s">
        <v>117</v>
      </c>
      <c r="D584" s="443" t="s">
        <v>117</v>
      </c>
      <c r="E584" s="443" t="s">
        <v>117</v>
      </c>
    </row>
    <row r="585" spans="1:5" ht="15.95" customHeight="1">
      <c r="A585" s="1122" t="s">
        <v>444</v>
      </c>
      <c r="B585" s="601" t="s">
        <v>117</v>
      </c>
      <c r="C585" s="601" t="s">
        <v>117</v>
      </c>
      <c r="D585" s="601" t="s">
        <v>117</v>
      </c>
      <c r="E585" s="601" t="s">
        <v>117</v>
      </c>
    </row>
    <row r="586" spans="1:5">
      <c r="A586" s="149" t="s">
        <v>505</v>
      </c>
      <c r="B586" s="334"/>
      <c r="C586" s="334"/>
      <c r="D586" s="334"/>
      <c r="E586" s="334"/>
    </row>
    <row r="587" spans="1:5">
      <c r="A587" s="723" t="s">
        <v>517</v>
      </c>
      <c r="B587" s="334"/>
      <c r="C587" s="334"/>
      <c r="D587" s="334"/>
      <c r="E587" s="334"/>
    </row>
  </sheetData>
  <mergeCells count="37">
    <mergeCell ref="A273:A274"/>
    <mergeCell ref="A230:A231"/>
    <mergeCell ref="A4:A5"/>
    <mergeCell ref="C4:E4"/>
    <mergeCell ref="A53:A54"/>
    <mergeCell ref="C53:E53"/>
    <mergeCell ref="A186:A187"/>
    <mergeCell ref="C186:E186"/>
    <mergeCell ref="A140:A141"/>
    <mergeCell ref="C140:E140"/>
    <mergeCell ref="A95:A96"/>
    <mergeCell ref="C95:E95"/>
    <mergeCell ref="B230:E230"/>
    <mergeCell ref="A227:E227"/>
    <mergeCell ref="B273:E273"/>
    <mergeCell ref="A546:A547"/>
    <mergeCell ref="B546:E546"/>
    <mergeCell ref="A317:A318"/>
    <mergeCell ref="A361:A362"/>
    <mergeCell ref="A406:A407"/>
    <mergeCell ref="A451:A452"/>
    <mergeCell ref="B451:E451"/>
    <mergeCell ref="B406:E406"/>
    <mergeCell ref="B361:E361"/>
    <mergeCell ref="B317:E317"/>
    <mergeCell ref="A358:E358"/>
    <mergeCell ref="A359:E359"/>
    <mergeCell ref="A403:E403"/>
    <mergeCell ref="A404:E404"/>
    <mergeCell ref="A544:E544"/>
    <mergeCell ref="A448:E448"/>
    <mergeCell ref="A449:E449"/>
    <mergeCell ref="A496:E496"/>
    <mergeCell ref="A497:E497"/>
    <mergeCell ref="A543:E543"/>
    <mergeCell ref="A499:A500"/>
    <mergeCell ref="B499:E499"/>
  </mergeCells>
  <pageMargins left="0.78740157480314965" right="0.78740157480314965" top="0.98425196850393704" bottom="0.98425196850393704" header="0.31496062992125984" footer="0"/>
  <pageSetup paperSize="9" orientation="portrait" r:id="rId1"/>
  <ignoredErrors>
    <ignoredError sqref="D9 B438 B432 B387 B343 C349" formula="1"/>
    <ignoredError sqref="B383" formulaRange="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dimension ref="A1:X47"/>
  <sheetViews>
    <sheetView showGridLines="0" zoomScaleNormal="100" zoomScaleSheetLayoutView="130" workbookViewId="0">
      <selection sqref="A1:U1"/>
    </sheetView>
  </sheetViews>
  <sheetFormatPr baseColWidth="10" defaultColWidth="9.7109375" defaultRowHeight="12.75"/>
  <cols>
    <col min="1" max="1" width="25.85546875" style="103" customWidth="1"/>
    <col min="2" max="5" width="5" style="103" hidden="1" customWidth="1"/>
    <col min="6" max="11" width="6" style="103" hidden="1" customWidth="1"/>
    <col min="12" max="14" width="7.28515625" style="103" hidden="1" customWidth="1"/>
    <col min="15" max="21" width="9.28515625" style="103" customWidth="1"/>
    <col min="22" max="16384" width="9.7109375" style="103"/>
  </cols>
  <sheetData>
    <row r="1" spans="1:24" ht="13.5" customHeight="1">
      <c r="A1" s="1135" t="s">
        <v>519</v>
      </c>
      <c r="B1" s="1135"/>
      <c r="C1" s="1135"/>
      <c r="D1" s="1135"/>
      <c r="E1" s="1135"/>
      <c r="F1" s="1135"/>
      <c r="G1" s="1135"/>
      <c r="H1" s="1135"/>
      <c r="I1" s="1135"/>
      <c r="J1" s="1135"/>
      <c r="K1" s="1135"/>
      <c r="L1" s="1135"/>
      <c r="M1" s="1135"/>
      <c r="N1" s="1135"/>
      <c r="O1" s="1135"/>
      <c r="P1" s="1135"/>
      <c r="Q1" s="1135"/>
      <c r="R1" s="1135"/>
      <c r="S1" s="1135"/>
      <c r="T1" s="1135"/>
      <c r="U1" s="1135"/>
    </row>
    <row r="2" spans="1:24" ht="5.0999999999999996" customHeight="1">
      <c r="A2" s="873"/>
    </row>
    <row r="3" spans="1:24" ht="15.75" customHeight="1">
      <c r="A3" s="1257" t="s">
        <v>32</v>
      </c>
      <c r="B3" s="593"/>
      <c r="C3" s="594"/>
      <c r="D3" s="594"/>
      <c r="E3" s="594"/>
      <c r="F3" s="594"/>
      <c r="G3" s="594"/>
      <c r="H3" s="594"/>
      <c r="I3" s="594"/>
      <c r="J3" s="594"/>
      <c r="K3" s="594"/>
      <c r="L3" s="1251" t="s">
        <v>1</v>
      </c>
      <c r="M3" s="1248"/>
      <c r="N3" s="1248"/>
      <c r="O3" s="1248"/>
      <c r="P3" s="1248"/>
      <c r="Q3" s="1248"/>
      <c r="R3" s="1248"/>
      <c r="S3" s="1248"/>
      <c r="T3" s="1248"/>
      <c r="U3" s="1248"/>
    </row>
    <row r="4" spans="1:24" ht="22.5" customHeight="1">
      <c r="A4" s="1258"/>
      <c r="B4" s="306">
        <v>2005</v>
      </c>
      <c r="C4" s="306">
        <v>2006</v>
      </c>
      <c r="D4" s="306">
        <v>2007</v>
      </c>
      <c r="E4" s="306">
        <v>2008</v>
      </c>
      <c r="F4" s="306">
        <v>2009</v>
      </c>
      <c r="G4" s="306">
        <v>2010</v>
      </c>
      <c r="H4" s="306">
        <v>2011</v>
      </c>
      <c r="I4" s="306">
        <v>2012</v>
      </c>
      <c r="J4" s="307">
        <v>2013</v>
      </c>
      <c r="K4" s="307">
        <v>2014</v>
      </c>
      <c r="L4" s="805">
        <v>2015</v>
      </c>
      <c r="M4" s="594">
        <v>2016</v>
      </c>
      <c r="N4" s="594">
        <v>2017</v>
      </c>
      <c r="O4" s="291" t="s">
        <v>476</v>
      </c>
      <c r="P4" s="291" t="s">
        <v>475</v>
      </c>
      <c r="Q4" s="291" t="s">
        <v>474</v>
      </c>
      <c r="R4" s="291" t="s">
        <v>473</v>
      </c>
      <c r="S4" s="291" t="s">
        <v>472</v>
      </c>
      <c r="T4" s="939">
        <v>2023</v>
      </c>
      <c r="U4" s="939" t="s">
        <v>508</v>
      </c>
    </row>
    <row r="5" spans="1:24" ht="5.0999999999999996" customHeight="1">
      <c r="A5" s="308"/>
      <c r="L5" s="806"/>
      <c r="O5" s="982"/>
      <c r="T5" s="66"/>
      <c r="U5" s="66"/>
    </row>
    <row r="6" spans="1:24" ht="16.5" customHeight="1">
      <c r="A6" s="697" t="s">
        <v>162</v>
      </c>
      <c r="B6" s="903">
        <v>8</v>
      </c>
      <c r="C6" s="440">
        <v>6</v>
      </c>
      <c r="D6" s="440">
        <v>7</v>
      </c>
      <c r="E6" s="440">
        <v>6</v>
      </c>
      <c r="F6" s="440">
        <v>5</v>
      </c>
      <c r="G6" s="440">
        <v>5</v>
      </c>
      <c r="H6" s="440">
        <v>4</v>
      </c>
      <c r="I6" s="440">
        <v>4</v>
      </c>
      <c r="J6" s="440">
        <v>4</v>
      </c>
      <c r="K6" s="440">
        <v>4</v>
      </c>
      <c r="L6" s="807">
        <v>4</v>
      </c>
      <c r="M6" s="443">
        <v>4</v>
      </c>
      <c r="N6" s="443">
        <v>3</v>
      </c>
      <c r="O6" s="1131">
        <v>3</v>
      </c>
      <c r="P6" s="138">
        <v>3</v>
      </c>
      <c r="Q6" s="138">
        <v>3</v>
      </c>
      <c r="R6" s="138">
        <v>3</v>
      </c>
      <c r="S6" s="138">
        <v>3</v>
      </c>
      <c r="T6" s="950">
        <v>3</v>
      </c>
      <c r="U6" s="950">
        <v>3</v>
      </c>
    </row>
    <row r="7" spans="1:24" ht="16.5" customHeight="1">
      <c r="A7" s="904" t="s">
        <v>59</v>
      </c>
      <c r="B7" s="309">
        <f>SUM(B9:B22)</f>
        <v>636</v>
      </c>
      <c r="C7" s="442">
        <v>846</v>
      </c>
      <c r="D7" s="442">
        <f t="shared" ref="D7:J7" si="0">SUM(D9:D22)</f>
        <v>938</v>
      </c>
      <c r="E7" s="442">
        <f t="shared" si="0"/>
        <v>973</v>
      </c>
      <c r="F7" s="442">
        <f t="shared" si="0"/>
        <v>983</v>
      </c>
      <c r="G7" s="442">
        <f t="shared" si="0"/>
        <v>936</v>
      </c>
      <c r="H7" s="442">
        <f t="shared" si="0"/>
        <v>1077</v>
      </c>
      <c r="I7" s="442">
        <f t="shared" si="0"/>
        <v>1313</v>
      </c>
      <c r="J7" s="442">
        <f t="shared" si="0"/>
        <v>1459</v>
      </c>
      <c r="K7" s="442">
        <v>1614</v>
      </c>
      <c r="L7" s="808">
        <v>1767</v>
      </c>
      <c r="M7" s="439">
        <v>1957</v>
      </c>
      <c r="N7" s="439">
        <f>N8</f>
        <v>1977</v>
      </c>
      <c r="O7" s="984">
        <v>2266</v>
      </c>
      <c r="P7" s="439">
        <v>2748</v>
      </c>
      <c r="Q7" s="940">
        <v>2208</v>
      </c>
      <c r="R7" s="940">
        <v>2319</v>
      </c>
      <c r="S7" s="940">
        <v>2363</v>
      </c>
      <c r="T7" s="940">
        <v>2451</v>
      </c>
      <c r="U7" s="940">
        <v>2581</v>
      </c>
      <c r="V7" s="974"/>
      <c r="W7" s="440"/>
      <c r="X7" s="440"/>
    </row>
    <row r="8" spans="1:24" ht="16.5" customHeight="1">
      <c r="A8" s="697" t="s">
        <v>259</v>
      </c>
      <c r="B8" s="903">
        <f t="shared" ref="B8:J8" si="1">SUM(B9:B22)</f>
        <v>636</v>
      </c>
      <c r="C8" s="440">
        <f t="shared" si="1"/>
        <v>844</v>
      </c>
      <c r="D8" s="440">
        <f t="shared" si="1"/>
        <v>938</v>
      </c>
      <c r="E8" s="440">
        <f t="shared" si="1"/>
        <v>973</v>
      </c>
      <c r="F8" s="440">
        <f t="shared" si="1"/>
        <v>983</v>
      </c>
      <c r="G8" s="440">
        <f t="shared" si="1"/>
        <v>936</v>
      </c>
      <c r="H8" s="443">
        <f t="shared" si="1"/>
        <v>1077</v>
      </c>
      <c r="I8" s="443">
        <f t="shared" si="1"/>
        <v>1313</v>
      </c>
      <c r="J8" s="443">
        <f t="shared" si="1"/>
        <v>1459</v>
      </c>
      <c r="K8" s="440">
        <v>1614</v>
      </c>
      <c r="L8" s="807">
        <v>1767</v>
      </c>
      <c r="M8" s="443">
        <v>1957</v>
      </c>
      <c r="N8" s="443">
        <f>SUM(N9:N22)</f>
        <v>1977</v>
      </c>
      <c r="O8" s="985">
        <v>2266</v>
      </c>
      <c r="P8" s="443">
        <v>2521</v>
      </c>
      <c r="Q8" s="941">
        <v>2179</v>
      </c>
      <c r="R8" s="941">
        <v>2258</v>
      </c>
      <c r="S8" s="941">
        <v>2284</v>
      </c>
      <c r="T8" s="941" t="s">
        <v>117</v>
      </c>
      <c r="U8" s="941" t="s">
        <v>117</v>
      </c>
      <c r="V8" s="974"/>
      <c r="W8" s="440"/>
    </row>
    <row r="9" spans="1:24" ht="16.5" customHeight="1">
      <c r="A9" s="798" t="s">
        <v>434</v>
      </c>
      <c r="B9" s="687">
        <v>137</v>
      </c>
      <c r="C9" s="443">
        <v>181</v>
      </c>
      <c r="D9" s="443">
        <v>153</v>
      </c>
      <c r="E9" s="443">
        <v>120</v>
      </c>
      <c r="F9" s="443">
        <v>138</v>
      </c>
      <c r="G9" s="443">
        <v>120</v>
      </c>
      <c r="H9" s="443">
        <v>169</v>
      </c>
      <c r="I9" s="443">
        <v>198</v>
      </c>
      <c r="J9" s="443">
        <v>208</v>
      </c>
      <c r="K9" s="443">
        <v>195</v>
      </c>
      <c r="L9" s="807">
        <v>241</v>
      </c>
      <c r="M9" s="443">
        <v>263</v>
      </c>
      <c r="N9" s="165">
        <v>188</v>
      </c>
      <c r="O9" s="983">
        <v>299</v>
      </c>
      <c r="P9" s="165">
        <v>332</v>
      </c>
      <c r="Q9" s="127">
        <v>297</v>
      </c>
      <c r="R9" s="127">
        <v>287</v>
      </c>
      <c r="S9" s="127">
        <v>301</v>
      </c>
      <c r="T9" s="941" t="s">
        <v>117</v>
      </c>
      <c r="U9" s="941" t="s">
        <v>117</v>
      </c>
      <c r="V9" s="66"/>
    </row>
    <row r="10" spans="1:24" ht="16.5" customHeight="1">
      <c r="A10" s="798" t="s">
        <v>14</v>
      </c>
      <c r="B10" s="687" t="s">
        <v>97</v>
      </c>
      <c r="C10" s="443" t="s">
        <v>0</v>
      </c>
      <c r="D10" s="443" t="s">
        <v>0</v>
      </c>
      <c r="E10" s="443">
        <v>3</v>
      </c>
      <c r="F10" s="443" t="s">
        <v>0</v>
      </c>
      <c r="G10" s="443" t="s">
        <v>0</v>
      </c>
      <c r="H10" s="443">
        <v>3</v>
      </c>
      <c r="I10" s="443">
        <v>2</v>
      </c>
      <c r="J10" s="443">
        <v>3</v>
      </c>
      <c r="K10" s="443">
        <v>3</v>
      </c>
      <c r="L10" s="807">
        <v>4</v>
      </c>
      <c r="M10" s="443">
        <v>19</v>
      </c>
      <c r="N10" s="165">
        <v>36</v>
      </c>
      <c r="O10" s="983">
        <v>44</v>
      </c>
      <c r="P10" s="165">
        <v>43</v>
      </c>
      <c r="Q10" s="127">
        <v>8</v>
      </c>
      <c r="R10" s="127">
        <v>17</v>
      </c>
      <c r="S10" s="127">
        <v>17</v>
      </c>
      <c r="T10" s="941" t="s">
        <v>117</v>
      </c>
      <c r="U10" s="941" t="s">
        <v>117</v>
      </c>
      <c r="V10" s="66"/>
    </row>
    <row r="11" spans="1:24" ht="16.5" customHeight="1">
      <c r="A11" s="798" t="s">
        <v>435</v>
      </c>
      <c r="B11" s="687">
        <v>106</v>
      </c>
      <c r="C11" s="443">
        <v>197</v>
      </c>
      <c r="D11" s="443">
        <v>239</v>
      </c>
      <c r="E11" s="443">
        <v>258</v>
      </c>
      <c r="F11" s="443">
        <v>219</v>
      </c>
      <c r="G11" s="443">
        <v>248</v>
      </c>
      <c r="H11" s="443">
        <v>245</v>
      </c>
      <c r="I11" s="440">
        <v>207</v>
      </c>
      <c r="J11" s="443">
        <v>278</v>
      </c>
      <c r="K11" s="443">
        <v>369</v>
      </c>
      <c r="L11" s="807">
        <v>416</v>
      </c>
      <c r="M11" s="443">
        <v>496</v>
      </c>
      <c r="N11" s="165">
        <v>409</v>
      </c>
      <c r="O11" s="983">
        <v>575</v>
      </c>
      <c r="P11" s="165">
        <v>634</v>
      </c>
      <c r="Q11" s="127">
        <v>615</v>
      </c>
      <c r="R11" s="127">
        <v>661</v>
      </c>
      <c r="S11" s="127">
        <v>690</v>
      </c>
      <c r="T11" s="941" t="s">
        <v>117</v>
      </c>
      <c r="U11" s="941" t="s">
        <v>117</v>
      </c>
      <c r="V11" s="66"/>
    </row>
    <row r="12" spans="1:24" ht="16.5" customHeight="1">
      <c r="A12" s="798" t="s">
        <v>10</v>
      </c>
      <c r="B12" s="687">
        <v>169</v>
      </c>
      <c r="C12" s="443">
        <v>238</v>
      </c>
      <c r="D12" s="443">
        <v>286</v>
      </c>
      <c r="E12" s="443">
        <v>275</v>
      </c>
      <c r="F12" s="443">
        <v>294</v>
      </c>
      <c r="G12" s="443">
        <v>322</v>
      </c>
      <c r="H12" s="443">
        <v>335</v>
      </c>
      <c r="I12" s="443">
        <v>379</v>
      </c>
      <c r="J12" s="443">
        <v>394</v>
      </c>
      <c r="K12" s="443">
        <v>395</v>
      </c>
      <c r="L12" s="807">
        <v>457</v>
      </c>
      <c r="M12" s="443">
        <v>474</v>
      </c>
      <c r="N12" s="165">
        <v>447</v>
      </c>
      <c r="O12" s="983">
        <v>519</v>
      </c>
      <c r="P12" s="165">
        <v>563</v>
      </c>
      <c r="Q12" s="127">
        <v>472</v>
      </c>
      <c r="R12" s="127">
        <v>470</v>
      </c>
      <c r="S12" s="127">
        <v>467</v>
      </c>
      <c r="T12" s="941" t="s">
        <v>117</v>
      </c>
      <c r="U12" s="941" t="s">
        <v>117</v>
      </c>
      <c r="V12" s="66"/>
    </row>
    <row r="13" spans="1:24" ht="16.5" customHeight="1">
      <c r="A13" s="798" t="s">
        <v>436</v>
      </c>
      <c r="B13" s="687" t="s">
        <v>55</v>
      </c>
      <c r="C13" s="443" t="s">
        <v>0</v>
      </c>
      <c r="D13" s="443" t="s">
        <v>0</v>
      </c>
      <c r="E13" s="443" t="s">
        <v>0</v>
      </c>
      <c r="F13" s="443">
        <v>11</v>
      </c>
      <c r="G13" s="443">
        <v>18</v>
      </c>
      <c r="H13" s="443" t="s">
        <v>0</v>
      </c>
      <c r="I13" s="443" t="s">
        <v>0</v>
      </c>
      <c r="J13" s="443" t="s">
        <v>0</v>
      </c>
      <c r="K13" s="443" t="s">
        <v>0</v>
      </c>
      <c r="L13" s="807" t="s">
        <v>0</v>
      </c>
      <c r="M13" s="443" t="s">
        <v>0</v>
      </c>
      <c r="N13" s="165" t="s">
        <v>117</v>
      </c>
      <c r="O13" s="983">
        <v>5</v>
      </c>
      <c r="P13" s="165">
        <v>1</v>
      </c>
      <c r="Q13" s="941" t="s">
        <v>0</v>
      </c>
      <c r="R13" s="941" t="s">
        <v>0</v>
      </c>
      <c r="S13" s="127">
        <v>1</v>
      </c>
      <c r="T13" s="941" t="s">
        <v>117</v>
      </c>
      <c r="U13" s="941" t="s">
        <v>117</v>
      </c>
      <c r="V13" s="66"/>
    </row>
    <row r="14" spans="1:24" ht="16.5" customHeight="1">
      <c r="A14" s="798" t="s">
        <v>437</v>
      </c>
      <c r="B14" s="687" t="s">
        <v>97</v>
      </c>
      <c r="C14" s="443" t="s">
        <v>0</v>
      </c>
      <c r="D14" s="443" t="s">
        <v>0</v>
      </c>
      <c r="E14" s="443">
        <v>247</v>
      </c>
      <c r="F14" s="443" t="s">
        <v>0</v>
      </c>
      <c r="G14" s="443" t="s">
        <v>0</v>
      </c>
      <c r="H14" s="443">
        <v>290</v>
      </c>
      <c r="I14" s="443">
        <v>478</v>
      </c>
      <c r="J14" s="443">
        <v>499</v>
      </c>
      <c r="K14" s="443">
        <v>581</v>
      </c>
      <c r="L14" s="807">
        <v>573</v>
      </c>
      <c r="M14" s="443">
        <v>578</v>
      </c>
      <c r="N14" s="165">
        <v>605</v>
      </c>
      <c r="O14" s="983">
        <v>86</v>
      </c>
      <c r="P14" s="165">
        <v>86</v>
      </c>
      <c r="Q14" s="127">
        <v>63</v>
      </c>
      <c r="R14" s="127">
        <v>76</v>
      </c>
      <c r="S14" s="127">
        <v>76</v>
      </c>
      <c r="T14" s="941" t="s">
        <v>117</v>
      </c>
      <c r="U14" s="941" t="s">
        <v>117</v>
      </c>
      <c r="V14" s="66"/>
    </row>
    <row r="15" spans="1:24" ht="16.5" customHeight="1">
      <c r="A15" s="798" t="s">
        <v>438</v>
      </c>
      <c r="B15" s="687" t="s">
        <v>97</v>
      </c>
      <c r="C15" s="443" t="s">
        <v>0</v>
      </c>
      <c r="D15" s="443" t="s">
        <v>0</v>
      </c>
      <c r="E15" s="443">
        <v>13</v>
      </c>
      <c r="F15" s="443" t="s">
        <v>0</v>
      </c>
      <c r="G15" s="443" t="s">
        <v>0</v>
      </c>
      <c r="H15" s="443">
        <v>4</v>
      </c>
      <c r="I15" s="443">
        <v>8</v>
      </c>
      <c r="J15" s="443">
        <v>20</v>
      </c>
      <c r="K15" s="443">
        <v>13</v>
      </c>
      <c r="L15" s="807">
        <v>10</v>
      </c>
      <c r="M15" s="443">
        <v>15</v>
      </c>
      <c r="N15" s="165">
        <v>7</v>
      </c>
      <c r="O15" s="983">
        <v>10</v>
      </c>
      <c r="P15" s="165">
        <v>47</v>
      </c>
      <c r="Q15" s="127">
        <v>35</v>
      </c>
      <c r="R15" s="127">
        <v>46</v>
      </c>
      <c r="S15" s="127">
        <v>61</v>
      </c>
      <c r="T15" s="941" t="s">
        <v>117</v>
      </c>
      <c r="U15" s="941" t="s">
        <v>117</v>
      </c>
      <c r="V15" s="66"/>
    </row>
    <row r="16" spans="1:24" ht="16.5" customHeight="1">
      <c r="A16" s="798" t="s">
        <v>439</v>
      </c>
      <c r="B16" s="687" t="s">
        <v>97</v>
      </c>
      <c r="C16" s="443" t="s">
        <v>0</v>
      </c>
      <c r="D16" s="443" t="s">
        <v>0</v>
      </c>
      <c r="E16" s="443">
        <v>23</v>
      </c>
      <c r="F16" s="443" t="s">
        <v>0</v>
      </c>
      <c r="G16" s="443" t="s">
        <v>0</v>
      </c>
      <c r="H16" s="443">
        <v>9</v>
      </c>
      <c r="I16" s="443">
        <v>19</v>
      </c>
      <c r="J16" s="443">
        <v>23</v>
      </c>
      <c r="K16" s="443">
        <v>22</v>
      </c>
      <c r="L16" s="807">
        <v>25</v>
      </c>
      <c r="M16" s="443">
        <v>42</v>
      </c>
      <c r="N16" s="165" t="s">
        <v>117</v>
      </c>
      <c r="O16" s="983">
        <v>45</v>
      </c>
      <c r="P16" s="165">
        <v>63</v>
      </c>
      <c r="Q16" s="127">
        <v>33</v>
      </c>
      <c r="R16" s="127">
        <v>37</v>
      </c>
      <c r="S16" s="127">
        <v>35</v>
      </c>
      <c r="T16" s="941" t="s">
        <v>117</v>
      </c>
      <c r="U16" s="941" t="s">
        <v>117</v>
      </c>
      <c r="V16" s="66"/>
    </row>
    <row r="17" spans="1:24" ht="16.5" customHeight="1">
      <c r="A17" s="798" t="s">
        <v>28</v>
      </c>
      <c r="B17" s="687" t="s">
        <v>97</v>
      </c>
      <c r="C17" s="443" t="s">
        <v>0</v>
      </c>
      <c r="D17" s="443" t="s">
        <v>0</v>
      </c>
      <c r="E17" s="443">
        <v>1</v>
      </c>
      <c r="F17" s="443" t="s">
        <v>0</v>
      </c>
      <c r="G17" s="443" t="s">
        <v>0</v>
      </c>
      <c r="H17" s="443">
        <v>1</v>
      </c>
      <c r="I17" s="443" t="s">
        <v>0</v>
      </c>
      <c r="J17" s="443">
        <v>1</v>
      </c>
      <c r="K17" s="443">
        <v>1</v>
      </c>
      <c r="L17" s="807">
        <v>5</v>
      </c>
      <c r="M17" s="443">
        <v>29</v>
      </c>
      <c r="N17" s="165" t="s">
        <v>117</v>
      </c>
      <c r="O17" s="983">
        <v>3</v>
      </c>
      <c r="P17" s="165">
        <v>5</v>
      </c>
      <c r="Q17" s="127">
        <v>4</v>
      </c>
      <c r="R17" s="127">
        <v>4</v>
      </c>
      <c r="S17" s="127">
        <v>7</v>
      </c>
      <c r="T17" s="941" t="s">
        <v>117</v>
      </c>
      <c r="U17" s="941" t="s">
        <v>117</v>
      </c>
      <c r="V17" s="66"/>
    </row>
    <row r="18" spans="1:24" ht="16.5" customHeight="1">
      <c r="A18" s="798" t="s">
        <v>432</v>
      </c>
      <c r="B18" s="687"/>
      <c r="C18" s="165" t="s">
        <v>117</v>
      </c>
      <c r="D18" s="165" t="s">
        <v>117</v>
      </c>
      <c r="E18" s="165" t="s">
        <v>117</v>
      </c>
      <c r="F18" s="165" t="s">
        <v>117</v>
      </c>
      <c r="G18" s="165" t="s">
        <v>117</v>
      </c>
      <c r="H18" s="165" t="s">
        <v>117</v>
      </c>
      <c r="I18" s="165" t="s">
        <v>117</v>
      </c>
      <c r="J18" s="165" t="s">
        <v>117</v>
      </c>
      <c r="K18" s="165" t="s">
        <v>117</v>
      </c>
      <c r="L18" s="905" t="s">
        <v>117</v>
      </c>
      <c r="M18" s="165" t="s">
        <v>117</v>
      </c>
      <c r="N18" s="165" t="s">
        <v>117</v>
      </c>
      <c r="O18" s="983">
        <v>10</v>
      </c>
      <c r="P18" s="165">
        <v>8</v>
      </c>
      <c r="Q18" s="127">
        <v>5</v>
      </c>
      <c r="R18" s="127">
        <v>4</v>
      </c>
      <c r="S18" s="127">
        <v>3</v>
      </c>
      <c r="T18" s="941" t="s">
        <v>117</v>
      </c>
      <c r="U18" s="941" t="s">
        <v>117</v>
      </c>
      <c r="V18" s="66"/>
    </row>
    <row r="19" spans="1:24" ht="16.5" customHeight="1">
      <c r="A19" s="798" t="s">
        <v>99</v>
      </c>
      <c r="B19" s="687"/>
      <c r="C19" s="165" t="s">
        <v>117</v>
      </c>
      <c r="D19" s="165" t="s">
        <v>117</v>
      </c>
      <c r="E19" s="165" t="s">
        <v>117</v>
      </c>
      <c r="F19" s="165" t="s">
        <v>117</v>
      </c>
      <c r="G19" s="165" t="s">
        <v>117</v>
      </c>
      <c r="H19" s="165" t="s">
        <v>117</v>
      </c>
      <c r="I19" s="165" t="s">
        <v>117</v>
      </c>
      <c r="J19" s="165" t="s">
        <v>117</v>
      </c>
      <c r="K19" s="165" t="s">
        <v>117</v>
      </c>
      <c r="L19" s="905" t="s">
        <v>117</v>
      </c>
      <c r="M19" s="165" t="s">
        <v>117</v>
      </c>
      <c r="N19" s="165" t="s">
        <v>117</v>
      </c>
      <c r="O19" s="983">
        <v>47</v>
      </c>
      <c r="P19" s="165">
        <v>48</v>
      </c>
      <c r="Q19" s="127">
        <v>16</v>
      </c>
      <c r="R19" s="127">
        <v>9</v>
      </c>
      <c r="S19" s="127">
        <v>11</v>
      </c>
      <c r="T19" s="941" t="s">
        <v>117</v>
      </c>
      <c r="U19" s="941" t="s">
        <v>117</v>
      </c>
      <c r="V19" s="66"/>
    </row>
    <row r="20" spans="1:24" ht="16.5" customHeight="1">
      <c r="A20" s="798" t="s">
        <v>431</v>
      </c>
      <c r="B20" s="687">
        <v>35</v>
      </c>
      <c r="C20" s="443">
        <v>11</v>
      </c>
      <c r="D20" s="443">
        <v>8</v>
      </c>
      <c r="E20" s="443" t="s">
        <v>0</v>
      </c>
      <c r="F20" s="443">
        <v>11</v>
      </c>
      <c r="G20" s="443" t="s">
        <v>0</v>
      </c>
      <c r="H20" s="443" t="s">
        <v>0</v>
      </c>
      <c r="I20" s="443" t="s">
        <v>0</v>
      </c>
      <c r="J20" s="443" t="s">
        <v>0</v>
      </c>
      <c r="K20" s="443">
        <v>8</v>
      </c>
      <c r="L20" s="807">
        <v>4</v>
      </c>
      <c r="M20" s="443">
        <v>10</v>
      </c>
      <c r="N20" s="165" t="s">
        <v>117</v>
      </c>
      <c r="O20" s="985" t="s">
        <v>0</v>
      </c>
      <c r="P20" s="443" t="s">
        <v>0</v>
      </c>
      <c r="Q20" s="941" t="s">
        <v>0</v>
      </c>
      <c r="R20" s="941" t="s">
        <v>0</v>
      </c>
      <c r="S20" s="941" t="s">
        <v>0</v>
      </c>
      <c r="T20" s="941" t="s">
        <v>117</v>
      </c>
      <c r="U20" s="941" t="s">
        <v>117</v>
      </c>
      <c r="V20" s="66"/>
    </row>
    <row r="21" spans="1:24" ht="16.5" customHeight="1">
      <c r="A21" s="798" t="s">
        <v>433</v>
      </c>
      <c r="B21" s="687">
        <v>165</v>
      </c>
      <c r="C21" s="443">
        <v>182</v>
      </c>
      <c r="D21" s="443">
        <v>224</v>
      </c>
      <c r="E21" s="443" t="s">
        <v>0</v>
      </c>
      <c r="F21" s="443">
        <v>295</v>
      </c>
      <c r="G21" s="443">
        <v>205</v>
      </c>
      <c r="H21" s="443" t="s">
        <v>0</v>
      </c>
      <c r="I21" s="443" t="s">
        <v>0</v>
      </c>
      <c r="J21" s="443">
        <v>8</v>
      </c>
      <c r="K21" s="443">
        <v>20</v>
      </c>
      <c r="L21" s="807">
        <v>28</v>
      </c>
      <c r="M21" s="443">
        <v>28</v>
      </c>
      <c r="N21" s="165" t="s">
        <v>117</v>
      </c>
      <c r="O21" s="983">
        <v>623</v>
      </c>
      <c r="P21" s="165">
        <v>689</v>
      </c>
      <c r="Q21" s="127">
        <v>631</v>
      </c>
      <c r="R21" s="127">
        <v>647</v>
      </c>
      <c r="S21" s="127">
        <v>615</v>
      </c>
      <c r="T21" s="941" t="s">
        <v>117</v>
      </c>
      <c r="U21" s="941" t="s">
        <v>117</v>
      </c>
      <c r="V21" s="66"/>
    </row>
    <row r="22" spans="1:24" ht="16.5" customHeight="1">
      <c r="A22" s="798" t="s">
        <v>3</v>
      </c>
      <c r="B22" s="687">
        <v>24</v>
      </c>
      <c r="C22" s="443">
        <v>35</v>
      </c>
      <c r="D22" s="443">
        <v>28</v>
      </c>
      <c r="E22" s="443">
        <v>33</v>
      </c>
      <c r="F22" s="443">
        <v>15</v>
      </c>
      <c r="G22" s="443">
        <v>23</v>
      </c>
      <c r="H22" s="443">
        <v>21</v>
      </c>
      <c r="I22" s="443">
        <v>22</v>
      </c>
      <c r="J22" s="443">
        <v>25</v>
      </c>
      <c r="K22" s="443">
        <v>3</v>
      </c>
      <c r="L22" s="807" t="s">
        <v>0</v>
      </c>
      <c r="M22" s="443" t="s">
        <v>97</v>
      </c>
      <c r="N22" s="165">
        <v>285</v>
      </c>
      <c r="O22" s="985" t="s">
        <v>0</v>
      </c>
      <c r="P22" s="165">
        <v>2</v>
      </c>
      <c r="Q22" s="941" t="s">
        <v>0</v>
      </c>
      <c r="R22" s="941" t="s">
        <v>0</v>
      </c>
      <c r="S22" s="941" t="s">
        <v>0</v>
      </c>
      <c r="T22" s="941" t="s">
        <v>117</v>
      </c>
      <c r="U22" s="941" t="s">
        <v>117</v>
      </c>
      <c r="V22" s="66"/>
    </row>
    <row r="23" spans="1:24" ht="16.5" customHeight="1">
      <c r="A23" s="697" t="s">
        <v>68</v>
      </c>
      <c r="B23" s="881">
        <f t="shared" ref="B23:S23" si="2">SUM(B24:B25)</f>
        <v>636</v>
      </c>
      <c r="C23" s="442">
        <f t="shared" si="2"/>
        <v>846</v>
      </c>
      <c r="D23" s="442">
        <f t="shared" si="2"/>
        <v>944</v>
      </c>
      <c r="E23" s="442">
        <f>SUM(E24:E25)</f>
        <v>876</v>
      </c>
      <c r="F23" s="442">
        <f t="shared" si="2"/>
        <v>976</v>
      </c>
      <c r="G23" s="442">
        <f t="shared" si="2"/>
        <v>938</v>
      </c>
      <c r="H23" s="442">
        <f t="shared" si="2"/>
        <v>978</v>
      </c>
      <c r="I23" s="442">
        <f t="shared" si="2"/>
        <v>1315</v>
      </c>
      <c r="J23" s="442">
        <f t="shared" si="2"/>
        <v>1362</v>
      </c>
      <c r="K23" s="442">
        <f t="shared" si="2"/>
        <v>1514</v>
      </c>
      <c r="L23" s="808">
        <f t="shared" si="2"/>
        <v>1767</v>
      </c>
      <c r="M23" s="439">
        <f t="shared" si="2"/>
        <v>1957</v>
      </c>
      <c r="N23" s="439">
        <f t="shared" si="2"/>
        <v>2203</v>
      </c>
      <c r="O23" s="984">
        <f t="shared" si="2"/>
        <v>2272</v>
      </c>
      <c r="P23" s="439">
        <f t="shared" si="2"/>
        <v>2748</v>
      </c>
      <c r="Q23" s="940">
        <f t="shared" si="2"/>
        <v>2208</v>
      </c>
      <c r="R23" s="940">
        <f t="shared" si="2"/>
        <v>2319</v>
      </c>
      <c r="S23" s="940">
        <f t="shared" si="2"/>
        <v>2363</v>
      </c>
      <c r="T23" s="940">
        <v>2514</v>
      </c>
      <c r="U23" s="940">
        <v>2581</v>
      </c>
      <c r="V23" s="974"/>
      <c r="W23" s="440"/>
      <c r="X23" s="440"/>
    </row>
    <row r="24" spans="1:24" ht="16.5" customHeight="1">
      <c r="A24" s="798" t="s">
        <v>440</v>
      </c>
      <c r="B24" s="687">
        <v>442</v>
      </c>
      <c r="C24" s="443">
        <v>543</v>
      </c>
      <c r="D24" s="443">
        <v>592</v>
      </c>
      <c r="E24" s="443">
        <v>515</v>
      </c>
      <c r="F24" s="443">
        <v>559</v>
      </c>
      <c r="G24" s="443">
        <v>474</v>
      </c>
      <c r="H24" s="443">
        <v>473</v>
      </c>
      <c r="I24" s="443">
        <v>615</v>
      </c>
      <c r="J24" s="443">
        <v>521</v>
      </c>
      <c r="K24" s="443">
        <v>507</v>
      </c>
      <c r="L24" s="807">
        <v>722</v>
      </c>
      <c r="M24" s="443">
        <v>789</v>
      </c>
      <c r="N24" s="443">
        <v>888</v>
      </c>
      <c r="O24" s="983">
        <v>791</v>
      </c>
      <c r="P24" s="165">
        <v>914</v>
      </c>
      <c r="Q24" s="127">
        <v>546</v>
      </c>
      <c r="R24" s="127">
        <v>579</v>
      </c>
      <c r="S24" s="127">
        <v>552</v>
      </c>
      <c r="T24" s="127">
        <v>529</v>
      </c>
      <c r="U24" s="127">
        <v>535</v>
      </c>
      <c r="V24" s="66"/>
    </row>
    <row r="25" spans="1:24" ht="16.5" customHeight="1">
      <c r="A25" s="798" t="s">
        <v>329</v>
      </c>
      <c r="B25" s="687">
        <v>194</v>
      </c>
      <c r="C25" s="443">
        <v>303</v>
      </c>
      <c r="D25" s="443">
        <v>352</v>
      </c>
      <c r="E25" s="443">
        <v>361</v>
      </c>
      <c r="F25" s="443">
        <v>417</v>
      </c>
      <c r="G25" s="443">
        <v>464</v>
      </c>
      <c r="H25" s="443">
        <v>505</v>
      </c>
      <c r="I25" s="443">
        <v>700</v>
      </c>
      <c r="J25" s="443">
        <v>841</v>
      </c>
      <c r="K25" s="443">
        <v>1007</v>
      </c>
      <c r="L25" s="807">
        <v>1045</v>
      </c>
      <c r="M25" s="443">
        <v>1168</v>
      </c>
      <c r="N25" s="443">
        <v>1315</v>
      </c>
      <c r="O25" s="985">
        <v>1481</v>
      </c>
      <c r="P25" s="443">
        <v>1834</v>
      </c>
      <c r="Q25" s="941">
        <v>1662</v>
      </c>
      <c r="R25" s="941">
        <v>1740</v>
      </c>
      <c r="S25" s="941">
        <v>1811</v>
      </c>
      <c r="T25" s="941">
        <v>1985</v>
      </c>
      <c r="U25" s="941">
        <v>2046</v>
      </c>
      <c r="V25" s="66"/>
    </row>
    <row r="26" spans="1:24" ht="16.5" customHeight="1">
      <c r="A26" s="697" t="s">
        <v>71</v>
      </c>
      <c r="B26" s="881">
        <f t="shared" ref="B26:S26" si="3">SUM(B27:B28)</f>
        <v>636</v>
      </c>
      <c r="C26" s="442">
        <f t="shared" si="3"/>
        <v>846</v>
      </c>
      <c r="D26" s="442">
        <f t="shared" si="3"/>
        <v>944</v>
      </c>
      <c r="E26" s="442">
        <f t="shared" si="3"/>
        <v>976</v>
      </c>
      <c r="F26" s="442">
        <f t="shared" si="3"/>
        <v>986</v>
      </c>
      <c r="G26" s="442">
        <f t="shared" si="3"/>
        <v>938</v>
      </c>
      <c r="H26" s="442">
        <f t="shared" si="3"/>
        <v>1078</v>
      </c>
      <c r="I26" s="442">
        <f t="shared" si="3"/>
        <v>56</v>
      </c>
      <c r="J26" s="442">
        <f t="shared" si="3"/>
        <v>195</v>
      </c>
      <c r="K26" s="442">
        <f t="shared" si="3"/>
        <v>1614</v>
      </c>
      <c r="L26" s="808">
        <f t="shared" si="3"/>
        <v>1766</v>
      </c>
      <c r="M26" s="439">
        <f t="shared" si="3"/>
        <v>1957</v>
      </c>
      <c r="N26" s="439">
        <f t="shared" si="3"/>
        <v>2203</v>
      </c>
      <c r="O26" s="984">
        <f t="shared" si="3"/>
        <v>2272</v>
      </c>
      <c r="P26" s="439">
        <f t="shared" si="3"/>
        <v>2675</v>
      </c>
      <c r="Q26" s="940">
        <f t="shared" si="3"/>
        <v>2208</v>
      </c>
      <c r="R26" s="940">
        <f t="shared" si="3"/>
        <v>2319</v>
      </c>
      <c r="S26" s="940">
        <f t="shared" si="3"/>
        <v>2363</v>
      </c>
      <c r="T26" s="940">
        <v>2514</v>
      </c>
      <c r="U26" s="940">
        <v>2581</v>
      </c>
      <c r="V26" s="66"/>
    </row>
    <row r="27" spans="1:24" ht="16.5" customHeight="1">
      <c r="A27" s="798" t="s">
        <v>441</v>
      </c>
      <c r="B27" s="687">
        <v>585</v>
      </c>
      <c r="C27" s="443">
        <v>773</v>
      </c>
      <c r="D27" s="443">
        <v>864</v>
      </c>
      <c r="E27" s="443">
        <v>893</v>
      </c>
      <c r="F27" s="443">
        <v>908</v>
      </c>
      <c r="G27" s="443">
        <v>860</v>
      </c>
      <c r="H27" s="443">
        <v>981</v>
      </c>
      <c r="I27" s="443" t="s">
        <v>279</v>
      </c>
      <c r="J27" s="443" t="s">
        <v>280</v>
      </c>
      <c r="K27" s="443">
        <v>1420</v>
      </c>
      <c r="L27" s="807">
        <v>1595</v>
      </c>
      <c r="M27" s="443">
        <v>1764</v>
      </c>
      <c r="N27" s="443">
        <v>2008</v>
      </c>
      <c r="O27" s="985">
        <v>2039</v>
      </c>
      <c r="P27" s="443">
        <v>2424</v>
      </c>
      <c r="Q27" s="941">
        <v>1994</v>
      </c>
      <c r="R27" s="941">
        <v>2085</v>
      </c>
      <c r="S27" s="941">
        <v>2157</v>
      </c>
      <c r="T27" s="941">
        <v>2304</v>
      </c>
      <c r="U27" s="941">
        <v>2378</v>
      </c>
      <c r="V27" s="66"/>
    </row>
    <row r="28" spans="1:24" ht="16.5" customHeight="1">
      <c r="A28" s="798" t="s">
        <v>442</v>
      </c>
      <c r="B28" s="687">
        <v>51</v>
      </c>
      <c r="C28" s="443">
        <v>73</v>
      </c>
      <c r="D28" s="443">
        <v>80</v>
      </c>
      <c r="E28" s="443">
        <v>83</v>
      </c>
      <c r="F28" s="443">
        <v>78</v>
      </c>
      <c r="G28" s="443">
        <v>78</v>
      </c>
      <c r="H28" s="443">
        <v>97</v>
      </c>
      <c r="I28" s="443">
        <v>56</v>
      </c>
      <c r="J28" s="443">
        <v>195</v>
      </c>
      <c r="K28" s="443">
        <v>194</v>
      </c>
      <c r="L28" s="807">
        <v>171</v>
      </c>
      <c r="M28" s="443">
        <v>193</v>
      </c>
      <c r="N28" s="443">
        <v>195</v>
      </c>
      <c r="O28" s="983">
        <v>233</v>
      </c>
      <c r="P28" s="165">
        <v>251</v>
      </c>
      <c r="Q28" s="127">
        <v>214</v>
      </c>
      <c r="R28" s="127">
        <v>234</v>
      </c>
      <c r="S28" s="127">
        <v>206</v>
      </c>
      <c r="T28" s="127">
        <v>210</v>
      </c>
      <c r="U28" s="127">
        <v>203</v>
      </c>
      <c r="V28" s="66"/>
    </row>
    <row r="29" spans="1:24" ht="16.5" customHeight="1">
      <c r="A29" s="904" t="s">
        <v>74</v>
      </c>
      <c r="B29" s="881">
        <f t="shared" ref="B29:S29" si="4">SUM(B30:B34)</f>
        <v>636</v>
      </c>
      <c r="C29" s="442">
        <f t="shared" si="4"/>
        <v>846</v>
      </c>
      <c r="D29" s="442">
        <f t="shared" si="4"/>
        <v>944</v>
      </c>
      <c r="E29" s="442">
        <f t="shared" si="4"/>
        <v>876</v>
      </c>
      <c r="F29" s="442">
        <f t="shared" si="4"/>
        <v>986</v>
      </c>
      <c r="G29" s="442">
        <f t="shared" si="4"/>
        <v>938</v>
      </c>
      <c r="H29" s="442">
        <f t="shared" si="4"/>
        <v>1078</v>
      </c>
      <c r="I29" s="442">
        <f t="shared" si="4"/>
        <v>1315</v>
      </c>
      <c r="J29" s="442">
        <f t="shared" si="4"/>
        <v>1462</v>
      </c>
      <c r="K29" s="442">
        <f t="shared" si="4"/>
        <v>1606</v>
      </c>
      <c r="L29" s="808">
        <f t="shared" si="4"/>
        <v>1767</v>
      </c>
      <c r="M29" s="439">
        <f t="shared" si="4"/>
        <v>1957</v>
      </c>
      <c r="N29" s="439">
        <f t="shared" si="4"/>
        <v>2203</v>
      </c>
      <c r="O29" s="984">
        <f t="shared" si="4"/>
        <v>2271</v>
      </c>
      <c r="P29" s="439">
        <f t="shared" si="4"/>
        <v>2738</v>
      </c>
      <c r="Q29" s="940">
        <f t="shared" si="4"/>
        <v>2208</v>
      </c>
      <c r="R29" s="940">
        <f t="shared" si="4"/>
        <v>2319</v>
      </c>
      <c r="S29" s="940">
        <f t="shared" si="4"/>
        <v>2363</v>
      </c>
      <c r="T29" s="940">
        <v>2514</v>
      </c>
      <c r="U29" s="940">
        <v>2581</v>
      </c>
      <c r="V29" s="66"/>
    </row>
    <row r="30" spans="1:24" ht="16.5" customHeight="1">
      <c r="A30" s="798" t="s">
        <v>443</v>
      </c>
      <c r="B30" s="687">
        <v>18</v>
      </c>
      <c r="C30" s="443">
        <v>35</v>
      </c>
      <c r="D30" s="443">
        <v>38</v>
      </c>
      <c r="E30" s="443">
        <v>42</v>
      </c>
      <c r="F30" s="443">
        <v>31</v>
      </c>
      <c r="G30" s="443">
        <v>33</v>
      </c>
      <c r="H30" s="443">
        <v>34</v>
      </c>
      <c r="I30" s="443">
        <v>35</v>
      </c>
      <c r="J30" s="443">
        <v>33</v>
      </c>
      <c r="K30" s="443">
        <v>33</v>
      </c>
      <c r="L30" s="807">
        <v>28</v>
      </c>
      <c r="M30" s="443">
        <v>32</v>
      </c>
      <c r="N30" s="443">
        <v>39</v>
      </c>
      <c r="O30" s="983">
        <v>37</v>
      </c>
      <c r="P30" s="165">
        <v>44</v>
      </c>
      <c r="Q30" s="127">
        <v>31</v>
      </c>
      <c r="R30" s="127">
        <v>34</v>
      </c>
      <c r="S30" s="127">
        <v>34</v>
      </c>
      <c r="T30" s="127">
        <v>32</v>
      </c>
      <c r="U30" s="127">
        <v>30</v>
      </c>
      <c r="V30" s="66"/>
    </row>
    <row r="31" spans="1:24" ht="16.5" customHeight="1">
      <c r="A31" s="798" t="s">
        <v>87</v>
      </c>
      <c r="B31" s="687">
        <v>239</v>
      </c>
      <c r="C31" s="443">
        <v>295</v>
      </c>
      <c r="D31" s="443">
        <v>343</v>
      </c>
      <c r="E31" s="443">
        <v>269</v>
      </c>
      <c r="F31" s="443">
        <v>314</v>
      </c>
      <c r="G31" s="443">
        <v>336</v>
      </c>
      <c r="H31" s="443">
        <v>383</v>
      </c>
      <c r="I31" s="443">
        <v>432</v>
      </c>
      <c r="J31" s="443">
        <v>460</v>
      </c>
      <c r="K31" s="443">
        <v>450</v>
      </c>
      <c r="L31" s="807">
        <v>474</v>
      </c>
      <c r="M31" s="443">
        <v>496</v>
      </c>
      <c r="N31" s="443">
        <v>535</v>
      </c>
      <c r="O31" s="983">
        <v>564</v>
      </c>
      <c r="P31" s="165">
        <v>681</v>
      </c>
      <c r="Q31" s="127">
        <v>539</v>
      </c>
      <c r="R31" s="127">
        <v>521</v>
      </c>
      <c r="S31" s="127">
        <v>512</v>
      </c>
      <c r="T31" s="127">
        <v>503</v>
      </c>
      <c r="U31" s="127">
        <v>489</v>
      </c>
      <c r="V31" s="66"/>
    </row>
    <row r="32" spans="1:24" ht="16.5" customHeight="1">
      <c r="A32" s="798" t="s">
        <v>88</v>
      </c>
      <c r="B32" s="687">
        <v>320</v>
      </c>
      <c r="C32" s="443">
        <v>411</v>
      </c>
      <c r="D32" s="443">
        <v>426</v>
      </c>
      <c r="E32" s="443">
        <v>450</v>
      </c>
      <c r="F32" s="443">
        <v>477</v>
      </c>
      <c r="G32" s="443">
        <v>418</v>
      </c>
      <c r="H32" s="443">
        <v>559</v>
      </c>
      <c r="I32" s="443">
        <v>719</v>
      </c>
      <c r="J32" s="443">
        <v>763</v>
      </c>
      <c r="K32" s="443">
        <v>928</v>
      </c>
      <c r="L32" s="807">
        <v>1027</v>
      </c>
      <c r="M32" s="443">
        <v>1170</v>
      </c>
      <c r="N32" s="443">
        <v>1340</v>
      </c>
      <c r="O32" s="985">
        <v>1385</v>
      </c>
      <c r="P32" s="443">
        <v>1674</v>
      </c>
      <c r="Q32" s="941">
        <v>1399</v>
      </c>
      <c r="R32" s="941">
        <v>1507</v>
      </c>
      <c r="S32" s="941">
        <v>1564</v>
      </c>
      <c r="T32" s="941">
        <v>1713</v>
      </c>
      <c r="U32" s="941">
        <v>1770</v>
      </c>
      <c r="V32" s="66"/>
    </row>
    <row r="33" spans="1:22" ht="16.5" customHeight="1">
      <c r="A33" s="798" t="s">
        <v>89</v>
      </c>
      <c r="B33" s="687">
        <v>59</v>
      </c>
      <c r="C33" s="443">
        <v>105</v>
      </c>
      <c r="D33" s="443">
        <v>110</v>
      </c>
      <c r="E33" s="443">
        <v>115</v>
      </c>
      <c r="F33" s="443">
        <v>158</v>
      </c>
      <c r="G33" s="443">
        <v>148</v>
      </c>
      <c r="H33" s="443">
        <v>88</v>
      </c>
      <c r="I33" s="443">
        <v>129</v>
      </c>
      <c r="J33" s="443">
        <v>197</v>
      </c>
      <c r="K33" s="443">
        <v>194</v>
      </c>
      <c r="L33" s="807">
        <v>198</v>
      </c>
      <c r="M33" s="443">
        <v>253</v>
      </c>
      <c r="N33" s="443">
        <v>289</v>
      </c>
      <c r="O33" s="983">
        <v>285</v>
      </c>
      <c r="P33" s="165">
        <v>339</v>
      </c>
      <c r="Q33" s="127">
        <v>238</v>
      </c>
      <c r="R33" s="127">
        <v>254</v>
      </c>
      <c r="S33" s="127">
        <v>252</v>
      </c>
      <c r="T33" s="127">
        <v>266</v>
      </c>
      <c r="U33" s="127">
        <v>292</v>
      </c>
      <c r="V33" s="66"/>
    </row>
    <row r="34" spans="1:22" ht="16.5" customHeight="1">
      <c r="A34" s="798" t="s">
        <v>444</v>
      </c>
      <c r="B34" s="687" t="s">
        <v>55</v>
      </c>
      <c r="C34" s="443" t="s">
        <v>55</v>
      </c>
      <c r="D34" s="443">
        <v>27</v>
      </c>
      <c r="E34" s="443" t="s">
        <v>97</v>
      </c>
      <c r="F34" s="443">
        <v>6</v>
      </c>
      <c r="G34" s="443">
        <v>3</v>
      </c>
      <c r="H34" s="443">
        <v>14</v>
      </c>
      <c r="I34" s="443" t="s">
        <v>97</v>
      </c>
      <c r="J34" s="440">
        <v>9</v>
      </c>
      <c r="K34" s="443">
        <v>1</v>
      </c>
      <c r="L34" s="807">
        <v>40</v>
      </c>
      <c r="M34" s="443">
        <v>6</v>
      </c>
      <c r="N34" s="165" t="s">
        <v>117</v>
      </c>
      <c r="O34" s="983" t="s">
        <v>117</v>
      </c>
      <c r="P34" s="165" t="s">
        <v>117</v>
      </c>
      <c r="Q34" s="127">
        <v>1</v>
      </c>
      <c r="R34" s="127">
        <v>3</v>
      </c>
      <c r="S34" s="127">
        <v>1</v>
      </c>
      <c r="T34" s="127" t="s">
        <v>117</v>
      </c>
      <c r="U34" s="127" t="s">
        <v>117</v>
      </c>
      <c r="V34" s="66"/>
    </row>
    <row r="35" spans="1:22" ht="16.5" customHeight="1">
      <c r="A35" s="697" t="s">
        <v>78</v>
      </c>
      <c r="B35" s="881">
        <f>SUM(B36:B42)</f>
        <v>636</v>
      </c>
      <c r="C35" s="442">
        <f t="shared" ref="C35:S35" si="5">SUM(C36:C43)</f>
        <v>846</v>
      </c>
      <c r="D35" s="442">
        <f t="shared" si="5"/>
        <v>934</v>
      </c>
      <c r="E35" s="442">
        <f t="shared" si="5"/>
        <v>975</v>
      </c>
      <c r="F35" s="442">
        <f t="shared" si="5"/>
        <v>985</v>
      </c>
      <c r="G35" s="442">
        <f t="shared" si="5"/>
        <v>928</v>
      </c>
      <c r="H35" s="442">
        <f t="shared" si="5"/>
        <v>1078</v>
      </c>
      <c r="I35" s="442">
        <f t="shared" si="5"/>
        <v>1313</v>
      </c>
      <c r="J35" s="442">
        <f t="shared" si="5"/>
        <v>1462</v>
      </c>
      <c r="K35" s="442">
        <f t="shared" si="5"/>
        <v>1614</v>
      </c>
      <c r="L35" s="808">
        <f t="shared" si="5"/>
        <v>1767</v>
      </c>
      <c r="M35" s="439">
        <f t="shared" si="5"/>
        <v>1957</v>
      </c>
      <c r="N35" s="439">
        <f t="shared" si="5"/>
        <v>2203</v>
      </c>
      <c r="O35" s="984">
        <f t="shared" si="5"/>
        <v>2272</v>
      </c>
      <c r="P35" s="439">
        <f t="shared" si="5"/>
        <v>2768</v>
      </c>
      <c r="Q35" s="940">
        <f t="shared" si="5"/>
        <v>2208</v>
      </c>
      <c r="R35" s="940">
        <f t="shared" si="5"/>
        <v>2319</v>
      </c>
      <c r="S35" s="940">
        <f t="shared" si="5"/>
        <v>2363</v>
      </c>
      <c r="T35" s="127" t="s">
        <v>117</v>
      </c>
      <c r="U35" s="127" t="s">
        <v>117</v>
      </c>
      <c r="V35" s="66"/>
    </row>
    <row r="36" spans="1:22" ht="16.5" customHeight="1">
      <c r="A36" s="798" t="s">
        <v>445</v>
      </c>
      <c r="B36" s="687">
        <v>164</v>
      </c>
      <c r="C36" s="443">
        <v>293</v>
      </c>
      <c r="D36" s="443">
        <v>325</v>
      </c>
      <c r="E36" s="443">
        <v>352</v>
      </c>
      <c r="F36" s="443">
        <v>325</v>
      </c>
      <c r="G36" s="443">
        <v>349</v>
      </c>
      <c r="H36" s="443">
        <v>387</v>
      </c>
      <c r="I36" s="443">
        <v>442</v>
      </c>
      <c r="J36" s="443">
        <v>490</v>
      </c>
      <c r="K36" s="443">
        <v>504</v>
      </c>
      <c r="L36" s="807">
        <v>523</v>
      </c>
      <c r="M36" s="443">
        <v>581</v>
      </c>
      <c r="N36" s="443">
        <v>638</v>
      </c>
      <c r="O36" s="983">
        <v>679</v>
      </c>
      <c r="P36" s="165">
        <v>857</v>
      </c>
      <c r="Q36" s="127">
        <v>742</v>
      </c>
      <c r="R36" s="127">
        <v>818</v>
      </c>
      <c r="S36" s="127">
        <v>872</v>
      </c>
      <c r="T36" s="127" t="s">
        <v>117</v>
      </c>
      <c r="U36" s="127" t="s">
        <v>117</v>
      </c>
      <c r="V36" s="66"/>
    </row>
    <row r="37" spans="1:22" ht="16.5" customHeight="1">
      <c r="A37" s="798" t="s">
        <v>446</v>
      </c>
      <c r="B37" s="687">
        <v>122</v>
      </c>
      <c r="C37" s="443">
        <v>170</v>
      </c>
      <c r="D37" s="443">
        <v>152</v>
      </c>
      <c r="E37" s="443">
        <v>129</v>
      </c>
      <c r="F37" s="443">
        <v>173</v>
      </c>
      <c r="G37" s="443">
        <v>117</v>
      </c>
      <c r="H37" s="443">
        <v>174</v>
      </c>
      <c r="I37" s="443">
        <v>225</v>
      </c>
      <c r="J37" s="443">
        <v>232</v>
      </c>
      <c r="K37" s="443">
        <v>250</v>
      </c>
      <c r="L37" s="807">
        <v>258</v>
      </c>
      <c r="M37" s="443">
        <v>304</v>
      </c>
      <c r="N37" s="443">
        <v>314</v>
      </c>
      <c r="O37" s="983">
        <v>327</v>
      </c>
      <c r="P37" s="165">
        <v>409</v>
      </c>
      <c r="Q37" s="127">
        <v>294</v>
      </c>
      <c r="R37" s="127">
        <v>275</v>
      </c>
      <c r="S37" s="127">
        <v>275</v>
      </c>
      <c r="T37" s="127" t="s">
        <v>117</v>
      </c>
      <c r="U37" s="127" t="s">
        <v>117</v>
      </c>
      <c r="V37" s="66"/>
    </row>
    <row r="38" spans="1:22" ht="16.5" customHeight="1">
      <c r="A38" s="798" t="s">
        <v>447</v>
      </c>
      <c r="B38" s="687">
        <v>254</v>
      </c>
      <c r="C38" s="443">
        <v>304</v>
      </c>
      <c r="D38" s="443">
        <v>341</v>
      </c>
      <c r="E38" s="443">
        <v>325</v>
      </c>
      <c r="F38" s="443">
        <v>336</v>
      </c>
      <c r="G38" s="443">
        <v>317</v>
      </c>
      <c r="H38" s="443">
        <v>437</v>
      </c>
      <c r="I38" s="443">
        <v>575</v>
      </c>
      <c r="J38" s="443">
        <v>650</v>
      </c>
      <c r="K38" s="443">
        <v>770</v>
      </c>
      <c r="L38" s="807">
        <v>871</v>
      </c>
      <c r="M38" s="443">
        <v>965</v>
      </c>
      <c r="N38" s="443">
        <v>1152</v>
      </c>
      <c r="O38" s="985">
        <v>1164</v>
      </c>
      <c r="P38" s="443">
        <v>1368</v>
      </c>
      <c r="Q38" s="941">
        <v>1087</v>
      </c>
      <c r="R38" s="941">
        <v>1135</v>
      </c>
      <c r="S38" s="941">
        <v>1123</v>
      </c>
      <c r="T38" s="127" t="s">
        <v>117</v>
      </c>
      <c r="U38" s="127" t="s">
        <v>117</v>
      </c>
      <c r="V38" s="66"/>
    </row>
    <row r="39" spans="1:22" ht="16.5" customHeight="1">
      <c r="A39" s="798" t="s">
        <v>448</v>
      </c>
      <c r="B39" s="687">
        <v>25</v>
      </c>
      <c r="C39" s="443">
        <v>30</v>
      </c>
      <c r="D39" s="443">
        <v>32</v>
      </c>
      <c r="E39" s="443">
        <v>34</v>
      </c>
      <c r="F39" s="443">
        <v>41</v>
      </c>
      <c r="G39" s="443">
        <v>43</v>
      </c>
      <c r="H39" s="443">
        <v>22</v>
      </c>
      <c r="I39" s="443">
        <v>22</v>
      </c>
      <c r="J39" s="443">
        <v>27</v>
      </c>
      <c r="K39" s="443">
        <v>28</v>
      </c>
      <c r="L39" s="807">
        <v>34</v>
      </c>
      <c r="M39" s="443">
        <v>37</v>
      </c>
      <c r="N39" s="443">
        <v>42</v>
      </c>
      <c r="O39" s="983">
        <v>45</v>
      </c>
      <c r="P39" s="165">
        <v>59</v>
      </c>
      <c r="Q39" s="127">
        <v>39</v>
      </c>
      <c r="R39" s="127">
        <v>46</v>
      </c>
      <c r="S39" s="127">
        <v>48</v>
      </c>
      <c r="T39" s="127" t="s">
        <v>117</v>
      </c>
      <c r="U39" s="127" t="s">
        <v>117</v>
      </c>
      <c r="V39" s="66"/>
    </row>
    <row r="40" spans="1:22" ht="16.5" customHeight="1">
      <c r="A40" s="798" t="s">
        <v>449</v>
      </c>
      <c r="B40" s="687">
        <v>39</v>
      </c>
      <c r="C40" s="443">
        <v>13</v>
      </c>
      <c r="D40" s="443">
        <v>27</v>
      </c>
      <c r="E40" s="443">
        <v>30</v>
      </c>
      <c r="F40" s="443">
        <v>45</v>
      </c>
      <c r="G40" s="443">
        <v>44</v>
      </c>
      <c r="H40" s="443">
        <v>8</v>
      </c>
      <c r="I40" s="443">
        <v>8</v>
      </c>
      <c r="J40" s="443">
        <v>12</v>
      </c>
      <c r="K40" s="443">
        <v>11</v>
      </c>
      <c r="L40" s="807">
        <v>10</v>
      </c>
      <c r="M40" s="443">
        <v>10</v>
      </c>
      <c r="N40" s="443">
        <v>9</v>
      </c>
      <c r="O40" s="983">
        <v>9</v>
      </c>
      <c r="P40" s="165">
        <v>16</v>
      </c>
      <c r="Q40" s="127">
        <v>6</v>
      </c>
      <c r="R40" s="127">
        <v>6</v>
      </c>
      <c r="S40" s="127">
        <v>4</v>
      </c>
      <c r="T40" s="127" t="s">
        <v>117</v>
      </c>
      <c r="U40" s="127" t="s">
        <v>117</v>
      </c>
      <c r="V40" s="66"/>
    </row>
    <row r="41" spans="1:22" ht="16.5" customHeight="1">
      <c r="A41" s="798" t="s">
        <v>450</v>
      </c>
      <c r="B41" s="687">
        <v>32</v>
      </c>
      <c r="C41" s="443">
        <v>36</v>
      </c>
      <c r="D41" s="443">
        <v>30</v>
      </c>
      <c r="E41" s="443">
        <v>105</v>
      </c>
      <c r="F41" s="443">
        <v>65</v>
      </c>
      <c r="G41" s="443">
        <v>58</v>
      </c>
      <c r="H41" s="443">
        <v>46</v>
      </c>
      <c r="I41" s="443">
        <v>41</v>
      </c>
      <c r="J41" s="443">
        <v>50</v>
      </c>
      <c r="K41" s="443">
        <v>50</v>
      </c>
      <c r="L41" s="807">
        <v>63</v>
      </c>
      <c r="M41" s="443">
        <v>57</v>
      </c>
      <c r="N41" s="443">
        <v>48</v>
      </c>
      <c r="O41" s="983">
        <v>48</v>
      </c>
      <c r="P41" s="165">
        <v>59</v>
      </c>
      <c r="Q41" s="127">
        <v>40</v>
      </c>
      <c r="R41" s="127">
        <v>39</v>
      </c>
      <c r="S41" s="127">
        <v>41</v>
      </c>
      <c r="T41" s="127" t="s">
        <v>117</v>
      </c>
      <c r="U41" s="127" t="s">
        <v>117</v>
      </c>
      <c r="V41" s="66"/>
    </row>
    <row r="42" spans="1:22" ht="16.5" customHeight="1">
      <c r="A42" s="798" t="s">
        <v>444</v>
      </c>
      <c r="B42" s="687" t="s">
        <v>55</v>
      </c>
      <c r="C42" s="443" t="s">
        <v>0</v>
      </c>
      <c r="D42" s="443">
        <v>27</v>
      </c>
      <c r="E42" s="443" t="s">
        <v>0</v>
      </c>
      <c r="F42" s="443" t="s">
        <v>0</v>
      </c>
      <c r="G42" s="443" t="s">
        <v>0</v>
      </c>
      <c r="H42" s="443">
        <v>4</v>
      </c>
      <c r="I42" s="443" t="s">
        <v>0</v>
      </c>
      <c r="J42" s="443">
        <v>1</v>
      </c>
      <c r="K42" s="443">
        <v>1</v>
      </c>
      <c r="L42" s="807">
        <v>8</v>
      </c>
      <c r="M42" s="443">
        <v>3</v>
      </c>
      <c r="N42" s="165" t="s">
        <v>117</v>
      </c>
      <c r="O42" s="983" t="s">
        <v>117</v>
      </c>
      <c r="P42" s="165" t="s">
        <v>117</v>
      </c>
      <c r="Q42" s="165" t="s">
        <v>117</v>
      </c>
      <c r="R42" s="165" t="s">
        <v>117</v>
      </c>
      <c r="S42" s="165" t="s">
        <v>117</v>
      </c>
      <c r="T42" s="127" t="s">
        <v>117</v>
      </c>
      <c r="U42" s="127" t="s">
        <v>117</v>
      </c>
    </row>
    <row r="43" spans="1:22" ht="6" customHeight="1">
      <c r="A43" s="883"/>
      <c r="B43" s="636"/>
      <c r="C43" s="636"/>
      <c r="D43" s="636"/>
      <c r="E43" s="636"/>
      <c r="F43" s="636"/>
      <c r="G43" s="636"/>
      <c r="H43" s="636"/>
      <c r="I43" s="636"/>
      <c r="J43" s="636"/>
      <c r="K43" s="636"/>
      <c r="L43" s="906"/>
      <c r="M43" s="374"/>
      <c r="N43" s="374"/>
      <c r="O43" s="986"/>
      <c r="P43" s="374"/>
      <c r="Q43" s="374"/>
      <c r="R43" s="374"/>
      <c r="S43" s="374"/>
      <c r="T43" s="942"/>
      <c r="U43" s="942"/>
    </row>
    <row r="44" spans="1:22" ht="11.1" hidden="1" customHeight="1">
      <c r="A44" s="902" t="s">
        <v>458</v>
      </c>
      <c r="B44" s="723"/>
      <c r="C44" s="723"/>
      <c r="D44" s="723"/>
      <c r="E44" s="723"/>
      <c r="F44" s="723"/>
      <c r="G44" s="723"/>
      <c r="H44" s="723"/>
      <c r="I44" s="723"/>
      <c r="J44" s="723"/>
      <c r="K44" s="723"/>
      <c r="L44" s="723"/>
      <c r="M44" s="723"/>
      <c r="N44" s="723"/>
      <c r="O44" s="723"/>
      <c r="P44" s="723"/>
      <c r="Q44" s="723"/>
    </row>
    <row r="45" spans="1:22" ht="11.1" customHeight="1">
      <c r="A45" s="149" t="s">
        <v>509</v>
      </c>
      <c r="B45" s="723"/>
      <c r="C45" s="723"/>
      <c r="D45" s="723"/>
      <c r="E45" s="723"/>
      <c r="F45" s="723"/>
      <c r="G45" s="723"/>
      <c r="H45" s="723"/>
      <c r="I45" s="723"/>
      <c r="J45" s="723"/>
      <c r="K45" s="723"/>
      <c r="L45" s="723"/>
      <c r="M45" s="723"/>
      <c r="N45" s="723"/>
      <c r="O45" s="723"/>
      <c r="P45" s="723"/>
      <c r="Q45" s="723"/>
    </row>
    <row r="46" spans="1:22" ht="11.1" customHeight="1">
      <c r="A46" s="723" t="s">
        <v>388</v>
      </c>
    </row>
    <row r="47" spans="1:22" ht="13.5" customHeight="1"/>
  </sheetData>
  <mergeCells count="3">
    <mergeCell ref="A3:A4"/>
    <mergeCell ref="L3:U3"/>
    <mergeCell ref="A1:U1"/>
  </mergeCells>
  <phoneticPr fontId="24" type="noConversion"/>
  <pageMargins left="1.1811023622047245" right="0.98425196850393704" top="0.98425196850393704" bottom="0.98425196850393704" header="0" footer="0"/>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zoomScaleNormal="100" zoomScaleSheetLayoutView="100" workbookViewId="0">
      <selection sqref="A1:C1"/>
    </sheetView>
  </sheetViews>
  <sheetFormatPr baseColWidth="10" defaultColWidth="9.7109375" defaultRowHeight="11.25"/>
  <cols>
    <col min="1" max="1" width="14.7109375" style="5" customWidth="1"/>
    <col min="2" max="3" width="33.7109375" style="5" customWidth="1"/>
    <col min="4" max="16384" width="9.7109375" style="5"/>
  </cols>
  <sheetData>
    <row r="1" spans="1:3" ht="15.75" customHeight="1">
      <c r="A1" s="1135" t="s">
        <v>510</v>
      </c>
      <c r="B1" s="1135"/>
      <c r="C1" s="1135"/>
    </row>
    <row r="2" spans="1:3" ht="5.0999999999999996" customHeight="1">
      <c r="A2" s="605"/>
      <c r="B2" s="605"/>
      <c r="C2" s="678"/>
    </row>
    <row r="3" spans="1:3" ht="23.25" customHeight="1">
      <c r="A3" s="190" t="s">
        <v>1</v>
      </c>
      <c r="B3" s="286" t="s">
        <v>524</v>
      </c>
      <c r="C3" s="493" t="s">
        <v>239</v>
      </c>
    </row>
    <row r="4" spans="1:3" ht="7.5" customHeight="1">
      <c r="A4" s="310"/>
      <c r="B4" s="138"/>
      <c r="C4" s="679"/>
    </row>
    <row r="5" spans="1:3" ht="12.95" hidden="1" customHeight="1">
      <c r="A5" s="545">
        <v>1991</v>
      </c>
      <c r="B5" s="680">
        <v>984</v>
      </c>
      <c r="C5" s="134">
        <v>6925</v>
      </c>
    </row>
    <row r="6" spans="1:3" ht="12.95" hidden="1" customHeight="1">
      <c r="A6" s="545">
        <v>1992</v>
      </c>
      <c r="B6" s="680">
        <v>2804</v>
      </c>
      <c r="C6" s="134">
        <v>7980</v>
      </c>
    </row>
    <row r="7" spans="1:3" ht="13.5" hidden="1" customHeight="1">
      <c r="A7" s="310">
        <v>1993</v>
      </c>
      <c r="B7" s="681">
        <v>3047</v>
      </c>
      <c r="C7" s="469">
        <v>7618</v>
      </c>
    </row>
    <row r="8" spans="1:3" ht="13.5" customHeight="1">
      <c r="A8" s="310">
        <v>1994</v>
      </c>
      <c r="B8" s="681">
        <v>1322</v>
      </c>
      <c r="C8" s="469">
        <v>4693</v>
      </c>
    </row>
    <row r="9" spans="1:3" ht="13.5" customHeight="1">
      <c r="A9" s="310">
        <v>1995</v>
      </c>
      <c r="B9" s="681">
        <v>826</v>
      </c>
      <c r="C9" s="469">
        <v>9660</v>
      </c>
    </row>
    <row r="10" spans="1:3" ht="13.5" customHeight="1">
      <c r="A10" s="310">
        <v>1996</v>
      </c>
      <c r="B10" s="681">
        <v>775</v>
      </c>
      <c r="C10" s="469">
        <v>5896</v>
      </c>
    </row>
    <row r="11" spans="1:3" ht="13.5" customHeight="1">
      <c r="A11" s="310">
        <v>1997</v>
      </c>
      <c r="B11" s="681">
        <v>3088</v>
      </c>
      <c r="C11" s="469">
        <v>1857</v>
      </c>
    </row>
    <row r="12" spans="1:3" ht="13.5" customHeight="1">
      <c r="A12" s="310">
        <v>1998</v>
      </c>
      <c r="B12" s="681">
        <v>2296</v>
      </c>
      <c r="C12" s="469">
        <v>4961</v>
      </c>
    </row>
    <row r="13" spans="1:3" ht="13.5" customHeight="1">
      <c r="A13" s="310">
        <v>1999</v>
      </c>
      <c r="B13" s="681">
        <v>1714</v>
      </c>
      <c r="C13" s="469">
        <v>3850</v>
      </c>
    </row>
    <row r="14" spans="1:3" ht="13.5" customHeight="1">
      <c r="A14" s="310">
        <v>2000</v>
      </c>
      <c r="B14" s="681">
        <v>281</v>
      </c>
      <c r="C14" s="469">
        <v>844</v>
      </c>
    </row>
    <row r="15" spans="1:3" ht="13.5" customHeight="1">
      <c r="A15" s="310">
        <v>2001</v>
      </c>
      <c r="B15" s="681">
        <v>895</v>
      </c>
      <c r="C15" s="469">
        <v>2020</v>
      </c>
    </row>
    <row r="16" spans="1:3" ht="13.5" customHeight="1">
      <c r="A16" s="310">
        <v>2002</v>
      </c>
      <c r="B16" s="681">
        <v>926</v>
      </c>
      <c r="C16" s="469">
        <v>2597</v>
      </c>
    </row>
    <row r="17" spans="1:5" ht="13.5" customHeight="1">
      <c r="A17" s="310">
        <v>2003</v>
      </c>
      <c r="B17" s="681">
        <v>1235</v>
      </c>
      <c r="C17" s="469">
        <v>1951</v>
      </c>
    </row>
    <row r="18" spans="1:5" ht="13.5" customHeight="1">
      <c r="A18" s="310">
        <v>2004</v>
      </c>
      <c r="B18" s="681">
        <v>526</v>
      </c>
      <c r="C18" s="469">
        <v>1269</v>
      </c>
    </row>
    <row r="19" spans="1:5" ht="13.5" customHeight="1">
      <c r="A19" s="310">
        <v>2005</v>
      </c>
      <c r="B19" s="681">
        <v>843</v>
      </c>
      <c r="C19" s="469">
        <v>2547</v>
      </c>
    </row>
    <row r="20" spans="1:5" ht="13.5" customHeight="1">
      <c r="A20" s="310">
        <v>2006</v>
      </c>
      <c r="B20" s="681">
        <v>268</v>
      </c>
      <c r="C20" s="469">
        <v>3194</v>
      </c>
    </row>
    <row r="21" spans="1:5" ht="13.5" customHeight="1">
      <c r="A21" s="310">
        <v>2007</v>
      </c>
      <c r="B21" s="681">
        <v>554</v>
      </c>
      <c r="C21" s="469">
        <v>4134</v>
      </c>
    </row>
    <row r="22" spans="1:5" ht="13.5" customHeight="1">
      <c r="A22" s="310">
        <v>2008</v>
      </c>
      <c r="B22" s="682">
        <v>512</v>
      </c>
      <c r="C22" s="469">
        <v>5358</v>
      </c>
      <c r="E22" s="809"/>
    </row>
    <row r="23" spans="1:5" ht="13.5" customHeight="1">
      <c r="A23" s="310">
        <v>2009</v>
      </c>
      <c r="B23" s="681">
        <v>465</v>
      </c>
      <c r="C23" s="469">
        <v>4245</v>
      </c>
    </row>
    <row r="24" spans="1:5" ht="13.5" customHeight="1">
      <c r="A24" s="310">
        <v>2010</v>
      </c>
      <c r="B24" s="682">
        <v>378</v>
      </c>
      <c r="C24" s="469">
        <v>3719</v>
      </c>
    </row>
    <row r="25" spans="1:5" ht="13.5" customHeight="1">
      <c r="A25" s="310">
        <v>2011</v>
      </c>
      <c r="B25" s="682">
        <v>594</v>
      </c>
      <c r="C25" s="469">
        <v>3304</v>
      </c>
    </row>
    <row r="26" spans="1:5" ht="13.5" customHeight="1">
      <c r="A26" s="310">
        <v>2012</v>
      </c>
      <c r="B26" s="682">
        <v>646</v>
      </c>
      <c r="C26" s="469">
        <v>2951</v>
      </c>
    </row>
    <row r="27" spans="1:5" ht="13.5" customHeight="1">
      <c r="A27" s="310">
        <v>2013</v>
      </c>
      <c r="B27" s="682">
        <v>579</v>
      </c>
      <c r="C27" s="469">
        <v>3655</v>
      </c>
    </row>
    <row r="28" spans="1:5" ht="13.5" customHeight="1">
      <c r="A28" s="310">
        <v>2014</v>
      </c>
      <c r="B28" s="682">
        <v>508</v>
      </c>
      <c r="C28" s="469">
        <v>4558</v>
      </c>
    </row>
    <row r="29" spans="1:5" ht="13.5" customHeight="1">
      <c r="A29" s="310">
        <v>2015</v>
      </c>
      <c r="B29" s="682">
        <v>1080</v>
      </c>
      <c r="C29" s="469">
        <v>4894</v>
      </c>
    </row>
    <row r="30" spans="1:5" ht="13.5" customHeight="1">
      <c r="A30" s="310">
        <v>2016</v>
      </c>
      <c r="B30" s="682">
        <v>1739</v>
      </c>
      <c r="C30" s="469">
        <v>4521</v>
      </c>
    </row>
    <row r="31" spans="1:5" ht="13.5" customHeight="1">
      <c r="A31" s="310">
        <v>2017</v>
      </c>
      <c r="B31" s="682">
        <v>2558</v>
      </c>
      <c r="C31" s="469">
        <v>5448</v>
      </c>
    </row>
    <row r="32" spans="1:5" ht="13.5" customHeight="1">
      <c r="A32" s="853">
        <v>2018</v>
      </c>
      <c r="B32" s="682">
        <v>2281</v>
      </c>
      <c r="C32" s="469">
        <v>1548</v>
      </c>
    </row>
    <row r="33" spans="1:5" ht="13.5" customHeight="1">
      <c r="A33" s="853">
        <v>2019</v>
      </c>
      <c r="B33" s="682">
        <v>3528</v>
      </c>
      <c r="C33" s="469">
        <v>1841</v>
      </c>
    </row>
    <row r="34" spans="1:5" ht="13.5" customHeight="1">
      <c r="A34" s="853">
        <v>2020</v>
      </c>
      <c r="B34" s="682">
        <v>2815</v>
      </c>
      <c r="C34" s="469">
        <v>784</v>
      </c>
    </row>
    <row r="35" spans="1:5" ht="13.5" customHeight="1">
      <c r="A35" s="853">
        <v>2021</v>
      </c>
      <c r="B35" s="682">
        <v>2505</v>
      </c>
      <c r="C35" s="469">
        <v>1097</v>
      </c>
    </row>
    <row r="36" spans="1:5" ht="13.5" customHeight="1">
      <c r="A36" s="853">
        <v>2022</v>
      </c>
      <c r="B36" s="682">
        <v>4324</v>
      </c>
      <c r="C36" s="979" t="s">
        <v>117</v>
      </c>
    </row>
    <row r="37" spans="1:5" ht="13.5" customHeight="1">
      <c r="A37" s="853">
        <v>2023</v>
      </c>
      <c r="B37" s="682">
        <v>4371</v>
      </c>
      <c r="C37" s="979" t="s">
        <v>117</v>
      </c>
    </row>
    <row r="38" spans="1:5" ht="5.0999999999999996" customHeight="1">
      <c r="A38" s="683"/>
      <c r="B38" s="684"/>
      <c r="C38" s="685"/>
    </row>
    <row r="39" spans="1:5" ht="11.1" customHeight="1">
      <c r="A39" s="1134" t="s">
        <v>493</v>
      </c>
      <c r="B39" s="1134"/>
      <c r="C39" s="1134"/>
      <c r="D39" s="5" t="s">
        <v>45</v>
      </c>
      <c r="E39" s="605"/>
    </row>
    <row r="40" spans="1:5" ht="11.25" customHeight="1">
      <c r="A40" s="115"/>
    </row>
    <row r="43" spans="1:5">
      <c r="C43" s="5" t="s">
        <v>239</v>
      </c>
    </row>
  </sheetData>
  <mergeCells count="2">
    <mergeCell ref="A39:C39"/>
    <mergeCell ref="A1:C1"/>
  </mergeCells>
  <phoneticPr fontId="0" type="noConversion"/>
  <pageMargins left="0.78740157480314965" right="0.78740157480314965" top="0.98425196850393704" bottom="0.98425196850393704" header="0" footer="0"/>
  <pageSetup paperSize="9" orientation="portrait" r:id="rId1"/>
  <headerFooter alignWithMargins="0"/>
  <colBreaks count="1" manualBreakCount="1">
    <brk id="6" max="1048575" man="1"/>
  </colBreak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dimension ref="A1:Z31"/>
  <sheetViews>
    <sheetView showGridLines="0" zoomScaleNormal="100" zoomScaleSheetLayoutView="145" workbookViewId="0">
      <selection sqref="A1:Z1"/>
    </sheetView>
  </sheetViews>
  <sheetFormatPr baseColWidth="10" defaultColWidth="9.7109375" defaultRowHeight="12.75"/>
  <cols>
    <col min="1" max="1" width="14.28515625" style="834" customWidth="1"/>
    <col min="2" max="2" width="3.85546875" style="818" hidden="1" customWidth="1"/>
    <col min="3" max="5" width="7" style="818" hidden="1" customWidth="1"/>
    <col min="6" max="16" width="7" style="103" hidden="1" customWidth="1"/>
    <col min="17" max="18" width="9.7109375" style="103" hidden="1" customWidth="1"/>
    <col min="19" max="19" width="8.85546875" style="103" hidden="1" customWidth="1"/>
    <col min="20" max="26" width="9.7109375" style="103" customWidth="1"/>
    <col min="27" max="16384" width="9.7109375" style="103"/>
  </cols>
  <sheetData>
    <row r="1" spans="1:26" ht="13.5">
      <c r="A1" s="1135" t="s">
        <v>520</v>
      </c>
      <c r="B1" s="1135"/>
      <c r="C1" s="1135"/>
      <c r="D1" s="1135"/>
      <c r="E1" s="1135"/>
      <c r="F1" s="1135"/>
      <c r="G1" s="1135"/>
      <c r="H1" s="1135"/>
      <c r="I1" s="1135"/>
      <c r="J1" s="1135"/>
      <c r="K1" s="1135"/>
      <c r="L1" s="1135"/>
      <c r="M1" s="1135"/>
      <c r="N1" s="1135"/>
      <c r="O1" s="1135"/>
      <c r="P1" s="1135"/>
      <c r="Q1" s="1135"/>
      <c r="R1" s="1135"/>
      <c r="S1" s="1135"/>
      <c r="T1" s="1135"/>
      <c r="U1" s="1135"/>
      <c r="V1" s="1135"/>
      <c r="W1" s="1135"/>
      <c r="X1" s="1135"/>
      <c r="Y1" s="1135"/>
      <c r="Z1" s="1135"/>
    </row>
    <row r="2" spans="1:26" ht="5.0999999999999996" customHeight="1">
      <c r="A2" s="1270"/>
      <c r="B2" s="1271"/>
      <c r="C2" s="1271"/>
      <c r="D2" s="1271"/>
      <c r="E2" s="1271"/>
      <c r="F2" s="698"/>
    </row>
    <row r="3" spans="1:26" ht="9.9499999999999993" customHeight="1">
      <c r="A3" s="1268" t="s">
        <v>85</v>
      </c>
      <c r="B3" s="593"/>
      <c r="C3" s="594"/>
      <c r="D3" s="594"/>
      <c r="E3" s="594"/>
      <c r="F3" s="594"/>
      <c r="G3" s="594"/>
      <c r="H3" s="594"/>
      <c r="I3" s="594"/>
      <c r="J3" s="594"/>
      <c r="K3" s="594"/>
      <c r="L3" s="594"/>
      <c r="M3" s="594"/>
      <c r="N3" s="594"/>
      <c r="O3" s="594"/>
      <c r="P3" s="594"/>
      <c r="Q3" s="594"/>
      <c r="R3" s="1266">
        <v>2016</v>
      </c>
      <c r="S3" s="1266">
        <v>2017</v>
      </c>
      <c r="T3" s="1266">
        <v>2018</v>
      </c>
      <c r="U3" s="1266">
        <v>2019</v>
      </c>
      <c r="V3" s="1266">
        <v>2020</v>
      </c>
      <c r="W3" s="1266">
        <v>2021</v>
      </c>
      <c r="X3" s="1266">
        <v>2022</v>
      </c>
      <c r="Y3" s="1266">
        <v>2023</v>
      </c>
      <c r="Z3" s="1266" t="s">
        <v>506</v>
      </c>
    </row>
    <row r="4" spans="1:26" ht="9.9499999999999993" customHeight="1">
      <c r="A4" s="1269"/>
      <c r="B4" s="307">
        <v>2000</v>
      </c>
      <c r="C4" s="307">
        <f>B4+1</f>
        <v>2001</v>
      </c>
      <c r="D4" s="307">
        <f>C4+1</f>
        <v>2002</v>
      </c>
      <c r="E4" s="307">
        <f>D4+1</f>
        <v>2003</v>
      </c>
      <c r="F4" s="307">
        <f>E4+1</f>
        <v>2004</v>
      </c>
      <c r="G4" s="307">
        <f>F4+1</f>
        <v>2005</v>
      </c>
      <c r="H4" s="307">
        <v>2006</v>
      </c>
      <c r="I4" s="307">
        <v>2007</v>
      </c>
      <c r="J4" s="307">
        <v>2008</v>
      </c>
      <c r="K4" s="307">
        <v>2009</v>
      </c>
      <c r="L4" s="307">
        <v>2010</v>
      </c>
      <c r="M4" s="286">
        <v>2011</v>
      </c>
      <c r="N4" s="286">
        <v>2012</v>
      </c>
      <c r="O4" s="286">
        <v>2013</v>
      </c>
      <c r="P4" s="286">
        <v>2014</v>
      </c>
      <c r="Q4" s="286">
        <v>2015</v>
      </c>
      <c r="R4" s="1267"/>
      <c r="S4" s="1267"/>
      <c r="T4" s="1267"/>
      <c r="U4" s="1267"/>
      <c r="V4" s="1267"/>
      <c r="W4" s="1267"/>
      <c r="X4" s="1267"/>
      <c r="Y4" s="1267"/>
      <c r="Z4" s="1267"/>
    </row>
    <row r="5" spans="1:26" ht="15" customHeight="1">
      <c r="A5" s="310" t="s">
        <v>2</v>
      </c>
      <c r="B5" s="311">
        <f>SUM(B6:B9)</f>
        <v>944</v>
      </c>
      <c r="C5" s="442">
        <f t="shared" ref="C5:Q5" si="0">SUM(C6:C10)</f>
        <v>774</v>
      </c>
      <c r="D5" s="442">
        <f t="shared" si="0"/>
        <v>797</v>
      </c>
      <c r="E5" s="442">
        <f t="shared" si="0"/>
        <v>670</v>
      </c>
      <c r="F5" s="442">
        <f t="shared" si="0"/>
        <v>668</v>
      </c>
      <c r="G5" s="442">
        <f t="shared" si="0"/>
        <v>636</v>
      </c>
      <c r="H5" s="442">
        <f t="shared" si="0"/>
        <v>846</v>
      </c>
      <c r="I5" s="442">
        <f t="shared" si="0"/>
        <v>944</v>
      </c>
      <c r="J5" s="442">
        <f t="shared" si="0"/>
        <v>876</v>
      </c>
      <c r="K5" s="442">
        <f t="shared" si="0"/>
        <v>986</v>
      </c>
      <c r="L5" s="442">
        <f t="shared" si="0"/>
        <v>938</v>
      </c>
      <c r="M5" s="442">
        <f t="shared" si="0"/>
        <v>1078</v>
      </c>
      <c r="N5" s="442">
        <f t="shared" si="0"/>
        <v>1315</v>
      </c>
      <c r="O5" s="442">
        <f t="shared" si="0"/>
        <v>1462</v>
      </c>
      <c r="P5" s="442">
        <f t="shared" si="0"/>
        <v>1614</v>
      </c>
      <c r="Q5" s="442">
        <f t="shared" si="0"/>
        <v>1767</v>
      </c>
      <c r="R5" s="439">
        <v>1957</v>
      </c>
      <c r="S5" s="439">
        <v>2203</v>
      </c>
      <c r="T5" s="439">
        <v>2442</v>
      </c>
      <c r="U5" s="465">
        <v>2408</v>
      </c>
      <c r="V5" s="439">
        <v>2208</v>
      </c>
      <c r="W5" s="439">
        <v>2297</v>
      </c>
      <c r="X5" s="439">
        <f>SUM(X6:X10)</f>
        <v>2363</v>
      </c>
      <c r="Y5" s="940">
        <f>SUM(Y6:Y9)</f>
        <v>2514</v>
      </c>
      <c r="Z5" s="940">
        <f>SUM(Z6:Z9)</f>
        <v>2581</v>
      </c>
    </row>
    <row r="6" spans="1:26" ht="15" customHeight="1">
      <c r="A6" s="545" t="s">
        <v>86</v>
      </c>
      <c r="B6" s="140">
        <v>27</v>
      </c>
      <c r="C6" s="443">
        <v>28</v>
      </c>
      <c r="D6" s="443">
        <v>17</v>
      </c>
      <c r="E6" s="443">
        <v>15</v>
      </c>
      <c r="F6" s="443">
        <v>16</v>
      </c>
      <c r="G6" s="443">
        <v>18</v>
      </c>
      <c r="H6" s="443">
        <v>35</v>
      </c>
      <c r="I6" s="443">
        <v>38</v>
      </c>
      <c r="J6" s="443">
        <v>42</v>
      </c>
      <c r="K6" s="443">
        <v>31</v>
      </c>
      <c r="L6" s="443">
        <v>33</v>
      </c>
      <c r="M6" s="443">
        <v>34</v>
      </c>
      <c r="N6" s="443">
        <v>35</v>
      </c>
      <c r="O6" s="443">
        <v>33</v>
      </c>
      <c r="P6" s="443">
        <v>33</v>
      </c>
      <c r="Q6" s="443">
        <v>28</v>
      </c>
      <c r="R6" s="443">
        <v>32</v>
      </c>
      <c r="S6" s="443">
        <v>39</v>
      </c>
      <c r="T6" s="103">
        <v>40</v>
      </c>
      <c r="U6" s="103">
        <v>42</v>
      </c>
      <c r="V6" s="103">
        <v>33</v>
      </c>
      <c r="W6" s="103">
        <v>31</v>
      </c>
      <c r="X6" s="103">
        <v>34</v>
      </c>
      <c r="Y6" s="127">
        <v>32</v>
      </c>
      <c r="Z6" s="127">
        <v>30</v>
      </c>
    </row>
    <row r="7" spans="1:26" ht="15" customHeight="1">
      <c r="A7" s="545" t="s">
        <v>87</v>
      </c>
      <c r="B7" s="140">
        <v>231</v>
      </c>
      <c r="C7" s="443">
        <v>231</v>
      </c>
      <c r="D7" s="443">
        <v>225</v>
      </c>
      <c r="E7" s="443">
        <v>231</v>
      </c>
      <c r="F7" s="443">
        <v>233</v>
      </c>
      <c r="G7" s="443">
        <v>239</v>
      </c>
      <c r="H7" s="443">
        <v>295</v>
      </c>
      <c r="I7" s="443">
        <v>343</v>
      </c>
      <c r="J7" s="443">
        <v>269</v>
      </c>
      <c r="K7" s="443">
        <v>314</v>
      </c>
      <c r="L7" s="443">
        <v>336</v>
      </c>
      <c r="M7" s="443">
        <v>383</v>
      </c>
      <c r="N7" s="443">
        <v>432</v>
      </c>
      <c r="O7" s="443">
        <v>460</v>
      </c>
      <c r="P7" s="443">
        <v>450</v>
      </c>
      <c r="Q7" s="443">
        <v>474</v>
      </c>
      <c r="R7" s="443">
        <v>496</v>
      </c>
      <c r="S7" s="443">
        <v>535</v>
      </c>
      <c r="T7" s="103">
        <v>595</v>
      </c>
      <c r="U7" s="103">
        <v>563</v>
      </c>
      <c r="V7" s="103">
        <v>531</v>
      </c>
      <c r="W7" s="103">
        <v>511</v>
      </c>
      <c r="X7" s="103">
        <v>512</v>
      </c>
      <c r="Y7" s="127">
        <v>503</v>
      </c>
      <c r="Z7" s="127">
        <v>489</v>
      </c>
    </row>
    <row r="8" spans="1:26" ht="15" customHeight="1">
      <c r="A8" s="545" t="s">
        <v>88</v>
      </c>
      <c r="B8" s="140">
        <v>463</v>
      </c>
      <c r="C8" s="443">
        <v>373</v>
      </c>
      <c r="D8" s="443">
        <v>367</v>
      </c>
      <c r="E8" s="443">
        <v>321</v>
      </c>
      <c r="F8" s="443">
        <v>329</v>
      </c>
      <c r="G8" s="443">
        <v>320</v>
      </c>
      <c r="H8" s="443">
        <v>411</v>
      </c>
      <c r="I8" s="443">
        <v>426</v>
      </c>
      <c r="J8" s="443">
        <v>450</v>
      </c>
      <c r="K8" s="443">
        <v>477</v>
      </c>
      <c r="L8" s="443">
        <v>418</v>
      </c>
      <c r="M8" s="443">
        <v>559</v>
      </c>
      <c r="N8" s="443">
        <v>719</v>
      </c>
      <c r="O8" s="443">
        <v>763</v>
      </c>
      <c r="P8" s="443">
        <v>928</v>
      </c>
      <c r="Q8" s="443">
        <v>1027</v>
      </c>
      <c r="R8" s="443">
        <v>1170</v>
      </c>
      <c r="S8" s="443">
        <v>1340</v>
      </c>
      <c r="T8" s="103">
        <v>1503</v>
      </c>
      <c r="U8" s="103">
        <v>1505</v>
      </c>
      <c r="V8" s="103">
        <v>1407</v>
      </c>
      <c r="W8" s="103">
        <v>1503</v>
      </c>
      <c r="X8" s="103">
        <v>1564</v>
      </c>
      <c r="Y8" s="941">
        <v>1713</v>
      </c>
      <c r="Z8" s="941">
        <v>1770</v>
      </c>
    </row>
    <row r="9" spans="1:26" ht="15" customHeight="1">
      <c r="A9" s="545" t="s">
        <v>89</v>
      </c>
      <c r="B9" s="140">
        <v>223</v>
      </c>
      <c r="C9" s="443">
        <v>142</v>
      </c>
      <c r="D9" s="443">
        <v>188</v>
      </c>
      <c r="E9" s="443">
        <v>103</v>
      </c>
      <c r="F9" s="443">
        <v>90</v>
      </c>
      <c r="G9" s="443">
        <v>59</v>
      </c>
      <c r="H9" s="443">
        <v>105</v>
      </c>
      <c r="I9" s="443">
        <v>110</v>
      </c>
      <c r="J9" s="443">
        <v>115</v>
      </c>
      <c r="K9" s="443">
        <v>158</v>
      </c>
      <c r="L9" s="443">
        <v>148</v>
      </c>
      <c r="M9" s="443">
        <v>88</v>
      </c>
      <c r="N9" s="443">
        <v>129</v>
      </c>
      <c r="O9" s="443">
        <v>197</v>
      </c>
      <c r="P9" s="443">
        <v>194</v>
      </c>
      <c r="Q9" s="443">
        <v>198</v>
      </c>
      <c r="R9" s="440">
        <v>253</v>
      </c>
      <c r="S9" s="443">
        <v>289</v>
      </c>
      <c r="T9" s="103">
        <v>304</v>
      </c>
      <c r="U9" s="103">
        <v>298</v>
      </c>
      <c r="V9" s="103">
        <v>237</v>
      </c>
      <c r="W9" s="103">
        <v>252</v>
      </c>
      <c r="X9" s="103">
        <v>252</v>
      </c>
      <c r="Y9" s="127">
        <v>266</v>
      </c>
      <c r="Z9" s="127">
        <v>292</v>
      </c>
    </row>
    <row r="10" spans="1:26" ht="15" customHeight="1">
      <c r="A10" s="545" t="s">
        <v>95</v>
      </c>
      <c r="B10" s="830" t="s">
        <v>52</v>
      </c>
      <c r="C10" s="443" t="s">
        <v>0</v>
      </c>
      <c r="D10" s="443" t="s">
        <v>0</v>
      </c>
      <c r="E10" s="443" t="s">
        <v>0</v>
      </c>
      <c r="F10" s="443" t="s">
        <v>0</v>
      </c>
      <c r="G10" s="443" t="s">
        <v>0</v>
      </c>
      <c r="H10" s="443" t="s">
        <v>0</v>
      </c>
      <c r="I10" s="443">
        <v>27</v>
      </c>
      <c r="J10" s="443" t="s">
        <v>0</v>
      </c>
      <c r="K10" s="443">
        <v>6</v>
      </c>
      <c r="L10" s="443">
        <v>3</v>
      </c>
      <c r="M10" s="443">
        <v>14</v>
      </c>
      <c r="N10" s="443" t="s">
        <v>0</v>
      </c>
      <c r="O10" s="443">
        <v>9</v>
      </c>
      <c r="P10" s="443">
        <v>9</v>
      </c>
      <c r="Q10" s="443">
        <v>40</v>
      </c>
      <c r="R10" s="443">
        <v>6</v>
      </c>
      <c r="S10" s="443" t="s">
        <v>117</v>
      </c>
      <c r="T10" s="443" t="s">
        <v>117</v>
      </c>
      <c r="U10" s="443" t="s">
        <v>117</v>
      </c>
      <c r="V10" s="443" t="s">
        <v>117</v>
      </c>
      <c r="W10" s="443" t="s">
        <v>117</v>
      </c>
      <c r="X10" s="443">
        <v>1</v>
      </c>
      <c r="Y10" s="941" t="s">
        <v>117</v>
      </c>
      <c r="Z10" s="941" t="s">
        <v>117</v>
      </c>
    </row>
    <row r="11" spans="1:26" ht="5.0999999999999996" customHeight="1">
      <c r="A11" s="831"/>
      <c r="B11" s="832"/>
      <c r="C11" s="832"/>
      <c r="D11" s="832"/>
      <c r="E11" s="832"/>
      <c r="F11" s="636"/>
      <c r="G11" s="636"/>
      <c r="H11" s="833"/>
      <c r="I11" s="636"/>
      <c r="J11" s="636"/>
      <c r="K11" s="636"/>
      <c r="L11" s="636"/>
      <c r="M11" s="636"/>
      <c r="N11" s="636"/>
      <c r="O11" s="636"/>
      <c r="P11" s="636"/>
      <c r="Q11" s="636"/>
      <c r="R11" s="636"/>
      <c r="S11" s="373"/>
      <c r="T11" s="636"/>
      <c r="U11" s="636"/>
      <c r="V11" s="636"/>
      <c r="W11" s="636"/>
      <c r="X11" s="636"/>
      <c r="Y11" s="636"/>
      <c r="Z11" s="636"/>
    </row>
    <row r="12" spans="1:26" ht="11.1" customHeight="1">
      <c r="A12" s="149" t="s">
        <v>507</v>
      </c>
      <c r="B12" s="723"/>
      <c r="C12" s="723"/>
      <c r="D12" s="723"/>
      <c r="E12" s="723"/>
      <c r="F12" s="723"/>
      <c r="G12" s="723"/>
      <c r="H12" s="723"/>
      <c r="I12" s="723"/>
      <c r="J12" s="723"/>
      <c r="K12" s="723"/>
      <c r="L12" s="723"/>
      <c r="M12" s="723"/>
      <c r="N12" s="723"/>
      <c r="O12" s="723"/>
      <c r="P12" s="723"/>
      <c r="Q12" s="723"/>
      <c r="R12" s="723"/>
      <c r="S12" s="723"/>
      <c r="T12" s="723"/>
    </row>
    <row r="13" spans="1:26" ht="11.1" customHeight="1">
      <c r="A13" s="723" t="s">
        <v>388</v>
      </c>
    </row>
    <row r="21" spans="10:10">
      <c r="J21" s="835"/>
    </row>
    <row r="31" spans="10:10" ht="24.75" customHeight="1"/>
  </sheetData>
  <mergeCells count="12">
    <mergeCell ref="A1:Z1"/>
    <mergeCell ref="Z3:Z4"/>
    <mergeCell ref="Y3:Y4"/>
    <mergeCell ref="A3:A4"/>
    <mergeCell ref="A2:E2"/>
    <mergeCell ref="X3:X4"/>
    <mergeCell ref="W3:W4"/>
    <mergeCell ref="V3:V4"/>
    <mergeCell ref="U3:U4"/>
    <mergeCell ref="T3:T4"/>
    <mergeCell ref="S3:S4"/>
    <mergeCell ref="R3:R4"/>
  </mergeCells>
  <phoneticPr fontId="24" type="noConversion"/>
  <pageMargins left="0.78740157480314965" right="0.78740157480314965" top="0.98425196850393704" bottom="0.98425196850393704" header="0" footer="0"/>
  <pageSetup paperSize="9" orientation="portrait"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pageSetUpPr autoPageBreaks="0"/>
  </sheetPr>
  <dimension ref="A1:AV153"/>
  <sheetViews>
    <sheetView showGridLines="0" topLeftCell="A90" zoomScaleNormal="100" zoomScaleSheetLayoutView="115" workbookViewId="0">
      <selection activeCell="A90" sqref="A90:L90"/>
    </sheetView>
  </sheetViews>
  <sheetFormatPr baseColWidth="10" defaultColWidth="11.42578125" defaultRowHeight="12.75"/>
  <cols>
    <col min="1" max="1" width="23.5703125" style="834" customWidth="1"/>
    <col min="2" max="2" width="7.7109375" style="103" customWidth="1"/>
    <col min="3" max="3" width="8.28515625" style="103" customWidth="1"/>
    <col min="4" max="4" width="1.5703125" style="103" customWidth="1"/>
    <col min="5" max="5" width="6.140625" style="103" customWidth="1"/>
    <col min="6" max="6" width="6.28515625" style="103" customWidth="1"/>
    <col min="7" max="7" width="3" style="103" customWidth="1"/>
    <col min="8" max="8" width="7.7109375" style="103" customWidth="1"/>
    <col min="9" max="9" width="8.28515625" style="103" customWidth="1"/>
    <col min="10" max="10" width="1.5703125" style="103" customWidth="1"/>
    <col min="11" max="11" width="6.140625" style="103" customWidth="1"/>
    <col min="12" max="12" width="6.28515625" style="103" customWidth="1"/>
    <col min="13" max="13" width="3" style="103" customWidth="1"/>
    <col min="14" max="14" width="4.140625" style="103" customWidth="1"/>
    <col min="15" max="15" width="4.42578125" style="103" customWidth="1"/>
    <col min="16" max="16" width="8.42578125" style="103" hidden="1" customWidth="1"/>
    <col min="17" max="17" width="9" style="103" hidden="1" customWidth="1"/>
    <col min="18" max="19" width="4.7109375" style="103" hidden="1" customWidth="1"/>
    <col min="20" max="20" width="4.85546875" style="103" hidden="1" customWidth="1"/>
    <col min="21" max="21" width="5.28515625" style="103" hidden="1" customWidth="1"/>
    <col min="22" max="22" width="6.28515625" style="103" hidden="1" customWidth="1"/>
    <col min="23" max="23" width="4.7109375" style="103" hidden="1" customWidth="1"/>
    <col min="24" max="24" width="7.85546875" style="103" hidden="1" customWidth="1"/>
    <col min="25" max="25" width="9" style="103" hidden="1" customWidth="1"/>
    <col min="26" max="26" width="6.28515625" style="103" hidden="1" customWidth="1"/>
    <col min="27" max="27" width="4.7109375" style="103" hidden="1" customWidth="1"/>
    <col min="28" max="28" width="7.85546875" style="103" hidden="1" customWidth="1"/>
    <col min="29" max="29" width="9" style="103" hidden="1" customWidth="1"/>
    <col min="30" max="30" width="6.28515625" style="103" hidden="1" customWidth="1"/>
    <col min="31" max="31" width="4.7109375" style="103" hidden="1" customWidth="1"/>
    <col min="32" max="32" width="3.5703125" style="103" customWidth="1"/>
    <col min="33" max="33" width="7.85546875" style="103" hidden="1" customWidth="1"/>
    <col min="34" max="34" width="9" style="103" hidden="1" customWidth="1"/>
    <col min="35" max="35" width="6.28515625" style="103" hidden="1" customWidth="1"/>
    <col min="36" max="36" width="4.7109375" style="103" hidden="1" customWidth="1"/>
    <col min="37" max="37" width="7.85546875" style="103" hidden="1" customWidth="1"/>
    <col min="38" max="38" width="9" style="103" hidden="1" customWidth="1"/>
    <col min="39" max="39" width="6.28515625" style="103" hidden="1" customWidth="1"/>
    <col min="40" max="40" width="4.7109375" style="103" hidden="1" customWidth="1"/>
    <col min="41" max="41" width="7.85546875" style="103" hidden="1" customWidth="1"/>
    <col min="42" max="42" width="9" style="103" hidden="1" customWidth="1"/>
    <col min="43" max="43" width="6.28515625" style="103" hidden="1" customWidth="1"/>
    <col min="44" max="44" width="4.7109375" style="103" hidden="1" customWidth="1"/>
    <col min="45" max="45" width="7.85546875" style="103" hidden="1" customWidth="1"/>
    <col min="46" max="46" width="9" style="103" hidden="1" customWidth="1"/>
    <col min="47" max="47" width="6.28515625" style="103" hidden="1" customWidth="1"/>
    <col min="48" max="48" width="4.7109375" style="103" hidden="1" customWidth="1"/>
    <col min="49" max="16384" width="11.42578125" style="103"/>
  </cols>
  <sheetData>
    <row r="1" spans="1:12" hidden="1">
      <c r="A1" s="1274" t="s">
        <v>332</v>
      </c>
      <c r="B1" s="1274"/>
      <c r="C1" s="1274"/>
      <c r="D1" s="1274"/>
      <c r="E1" s="1274"/>
      <c r="F1" s="1274"/>
      <c r="G1" s="1274"/>
      <c r="H1" s="1274"/>
      <c r="I1" s="1274"/>
      <c r="J1" s="1274"/>
      <c r="K1" s="1274"/>
      <c r="L1" s="1274"/>
    </row>
    <row r="2" spans="1:12" hidden="1">
      <c r="A2" s="1274"/>
      <c r="B2" s="1274"/>
      <c r="C2" s="1274"/>
      <c r="D2" s="1274"/>
      <c r="E2" s="1274"/>
      <c r="F2" s="1274"/>
      <c r="G2" s="1274"/>
      <c r="H2" s="1274"/>
      <c r="I2" s="1274"/>
      <c r="J2" s="1274"/>
      <c r="K2" s="1274"/>
      <c r="L2" s="1274"/>
    </row>
    <row r="3" spans="1:12" ht="13.5" hidden="1">
      <c r="A3" s="542"/>
      <c r="B3" s="542"/>
      <c r="C3" s="542"/>
      <c r="D3" s="542"/>
      <c r="E3" s="542"/>
      <c r="F3" s="658"/>
      <c r="G3" s="658"/>
      <c r="H3" s="335"/>
      <c r="I3" s="335"/>
      <c r="J3" s="335"/>
      <c r="K3" s="335"/>
    </row>
    <row r="4" spans="1:12" ht="12.75" hidden="1" customHeight="1">
      <c r="A4" s="1278" t="s">
        <v>259</v>
      </c>
      <c r="B4" s="1272">
        <v>2000</v>
      </c>
      <c r="C4" s="1272"/>
      <c r="D4" s="1272"/>
      <c r="E4" s="1272"/>
      <c r="F4" s="1272"/>
      <c r="G4" s="836"/>
      <c r="H4" s="1272">
        <v>2001</v>
      </c>
      <c r="I4" s="1272"/>
      <c r="J4" s="1272"/>
      <c r="K4" s="1272"/>
      <c r="L4" s="1272"/>
    </row>
    <row r="5" spans="1:12" ht="12.75" hidden="1" customHeight="1">
      <c r="A5" s="1279"/>
      <c r="B5" s="1272" t="s">
        <v>291</v>
      </c>
      <c r="C5" s="1272"/>
      <c r="D5" s="836"/>
      <c r="E5" s="1272" t="s">
        <v>292</v>
      </c>
      <c r="F5" s="1272"/>
      <c r="G5" s="836"/>
      <c r="H5" s="1272" t="s">
        <v>291</v>
      </c>
      <c r="I5" s="1272"/>
      <c r="J5" s="836"/>
      <c r="K5" s="1272" t="s">
        <v>292</v>
      </c>
      <c r="L5" s="1272"/>
    </row>
    <row r="6" spans="1:12" ht="12.75" hidden="1" customHeight="1">
      <c r="A6" s="1279"/>
      <c r="B6" s="1272" t="s">
        <v>284</v>
      </c>
      <c r="C6" s="1275" t="s">
        <v>285</v>
      </c>
      <c r="D6" s="316"/>
      <c r="E6" s="1275" t="s">
        <v>91</v>
      </c>
      <c r="F6" s="1272" t="s">
        <v>92</v>
      </c>
      <c r="G6" s="320"/>
      <c r="H6" s="1275" t="s">
        <v>284</v>
      </c>
      <c r="I6" s="1275" t="s">
        <v>285</v>
      </c>
      <c r="J6" s="837"/>
      <c r="K6" s="1275" t="s">
        <v>91</v>
      </c>
      <c r="L6" s="1276" t="s">
        <v>92</v>
      </c>
    </row>
    <row r="7" spans="1:12" ht="12.75" hidden="1" customHeight="1">
      <c r="A7" s="1279"/>
      <c r="B7" s="1272"/>
      <c r="C7" s="1275"/>
      <c r="D7" s="839"/>
      <c r="E7" s="1275"/>
      <c r="F7" s="1272"/>
      <c r="G7" s="322"/>
      <c r="H7" s="1275"/>
      <c r="I7" s="1275"/>
      <c r="J7" s="837"/>
      <c r="K7" s="1275"/>
      <c r="L7" s="1276"/>
    </row>
    <row r="8" spans="1:12" ht="13.5" hidden="1">
      <c r="A8" s="313"/>
      <c r="B8" s="173"/>
      <c r="C8" s="173"/>
      <c r="D8" s="173"/>
      <c r="E8" s="173"/>
      <c r="F8" s="173"/>
      <c r="G8" s="173"/>
      <c r="H8" s="173"/>
      <c r="I8" s="173"/>
      <c r="J8" s="173"/>
      <c r="K8" s="173"/>
      <c r="L8" s="173"/>
    </row>
    <row r="9" spans="1:12" hidden="1">
      <c r="A9" s="314" t="s">
        <v>2</v>
      </c>
      <c r="B9" s="842">
        <f>SUM(B10:B20)</f>
        <v>235</v>
      </c>
      <c r="C9" s="842">
        <f t="shared" ref="C9:L9" si="0">SUM(C10:C20)</f>
        <v>599</v>
      </c>
      <c r="D9" s="139"/>
      <c r="E9" s="139">
        <f t="shared" si="0"/>
        <v>882</v>
      </c>
      <c r="F9" s="139">
        <f t="shared" si="0"/>
        <v>61</v>
      </c>
      <c r="G9" s="139"/>
      <c r="H9" s="842">
        <f t="shared" si="0"/>
        <v>300</v>
      </c>
      <c r="I9" s="842">
        <f t="shared" si="0"/>
        <v>471</v>
      </c>
      <c r="J9" s="842"/>
      <c r="K9" s="842">
        <f t="shared" si="0"/>
        <v>726</v>
      </c>
      <c r="L9" s="842">
        <f t="shared" si="0"/>
        <v>48</v>
      </c>
    </row>
    <row r="10" spans="1:12" hidden="1">
      <c r="A10" s="315" t="s">
        <v>13</v>
      </c>
      <c r="B10" s="177">
        <v>41</v>
      </c>
      <c r="C10" s="177">
        <v>67</v>
      </c>
      <c r="D10" s="172"/>
      <c r="E10" s="172">
        <v>102</v>
      </c>
      <c r="F10" s="172">
        <v>5</v>
      </c>
      <c r="G10" s="172"/>
      <c r="H10" s="177">
        <v>81</v>
      </c>
      <c r="I10" s="177">
        <v>89</v>
      </c>
      <c r="J10" s="177"/>
      <c r="K10" s="177">
        <v>151</v>
      </c>
      <c r="L10" s="177">
        <v>19</v>
      </c>
    </row>
    <row r="11" spans="1:12" hidden="1">
      <c r="A11" s="315" t="s">
        <v>14</v>
      </c>
      <c r="B11" s="177">
        <v>50</v>
      </c>
      <c r="C11" s="177">
        <v>65</v>
      </c>
      <c r="D11" s="172"/>
      <c r="E11" s="172">
        <v>102</v>
      </c>
      <c r="F11" s="172">
        <v>13</v>
      </c>
      <c r="G11" s="172"/>
      <c r="H11" s="177" t="s">
        <v>0</v>
      </c>
      <c r="I11" s="177" t="s">
        <v>0</v>
      </c>
      <c r="J11" s="177"/>
      <c r="K11" s="177" t="s">
        <v>0</v>
      </c>
      <c r="L11" s="177" t="s">
        <v>0</v>
      </c>
    </row>
    <row r="12" spans="1:12" hidden="1">
      <c r="A12" s="315" t="s">
        <v>15</v>
      </c>
      <c r="B12" s="177">
        <v>25</v>
      </c>
      <c r="C12" s="177">
        <v>56</v>
      </c>
      <c r="D12" s="172"/>
      <c r="E12" s="172">
        <v>80</v>
      </c>
      <c r="F12" s="172">
        <v>2</v>
      </c>
      <c r="G12" s="172"/>
      <c r="H12" s="177">
        <v>45</v>
      </c>
      <c r="I12" s="177">
        <v>43</v>
      </c>
      <c r="J12" s="177"/>
      <c r="K12" s="177">
        <v>88</v>
      </c>
      <c r="L12" s="177" t="s">
        <v>0</v>
      </c>
    </row>
    <row r="13" spans="1:12" hidden="1">
      <c r="A13" s="315" t="s">
        <v>10</v>
      </c>
      <c r="B13" s="177">
        <v>75</v>
      </c>
      <c r="C13" s="177" t="s">
        <v>303</v>
      </c>
      <c r="D13" s="172"/>
      <c r="E13" s="172">
        <v>162</v>
      </c>
      <c r="F13" s="172">
        <v>3</v>
      </c>
      <c r="G13" s="172"/>
      <c r="H13" s="177">
        <v>85</v>
      </c>
      <c r="I13" s="177">
        <v>125</v>
      </c>
      <c r="J13" s="177"/>
      <c r="K13" s="177">
        <v>211</v>
      </c>
      <c r="L13" s="177" t="s">
        <v>0</v>
      </c>
    </row>
    <row r="14" spans="1:12" hidden="1">
      <c r="A14" s="315" t="s">
        <v>304</v>
      </c>
      <c r="B14" s="177" t="s">
        <v>0</v>
      </c>
      <c r="C14" s="177" t="s">
        <v>0</v>
      </c>
      <c r="D14" s="172"/>
      <c r="E14" s="172" t="s">
        <v>0</v>
      </c>
      <c r="F14" s="172" t="s">
        <v>0</v>
      </c>
      <c r="G14" s="172"/>
      <c r="H14" s="177" t="s">
        <v>0</v>
      </c>
      <c r="I14" s="177" t="s">
        <v>0</v>
      </c>
      <c r="J14" s="177"/>
      <c r="K14" s="177" t="s">
        <v>0</v>
      </c>
      <c r="L14" s="177" t="s">
        <v>0</v>
      </c>
    </row>
    <row r="15" spans="1:12" hidden="1">
      <c r="A15" s="315" t="s">
        <v>294</v>
      </c>
      <c r="B15" s="177" t="s">
        <v>0</v>
      </c>
      <c r="C15" s="177" t="s">
        <v>0</v>
      </c>
      <c r="D15" s="172"/>
      <c r="E15" s="172" t="s">
        <v>0</v>
      </c>
      <c r="F15" s="172" t="s">
        <v>0</v>
      </c>
      <c r="G15" s="172"/>
      <c r="H15" s="177">
        <v>3</v>
      </c>
      <c r="I15" s="177" t="s">
        <v>0</v>
      </c>
      <c r="J15" s="177"/>
      <c r="K15" s="177">
        <v>3</v>
      </c>
      <c r="L15" s="177" t="s">
        <v>0</v>
      </c>
    </row>
    <row r="16" spans="1:12" hidden="1">
      <c r="A16" s="315" t="s">
        <v>305</v>
      </c>
      <c r="B16" s="177">
        <v>10</v>
      </c>
      <c r="C16" s="177">
        <v>77</v>
      </c>
      <c r="D16" s="172"/>
      <c r="E16" s="172">
        <v>87</v>
      </c>
      <c r="F16" s="172" t="s">
        <v>0</v>
      </c>
      <c r="G16" s="172"/>
      <c r="H16" s="177">
        <v>85</v>
      </c>
      <c r="I16" s="177">
        <v>37</v>
      </c>
      <c r="J16" s="177"/>
      <c r="K16" s="177">
        <v>104</v>
      </c>
      <c r="L16" s="177">
        <v>19</v>
      </c>
    </row>
    <row r="17" spans="1:12" hidden="1">
      <c r="A17" s="315" t="s">
        <v>306</v>
      </c>
      <c r="B17" s="177" t="s">
        <v>307</v>
      </c>
      <c r="C17" s="177">
        <v>93</v>
      </c>
      <c r="D17" s="172"/>
      <c r="E17" s="172">
        <v>102</v>
      </c>
      <c r="F17" s="172">
        <v>10</v>
      </c>
      <c r="G17" s="172"/>
      <c r="H17" s="177" t="s">
        <v>0</v>
      </c>
      <c r="I17" s="177">
        <v>50</v>
      </c>
      <c r="J17" s="177"/>
      <c r="K17" s="177">
        <v>49</v>
      </c>
      <c r="L17" s="177">
        <v>1</v>
      </c>
    </row>
    <row r="18" spans="1:12" hidden="1">
      <c r="A18" s="315" t="s">
        <v>302</v>
      </c>
      <c r="B18" s="177">
        <v>5</v>
      </c>
      <c r="C18" s="177">
        <v>227</v>
      </c>
      <c r="D18" s="172"/>
      <c r="E18" s="172">
        <v>214</v>
      </c>
      <c r="F18" s="172">
        <v>18</v>
      </c>
      <c r="G18" s="172"/>
      <c r="H18" s="177">
        <v>1</v>
      </c>
      <c r="I18" s="177">
        <v>105</v>
      </c>
      <c r="J18" s="177"/>
      <c r="K18" s="177">
        <v>102</v>
      </c>
      <c r="L18" s="177">
        <v>5</v>
      </c>
    </row>
    <row r="19" spans="1:12" hidden="1">
      <c r="A19" s="315" t="s">
        <v>308</v>
      </c>
      <c r="B19" s="177" t="s">
        <v>0</v>
      </c>
      <c r="C19" s="177" t="s">
        <v>0</v>
      </c>
      <c r="D19" s="172"/>
      <c r="E19" s="172" t="s">
        <v>0</v>
      </c>
      <c r="F19" s="172" t="s">
        <v>0</v>
      </c>
      <c r="G19" s="172"/>
      <c r="H19" s="177" t="s">
        <v>0</v>
      </c>
      <c r="I19" s="177">
        <v>9</v>
      </c>
      <c r="J19" s="177"/>
      <c r="K19" s="177">
        <v>7</v>
      </c>
      <c r="L19" s="177">
        <v>2</v>
      </c>
    </row>
    <row r="20" spans="1:12" hidden="1">
      <c r="A20" s="327" t="s">
        <v>3</v>
      </c>
      <c r="B20" s="317">
        <v>29</v>
      </c>
      <c r="C20" s="318">
        <v>14</v>
      </c>
      <c r="D20" s="319"/>
      <c r="E20" s="319">
        <v>33</v>
      </c>
      <c r="F20" s="319">
        <v>10</v>
      </c>
      <c r="G20" s="319"/>
      <c r="H20" s="318" t="s">
        <v>0</v>
      </c>
      <c r="I20" s="318">
        <v>13</v>
      </c>
      <c r="J20" s="318"/>
      <c r="K20" s="318">
        <v>11</v>
      </c>
      <c r="L20" s="318">
        <v>2</v>
      </c>
    </row>
    <row r="21" spans="1:12" ht="12.75" hidden="1" customHeight="1">
      <c r="A21" s="176"/>
      <c r="B21" s="177"/>
      <c r="C21" s="177"/>
      <c r="D21" s="172"/>
      <c r="E21" s="172"/>
      <c r="F21" s="172"/>
      <c r="G21" s="172"/>
      <c r="H21" s="177"/>
      <c r="I21" s="177"/>
      <c r="J21" s="177"/>
      <c r="K21" s="177"/>
      <c r="L21" s="177"/>
    </row>
    <row r="22" spans="1:12" hidden="1">
      <c r="A22" s="1274" t="s">
        <v>323</v>
      </c>
      <c r="B22" s="1274"/>
      <c r="C22" s="1274"/>
      <c r="D22" s="1274"/>
      <c r="E22" s="1274"/>
      <c r="F22" s="1274"/>
      <c r="G22" s="1274"/>
      <c r="H22" s="1274"/>
      <c r="I22" s="1274"/>
      <c r="J22" s="1274"/>
      <c r="K22" s="1274"/>
      <c r="L22" s="1274"/>
    </row>
    <row r="23" spans="1:12" hidden="1">
      <c r="A23" s="1274"/>
      <c r="B23" s="1274"/>
      <c r="C23" s="1274"/>
      <c r="D23" s="1274"/>
      <c r="E23" s="1274"/>
      <c r="F23" s="1274"/>
      <c r="G23" s="1274"/>
      <c r="H23" s="1274"/>
      <c r="I23" s="1274"/>
      <c r="J23" s="1274"/>
      <c r="K23" s="1274"/>
      <c r="L23" s="1274"/>
    </row>
    <row r="24" spans="1:12" ht="12.75" hidden="1" customHeight="1">
      <c r="A24" s="1278" t="s">
        <v>259</v>
      </c>
      <c r="B24" s="1288">
        <v>2005</v>
      </c>
      <c r="C24" s="1273"/>
      <c r="D24" s="1273"/>
      <c r="E24" s="1273"/>
      <c r="F24" s="1273"/>
      <c r="G24" s="320"/>
      <c r="H24" s="1273">
        <v>2006</v>
      </c>
      <c r="I24" s="1273"/>
      <c r="J24" s="1273"/>
      <c r="K24" s="1273"/>
      <c r="L24" s="1273"/>
    </row>
    <row r="25" spans="1:12" ht="12.75" hidden="1" customHeight="1">
      <c r="A25" s="1279"/>
      <c r="B25" s="1277" t="s">
        <v>291</v>
      </c>
      <c r="C25" s="1272"/>
      <c r="D25" s="320"/>
      <c r="E25" s="1272" t="s">
        <v>292</v>
      </c>
      <c r="F25" s="1272"/>
      <c r="G25" s="320"/>
      <c r="H25" s="1272" t="s">
        <v>291</v>
      </c>
      <c r="I25" s="1272"/>
      <c r="J25" s="836"/>
      <c r="K25" s="1272" t="s">
        <v>292</v>
      </c>
      <c r="L25" s="1272"/>
    </row>
    <row r="26" spans="1:12" ht="12.75" hidden="1" customHeight="1">
      <c r="A26" s="1279"/>
      <c r="B26" s="1286" t="s">
        <v>284</v>
      </c>
      <c r="C26" s="1284" t="s">
        <v>285</v>
      </c>
      <c r="D26" s="139"/>
      <c r="E26" s="1280" t="s">
        <v>91</v>
      </c>
      <c r="F26" s="1282" t="s">
        <v>92</v>
      </c>
      <c r="G26" s="139"/>
      <c r="H26" s="1284" t="s">
        <v>284</v>
      </c>
      <c r="I26" s="1284" t="s">
        <v>285</v>
      </c>
      <c r="J26" s="840"/>
      <c r="K26" s="1280" t="s">
        <v>91</v>
      </c>
      <c r="L26" s="1282" t="s">
        <v>92</v>
      </c>
    </row>
    <row r="27" spans="1:12" ht="12.75" hidden="1" customHeight="1">
      <c r="A27" s="1279"/>
      <c r="B27" s="1287"/>
      <c r="C27" s="1285"/>
      <c r="D27" s="839"/>
      <c r="E27" s="1281"/>
      <c r="F27" s="1283"/>
      <c r="G27" s="839"/>
      <c r="H27" s="1285"/>
      <c r="I27" s="1285"/>
      <c r="J27" s="841"/>
      <c r="K27" s="1281"/>
      <c r="L27" s="1283"/>
    </row>
    <row r="28" spans="1:12" ht="13.5" hidden="1">
      <c r="A28" s="313"/>
      <c r="B28" s="173"/>
      <c r="C28" s="173"/>
      <c r="D28" s="173"/>
      <c r="E28" s="173"/>
      <c r="F28" s="173"/>
      <c r="G28" s="173"/>
      <c r="H28" s="173"/>
      <c r="I28" s="173"/>
      <c r="J28" s="173"/>
      <c r="K28" s="173"/>
      <c r="L28" s="173"/>
    </row>
    <row r="29" spans="1:12" hidden="1">
      <c r="A29" s="314" t="s">
        <v>2</v>
      </c>
      <c r="B29" s="139">
        <f>SUM(B30:B41)</f>
        <v>439</v>
      </c>
      <c r="C29" s="139">
        <f t="shared" ref="C29:L29" si="1">SUM(C30:C41)</f>
        <v>194</v>
      </c>
      <c r="D29" s="139"/>
      <c r="E29" s="139">
        <f t="shared" si="1"/>
        <v>584</v>
      </c>
      <c r="F29" s="139">
        <f t="shared" si="1"/>
        <v>51</v>
      </c>
      <c r="G29" s="139"/>
      <c r="H29" s="139">
        <f t="shared" si="1"/>
        <v>533</v>
      </c>
      <c r="I29" s="139">
        <f t="shared" si="1"/>
        <v>292</v>
      </c>
      <c r="J29" s="139"/>
      <c r="K29" s="139">
        <f t="shared" si="1"/>
        <v>773</v>
      </c>
      <c r="L29" s="139">
        <f t="shared" si="1"/>
        <v>73</v>
      </c>
    </row>
    <row r="30" spans="1:12" hidden="1">
      <c r="A30" s="315" t="s">
        <v>13</v>
      </c>
      <c r="B30" s="172">
        <v>85</v>
      </c>
      <c r="C30" s="172">
        <v>52</v>
      </c>
      <c r="D30" s="172"/>
      <c r="E30" s="172">
        <v>125</v>
      </c>
      <c r="F30" s="172">
        <v>11</v>
      </c>
      <c r="G30" s="172"/>
      <c r="H30" s="172">
        <v>119</v>
      </c>
      <c r="I30" s="172">
        <v>52</v>
      </c>
      <c r="J30" s="172"/>
      <c r="K30" s="172">
        <v>165</v>
      </c>
      <c r="L30" s="172">
        <v>16</v>
      </c>
    </row>
    <row r="31" spans="1:12" hidden="1">
      <c r="A31" s="315" t="s">
        <v>14</v>
      </c>
      <c r="B31" s="172">
        <v>1</v>
      </c>
      <c r="C31" s="172" t="s">
        <v>0</v>
      </c>
      <c r="D31" s="172"/>
      <c r="E31" s="172">
        <v>1</v>
      </c>
      <c r="F31" s="172" t="s">
        <v>0</v>
      </c>
      <c r="G31" s="172"/>
      <c r="H31" s="172" t="s">
        <v>0</v>
      </c>
      <c r="I31" s="172" t="s">
        <v>0</v>
      </c>
      <c r="J31" s="172"/>
      <c r="K31" s="172" t="s">
        <v>0</v>
      </c>
      <c r="L31" s="172" t="s">
        <v>0</v>
      </c>
    </row>
    <row r="32" spans="1:12" hidden="1">
      <c r="A32" s="315" t="s">
        <v>15</v>
      </c>
      <c r="B32" s="172">
        <v>75</v>
      </c>
      <c r="C32" s="172">
        <v>31</v>
      </c>
      <c r="D32" s="172"/>
      <c r="E32" s="172">
        <v>105</v>
      </c>
      <c r="F32" s="172">
        <v>1</v>
      </c>
      <c r="G32" s="172"/>
      <c r="H32" s="172">
        <v>120</v>
      </c>
      <c r="I32" s="172">
        <v>77</v>
      </c>
      <c r="J32" s="172"/>
      <c r="K32" s="172">
        <v>194</v>
      </c>
      <c r="L32" s="172">
        <v>3</v>
      </c>
    </row>
    <row r="33" spans="1:12" hidden="1">
      <c r="A33" s="315" t="s">
        <v>10</v>
      </c>
      <c r="B33" s="172">
        <v>105</v>
      </c>
      <c r="C33" s="172">
        <v>63</v>
      </c>
      <c r="D33" s="172"/>
      <c r="E33" s="172">
        <v>165</v>
      </c>
      <c r="F33" s="172">
        <v>4</v>
      </c>
      <c r="G33" s="172"/>
      <c r="H33" s="172">
        <v>152</v>
      </c>
      <c r="I33" s="172">
        <v>75</v>
      </c>
      <c r="J33" s="172"/>
      <c r="K33" s="172">
        <v>230</v>
      </c>
      <c r="L33" s="172">
        <v>8</v>
      </c>
    </row>
    <row r="34" spans="1:12" hidden="1">
      <c r="A34" s="315" t="s">
        <v>304</v>
      </c>
      <c r="B34" s="172" t="s">
        <v>0</v>
      </c>
      <c r="C34" s="172" t="s">
        <v>0</v>
      </c>
      <c r="D34" s="172"/>
      <c r="E34" s="172" t="s">
        <v>0</v>
      </c>
      <c r="F34" s="172" t="s">
        <v>0</v>
      </c>
      <c r="G34" s="172"/>
      <c r="H34" s="172">
        <v>1</v>
      </c>
      <c r="I34" s="172">
        <v>1</v>
      </c>
      <c r="J34" s="172"/>
      <c r="K34" s="172">
        <v>2</v>
      </c>
      <c r="L34" s="172" t="s">
        <v>0</v>
      </c>
    </row>
    <row r="35" spans="1:12" hidden="1">
      <c r="A35" s="315" t="s">
        <v>294</v>
      </c>
      <c r="B35" s="172">
        <v>5</v>
      </c>
      <c r="C35" s="172">
        <v>2</v>
      </c>
      <c r="D35" s="172"/>
      <c r="E35" s="172">
        <v>7</v>
      </c>
      <c r="F35" s="172">
        <v>1</v>
      </c>
      <c r="G35" s="172"/>
      <c r="H35" s="172">
        <v>11</v>
      </c>
      <c r="I35" s="172">
        <v>2</v>
      </c>
      <c r="J35" s="172"/>
      <c r="K35" s="172">
        <v>12</v>
      </c>
      <c r="L35" s="172">
        <v>1</v>
      </c>
    </row>
    <row r="36" spans="1:12" hidden="1">
      <c r="A36" s="315" t="s">
        <v>305</v>
      </c>
      <c r="B36" s="172">
        <v>140</v>
      </c>
      <c r="C36" s="172">
        <v>32</v>
      </c>
      <c r="D36" s="172"/>
      <c r="E36" s="172">
        <v>141</v>
      </c>
      <c r="F36" s="172">
        <v>31</v>
      </c>
      <c r="G36" s="172"/>
      <c r="H36" s="172">
        <v>115</v>
      </c>
      <c r="I36" s="172">
        <v>71</v>
      </c>
      <c r="J36" s="172"/>
      <c r="K36" s="172">
        <v>145</v>
      </c>
      <c r="L36" s="172">
        <v>41</v>
      </c>
    </row>
    <row r="37" spans="1:12" hidden="1">
      <c r="A37" s="315" t="s">
        <v>306</v>
      </c>
      <c r="B37" s="172">
        <v>25</v>
      </c>
      <c r="C37" s="172">
        <v>13</v>
      </c>
      <c r="D37" s="172"/>
      <c r="E37" s="172">
        <v>37</v>
      </c>
      <c r="F37" s="172">
        <v>2</v>
      </c>
      <c r="G37" s="172"/>
      <c r="H37" s="172">
        <v>3</v>
      </c>
      <c r="I37" s="172">
        <v>8</v>
      </c>
      <c r="J37" s="172"/>
      <c r="K37" s="172">
        <v>9</v>
      </c>
      <c r="L37" s="172">
        <v>2</v>
      </c>
    </row>
    <row r="38" spans="1:12" hidden="1">
      <c r="A38" s="315" t="s">
        <v>302</v>
      </c>
      <c r="B38" s="172"/>
      <c r="C38" s="172"/>
      <c r="D38" s="172"/>
      <c r="E38" s="172"/>
      <c r="F38" s="172"/>
      <c r="G38" s="172"/>
      <c r="H38" s="172"/>
      <c r="I38" s="172"/>
      <c r="J38" s="172"/>
      <c r="K38" s="172"/>
      <c r="L38" s="172"/>
    </row>
    <row r="39" spans="1:12" hidden="1">
      <c r="A39" s="315" t="s">
        <v>309</v>
      </c>
      <c r="B39" s="172">
        <v>2</v>
      </c>
      <c r="C39" s="172">
        <v>1</v>
      </c>
      <c r="D39" s="172"/>
      <c r="E39" s="172">
        <v>3</v>
      </c>
      <c r="F39" s="172" t="s">
        <v>0</v>
      </c>
      <c r="G39" s="172"/>
      <c r="H39" s="172">
        <v>10</v>
      </c>
      <c r="I39" s="172">
        <v>3</v>
      </c>
      <c r="J39" s="172"/>
      <c r="K39" s="172">
        <v>11</v>
      </c>
      <c r="L39" s="172">
        <v>2</v>
      </c>
    </row>
    <row r="40" spans="1:12" hidden="1">
      <c r="A40" s="315" t="s">
        <v>308</v>
      </c>
      <c r="B40" s="172">
        <v>1</v>
      </c>
      <c r="C40" s="172" t="s">
        <v>0</v>
      </c>
      <c r="D40" s="172"/>
      <c r="E40" s="172" t="s">
        <v>0</v>
      </c>
      <c r="F40" s="172">
        <v>1</v>
      </c>
      <c r="G40" s="172"/>
      <c r="H40" s="172">
        <v>1</v>
      </c>
      <c r="I40" s="172" t="s">
        <v>0</v>
      </c>
      <c r="J40" s="172"/>
      <c r="K40" s="172">
        <v>1</v>
      </c>
      <c r="L40" s="172" t="s">
        <v>0</v>
      </c>
    </row>
    <row r="41" spans="1:12" hidden="1">
      <c r="A41" s="327" t="s">
        <v>3</v>
      </c>
      <c r="B41" s="319" t="s">
        <v>0</v>
      </c>
      <c r="C41" s="319" t="s">
        <v>0</v>
      </c>
      <c r="D41" s="319"/>
      <c r="E41" s="319" t="s">
        <v>0</v>
      </c>
      <c r="F41" s="319" t="s">
        <v>0</v>
      </c>
      <c r="G41" s="319"/>
      <c r="H41" s="319">
        <v>1</v>
      </c>
      <c r="I41" s="319">
        <v>3</v>
      </c>
      <c r="J41" s="319"/>
      <c r="K41" s="319">
        <v>4</v>
      </c>
      <c r="L41" s="319" t="s">
        <v>0</v>
      </c>
    </row>
    <row r="42" spans="1:12" ht="15" hidden="1" customHeight="1">
      <c r="A42" s="174"/>
      <c r="B42" s="172"/>
      <c r="C42" s="172"/>
      <c r="D42" s="172"/>
      <c r="E42" s="172"/>
      <c r="F42" s="172"/>
      <c r="G42" s="172"/>
      <c r="H42" s="172"/>
      <c r="I42" s="172"/>
      <c r="J42" s="172"/>
      <c r="K42" s="172"/>
      <c r="L42" s="172"/>
    </row>
    <row r="43" spans="1:12" ht="13.5" hidden="1">
      <c r="A43" s="1292" t="s">
        <v>362</v>
      </c>
      <c r="B43" s="1292"/>
      <c r="C43" s="1292"/>
      <c r="D43" s="1292"/>
      <c r="E43" s="1292"/>
      <c r="F43" s="1292"/>
      <c r="G43" s="1292"/>
      <c r="H43" s="1292"/>
      <c r="I43" s="1292"/>
      <c r="J43" s="1292"/>
      <c r="K43" s="1292"/>
      <c r="L43" s="1292"/>
    </row>
    <row r="44" spans="1:12" ht="12.75" hidden="1" customHeight="1">
      <c r="A44" s="843"/>
      <c r="B44" s="843"/>
      <c r="C44" s="843"/>
      <c r="D44" s="843"/>
      <c r="E44" s="843"/>
      <c r="F44" s="843"/>
      <c r="G44" s="843"/>
      <c r="H44" s="843"/>
      <c r="I44" s="843"/>
      <c r="J44" s="843"/>
      <c r="K44" s="843"/>
      <c r="L44" s="843"/>
    </row>
    <row r="45" spans="1:12" ht="12.75" hidden="1" customHeight="1">
      <c r="A45" s="1278" t="s">
        <v>259</v>
      </c>
      <c r="B45" s="1288">
        <v>2010</v>
      </c>
      <c r="C45" s="1273"/>
      <c r="D45" s="1273"/>
      <c r="E45" s="1273"/>
      <c r="F45" s="1273"/>
      <c r="G45" s="320"/>
      <c r="H45" s="1273">
        <v>2011</v>
      </c>
      <c r="I45" s="1273"/>
      <c r="J45" s="1273"/>
      <c r="K45" s="1273"/>
      <c r="L45" s="1273"/>
    </row>
    <row r="46" spans="1:12" ht="12.75" hidden="1" customHeight="1">
      <c r="A46" s="1279"/>
      <c r="B46" s="1277" t="s">
        <v>291</v>
      </c>
      <c r="C46" s="1272"/>
      <c r="D46" s="320"/>
      <c r="E46" s="1272" t="s">
        <v>292</v>
      </c>
      <c r="F46" s="1272"/>
      <c r="G46" s="320"/>
      <c r="H46" s="1272" t="s">
        <v>291</v>
      </c>
      <c r="I46" s="1272"/>
      <c r="J46" s="836"/>
      <c r="K46" s="1272" t="s">
        <v>292</v>
      </c>
      <c r="L46" s="1272"/>
    </row>
    <row r="47" spans="1:12" ht="12.75" hidden="1" customHeight="1">
      <c r="A47" s="1279"/>
      <c r="B47" s="1286" t="s">
        <v>284</v>
      </c>
      <c r="C47" s="1284" t="s">
        <v>285</v>
      </c>
      <c r="D47" s="309"/>
      <c r="E47" s="1284" t="s">
        <v>91</v>
      </c>
      <c r="F47" s="1284" t="s">
        <v>92</v>
      </c>
      <c r="G47" s="840"/>
      <c r="H47" s="1284" t="s">
        <v>284</v>
      </c>
      <c r="I47" s="1284" t="s">
        <v>285</v>
      </c>
      <c r="J47" s="840"/>
      <c r="K47" s="1280" t="s">
        <v>91</v>
      </c>
      <c r="L47" s="1282" t="s">
        <v>92</v>
      </c>
    </row>
    <row r="48" spans="1:12" ht="12.75" hidden="1" customHeight="1">
      <c r="A48" s="1279"/>
      <c r="B48" s="1287"/>
      <c r="C48" s="1285"/>
      <c r="D48" s="321"/>
      <c r="E48" s="1285"/>
      <c r="F48" s="1285"/>
      <c r="G48" s="841"/>
      <c r="H48" s="1285"/>
      <c r="I48" s="1285"/>
      <c r="J48" s="841"/>
      <c r="K48" s="1281"/>
      <c r="L48" s="1283"/>
    </row>
    <row r="49" spans="1:12" ht="13.5" hidden="1">
      <c r="A49" s="313"/>
      <c r="B49" s="173"/>
      <c r="C49" s="173"/>
      <c r="D49" s="173"/>
      <c r="E49" s="173"/>
      <c r="F49" s="173"/>
      <c r="G49" s="173"/>
      <c r="H49" s="173"/>
      <c r="I49" s="173"/>
      <c r="J49" s="173"/>
      <c r="K49" s="173"/>
      <c r="L49" s="173"/>
    </row>
    <row r="50" spans="1:12" ht="18.75" hidden="1" customHeight="1">
      <c r="A50" s="314" t="s">
        <v>2</v>
      </c>
      <c r="B50" s="139">
        <f>SUM(B51:B64)</f>
        <v>470</v>
      </c>
      <c r="C50" s="139">
        <f>SUM(C51:C64)</f>
        <v>459</v>
      </c>
      <c r="D50" s="139"/>
      <c r="E50" s="139">
        <f>SUM(E51:E64)</f>
        <v>851</v>
      </c>
      <c r="F50" s="139">
        <f>SUM(F51:F64)</f>
        <v>78</v>
      </c>
      <c r="G50" s="139"/>
      <c r="H50" s="139">
        <f>SUM(H51:H64)</f>
        <v>465</v>
      </c>
      <c r="I50" s="139">
        <f>SUM(I51:I64)</f>
        <v>601</v>
      </c>
      <c r="J50" s="139"/>
      <c r="K50" s="139">
        <f>SUM(K51:K64)</f>
        <v>970</v>
      </c>
      <c r="L50" s="139">
        <f>SUM(L51:L64)</f>
        <v>96</v>
      </c>
    </row>
    <row r="51" spans="1:12" ht="18.75" hidden="1" customHeight="1">
      <c r="A51" s="315" t="s">
        <v>13</v>
      </c>
      <c r="B51" s="172">
        <v>66</v>
      </c>
      <c r="C51" s="172">
        <v>54</v>
      </c>
      <c r="D51" s="172"/>
      <c r="E51" s="172">
        <v>108</v>
      </c>
      <c r="F51" s="172">
        <v>12</v>
      </c>
      <c r="G51" s="172"/>
      <c r="H51" s="172">
        <v>70</v>
      </c>
      <c r="I51" s="172">
        <v>79</v>
      </c>
      <c r="J51" s="172"/>
      <c r="K51" s="172">
        <v>145</v>
      </c>
      <c r="L51" s="172">
        <v>4</v>
      </c>
    </row>
    <row r="52" spans="1:12" ht="18.75" hidden="1" customHeight="1">
      <c r="A52" s="315" t="s">
        <v>14</v>
      </c>
      <c r="B52" s="172" t="s">
        <v>0</v>
      </c>
      <c r="C52" s="172">
        <v>1</v>
      </c>
      <c r="D52" s="172"/>
      <c r="E52" s="172">
        <v>1</v>
      </c>
      <c r="F52" s="172" t="s">
        <v>0</v>
      </c>
      <c r="G52" s="172"/>
      <c r="H52" s="172">
        <v>1</v>
      </c>
      <c r="I52" s="172">
        <v>2</v>
      </c>
      <c r="J52" s="172"/>
      <c r="K52" s="172">
        <v>3</v>
      </c>
      <c r="L52" s="172" t="s">
        <v>0</v>
      </c>
    </row>
    <row r="53" spans="1:12" ht="18.75" hidden="1" customHeight="1">
      <c r="A53" s="315" t="s">
        <v>15</v>
      </c>
      <c r="B53" s="172">
        <v>100</v>
      </c>
      <c r="C53" s="172">
        <v>128</v>
      </c>
      <c r="D53" s="172"/>
      <c r="E53" s="172">
        <v>225</v>
      </c>
      <c r="F53" s="172">
        <v>3</v>
      </c>
      <c r="G53" s="172"/>
      <c r="H53" s="172">
        <v>81</v>
      </c>
      <c r="I53" s="172">
        <v>170</v>
      </c>
      <c r="J53" s="172"/>
      <c r="K53" s="172">
        <v>228</v>
      </c>
      <c r="L53" s="172">
        <v>23</v>
      </c>
    </row>
    <row r="54" spans="1:12" ht="18.75" hidden="1" customHeight="1">
      <c r="A54" s="315" t="s">
        <v>10</v>
      </c>
      <c r="B54" s="172">
        <v>120</v>
      </c>
      <c r="C54" s="172">
        <v>140</v>
      </c>
      <c r="D54" s="172"/>
      <c r="E54" s="172">
        <v>258</v>
      </c>
      <c r="F54" s="172">
        <v>2</v>
      </c>
      <c r="G54" s="172"/>
      <c r="H54" s="172">
        <v>106</v>
      </c>
      <c r="I54" s="172">
        <v>179</v>
      </c>
      <c r="J54" s="172"/>
      <c r="K54" s="172">
        <v>242</v>
      </c>
      <c r="L54" s="172">
        <v>43</v>
      </c>
    </row>
    <row r="55" spans="1:12" ht="18.75" hidden="1" customHeight="1">
      <c r="A55" s="315" t="s">
        <v>293</v>
      </c>
      <c r="B55" s="172">
        <v>1</v>
      </c>
      <c r="C55" s="172" t="s">
        <v>0</v>
      </c>
      <c r="D55" s="172"/>
      <c r="E55" s="172">
        <v>1</v>
      </c>
      <c r="F55" s="172" t="s">
        <v>0</v>
      </c>
      <c r="G55" s="172"/>
      <c r="H55" s="172" t="s">
        <v>0</v>
      </c>
      <c r="I55" s="172" t="s">
        <v>0</v>
      </c>
      <c r="J55" s="172"/>
      <c r="K55" s="172" t="s">
        <v>0</v>
      </c>
      <c r="L55" s="172" t="s">
        <v>0</v>
      </c>
    </row>
    <row r="56" spans="1:12" ht="18.75" hidden="1" customHeight="1">
      <c r="A56" s="315" t="s">
        <v>294</v>
      </c>
      <c r="B56" s="172">
        <v>12</v>
      </c>
      <c r="C56" s="172">
        <v>6</v>
      </c>
      <c r="D56" s="172"/>
      <c r="E56" s="172">
        <v>15</v>
      </c>
      <c r="F56" s="172">
        <v>3</v>
      </c>
      <c r="G56" s="172"/>
      <c r="H56" s="172" t="s">
        <v>0</v>
      </c>
      <c r="I56" s="172" t="s">
        <v>0</v>
      </c>
      <c r="J56" s="172"/>
      <c r="K56" s="172" t="s">
        <v>0</v>
      </c>
      <c r="L56" s="172" t="s">
        <v>0</v>
      </c>
    </row>
    <row r="57" spans="1:12" ht="18.75" hidden="1" customHeight="1">
      <c r="A57" s="315" t="s">
        <v>295</v>
      </c>
      <c r="B57" s="172">
        <v>164</v>
      </c>
      <c r="C57" s="172">
        <v>123</v>
      </c>
      <c r="D57" s="172"/>
      <c r="E57" s="172">
        <v>229</v>
      </c>
      <c r="F57" s="172">
        <v>58</v>
      </c>
      <c r="G57" s="172"/>
      <c r="H57" s="172">
        <v>207</v>
      </c>
      <c r="I57" s="172">
        <v>159</v>
      </c>
      <c r="J57" s="172"/>
      <c r="K57" s="172">
        <v>340</v>
      </c>
      <c r="L57" s="172">
        <v>26</v>
      </c>
    </row>
    <row r="58" spans="1:12" ht="18.75" hidden="1" customHeight="1">
      <c r="A58" s="315" t="s">
        <v>296</v>
      </c>
      <c r="B58" s="172">
        <v>2</v>
      </c>
      <c r="C58" s="172">
        <v>6</v>
      </c>
      <c r="D58" s="172"/>
      <c r="E58" s="172">
        <v>8</v>
      </c>
      <c r="F58" s="172" t="s">
        <v>0</v>
      </c>
      <c r="G58" s="172"/>
      <c r="H58" s="172" t="s">
        <v>0</v>
      </c>
      <c r="I58" s="172">
        <v>4</v>
      </c>
      <c r="J58" s="172"/>
      <c r="K58" s="172">
        <v>4</v>
      </c>
      <c r="L58" s="172" t="s">
        <v>0</v>
      </c>
    </row>
    <row r="59" spans="1:12" ht="18.75" hidden="1" customHeight="1">
      <c r="A59" s="315" t="s">
        <v>297</v>
      </c>
      <c r="B59" s="172" t="s">
        <v>0</v>
      </c>
      <c r="C59" s="172" t="s">
        <v>0</v>
      </c>
      <c r="D59" s="172"/>
      <c r="E59" s="172" t="s">
        <v>0</v>
      </c>
      <c r="F59" s="172" t="s">
        <v>0</v>
      </c>
      <c r="G59" s="172"/>
      <c r="H59" s="172" t="s">
        <v>0</v>
      </c>
      <c r="I59" s="172" t="s">
        <v>0</v>
      </c>
      <c r="J59" s="172"/>
      <c r="K59" s="172" t="s">
        <v>0</v>
      </c>
      <c r="L59" s="172" t="s">
        <v>0</v>
      </c>
    </row>
    <row r="60" spans="1:12" ht="18.75" hidden="1" customHeight="1">
      <c r="A60" s="315" t="s">
        <v>298</v>
      </c>
      <c r="B60" s="172">
        <v>4</v>
      </c>
      <c r="C60" s="172">
        <v>1</v>
      </c>
      <c r="D60" s="172"/>
      <c r="E60" s="172">
        <v>5</v>
      </c>
      <c r="F60" s="172" t="s">
        <v>0</v>
      </c>
      <c r="G60" s="172"/>
      <c r="H60" s="172" t="s">
        <v>0</v>
      </c>
      <c r="I60" s="172">
        <v>1</v>
      </c>
      <c r="J60" s="172"/>
      <c r="K60" s="172">
        <v>1</v>
      </c>
      <c r="L60" s="172" t="s">
        <v>0</v>
      </c>
    </row>
    <row r="61" spans="1:12" ht="18.75" hidden="1" customHeight="1">
      <c r="A61" s="315" t="s">
        <v>299</v>
      </c>
      <c r="B61" s="172" t="s">
        <v>0</v>
      </c>
      <c r="C61" s="172" t="s">
        <v>300</v>
      </c>
      <c r="D61" s="172"/>
      <c r="E61" s="172" t="s">
        <v>0</v>
      </c>
      <c r="F61" s="172" t="s">
        <v>0</v>
      </c>
      <c r="G61" s="172"/>
      <c r="H61" s="172" t="s">
        <v>0</v>
      </c>
      <c r="I61" s="172" t="s">
        <v>0</v>
      </c>
      <c r="J61" s="172"/>
      <c r="K61" s="172" t="s">
        <v>0</v>
      </c>
      <c r="L61" s="172" t="s">
        <v>0</v>
      </c>
    </row>
    <row r="62" spans="1:12" ht="18.75" hidden="1" customHeight="1">
      <c r="A62" s="315" t="s">
        <v>301</v>
      </c>
      <c r="B62" s="172" t="s">
        <v>0</v>
      </c>
      <c r="C62" s="172" t="s">
        <v>300</v>
      </c>
      <c r="D62" s="172"/>
      <c r="E62" s="172" t="s">
        <v>0</v>
      </c>
      <c r="F62" s="172" t="s">
        <v>0</v>
      </c>
      <c r="G62" s="172"/>
      <c r="H62" s="172" t="s">
        <v>0</v>
      </c>
      <c r="I62" s="172" t="s">
        <v>0</v>
      </c>
      <c r="J62" s="172"/>
      <c r="K62" s="172" t="s">
        <v>0</v>
      </c>
      <c r="L62" s="172" t="s">
        <v>0</v>
      </c>
    </row>
    <row r="63" spans="1:12" ht="18.75" hidden="1" customHeight="1">
      <c r="A63" s="315" t="s">
        <v>302</v>
      </c>
      <c r="B63" s="172" t="s">
        <v>0</v>
      </c>
      <c r="C63" s="172" t="s">
        <v>300</v>
      </c>
      <c r="D63" s="172"/>
      <c r="E63" s="172" t="s">
        <v>0</v>
      </c>
      <c r="F63" s="172" t="s">
        <v>0</v>
      </c>
      <c r="G63" s="172"/>
      <c r="H63" s="172" t="s">
        <v>0</v>
      </c>
      <c r="I63" s="172" t="s">
        <v>0</v>
      </c>
      <c r="J63" s="172"/>
      <c r="K63" s="172" t="s">
        <v>0</v>
      </c>
      <c r="L63" s="172" t="s">
        <v>0</v>
      </c>
    </row>
    <row r="64" spans="1:12" ht="18.75" hidden="1" customHeight="1">
      <c r="A64" s="327" t="s">
        <v>3</v>
      </c>
      <c r="B64" s="319">
        <v>1</v>
      </c>
      <c r="C64" s="319" t="s">
        <v>0</v>
      </c>
      <c r="D64" s="319"/>
      <c r="E64" s="319">
        <v>1</v>
      </c>
      <c r="F64" s="319" t="s">
        <v>0</v>
      </c>
      <c r="G64" s="319"/>
      <c r="H64" s="319" t="s">
        <v>0</v>
      </c>
      <c r="I64" s="319">
        <v>7</v>
      </c>
      <c r="J64" s="319"/>
      <c r="K64" s="319">
        <v>7</v>
      </c>
      <c r="L64" s="319" t="s">
        <v>0</v>
      </c>
    </row>
    <row r="65" spans="1:12" hidden="1">
      <c r="A65" s="176"/>
      <c r="B65" s="172"/>
      <c r="C65" s="172"/>
      <c r="D65" s="172"/>
      <c r="E65" s="172"/>
      <c r="F65" s="172"/>
      <c r="G65" s="172"/>
      <c r="H65" s="172"/>
      <c r="I65" s="172"/>
      <c r="J65" s="172"/>
      <c r="K65" s="172"/>
      <c r="L65" s="172"/>
    </row>
    <row r="66" spans="1:12" ht="13.5" hidden="1">
      <c r="A66" s="175"/>
      <c r="B66" s="97"/>
      <c r="C66" s="97"/>
      <c r="D66" s="97"/>
      <c r="E66" s="97"/>
      <c r="F66" s="97"/>
      <c r="G66" s="97"/>
      <c r="H66" s="93"/>
      <c r="I66" s="93"/>
      <c r="J66" s="93"/>
      <c r="K66" s="1291"/>
      <c r="L66" s="1291"/>
    </row>
    <row r="67" spans="1:12" ht="13.5" hidden="1">
      <c r="A67" s="348" t="str">
        <f>A43</f>
        <v>8.34 PUNO: POBLACION PENAL POR SITUACION JURIDICA Y SEXO, SEGÚN TIPO DE DELITO, 2010 - 2017</v>
      </c>
      <c r="B67" s="348"/>
      <c r="C67" s="348"/>
      <c r="D67" s="348"/>
      <c r="E67" s="348"/>
      <c r="F67" s="348"/>
      <c r="G67" s="348"/>
      <c r="H67" s="348"/>
      <c r="I67" s="348"/>
      <c r="J67" s="348"/>
      <c r="K67" s="348"/>
      <c r="L67" s="348"/>
    </row>
    <row r="68" spans="1:12" ht="12.75" hidden="1" customHeight="1">
      <c r="A68" s="843"/>
      <c r="B68" s="843"/>
      <c r="C68" s="843"/>
      <c r="D68" s="843"/>
      <c r="E68" s="843"/>
      <c r="F68" s="843"/>
      <c r="G68" s="843"/>
      <c r="H68" s="843"/>
      <c r="I68" s="843"/>
      <c r="J68" s="843"/>
      <c r="K68" s="843"/>
      <c r="L68" s="843"/>
    </row>
    <row r="69" spans="1:12" ht="12.75" hidden="1" customHeight="1">
      <c r="A69" s="1278" t="s">
        <v>259</v>
      </c>
      <c r="B69" s="1273">
        <v>2015</v>
      </c>
      <c r="C69" s="1273"/>
      <c r="D69" s="1273"/>
      <c r="E69" s="1273"/>
      <c r="F69" s="1273"/>
      <c r="G69" s="320"/>
      <c r="H69" s="1273">
        <v>2016</v>
      </c>
      <c r="I69" s="1273"/>
      <c r="J69" s="1273"/>
      <c r="K69" s="1273"/>
      <c r="L69" s="1273"/>
    </row>
    <row r="70" spans="1:12" ht="12.75" hidden="1" customHeight="1">
      <c r="A70" s="1279"/>
      <c r="B70" s="1277" t="s">
        <v>291</v>
      </c>
      <c r="C70" s="1272"/>
      <c r="D70" s="320"/>
      <c r="E70" s="1272" t="s">
        <v>292</v>
      </c>
      <c r="F70" s="1272"/>
      <c r="G70" s="836"/>
      <c r="H70" s="1272" t="s">
        <v>291</v>
      </c>
      <c r="I70" s="1272"/>
      <c r="J70" s="836"/>
      <c r="K70" s="1272" t="s">
        <v>292</v>
      </c>
      <c r="L70" s="1272"/>
    </row>
    <row r="71" spans="1:12" ht="12.75" hidden="1" customHeight="1">
      <c r="A71" s="1279"/>
      <c r="B71" s="1286" t="s">
        <v>284</v>
      </c>
      <c r="C71" s="1284" t="s">
        <v>285</v>
      </c>
      <c r="D71" s="309"/>
      <c r="E71" s="1280" t="s">
        <v>91</v>
      </c>
      <c r="F71" s="1282" t="s">
        <v>92</v>
      </c>
      <c r="G71" s="139"/>
      <c r="H71" s="1284" t="s">
        <v>284</v>
      </c>
      <c r="I71" s="1289" t="s">
        <v>285</v>
      </c>
      <c r="J71" s="842"/>
      <c r="K71" s="1284" t="s">
        <v>91</v>
      </c>
      <c r="L71" s="1282" t="s">
        <v>92</v>
      </c>
    </row>
    <row r="72" spans="1:12" ht="12.75" hidden="1" customHeight="1">
      <c r="A72" s="1279"/>
      <c r="B72" s="1287"/>
      <c r="C72" s="1285"/>
      <c r="D72" s="321"/>
      <c r="E72" s="1281"/>
      <c r="F72" s="1283"/>
      <c r="G72" s="839"/>
      <c r="H72" s="1285"/>
      <c r="I72" s="1290"/>
      <c r="J72" s="322"/>
      <c r="K72" s="1285"/>
      <c r="L72" s="1283"/>
    </row>
    <row r="73" spans="1:12" ht="13.5" hidden="1">
      <c r="A73" s="313"/>
      <c r="B73" s="173"/>
      <c r="C73" s="173"/>
      <c r="D73" s="173"/>
      <c r="E73" s="173"/>
      <c r="F73" s="173"/>
      <c r="G73" s="173"/>
      <c r="H73" s="173"/>
      <c r="I73" s="173"/>
      <c r="J73" s="173"/>
      <c r="K73" s="173"/>
      <c r="L73" s="173"/>
    </row>
    <row r="74" spans="1:12" hidden="1">
      <c r="A74" s="314" t="s">
        <v>2</v>
      </c>
      <c r="B74" s="442">
        <f>SUM(B75:B87)</f>
        <v>620</v>
      </c>
      <c r="C74" s="442">
        <f>SUM(C75:C87)</f>
        <v>1147</v>
      </c>
      <c r="D74" s="442"/>
      <c r="E74" s="442">
        <f>SUM(E75:E87)</f>
        <v>1596</v>
      </c>
      <c r="F74" s="442">
        <f>SUM(F75:F87)</f>
        <v>171</v>
      </c>
      <c r="G74" s="442"/>
      <c r="H74" s="442">
        <v>789</v>
      </c>
      <c r="I74" s="442">
        <v>1168</v>
      </c>
      <c r="J74" s="442"/>
      <c r="K74" s="442">
        <v>1764</v>
      </c>
      <c r="L74" s="442">
        <v>193</v>
      </c>
    </row>
    <row r="75" spans="1:12" ht="20.25" hidden="1" customHeight="1">
      <c r="A75" s="315" t="s">
        <v>13</v>
      </c>
      <c r="B75" s="440">
        <v>90</v>
      </c>
      <c r="C75" s="440">
        <v>151</v>
      </c>
      <c r="D75" s="440"/>
      <c r="E75" s="440">
        <v>220</v>
      </c>
      <c r="F75" s="440">
        <v>21</v>
      </c>
      <c r="G75" s="440"/>
      <c r="H75" s="440">
        <v>111</v>
      </c>
      <c r="I75" s="443">
        <v>152</v>
      </c>
      <c r="J75" s="443"/>
      <c r="K75" s="440">
        <v>229</v>
      </c>
      <c r="L75" s="440">
        <v>34</v>
      </c>
    </row>
    <row r="76" spans="1:12" ht="20.25" hidden="1" customHeight="1">
      <c r="A76" s="315" t="s">
        <v>14</v>
      </c>
      <c r="B76" s="440">
        <v>2</v>
      </c>
      <c r="C76" s="440">
        <v>2</v>
      </c>
      <c r="D76" s="440"/>
      <c r="E76" s="440">
        <v>4</v>
      </c>
      <c r="F76" s="443" t="s">
        <v>0</v>
      </c>
      <c r="G76" s="443"/>
      <c r="H76" s="440">
        <v>13</v>
      </c>
      <c r="I76" s="443">
        <v>6</v>
      </c>
      <c r="J76" s="443"/>
      <c r="K76" s="440">
        <v>18</v>
      </c>
      <c r="L76" s="443">
        <v>1</v>
      </c>
    </row>
    <row r="77" spans="1:12" ht="20.25" hidden="1" customHeight="1">
      <c r="A77" s="315" t="s">
        <v>15</v>
      </c>
      <c r="B77" s="440">
        <v>131</v>
      </c>
      <c r="C77" s="440">
        <v>285</v>
      </c>
      <c r="D77" s="440"/>
      <c r="E77" s="440">
        <v>404</v>
      </c>
      <c r="F77" s="440">
        <v>12</v>
      </c>
      <c r="G77" s="440"/>
      <c r="H77" s="440">
        <v>184</v>
      </c>
      <c r="I77" s="443">
        <v>312</v>
      </c>
      <c r="J77" s="443"/>
      <c r="K77" s="440">
        <v>482</v>
      </c>
      <c r="L77" s="440">
        <v>14</v>
      </c>
    </row>
    <row r="78" spans="1:12" ht="20.25" hidden="1" customHeight="1">
      <c r="A78" s="315" t="s">
        <v>10</v>
      </c>
      <c r="B78" s="440">
        <v>166</v>
      </c>
      <c r="C78" s="440">
        <v>291</v>
      </c>
      <c r="D78" s="440"/>
      <c r="E78" s="440">
        <v>449</v>
      </c>
      <c r="F78" s="440">
        <v>8</v>
      </c>
      <c r="G78" s="440"/>
      <c r="H78" s="440">
        <v>183</v>
      </c>
      <c r="I78" s="440">
        <v>291</v>
      </c>
      <c r="J78" s="440"/>
      <c r="K78" s="440">
        <v>465</v>
      </c>
      <c r="L78" s="440">
        <v>9</v>
      </c>
    </row>
    <row r="79" spans="1:12" ht="20.25" hidden="1" customHeight="1">
      <c r="A79" s="315" t="s">
        <v>293</v>
      </c>
      <c r="B79" s="440" t="s">
        <v>0</v>
      </c>
      <c r="C79" s="440" t="s">
        <v>0</v>
      </c>
      <c r="D79" s="440"/>
      <c r="E79" s="443" t="s">
        <v>0</v>
      </c>
      <c r="F79" s="443" t="s">
        <v>0</v>
      </c>
      <c r="G79" s="443"/>
      <c r="H79" s="443">
        <v>3</v>
      </c>
      <c r="I79" s="443" t="s">
        <v>55</v>
      </c>
      <c r="J79" s="443"/>
      <c r="K79" s="443">
        <v>2</v>
      </c>
      <c r="L79" s="443">
        <v>1</v>
      </c>
    </row>
    <row r="80" spans="1:12" ht="20.25" hidden="1" customHeight="1">
      <c r="A80" s="315" t="s">
        <v>294</v>
      </c>
      <c r="B80" s="440" t="s">
        <v>0</v>
      </c>
      <c r="C80" s="440">
        <v>3</v>
      </c>
      <c r="D80" s="440"/>
      <c r="E80" s="440">
        <v>3</v>
      </c>
      <c r="F80" s="443" t="s">
        <v>0</v>
      </c>
      <c r="G80" s="443"/>
      <c r="H80" s="443" t="s">
        <v>0</v>
      </c>
      <c r="I80" s="443" t="s">
        <v>0</v>
      </c>
      <c r="J80" s="443"/>
      <c r="K80" s="443" t="s">
        <v>0</v>
      </c>
      <c r="L80" s="443" t="s">
        <v>0</v>
      </c>
    </row>
    <row r="81" spans="1:31" ht="20.25" hidden="1" customHeight="1">
      <c r="A81" s="315" t="s">
        <v>295</v>
      </c>
      <c r="B81" s="440">
        <v>187</v>
      </c>
      <c r="C81" s="440">
        <v>386</v>
      </c>
      <c r="D81" s="440"/>
      <c r="E81" s="440">
        <v>447</v>
      </c>
      <c r="F81" s="440">
        <v>126</v>
      </c>
      <c r="G81" s="440"/>
      <c r="H81" s="440">
        <v>206</v>
      </c>
      <c r="I81" s="440">
        <v>372</v>
      </c>
      <c r="J81" s="440"/>
      <c r="K81" s="440">
        <v>468</v>
      </c>
      <c r="L81" s="440">
        <v>110</v>
      </c>
    </row>
    <row r="82" spans="1:31" ht="20.25" hidden="1" customHeight="1">
      <c r="A82" s="315" t="s">
        <v>296</v>
      </c>
      <c r="B82" s="440">
        <v>4</v>
      </c>
      <c r="C82" s="440">
        <v>6</v>
      </c>
      <c r="D82" s="440"/>
      <c r="E82" s="440">
        <v>10</v>
      </c>
      <c r="F82" s="443" t="s">
        <v>0</v>
      </c>
      <c r="G82" s="443"/>
      <c r="H82" s="440">
        <v>13</v>
      </c>
      <c r="I82" s="440">
        <v>2</v>
      </c>
      <c r="J82" s="440"/>
      <c r="K82" s="440">
        <v>11</v>
      </c>
      <c r="L82" s="440">
        <v>4</v>
      </c>
    </row>
    <row r="83" spans="1:31" ht="20.25" hidden="1" customHeight="1">
      <c r="A83" s="315" t="s">
        <v>297</v>
      </c>
      <c r="B83" s="440">
        <v>16</v>
      </c>
      <c r="C83" s="440">
        <v>9</v>
      </c>
      <c r="D83" s="440"/>
      <c r="E83" s="440">
        <v>24</v>
      </c>
      <c r="F83" s="440">
        <v>1</v>
      </c>
      <c r="G83" s="440"/>
      <c r="H83" s="440">
        <v>28</v>
      </c>
      <c r="I83" s="440">
        <v>14</v>
      </c>
      <c r="J83" s="440"/>
      <c r="K83" s="440">
        <v>40</v>
      </c>
      <c r="L83" s="440">
        <v>2</v>
      </c>
    </row>
    <row r="84" spans="1:31" ht="20.25" hidden="1" customHeight="1">
      <c r="A84" s="315" t="s">
        <v>298</v>
      </c>
      <c r="B84" s="440">
        <v>4</v>
      </c>
      <c r="C84" s="440">
        <v>2</v>
      </c>
      <c r="D84" s="440"/>
      <c r="E84" s="440">
        <v>6</v>
      </c>
      <c r="F84" s="443" t="s">
        <v>0</v>
      </c>
      <c r="G84" s="443"/>
      <c r="H84" s="440">
        <v>23</v>
      </c>
      <c r="I84" s="440">
        <v>6</v>
      </c>
      <c r="J84" s="440"/>
      <c r="K84" s="440">
        <v>21</v>
      </c>
      <c r="L84" s="440">
        <v>8</v>
      </c>
    </row>
    <row r="85" spans="1:31" ht="20.25" hidden="1" customHeight="1">
      <c r="A85" s="315" t="s">
        <v>299</v>
      </c>
      <c r="B85" s="440" t="s">
        <v>0</v>
      </c>
      <c r="C85" s="440">
        <v>4</v>
      </c>
      <c r="D85" s="440"/>
      <c r="E85" s="440">
        <v>2</v>
      </c>
      <c r="F85" s="440">
        <v>2</v>
      </c>
      <c r="G85" s="440"/>
      <c r="H85" s="440">
        <v>7</v>
      </c>
      <c r="I85" s="440">
        <v>3</v>
      </c>
      <c r="J85" s="440"/>
      <c r="K85" s="440">
        <v>9</v>
      </c>
      <c r="L85" s="440">
        <v>1</v>
      </c>
    </row>
    <row r="86" spans="1:31" ht="20.25" hidden="1" customHeight="1">
      <c r="A86" s="315" t="s">
        <v>301</v>
      </c>
      <c r="B86" s="440">
        <v>20</v>
      </c>
      <c r="C86" s="440">
        <v>8</v>
      </c>
      <c r="D86" s="440"/>
      <c r="E86" s="440">
        <v>27</v>
      </c>
      <c r="F86" s="440">
        <v>1</v>
      </c>
      <c r="G86" s="440"/>
      <c r="H86" s="440">
        <v>18</v>
      </c>
      <c r="I86" s="443">
        <v>10</v>
      </c>
      <c r="J86" s="443"/>
      <c r="K86" s="440">
        <v>19</v>
      </c>
      <c r="L86" s="443">
        <v>9</v>
      </c>
    </row>
    <row r="87" spans="1:31" ht="20.25" hidden="1" customHeight="1">
      <c r="A87" s="327" t="s">
        <v>3</v>
      </c>
      <c r="B87" s="450" t="s">
        <v>0</v>
      </c>
      <c r="C87" s="450" t="s">
        <v>0</v>
      </c>
      <c r="D87" s="451"/>
      <c r="E87" s="450" t="s">
        <v>97</v>
      </c>
      <c r="F87" s="450" t="s">
        <v>0</v>
      </c>
      <c r="G87" s="450"/>
      <c r="H87" s="450" t="s">
        <v>0</v>
      </c>
      <c r="I87" s="450" t="s">
        <v>0</v>
      </c>
      <c r="J87" s="450"/>
      <c r="K87" s="450" t="s">
        <v>0</v>
      </c>
      <c r="L87" s="450" t="s">
        <v>0</v>
      </c>
    </row>
    <row r="88" spans="1:31" ht="20.25" hidden="1" customHeight="1">
      <c r="A88" s="176"/>
      <c r="B88" s="443"/>
      <c r="C88" s="443"/>
      <c r="D88" s="440"/>
      <c r="E88" s="443"/>
      <c r="F88" s="443"/>
      <c r="G88" s="443"/>
      <c r="H88" s="443"/>
      <c r="I88" s="443"/>
      <c r="J88" s="443"/>
      <c r="K88" s="443"/>
      <c r="L88" s="443"/>
    </row>
    <row r="89" spans="1:31" ht="20.25" hidden="1" customHeight="1">
      <c r="A89" s="176"/>
      <c r="B89" s="443"/>
      <c r="C89" s="443"/>
      <c r="D89" s="440"/>
      <c r="E89" s="443"/>
      <c r="F89" s="443"/>
      <c r="G89" s="443"/>
      <c r="H89" s="443"/>
      <c r="I89" s="443"/>
      <c r="J89" s="443"/>
      <c r="K89" s="443"/>
      <c r="L89" s="443"/>
    </row>
    <row r="90" spans="1:31" ht="24.75" customHeight="1">
      <c r="A90" s="1274" t="s">
        <v>554</v>
      </c>
      <c r="B90" s="1274"/>
      <c r="C90" s="1274"/>
      <c r="D90" s="1274"/>
      <c r="E90" s="1274"/>
      <c r="F90" s="1274"/>
      <c r="G90" s="1274"/>
      <c r="H90" s="1274"/>
      <c r="I90" s="1274"/>
      <c r="J90" s="1274"/>
      <c r="K90" s="1274"/>
      <c r="L90" s="1274"/>
      <c r="P90" s="103">
        <v>2018</v>
      </c>
    </row>
    <row r="91" spans="1:31" ht="5.25" customHeight="1">
      <c r="A91" s="854"/>
      <c r="B91" s="854"/>
      <c r="C91" s="854"/>
      <c r="D91" s="854"/>
      <c r="E91" s="854"/>
      <c r="F91" s="854"/>
      <c r="G91" s="854"/>
      <c r="H91" s="854"/>
      <c r="I91" s="854"/>
      <c r="J91" s="854"/>
      <c r="K91" s="854"/>
      <c r="L91" s="854"/>
    </row>
    <row r="92" spans="1:31" ht="11.1" customHeight="1">
      <c r="A92" s="1278" t="s">
        <v>32</v>
      </c>
      <c r="B92" s="1273">
        <v>2017</v>
      </c>
      <c r="C92" s="1273"/>
      <c r="D92" s="1273"/>
      <c r="E92" s="1273"/>
      <c r="F92" s="1273"/>
      <c r="G92" s="320"/>
      <c r="H92" s="1273" t="s">
        <v>476</v>
      </c>
      <c r="I92" s="1273"/>
      <c r="J92" s="1273"/>
      <c r="K92" s="1273"/>
      <c r="L92" s="1273"/>
      <c r="P92" s="1273" t="s">
        <v>389</v>
      </c>
      <c r="Q92" s="1273"/>
      <c r="R92" s="1273"/>
      <c r="S92" s="1273"/>
      <c r="T92" s="1273" t="s">
        <v>390</v>
      </c>
      <c r="U92" s="1273"/>
      <c r="V92" s="1273"/>
      <c r="W92" s="1273"/>
      <c r="X92" s="1273" t="s">
        <v>391</v>
      </c>
      <c r="Y92" s="1273"/>
      <c r="Z92" s="1273"/>
      <c r="AA92" s="1273"/>
      <c r="AB92" s="1273" t="s">
        <v>392</v>
      </c>
      <c r="AC92" s="1273"/>
      <c r="AD92" s="1273"/>
      <c r="AE92" s="1273"/>
    </row>
    <row r="93" spans="1:31" ht="11.1" customHeight="1">
      <c r="A93" s="1279"/>
      <c r="B93" s="1272" t="s">
        <v>555</v>
      </c>
      <c r="C93" s="1272"/>
      <c r="D93" s="836"/>
      <c r="E93" s="1272" t="s">
        <v>71</v>
      </c>
      <c r="F93" s="1272"/>
      <c r="G93" s="320"/>
      <c r="H93" s="1272" t="s">
        <v>555</v>
      </c>
      <c r="I93" s="1272"/>
      <c r="J93" s="836"/>
      <c r="K93" s="1272" t="s">
        <v>71</v>
      </c>
      <c r="L93" s="1272"/>
      <c r="P93" s="1272" t="s">
        <v>291</v>
      </c>
      <c r="Q93" s="1272"/>
      <c r="R93" s="1272" t="s">
        <v>71</v>
      </c>
      <c r="S93" s="1272"/>
      <c r="T93" s="1272" t="s">
        <v>291</v>
      </c>
      <c r="U93" s="1272"/>
      <c r="V93" s="1272" t="s">
        <v>71</v>
      </c>
      <c r="W93" s="1272"/>
      <c r="X93" s="1272" t="s">
        <v>291</v>
      </c>
      <c r="Y93" s="1272"/>
      <c r="Z93" s="1272" t="s">
        <v>71</v>
      </c>
      <c r="AA93" s="1272"/>
      <c r="AB93" s="1272" t="s">
        <v>291</v>
      </c>
      <c r="AC93" s="1272"/>
      <c r="AD93" s="1272" t="s">
        <v>71</v>
      </c>
      <c r="AE93" s="1272"/>
    </row>
    <row r="94" spans="1:31" ht="11.1" customHeight="1">
      <c r="A94" s="1279"/>
      <c r="B94" s="838" t="s">
        <v>284</v>
      </c>
      <c r="C94" s="139" t="s">
        <v>285</v>
      </c>
      <c r="D94" s="139"/>
      <c r="E94" s="838" t="s">
        <v>91</v>
      </c>
      <c r="F94" s="139" t="s">
        <v>92</v>
      </c>
      <c r="G94" s="323"/>
      <c r="H94" s="838" t="s">
        <v>284</v>
      </c>
      <c r="I94" s="139" t="s">
        <v>285</v>
      </c>
      <c r="J94" s="139"/>
      <c r="K94" s="838" t="s">
        <v>91</v>
      </c>
      <c r="L94" s="139" t="s">
        <v>92</v>
      </c>
      <c r="P94" s="838" t="s">
        <v>284</v>
      </c>
      <c r="Q94" s="139" t="s">
        <v>285</v>
      </c>
      <c r="R94" s="838" t="s">
        <v>91</v>
      </c>
      <c r="S94" s="139" t="s">
        <v>92</v>
      </c>
      <c r="T94" s="838" t="s">
        <v>284</v>
      </c>
      <c r="U94" s="139" t="s">
        <v>285</v>
      </c>
      <c r="V94" s="838" t="s">
        <v>91</v>
      </c>
      <c r="W94" s="139" t="s">
        <v>92</v>
      </c>
      <c r="X94" s="838" t="s">
        <v>284</v>
      </c>
      <c r="Y94" s="139" t="s">
        <v>285</v>
      </c>
      <c r="Z94" s="838" t="s">
        <v>91</v>
      </c>
      <c r="AA94" s="139" t="s">
        <v>92</v>
      </c>
      <c r="AB94" s="838" t="s">
        <v>284</v>
      </c>
      <c r="AC94" s="139" t="s">
        <v>285</v>
      </c>
      <c r="AD94" s="838" t="s">
        <v>91</v>
      </c>
      <c r="AE94" s="139" t="s">
        <v>92</v>
      </c>
    </row>
    <row r="95" spans="1:31" ht="14.1" customHeight="1">
      <c r="A95" s="314" t="s">
        <v>2</v>
      </c>
      <c r="B95" s="933">
        <v>888</v>
      </c>
      <c r="C95" s="933">
        <v>1315</v>
      </c>
      <c r="D95" s="933"/>
      <c r="E95" s="933">
        <v>2008</v>
      </c>
      <c r="F95" s="933">
        <v>195</v>
      </c>
      <c r="G95" s="439"/>
      <c r="H95" s="933">
        <f>SUM(H96:H108)</f>
        <v>785</v>
      </c>
      <c r="I95" s="933">
        <f>SUM(I96:I108)</f>
        <v>1481</v>
      </c>
      <c r="J95" s="933"/>
      <c r="K95" s="933">
        <f>SUM(K96:K108)</f>
        <v>2033</v>
      </c>
      <c r="L95" s="933">
        <f>SUM(L96:L108)</f>
        <v>233</v>
      </c>
      <c r="P95" s="439">
        <f t="shared" ref="P95:AA95" si="2">SUM(P96:P108)</f>
        <v>234</v>
      </c>
      <c r="Q95" s="439">
        <f t="shared" si="2"/>
        <v>457</v>
      </c>
      <c r="R95" s="439">
        <f t="shared" si="2"/>
        <v>691</v>
      </c>
      <c r="S95" s="439">
        <f t="shared" si="2"/>
        <v>0</v>
      </c>
      <c r="T95" s="439">
        <f t="shared" si="2"/>
        <v>74</v>
      </c>
      <c r="U95" s="439">
        <f t="shared" si="2"/>
        <v>100</v>
      </c>
      <c r="V95" s="439">
        <f t="shared" si="2"/>
        <v>0</v>
      </c>
      <c r="W95" s="439">
        <f t="shared" si="2"/>
        <v>174</v>
      </c>
      <c r="X95" s="439">
        <f t="shared" si="2"/>
        <v>432</v>
      </c>
      <c r="Y95" s="439">
        <f t="shared" si="2"/>
        <v>854</v>
      </c>
      <c r="Z95" s="439">
        <f t="shared" si="2"/>
        <v>1241</v>
      </c>
      <c r="AA95" s="439">
        <f t="shared" si="2"/>
        <v>45</v>
      </c>
      <c r="AB95" s="439">
        <f>+P95+T95+X95</f>
        <v>740</v>
      </c>
      <c r="AC95" s="439">
        <f>+Q95+U95+Y95</f>
        <v>1411</v>
      </c>
      <c r="AD95" s="439">
        <f>+R95+V95+Z95</f>
        <v>1932</v>
      </c>
      <c r="AE95" s="439">
        <f>+S95+W95+AA95</f>
        <v>219</v>
      </c>
    </row>
    <row r="96" spans="1:31" ht="14.1" customHeight="1">
      <c r="A96" s="315" t="s">
        <v>13</v>
      </c>
      <c r="B96" s="443">
        <v>129</v>
      </c>
      <c r="C96" s="443">
        <v>167</v>
      </c>
      <c r="D96" s="443"/>
      <c r="E96" s="443">
        <v>271</v>
      </c>
      <c r="F96" s="443">
        <v>25</v>
      </c>
      <c r="G96" s="443"/>
      <c r="H96" s="443">
        <v>112</v>
      </c>
      <c r="I96" s="443">
        <v>187</v>
      </c>
      <c r="K96" s="443">
        <v>275</v>
      </c>
      <c r="L96" s="443">
        <v>24</v>
      </c>
      <c r="P96" s="443">
        <v>35</v>
      </c>
      <c r="Q96" s="443">
        <f>68+2</f>
        <v>70</v>
      </c>
      <c r="R96" s="443">
        <v>105</v>
      </c>
      <c r="S96" s="443"/>
      <c r="T96" s="443">
        <v>9</v>
      </c>
      <c r="U96" s="443">
        <v>9</v>
      </c>
      <c r="V96" s="443"/>
      <c r="W96" s="443">
        <v>18</v>
      </c>
      <c r="X96" s="443">
        <v>68</v>
      </c>
      <c r="Y96" s="443">
        <f>96+6+6</f>
        <v>108</v>
      </c>
      <c r="Z96" s="443">
        <f>68+96+6</f>
        <v>170</v>
      </c>
      <c r="AA96" s="443">
        <v>6</v>
      </c>
      <c r="AB96" s="443">
        <f t="shared" ref="AB96:AB102" si="3">+P96+T96+X96</f>
        <v>112</v>
      </c>
      <c r="AC96" s="443">
        <f t="shared" ref="AC96:AC102" si="4">+Q96+U96+Y96</f>
        <v>187</v>
      </c>
      <c r="AD96" s="443">
        <f t="shared" ref="AD96:AD102" si="5">+R96+V96+Z96</f>
        <v>275</v>
      </c>
      <c r="AE96" s="443">
        <f t="shared" ref="AE96:AE102" si="6">+S96+W96+AA96</f>
        <v>24</v>
      </c>
    </row>
    <row r="97" spans="1:31" ht="14.1" customHeight="1">
      <c r="A97" s="315" t="s">
        <v>14</v>
      </c>
      <c r="B97" s="443">
        <v>12</v>
      </c>
      <c r="C97" s="443">
        <v>23</v>
      </c>
      <c r="D97" s="443"/>
      <c r="E97" s="443">
        <v>35</v>
      </c>
      <c r="F97" s="443"/>
      <c r="G97" s="443"/>
      <c r="H97" s="443">
        <v>19</v>
      </c>
      <c r="I97" s="443">
        <v>25</v>
      </c>
      <c r="K97" s="443">
        <v>44</v>
      </c>
      <c r="L97" s="443">
        <v>0</v>
      </c>
      <c r="P97" s="443">
        <v>12</v>
      </c>
      <c r="Q97" s="443">
        <v>10</v>
      </c>
      <c r="R97" s="443">
        <v>22</v>
      </c>
      <c r="S97" s="443"/>
      <c r="T97" s="443"/>
      <c r="U97" s="443"/>
      <c r="V97" s="443"/>
      <c r="W97" s="443"/>
      <c r="X97" s="443">
        <v>7</v>
      </c>
      <c r="Y97" s="443">
        <f>14+1</f>
        <v>15</v>
      </c>
      <c r="Z97" s="443">
        <f>7+14+1</f>
        <v>22</v>
      </c>
      <c r="AA97" s="443"/>
      <c r="AB97" s="443">
        <f t="shared" si="3"/>
        <v>19</v>
      </c>
      <c r="AC97" s="443">
        <f t="shared" si="4"/>
        <v>25</v>
      </c>
      <c r="AD97" s="443">
        <f t="shared" si="5"/>
        <v>44</v>
      </c>
      <c r="AE97" s="443">
        <f t="shared" si="6"/>
        <v>0</v>
      </c>
    </row>
    <row r="98" spans="1:31" ht="14.1" customHeight="1">
      <c r="A98" s="315" t="s">
        <v>15</v>
      </c>
      <c r="B98" s="443">
        <v>161</v>
      </c>
      <c r="C98" s="443">
        <v>346</v>
      </c>
      <c r="D98" s="443"/>
      <c r="E98" s="443">
        <v>484</v>
      </c>
      <c r="F98" s="443">
        <v>26</v>
      </c>
      <c r="G98" s="443"/>
      <c r="H98" s="443">
        <v>179</v>
      </c>
      <c r="I98" s="443">
        <v>396</v>
      </c>
      <c r="K98" s="443">
        <v>542</v>
      </c>
      <c r="L98" s="443">
        <v>33</v>
      </c>
      <c r="P98" s="443">
        <v>61</v>
      </c>
      <c r="Q98" s="443">
        <f>126+5</f>
        <v>131</v>
      </c>
      <c r="R98" s="443">
        <v>192</v>
      </c>
      <c r="S98" s="443"/>
      <c r="T98" s="443">
        <v>13</v>
      </c>
      <c r="U98" s="443">
        <f>18+1</f>
        <v>19</v>
      </c>
      <c r="V98" s="443"/>
      <c r="W98" s="443">
        <v>32</v>
      </c>
      <c r="X98" s="443">
        <v>105</v>
      </c>
      <c r="Y98" s="443">
        <f>239+6+1</f>
        <v>246</v>
      </c>
      <c r="Z98" s="443">
        <f>105+239+6</f>
        <v>350</v>
      </c>
      <c r="AA98" s="443">
        <v>1</v>
      </c>
      <c r="AB98" s="443">
        <f t="shared" si="3"/>
        <v>179</v>
      </c>
      <c r="AC98" s="443">
        <f t="shared" si="4"/>
        <v>396</v>
      </c>
      <c r="AD98" s="443">
        <f t="shared" si="5"/>
        <v>542</v>
      </c>
      <c r="AE98" s="443">
        <f t="shared" si="6"/>
        <v>33</v>
      </c>
    </row>
    <row r="99" spans="1:31" ht="14.1" customHeight="1">
      <c r="A99" s="315" t="s">
        <v>10</v>
      </c>
      <c r="B99" s="443">
        <v>252</v>
      </c>
      <c r="C99" s="443">
        <v>328</v>
      </c>
      <c r="D99" s="443"/>
      <c r="E99" s="443">
        <v>562</v>
      </c>
      <c r="F99" s="443">
        <v>17</v>
      </c>
      <c r="G99" s="443"/>
      <c r="H99" s="443">
        <v>168</v>
      </c>
      <c r="I99" s="443">
        <v>351</v>
      </c>
      <c r="K99" s="443">
        <v>501</v>
      </c>
      <c r="L99" s="443">
        <v>18</v>
      </c>
      <c r="P99" s="443">
        <v>48</v>
      </c>
      <c r="Q99" s="443">
        <f>73+8</f>
        <v>81</v>
      </c>
      <c r="R99" s="443">
        <v>129</v>
      </c>
      <c r="S99" s="443"/>
      <c r="T99" s="443">
        <v>5</v>
      </c>
      <c r="U99" s="443">
        <v>9</v>
      </c>
      <c r="V99" s="443"/>
      <c r="W99" s="443">
        <v>14</v>
      </c>
      <c r="X99" s="443">
        <v>115</v>
      </c>
      <c r="Y99" s="443">
        <f>228+29+4</f>
        <v>261</v>
      </c>
      <c r="Z99" s="443">
        <f>115+228+29</f>
        <v>372</v>
      </c>
      <c r="AA99" s="443">
        <v>4</v>
      </c>
      <c r="AB99" s="443">
        <f t="shared" si="3"/>
        <v>168</v>
      </c>
      <c r="AC99" s="443">
        <f t="shared" si="4"/>
        <v>351</v>
      </c>
      <c r="AD99" s="443">
        <f t="shared" si="5"/>
        <v>501</v>
      </c>
      <c r="AE99" s="443">
        <f t="shared" si="6"/>
        <v>18</v>
      </c>
    </row>
    <row r="100" spans="1:31" ht="14.1" customHeight="1">
      <c r="A100" s="315" t="s">
        <v>293</v>
      </c>
      <c r="B100" s="443">
        <v>3</v>
      </c>
      <c r="C100" s="443" t="s">
        <v>56</v>
      </c>
      <c r="D100" s="443"/>
      <c r="E100" s="443" t="s">
        <v>56</v>
      </c>
      <c r="F100" s="443" t="s">
        <v>56</v>
      </c>
      <c r="G100" s="443"/>
      <c r="H100" s="443">
        <v>2</v>
      </c>
      <c r="I100" s="443">
        <v>3</v>
      </c>
      <c r="K100" s="443">
        <v>5</v>
      </c>
      <c r="L100" s="443">
        <v>0</v>
      </c>
      <c r="P100" s="443"/>
      <c r="Q100" s="443">
        <v>1</v>
      </c>
      <c r="R100" s="443">
        <v>1</v>
      </c>
      <c r="S100" s="443"/>
      <c r="T100" s="443"/>
      <c r="U100" s="443"/>
      <c r="V100" s="443"/>
      <c r="W100" s="443"/>
      <c r="X100" s="443">
        <v>2</v>
      </c>
      <c r="Y100" s="443">
        <v>2</v>
      </c>
      <c r="Z100" s="443">
        <v>4</v>
      </c>
      <c r="AA100" s="443"/>
      <c r="AB100" s="443">
        <f t="shared" si="3"/>
        <v>2</v>
      </c>
      <c r="AC100" s="443">
        <f t="shared" si="4"/>
        <v>3</v>
      </c>
      <c r="AD100" s="443">
        <f t="shared" si="5"/>
        <v>5</v>
      </c>
      <c r="AE100" s="443">
        <f t="shared" si="6"/>
        <v>0</v>
      </c>
    </row>
    <row r="101" spans="1:31" ht="14.1" customHeight="1">
      <c r="A101" s="315" t="s">
        <v>294</v>
      </c>
      <c r="B101" s="443" t="s">
        <v>0</v>
      </c>
      <c r="C101" s="443">
        <v>5</v>
      </c>
      <c r="D101" s="443"/>
      <c r="E101" s="443">
        <v>4</v>
      </c>
      <c r="F101" s="443"/>
      <c r="G101" s="443"/>
      <c r="H101" s="443">
        <v>0</v>
      </c>
      <c r="I101" s="443">
        <v>0</v>
      </c>
      <c r="K101" s="443">
        <v>0</v>
      </c>
      <c r="L101" s="443">
        <v>0</v>
      </c>
      <c r="P101" s="443"/>
      <c r="Q101" s="443"/>
      <c r="R101" s="443"/>
      <c r="S101" s="443"/>
      <c r="T101" s="443"/>
      <c r="U101" s="443"/>
      <c r="V101" s="443"/>
      <c r="W101" s="443"/>
      <c r="X101" s="443"/>
      <c r="Y101" s="443"/>
      <c r="Z101" s="443"/>
      <c r="AA101" s="443"/>
      <c r="AB101" s="443">
        <f t="shared" si="3"/>
        <v>0</v>
      </c>
      <c r="AC101" s="443">
        <f t="shared" si="4"/>
        <v>0</v>
      </c>
      <c r="AD101" s="443">
        <f t="shared" si="5"/>
        <v>0</v>
      </c>
      <c r="AE101" s="443">
        <f t="shared" si="6"/>
        <v>0</v>
      </c>
    </row>
    <row r="102" spans="1:31" ht="14.1" customHeight="1">
      <c r="A102" s="315" t="s">
        <v>295</v>
      </c>
      <c r="B102" s="443">
        <v>265</v>
      </c>
      <c r="C102" s="443">
        <v>390</v>
      </c>
      <c r="D102" s="443"/>
      <c r="E102" s="443">
        <v>536</v>
      </c>
      <c r="F102" s="443">
        <v>119</v>
      </c>
      <c r="G102" s="443"/>
      <c r="H102" s="443">
        <v>260</v>
      </c>
      <c r="I102" s="443">
        <v>449</v>
      </c>
      <c r="K102" s="443">
        <v>565</v>
      </c>
      <c r="L102" s="443">
        <v>144</v>
      </c>
      <c r="P102" s="443">
        <v>78</v>
      </c>
      <c r="Q102" s="443">
        <f>162+2</f>
        <v>164</v>
      </c>
      <c r="R102" s="443">
        <v>242</v>
      </c>
      <c r="S102" s="443"/>
      <c r="T102" s="443">
        <v>47</v>
      </c>
      <c r="U102" s="443">
        <f>62+1</f>
        <v>63</v>
      </c>
      <c r="V102" s="443"/>
      <c r="W102" s="443">
        <v>110</v>
      </c>
      <c r="X102" s="443">
        <f>133+2</f>
        <v>135</v>
      </c>
      <c r="Y102" s="443">
        <f>181+32+9</f>
        <v>222</v>
      </c>
      <c r="Z102" s="443">
        <f>133+181+9</f>
        <v>323</v>
      </c>
      <c r="AA102" s="443">
        <f>2+32</f>
        <v>34</v>
      </c>
      <c r="AB102" s="443">
        <f t="shared" si="3"/>
        <v>260</v>
      </c>
      <c r="AC102" s="443">
        <f t="shared" si="4"/>
        <v>449</v>
      </c>
      <c r="AD102" s="443">
        <f t="shared" si="5"/>
        <v>565</v>
      </c>
      <c r="AE102" s="443">
        <f t="shared" si="6"/>
        <v>144</v>
      </c>
    </row>
    <row r="103" spans="1:31" ht="14.1" customHeight="1">
      <c r="A103" s="315" t="s">
        <v>296</v>
      </c>
      <c r="B103" s="443">
        <v>24</v>
      </c>
      <c r="C103" s="443">
        <v>9</v>
      </c>
      <c r="D103" s="443"/>
      <c r="E103" s="443">
        <v>30</v>
      </c>
      <c r="F103" s="443"/>
      <c r="G103" s="443"/>
      <c r="H103" s="443">
        <v>5</v>
      </c>
      <c r="I103" s="443">
        <v>5</v>
      </c>
      <c r="K103" s="443">
        <v>10</v>
      </c>
      <c r="L103" s="443">
        <v>0</v>
      </c>
      <c r="P103" s="443"/>
      <c r="Q103" s="443"/>
      <c r="R103" s="443"/>
      <c r="S103" s="443"/>
      <c r="T103" s="443"/>
      <c r="U103" s="443"/>
      <c r="V103" s="443"/>
      <c r="W103" s="443"/>
      <c r="X103" s="443"/>
      <c r="Y103" s="443"/>
      <c r="Z103" s="443"/>
      <c r="AA103" s="443"/>
      <c r="AB103" s="443"/>
      <c r="AC103" s="443"/>
      <c r="AD103" s="443"/>
      <c r="AE103" s="443"/>
    </row>
    <row r="104" spans="1:31" ht="14.1" customHeight="1">
      <c r="A104" s="315" t="s">
        <v>297</v>
      </c>
      <c r="B104" s="443">
        <v>22</v>
      </c>
      <c r="C104" s="443">
        <v>16</v>
      </c>
      <c r="D104" s="443"/>
      <c r="E104" s="443">
        <v>39</v>
      </c>
      <c r="F104" s="443">
        <v>4</v>
      </c>
      <c r="G104" s="443"/>
      <c r="H104" s="443">
        <v>17</v>
      </c>
      <c r="I104" s="443">
        <v>28</v>
      </c>
      <c r="K104" s="443">
        <v>40</v>
      </c>
      <c r="L104" s="443">
        <v>5</v>
      </c>
      <c r="O104" s="855"/>
      <c r="P104" s="443"/>
      <c r="Q104" s="443"/>
      <c r="R104" s="443"/>
      <c r="S104" s="443"/>
      <c r="T104" s="443"/>
      <c r="U104" s="443"/>
      <c r="V104" s="443"/>
      <c r="W104" s="443"/>
      <c r="X104" s="443"/>
      <c r="Y104" s="443"/>
      <c r="Z104" s="443"/>
      <c r="AA104" s="443"/>
      <c r="AB104" s="443"/>
      <c r="AC104" s="443"/>
      <c r="AD104" s="443"/>
      <c r="AE104" s="443"/>
    </row>
    <row r="105" spans="1:31" ht="14.1" customHeight="1">
      <c r="A105" s="315" t="s">
        <v>298</v>
      </c>
      <c r="B105" s="443">
        <v>4</v>
      </c>
      <c r="C105" s="443">
        <v>6</v>
      </c>
      <c r="D105" s="443"/>
      <c r="E105" s="443">
        <v>9</v>
      </c>
      <c r="F105" s="443">
        <v>1</v>
      </c>
      <c r="G105" s="443"/>
      <c r="H105" s="443">
        <v>0</v>
      </c>
      <c r="I105" s="443">
        <v>2</v>
      </c>
      <c r="K105" s="443">
        <v>2</v>
      </c>
      <c r="L105" s="443">
        <v>0</v>
      </c>
      <c r="P105" s="443"/>
      <c r="Q105" s="443"/>
      <c r="R105" s="443"/>
      <c r="S105" s="443"/>
      <c r="T105" s="443"/>
      <c r="U105" s="443"/>
      <c r="V105" s="443"/>
      <c r="W105" s="443"/>
      <c r="X105" s="443"/>
      <c r="Y105" s="443"/>
      <c r="Z105" s="443"/>
      <c r="AA105" s="443"/>
      <c r="AB105" s="443"/>
      <c r="AC105" s="443"/>
      <c r="AD105" s="443"/>
      <c r="AE105" s="443"/>
    </row>
    <row r="106" spans="1:31" ht="14.1" customHeight="1">
      <c r="A106" s="315" t="s">
        <v>299</v>
      </c>
      <c r="B106" s="443">
        <v>1</v>
      </c>
      <c r="C106" s="443">
        <v>3</v>
      </c>
      <c r="D106" s="443"/>
      <c r="E106" s="443">
        <v>4</v>
      </c>
      <c r="F106" s="443"/>
      <c r="G106" s="443"/>
      <c r="H106" s="443">
        <v>6</v>
      </c>
      <c r="I106" s="443">
        <v>4</v>
      </c>
      <c r="K106" s="443">
        <v>8</v>
      </c>
      <c r="L106" s="443">
        <v>2</v>
      </c>
      <c r="P106" s="443"/>
      <c r="Q106" s="443"/>
      <c r="R106" s="443"/>
      <c r="S106" s="443"/>
      <c r="T106" s="443"/>
      <c r="U106" s="443"/>
      <c r="V106" s="443"/>
      <c r="W106" s="443"/>
      <c r="X106" s="443"/>
      <c r="Y106" s="443"/>
      <c r="Z106" s="443"/>
      <c r="AA106" s="443"/>
      <c r="AB106" s="443"/>
      <c r="AC106" s="443"/>
      <c r="AD106" s="443"/>
      <c r="AE106" s="443"/>
    </row>
    <row r="107" spans="1:31" ht="14.1" customHeight="1">
      <c r="A107" s="315" t="s">
        <v>301</v>
      </c>
      <c r="B107" s="443">
        <v>15</v>
      </c>
      <c r="C107" s="443">
        <v>22</v>
      </c>
      <c r="D107" s="443"/>
      <c r="E107" s="443">
        <v>34</v>
      </c>
      <c r="F107" s="443">
        <v>3</v>
      </c>
      <c r="G107" s="443"/>
      <c r="H107" s="443">
        <v>17</v>
      </c>
      <c r="I107" s="443">
        <v>30</v>
      </c>
      <c r="K107" s="443">
        <v>40</v>
      </c>
      <c r="L107" s="443">
        <v>7</v>
      </c>
      <c r="P107" s="443"/>
      <c r="Q107" s="443"/>
      <c r="R107" s="443"/>
      <c r="S107" s="443"/>
      <c r="T107" s="443"/>
      <c r="U107" s="443"/>
      <c r="V107" s="443"/>
      <c r="W107" s="443"/>
      <c r="X107" s="443"/>
      <c r="Y107" s="443"/>
      <c r="Z107" s="443"/>
      <c r="AA107" s="443"/>
      <c r="AB107" s="443"/>
      <c r="AC107" s="443"/>
      <c r="AD107" s="443"/>
      <c r="AE107" s="443"/>
    </row>
    <row r="108" spans="1:31" ht="14.1" customHeight="1">
      <c r="A108" s="315" t="s">
        <v>3</v>
      </c>
      <c r="B108" s="443" t="s">
        <v>0</v>
      </c>
      <c r="C108" s="443" t="s">
        <v>0</v>
      </c>
      <c r="D108" s="443"/>
      <c r="E108" s="443" t="s">
        <v>55</v>
      </c>
      <c r="F108" s="443" t="s">
        <v>0</v>
      </c>
      <c r="G108" s="443"/>
      <c r="H108" s="443">
        <v>0</v>
      </c>
      <c r="I108" s="443">
        <v>1</v>
      </c>
      <c r="K108" s="443">
        <v>1</v>
      </c>
      <c r="L108" s="443">
        <v>0</v>
      </c>
      <c r="P108" s="443"/>
      <c r="Q108" s="443"/>
      <c r="R108" s="443"/>
      <c r="S108" s="443"/>
      <c r="T108" s="443"/>
      <c r="U108" s="443"/>
      <c r="V108" s="443"/>
      <c r="W108" s="443"/>
      <c r="X108" s="443"/>
      <c r="Y108" s="443"/>
      <c r="Z108" s="443"/>
      <c r="AA108" s="443"/>
      <c r="AB108" s="443"/>
      <c r="AC108" s="443"/>
      <c r="AD108" s="443"/>
      <c r="AE108" s="443"/>
    </row>
    <row r="109" spans="1:31" ht="5.0999999999999996" customHeight="1">
      <c r="A109" s="327"/>
      <c r="B109" s="450"/>
      <c r="C109" s="450"/>
      <c r="D109" s="450"/>
      <c r="E109" s="450"/>
      <c r="F109" s="450"/>
      <c r="G109" s="450"/>
      <c r="H109" s="450"/>
      <c r="I109" s="450"/>
      <c r="J109" s="450"/>
      <c r="K109" s="450"/>
      <c r="L109" s="450"/>
    </row>
    <row r="110" spans="1:31" ht="11.1" customHeight="1">
      <c r="B110" s="97"/>
      <c r="C110" s="97"/>
      <c r="D110" s="97"/>
      <c r="E110" s="97"/>
      <c r="F110" s="97"/>
      <c r="G110" s="97"/>
      <c r="H110" s="97"/>
      <c r="I110" s="97"/>
      <c r="J110" s="97"/>
      <c r="K110" s="97"/>
      <c r="L110" s="658" t="s">
        <v>161</v>
      </c>
    </row>
    <row r="111" spans="1:31" ht="29.25" customHeight="1">
      <c r="A111" s="1274" t="str">
        <f>A90</f>
        <v>8.33  PUNO:  POBLACIÓN PENAL EN LOS ESTABLECIMIENTOS PENITENCIARIOS POR SITUACIÓN JURÍDICA Y SEXO,
         SEGÚN TIPO DE DELITO,  2017 - 2022</v>
      </c>
      <c r="B111" s="1274"/>
      <c r="C111" s="1274"/>
      <c r="D111" s="1274"/>
      <c r="E111" s="1274"/>
      <c r="F111" s="1274"/>
      <c r="G111" s="1274"/>
      <c r="H111" s="1274"/>
      <c r="I111" s="1274"/>
      <c r="J111" s="1274"/>
      <c r="K111" s="1274"/>
      <c r="L111" s="1274"/>
    </row>
    <row r="112" spans="1:31" ht="5.25" customHeight="1">
      <c r="A112" s="97"/>
      <c r="B112" s="97"/>
      <c r="C112" s="97"/>
      <c r="D112" s="97"/>
      <c r="E112" s="97"/>
      <c r="F112" s="97"/>
      <c r="G112" s="97"/>
      <c r="H112" s="97"/>
      <c r="I112" s="97"/>
      <c r="J112" s="97"/>
      <c r="K112" s="97"/>
      <c r="L112" s="97"/>
    </row>
    <row r="113" spans="1:48">
      <c r="A113" s="1278" t="s">
        <v>32</v>
      </c>
      <c r="B113" s="1273" t="s">
        <v>475</v>
      </c>
      <c r="C113" s="1273"/>
      <c r="D113" s="1273"/>
      <c r="E113" s="1273"/>
      <c r="F113" s="1273"/>
      <c r="G113" s="320"/>
      <c r="H113" s="1273" t="s">
        <v>474</v>
      </c>
      <c r="I113" s="1273"/>
      <c r="J113" s="1273"/>
      <c r="K113" s="1273"/>
      <c r="L113" s="1273"/>
      <c r="P113" s="1273"/>
      <c r="Q113" s="1273"/>
      <c r="R113" s="1273"/>
      <c r="S113" s="1273"/>
      <c r="T113" s="1273"/>
      <c r="U113" s="1273"/>
      <c r="V113" s="1273"/>
      <c r="W113" s="1273"/>
      <c r="X113" s="1273"/>
      <c r="Y113" s="1273"/>
      <c r="Z113" s="1273"/>
      <c r="AA113" s="1273"/>
      <c r="AB113" s="1273"/>
      <c r="AC113" s="1273"/>
      <c r="AD113" s="1273"/>
      <c r="AE113" s="1273"/>
      <c r="AG113" s="1273"/>
      <c r="AH113" s="1273"/>
      <c r="AI113" s="1273"/>
      <c r="AJ113" s="1273"/>
      <c r="AK113" s="1273"/>
      <c r="AL113" s="1273"/>
      <c r="AM113" s="1273"/>
      <c r="AN113" s="1273"/>
      <c r="AO113" s="1273"/>
      <c r="AP113" s="1273"/>
      <c r="AQ113" s="1273"/>
      <c r="AR113" s="1273"/>
      <c r="AS113" s="1273"/>
      <c r="AT113" s="1273"/>
      <c r="AU113" s="1273"/>
      <c r="AV113" s="1273"/>
    </row>
    <row r="114" spans="1:48">
      <c r="A114" s="1279"/>
      <c r="B114" s="1272" t="s">
        <v>555</v>
      </c>
      <c r="C114" s="1272"/>
      <c r="D114" s="836"/>
      <c r="E114" s="1272" t="s">
        <v>71</v>
      </c>
      <c r="F114" s="1272"/>
      <c r="G114" s="320"/>
      <c r="H114" s="1272" t="s">
        <v>555</v>
      </c>
      <c r="I114" s="1272"/>
      <c r="J114" s="836"/>
      <c r="K114" s="1272" t="s">
        <v>71</v>
      </c>
      <c r="L114" s="1272"/>
      <c r="P114" s="1272"/>
      <c r="Q114" s="1272"/>
      <c r="R114" s="1272"/>
      <c r="S114" s="1272"/>
      <c r="T114" s="1272"/>
      <c r="U114" s="1272"/>
      <c r="V114" s="1272"/>
      <c r="W114" s="1272"/>
      <c r="X114" s="1272"/>
      <c r="Y114" s="1272"/>
      <c r="Z114" s="1272"/>
      <c r="AA114" s="1272"/>
      <c r="AB114" s="1272"/>
      <c r="AC114" s="1272"/>
      <c r="AD114" s="1272"/>
      <c r="AE114" s="1272"/>
      <c r="AG114" s="1272"/>
      <c r="AH114" s="1272"/>
      <c r="AI114" s="1272"/>
      <c r="AJ114" s="1272"/>
      <c r="AK114" s="1272"/>
      <c r="AL114" s="1272"/>
      <c r="AM114" s="1272"/>
      <c r="AN114" s="1272"/>
      <c r="AO114" s="1272"/>
      <c r="AP114" s="1272"/>
      <c r="AQ114" s="1272"/>
      <c r="AR114" s="1272"/>
      <c r="AS114" s="1272"/>
      <c r="AT114" s="1272"/>
      <c r="AU114" s="1272"/>
      <c r="AV114" s="1272"/>
    </row>
    <row r="115" spans="1:48" ht="12.75" customHeight="1">
      <c r="A115" s="1279"/>
      <c r="B115" s="637" t="s">
        <v>284</v>
      </c>
      <c r="C115" s="316" t="s">
        <v>285</v>
      </c>
      <c r="D115" s="316"/>
      <c r="E115" s="637" t="s">
        <v>91</v>
      </c>
      <c r="F115" s="316" t="s">
        <v>92</v>
      </c>
      <c r="G115" s="323"/>
      <c r="H115" s="637" t="s">
        <v>284</v>
      </c>
      <c r="I115" s="637" t="s">
        <v>285</v>
      </c>
      <c r="J115" s="316"/>
      <c r="K115" s="637" t="s">
        <v>91</v>
      </c>
      <c r="L115" s="316" t="s">
        <v>92</v>
      </c>
      <c r="P115" s="838"/>
      <c r="Q115" s="139"/>
      <c r="R115" s="838"/>
      <c r="S115" s="139"/>
      <c r="T115" s="838"/>
      <c r="U115" s="139"/>
      <c r="V115" s="838"/>
      <c r="W115" s="139"/>
      <c r="X115" s="838"/>
      <c r="Y115" s="139"/>
      <c r="Z115" s="838"/>
      <c r="AA115" s="139"/>
      <c r="AB115" s="838"/>
      <c r="AC115" s="139"/>
      <c r="AD115" s="838"/>
      <c r="AE115" s="139"/>
      <c r="AG115" s="838"/>
      <c r="AH115" s="139"/>
      <c r="AI115" s="838"/>
      <c r="AJ115" s="139"/>
      <c r="AK115" s="838"/>
      <c r="AL115" s="139"/>
      <c r="AM115" s="838"/>
      <c r="AN115" s="139"/>
      <c r="AO115" s="838"/>
      <c r="AP115" s="139"/>
      <c r="AQ115" s="838"/>
      <c r="AR115" s="139"/>
      <c r="AS115" s="838"/>
      <c r="AT115" s="139"/>
      <c r="AU115" s="838"/>
      <c r="AV115" s="139"/>
    </row>
    <row r="116" spans="1:48" ht="14.1" customHeight="1">
      <c r="A116" s="314" t="s">
        <v>2</v>
      </c>
      <c r="B116" s="933">
        <v>850</v>
      </c>
      <c r="C116" s="933">
        <v>1671</v>
      </c>
      <c r="D116" s="375"/>
      <c r="E116" s="933">
        <v>2272</v>
      </c>
      <c r="F116" s="933">
        <v>249</v>
      </c>
      <c r="G116" s="439"/>
      <c r="H116" s="933">
        <f>SUM(H117:H129)</f>
        <v>536</v>
      </c>
      <c r="I116" s="933">
        <f>SUM(I117:I129)</f>
        <v>1643</v>
      </c>
      <c r="J116" s="933"/>
      <c r="K116" s="933">
        <f>SUM(K117:K129)</f>
        <v>1962</v>
      </c>
      <c r="L116" s="933">
        <f>SUM(L117:L129)</f>
        <v>217</v>
      </c>
      <c r="P116" s="439"/>
      <c r="Q116" s="439"/>
      <c r="R116" s="439"/>
      <c r="S116" s="439"/>
      <c r="T116" s="439"/>
      <c r="U116" s="439"/>
      <c r="V116" s="439"/>
      <c r="W116" s="439"/>
      <c r="X116" s="439"/>
      <c r="Y116" s="439"/>
      <c r="Z116" s="439"/>
      <c r="AA116" s="439"/>
      <c r="AB116" s="439"/>
      <c r="AC116" s="439"/>
      <c r="AD116" s="439"/>
      <c r="AE116" s="439"/>
      <c r="AG116" s="439"/>
      <c r="AH116" s="439"/>
      <c r="AI116" s="439"/>
      <c r="AJ116" s="439"/>
      <c r="AK116" s="439"/>
      <c r="AL116" s="439"/>
      <c r="AM116" s="439"/>
      <c r="AN116" s="439"/>
      <c r="AO116" s="439"/>
      <c r="AP116" s="439"/>
      <c r="AQ116" s="439"/>
      <c r="AR116" s="439"/>
      <c r="AS116" s="439"/>
      <c r="AT116" s="439"/>
      <c r="AU116" s="439"/>
      <c r="AV116" s="439"/>
    </row>
    <row r="117" spans="1:48" ht="14.1" customHeight="1">
      <c r="A117" s="315" t="s">
        <v>13</v>
      </c>
      <c r="B117" s="443">
        <v>105</v>
      </c>
      <c r="C117" s="443">
        <v>227</v>
      </c>
      <c r="E117" s="443">
        <v>305</v>
      </c>
      <c r="F117" s="443">
        <v>27</v>
      </c>
      <c r="G117" s="443"/>
      <c r="H117" s="443">
        <v>68</v>
      </c>
      <c r="I117" s="443">
        <v>229</v>
      </c>
      <c r="K117" s="443">
        <v>271</v>
      </c>
      <c r="L117" s="443">
        <v>26</v>
      </c>
      <c r="P117" s="443"/>
      <c r="Q117" s="443"/>
      <c r="R117" s="443"/>
      <c r="S117" s="443"/>
      <c r="T117" s="443"/>
      <c r="U117" s="443"/>
      <c r="V117" s="443"/>
      <c r="W117" s="443"/>
      <c r="X117" s="443"/>
      <c r="Y117" s="443"/>
      <c r="Z117" s="443"/>
      <c r="AA117" s="443"/>
      <c r="AB117" s="443"/>
      <c r="AC117" s="443"/>
      <c r="AD117" s="443"/>
      <c r="AE117" s="443"/>
      <c r="AG117" s="443"/>
      <c r="AH117" s="443"/>
      <c r="AI117" s="443"/>
      <c r="AJ117" s="443"/>
      <c r="AK117" s="443"/>
      <c r="AL117" s="443"/>
      <c r="AM117" s="443"/>
      <c r="AN117" s="443"/>
      <c r="AO117" s="443"/>
      <c r="AP117" s="443"/>
      <c r="AQ117" s="443"/>
      <c r="AR117" s="443"/>
      <c r="AS117" s="443"/>
      <c r="AT117" s="443"/>
      <c r="AU117" s="443"/>
      <c r="AV117" s="443"/>
    </row>
    <row r="118" spans="1:48" ht="14.1" customHeight="1">
      <c r="A118" s="315" t="s">
        <v>14</v>
      </c>
      <c r="B118" s="443">
        <v>10</v>
      </c>
      <c r="C118" s="443">
        <v>33</v>
      </c>
      <c r="E118" s="443">
        <v>43</v>
      </c>
      <c r="F118" s="443">
        <v>0</v>
      </c>
      <c r="G118" s="443"/>
      <c r="H118" s="443">
        <v>1</v>
      </c>
      <c r="I118" s="443">
        <v>7</v>
      </c>
      <c r="K118" s="443">
        <v>8</v>
      </c>
      <c r="L118" s="443">
        <v>0</v>
      </c>
      <c r="P118" s="443"/>
      <c r="Q118" s="443"/>
      <c r="R118" s="443"/>
      <c r="S118" s="443"/>
      <c r="T118" s="443"/>
      <c r="U118" s="443"/>
      <c r="V118" s="443"/>
      <c r="W118" s="443"/>
      <c r="X118" s="443"/>
      <c r="Y118" s="443"/>
      <c r="Z118" s="443"/>
      <c r="AA118" s="443"/>
      <c r="AB118" s="443"/>
      <c r="AC118" s="443"/>
      <c r="AD118" s="443"/>
      <c r="AE118" s="443"/>
      <c r="AG118" s="443"/>
      <c r="AH118" s="443"/>
      <c r="AI118" s="443"/>
      <c r="AJ118" s="443"/>
      <c r="AK118" s="443"/>
      <c r="AL118" s="443"/>
      <c r="AM118" s="443"/>
      <c r="AN118" s="443"/>
      <c r="AO118" s="443"/>
      <c r="AP118" s="443"/>
      <c r="AQ118" s="443"/>
      <c r="AR118" s="443"/>
      <c r="AS118" s="443"/>
      <c r="AT118" s="443"/>
      <c r="AU118" s="443"/>
      <c r="AV118" s="443"/>
    </row>
    <row r="119" spans="1:48" ht="14.1" customHeight="1">
      <c r="A119" s="315" t="s">
        <v>15</v>
      </c>
      <c r="B119" s="443">
        <v>180</v>
      </c>
      <c r="C119" s="443">
        <v>454</v>
      </c>
      <c r="E119" s="443">
        <v>601</v>
      </c>
      <c r="F119" s="443">
        <v>33</v>
      </c>
      <c r="G119" s="443"/>
      <c r="H119" s="443">
        <v>135</v>
      </c>
      <c r="I119" s="443">
        <v>480</v>
      </c>
      <c r="K119" s="443">
        <v>582</v>
      </c>
      <c r="L119" s="443">
        <v>33</v>
      </c>
      <c r="P119" s="443"/>
      <c r="Q119" s="443"/>
      <c r="R119" s="443"/>
      <c r="S119" s="443"/>
      <c r="T119" s="443"/>
      <c r="U119" s="443"/>
      <c r="V119" s="443"/>
      <c r="W119" s="443"/>
      <c r="X119" s="443"/>
      <c r="Y119" s="443"/>
      <c r="Z119" s="443"/>
      <c r="AA119" s="443"/>
      <c r="AB119" s="443"/>
      <c r="AC119" s="443"/>
      <c r="AD119" s="443"/>
      <c r="AE119" s="443"/>
      <c r="AG119" s="443"/>
      <c r="AH119" s="443"/>
      <c r="AI119" s="443"/>
      <c r="AJ119" s="443"/>
      <c r="AK119" s="443"/>
      <c r="AL119" s="443"/>
      <c r="AM119" s="443"/>
      <c r="AN119" s="443"/>
      <c r="AO119" s="443"/>
      <c r="AP119" s="443"/>
      <c r="AQ119" s="443"/>
      <c r="AR119" s="443"/>
      <c r="AS119" s="443"/>
      <c r="AT119" s="443"/>
      <c r="AU119" s="443"/>
      <c r="AV119" s="443"/>
    </row>
    <row r="120" spans="1:48" ht="14.1" customHeight="1">
      <c r="A120" s="315" t="s">
        <v>10</v>
      </c>
      <c r="B120" s="443">
        <v>192</v>
      </c>
      <c r="C120" s="443">
        <v>371</v>
      </c>
      <c r="E120" s="443">
        <v>544</v>
      </c>
      <c r="F120" s="443">
        <v>19</v>
      </c>
      <c r="G120" s="443"/>
      <c r="H120" s="443">
        <v>103</v>
      </c>
      <c r="I120" s="443">
        <v>369</v>
      </c>
      <c r="K120" s="443">
        <v>458</v>
      </c>
      <c r="L120" s="443">
        <v>14</v>
      </c>
      <c r="P120" s="443"/>
      <c r="Q120" s="443"/>
      <c r="R120" s="443"/>
      <c r="S120" s="443"/>
      <c r="T120" s="443"/>
      <c r="U120" s="443"/>
      <c r="V120" s="443"/>
      <c r="W120" s="443"/>
      <c r="X120" s="443"/>
      <c r="Y120" s="443"/>
      <c r="Z120" s="443"/>
      <c r="AA120" s="443"/>
      <c r="AB120" s="443"/>
      <c r="AC120" s="443"/>
      <c r="AD120" s="443"/>
      <c r="AE120" s="443"/>
      <c r="AG120" s="443"/>
      <c r="AH120" s="443"/>
      <c r="AI120" s="443"/>
      <c r="AJ120" s="443"/>
      <c r="AK120" s="443"/>
      <c r="AL120" s="443"/>
      <c r="AM120" s="443"/>
      <c r="AN120" s="443"/>
      <c r="AO120" s="443"/>
      <c r="AP120" s="443"/>
      <c r="AQ120" s="443"/>
      <c r="AR120" s="443"/>
      <c r="AS120" s="443"/>
      <c r="AT120" s="443"/>
      <c r="AU120" s="443"/>
      <c r="AV120" s="443"/>
    </row>
    <row r="121" spans="1:48" ht="14.1" customHeight="1">
      <c r="A121" s="315" t="s">
        <v>293</v>
      </c>
      <c r="B121" s="443">
        <v>0</v>
      </c>
      <c r="C121" s="443">
        <v>1</v>
      </c>
      <c r="E121" s="443">
        <v>1</v>
      </c>
      <c r="F121" s="443">
        <v>0</v>
      </c>
      <c r="G121" s="443"/>
      <c r="H121" s="443">
        <v>0</v>
      </c>
      <c r="I121" s="443">
        <v>0</v>
      </c>
      <c r="K121" s="443">
        <v>0</v>
      </c>
      <c r="L121" s="443">
        <v>0</v>
      </c>
      <c r="P121" s="443"/>
      <c r="Q121" s="443"/>
      <c r="R121" s="443"/>
      <c r="S121" s="443"/>
      <c r="T121" s="443"/>
      <c r="U121" s="443"/>
      <c r="V121" s="443"/>
      <c r="W121" s="443"/>
      <c r="X121" s="443"/>
      <c r="Y121" s="443"/>
      <c r="Z121" s="443"/>
      <c r="AA121" s="443"/>
      <c r="AB121" s="443"/>
      <c r="AC121" s="443"/>
      <c r="AD121" s="443"/>
      <c r="AE121" s="443"/>
      <c r="AG121" s="443"/>
      <c r="AH121" s="443"/>
      <c r="AI121" s="443"/>
      <c r="AJ121" s="443"/>
      <c r="AK121" s="443"/>
      <c r="AL121" s="443"/>
      <c r="AM121" s="443"/>
      <c r="AN121" s="443"/>
      <c r="AO121" s="443"/>
      <c r="AP121" s="443"/>
      <c r="AQ121" s="443"/>
      <c r="AR121" s="443"/>
      <c r="AS121" s="443"/>
      <c r="AT121" s="443"/>
      <c r="AU121" s="443"/>
      <c r="AV121" s="443"/>
    </row>
    <row r="122" spans="1:48" ht="14.1" customHeight="1">
      <c r="A122" s="315" t="s">
        <v>294</v>
      </c>
      <c r="B122" s="443">
        <v>0</v>
      </c>
      <c r="C122" s="443">
        <v>0</v>
      </c>
      <c r="E122" s="443">
        <v>0</v>
      </c>
      <c r="F122" s="443">
        <v>0</v>
      </c>
      <c r="G122" s="443"/>
      <c r="H122" s="443">
        <v>0</v>
      </c>
      <c r="I122" s="443">
        <v>0</v>
      </c>
      <c r="K122" s="443">
        <v>0</v>
      </c>
      <c r="L122" s="443">
        <v>0</v>
      </c>
      <c r="O122" s="855"/>
      <c r="P122" s="443"/>
      <c r="Q122" s="443"/>
      <c r="R122" s="443"/>
      <c r="S122" s="443"/>
      <c r="T122" s="443"/>
      <c r="U122" s="443"/>
      <c r="V122" s="443"/>
      <c r="W122" s="443"/>
      <c r="X122" s="443"/>
      <c r="Y122" s="443"/>
      <c r="Z122" s="443"/>
      <c r="AA122" s="443"/>
      <c r="AB122" s="443"/>
      <c r="AC122" s="443"/>
      <c r="AD122" s="443"/>
      <c r="AE122" s="443"/>
      <c r="AG122" s="443"/>
      <c r="AH122" s="443"/>
      <c r="AI122" s="443"/>
      <c r="AJ122" s="443"/>
      <c r="AK122" s="443"/>
      <c r="AL122" s="443"/>
      <c r="AM122" s="443"/>
      <c r="AN122" s="443"/>
      <c r="AO122" s="443"/>
      <c r="AP122" s="443"/>
      <c r="AQ122" s="443"/>
      <c r="AR122" s="443"/>
      <c r="AS122" s="443"/>
      <c r="AT122" s="443"/>
      <c r="AU122" s="443"/>
      <c r="AV122" s="443"/>
    </row>
    <row r="123" spans="1:48" ht="14.1" customHeight="1">
      <c r="A123" s="315" t="s">
        <v>295</v>
      </c>
      <c r="B123" s="443">
        <v>284</v>
      </c>
      <c r="C123" s="443">
        <v>491</v>
      </c>
      <c r="E123" s="443">
        <v>628</v>
      </c>
      <c r="F123" s="443">
        <v>147</v>
      </c>
      <c r="G123" s="443"/>
      <c r="H123" s="443">
        <v>199</v>
      </c>
      <c r="I123" s="443">
        <v>495</v>
      </c>
      <c r="K123" s="443">
        <v>566</v>
      </c>
      <c r="L123" s="443">
        <v>128</v>
      </c>
      <c r="P123" s="443">
        <v>82</v>
      </c>
      <c r="Q123" s="443">
        <f>165+3</f>
        <v>168</v>
      </c>
      <c r="R123" s="443">
        <f>+Q123+P123</f>
        <v>250</v>
      </c>
      <c r="S123" s="443"/>
      <c r="T123" s="443">
        <v>47</v>
      </c>
      <c r="U123" s="443">
        <v>63</v>
      </c>
      <c r="V123" s="443"/>
      <c r="W123" s="443">
        <f>+U123+T123</f>
        <v>110</v>
      </c>
      <c r="X123" s="443">
        <v>155</v>
      </c>
      <c r="Y123" s="443">
        <f>225+35</f>
        <v>260</v>
      </c>
      <c r="Z123" s="443">
        <f>153+225</f>
        <v>378</v>
      </c>
      <c r="AA123" s="443">
        <f>2+35</f>
        <v>37</v>
      </c>
      <c r="AB123" s="443">
        <f t="shared" ref="AB123:AB129" si="7">+P123+T123+X123</f>
        <v>284</v>
      </c>
      <c r="AC123" s="443">
        <f t="shared" ref="AC123:AC129" si="8">+Q123+U123+Y123</f>
        <v>491</v>
      </c>
      <c r="AD123" s="443">
        <f t="shared" ref="AD123:AD129" si="9">+R123+V123+Z123</f>
        <v>628</v>
      </c>
      <c r="AE123" s="443">
        <f t="shared" ref="AE123:AE129" si="10">+S123+W123+AA123</f>
        <v>147</v>
      </c>
      <c r="AG123" s="443">
        <v>47</v>
      </c>
      <c r="AH123" s="443">
        <v>162</v>
      </c>
      <c r="AI123" s="443">
        <f>+AH123+AG123</f>
        <v>209</v>
      </c>
      <c r="AJ123" s="443"/>
      <c r="AK123" s="443">
        <v>28</v>
      </c>
      <c r="AL123" s="443">
        <v>67</v>
      </c>
      <c r="AM123" s="443"/>
      <c r="AN123" s="443">
        <f>28+67</f>
        <v>95</v>
      </c>
      <c r="AO123" s="443">
        <f>122+2</f>
        <v>124</v>
      </c>
      <c r="AP123" s="443">
        <f>235+31</f>
        <v>266</v>
      </c>
      <c r="AQ123" s="443">
        <f>122+235</f>
        <v>357</v>
      </c>
      <c r="AR123" s="443">
        <f>2+31</f>
        <v>33</v>
      </c>
      <c r="AS123" s="443">
        <f t="shared" ref="AS123:AS129" si="11">+AG123+AK123+AO123</f>
        <v>199</v>
      </c>
      <c r="AT123" s="443">
        <f t="shared" ref="AT123:AT129" si="12">+AH123+AL123+AP123</f>
        <v>495</v>
      </c>
      <c r="AU123" s="443">
        <f t="shared" ref="AU123:AU129" si="13">+AI123+AM123+AQ123</f>
        <v>566</v>
      </c>
      <c r="AV123" s="443">
        <f t="shared" ref="AV123:AV129" si="14">+AJ123+AN123+AR123</f>
        <v>128</v>
      </c>
    </row>
    <row r="124" spans="1:48" ht="14.1" customHeight="1">
      <c r="A124" s="315" t="s">
        <v>296</v>
      </c>
      <c r="B124" s="443">
        <v>36</v>
      </c>
      <c r="C124" s="443">
        <v>11</v>
      </c>
      <c r="E124" s="443">
        <v>40</v>
      </c>
      <c r="F124" s="443">
        <v>7</v>
      </c>
      <c r="G124" s="443"/>
      <c r="H124" s="443">
        <v>23</v>
      </c>
      <c r="I124" s="443">
        <v>12</v>
      </c>
      <c r="K124" s="443">
        <v>24</v>
      </c>
      <c r="L124" s="443">
        <v>11</v>
      </c>
      <c r="P124" s="443">
        <v>21</v>
      </c>
      <c r="Q124" s="443">
        <v>6</v>
      </c>
      <c r="R124" s="443">
        <f>+Q124+P124</f>
        <v>27</v>
      </c>
      <c r="S124" s="443"/>
      <c r="T124" s="443">
        <v>6</v>
      </c>
      <c r="U124" s="443">
        <v>0</v>
      </c>
      <c r="V124" s="443"/>
      <c r="W124" s="443">
        <v>6</v>
      </c>
      <c r="X124" s="443">
        <v>9</v>
      </c>
      <c r="Y124" s="443">
        <v>5</v>
      </c>
      <c r="Z124" s="443">
        <f>9+4</f>
        <v>13</v>
      </c>
      <c r="AA124" s="443">
        <v>1</v>
      </c>
      <c r="AB124" s="443">
        <f t="shared" si="7"/>
        <v>36</v>
      </c>
      <c r="AC124" s="443">
        <f t="shared" si="8"/>
        <v>11</v>
      </c>
      <c r="AD124" s="443">
        <f t="shared" si="9"/>
        <v>40</v>
      </c>
      <c r="AE124" s="443">
        <f t="shared" si="10"/>
        <v>7</v>
      </c>
      <c r="AG124" s="443">
        <v>8</v>
      </c>
      <c r="AH124" s="443">
        <v>6</v>
      </c>
      <c r="AI124" s="443">
        <v>14</v>
      </c>
      <c r="AJ124" s="443"/>
      <c r="AK124" s="443">
        <v>5</v>
      </c>
      <c r="AL124" s="443"/>
      <c r="AM124" s="443"/>
      <c r="AN124" s="443">
        <v>5</v>
      </c>
      <c r="AO124" s="443">
        <v>10</v>
      </c>
      <c r="AP124" s="443">
        <v>6</v>
      </c>
      <c r="AQ124" s="443">
        <v>10</v>
      </c>
      <c r="AR124" s="443">
        <v>6</v>
      </c>
      <c r="AS124" s="443">
        <f t="shared" si="11"/>
        <v>23</v>
      </c>
      <c r="AT124" s="443">
        <f t="shared" si="12"/>
        <v>12</v>
      </c>
      <c r="AU124" s="443">
        <f t="shared" si="13"/>
        <v>24</v>
      </c>
      <c r="AV124" s="443">
        <f t="shared" si="14"/>
        <v>11</v>
      </c>
    </row>
    <row r="125" spans="1:48" ht="14.1" customHeight="1">
      <c r="A125" s="315" t="s">
        <v>297</v>
      </c>
      <c r="B125" s="443">
        <v>23</v>
      </c>
      <c r="C125" s="443">
        <v>40</v>
      </c>
      <c r="E125" s="443">
        <v>58</v>
      </c>
      <c r="F125" s="443">
        <v>5</v>
      </c>
      <c r="G125" s="443"/>
      <c r="H125" s="443">
        <v>5</v>
      </c>
      <c r="I125" s="443">
        <v>28</v>
      </c>
      <c r="K125" s="443">
        <v>32</v>
      </c>
      <c r="L125" s="443">
        <v>1</v>
      </c>
      <c r="P125" s="443">
        <v>14</v>
      </c>
      <c r="Q125" s="443">
        <v>25</v>
      </c>
      <c r="R125" s="443">
        <f>+P125+Q125</f>
        <v>39</v>
      </c>
      <c r="S125" s="443"/>
      <c r="T125" s="443">
        <v>2</v>
      </c>
      <c r="U125" s="443">
        <v>3</v>
      </c>
      <c r="V125" s="443"/>
      <c r="W125" s="443">
        <v>5</v>
      </c>
      <c r="X125" s="443">
        <v>7</v>
      </c>
      <c r="Y125" s="443">
        <v>12</v>
      </c>
      <c r="Z125" s="443">
        <f>7+12</f>
        <v>19</v>
      </c>
      <c r="AA125" s="443"/>
      <c r="AB125" s="443">
        <f t="shared" si="7"/>
        <v>23</v>
      </c>
      <c r="AC125" s="443">
        <f t="shared" si="8"/>
        <v>40</v>
      </c>
      <c r="AD125" s="443">
        <f t="shared" si="9"/>
        <v>58</v>
      </c>
      <c r="AE125" s="443">
        <f t="shared" si="10"/>
        <v>5</v>
      </c>
      <c r="AG125" s="443">
        <v>3</v>
      </c>
      <c r="AH125" s="443">
        <v>15</v>
      </c>
      <c r="AI125" s="443">
        <v>18</v>
      </c>
      <c r="AJ125" s="443"/>
      <c r="AK125" s="443"/>
      <c r="AL125" s="443">
        <v>1</v>
      </c>
      <c r="AM125" s="443"/>
      <c r="AN125" s="443">
        <v>1</v>
      </c>
      <c r="AO125" s="443">
        <v>2</v>
      </c>
      <c r="AP125" s="443">
        <v>12</v>
      </c>
      <c r="AQ125" s="443">
        <v>14</v>
      </c>
      <c r="AR125" s="443"/>
      <c r="AS125" s="443">
        <f t="shared" si="11"/>
        <v>5</v>
      </c>
      <c r="AT125" s="443">
        <f t="shared" si="12"/>
        <v>28</v>
      </c>
      <c r="AU125" s="443">
        <f t="shared" si="13"/>
        <v>32</v>
      </c>
      <c r="AV125" s="443">
        <f t="shared" si="14"/>
        <v>1</v>
      </c>
    </row>
    <row r="126" spans="1:48" ht="14.1" customHeight="1">
      <c r="A126" s="315" t="s">
        <v>298</v>
      </c>
      <c r="B126" s="443">
        <v>1</v>
      </c>
      <c r="C126" s="443">
        <v>4</v>
      </c>
      <c r="E126" s="443">
        <v>2</v>
      </c>
      <c r="F126" s="443">
        <v>3</v>
      </c>
      <c r="G126" s="443"/>
      <c r="H126" s="443">
        <v>1</v>
      </c>
      <c r="I126" s="443">
        <v>3</v>
      </c>
      <c r="K126" s="443">
        <v>3</v>
      </c>
      <c r="L126" s="443">
        <v>1</v>
      </c>
      <c r="P126" s="443"/>
      <c r="Q126" s="443">
        <v>1</v>
      </c>
      <c r="R126" s="443">
        <v>1</v>
      </c>
      <c r="S126" s="443"/>
      <c r="T126" s="443"/>
      <c r="U126" s="443"/>
      <c r="V126" s="443"/>
      <c r="W126" s="443"/>
      <c r="X126" s="443">
        <v>1</v>
      </c>
      <c r="Y126" s="443">
        <v>3</v>
      </c>
      <c r="Z126" s="443">
        <v>1</v>
      </c>
      <c r="AA126" s="443">
        <v>3</v>
      </c>
      <c r="AB126" s="443">
        <f t="shared" si="7"/>
        <v>1</v>
      </c>
      <c r="AC126" s="443">
        <f t="shared" si="8"/>
        <v>4</v>
      </c>
      <c r="AD126" s="443">
        <f t="shared" si="9"/>
        <v>2</v>
      </c>
      <c r="AE126" s="443">
        <f t="shared" si="10"/>
        <v>3</v>
      </c>
      <c r="AG126" s="443"/>
      <c r="AH126" s="443"/>
      <c r="AI126" s="443"/>
      <c r="AJ126" s="443"/>
      <c r="AK126" s="443"/>
      <c r="AL126" s="443">
        <v>1</v>
      </c>
      <c r="AM126" s="443"/>
      <c r="AN126" s="443">
        <v>1</v>
      </c>
      <c r="AO126" s="443">
        <v>1</v>
      </c>
      <c r="AP126" s="443">
        <v>2</v>
      </c>
      <c r="AQ126" s="443">
        <v>3</v>
      </c>
      <c r="AR126" s="443"/>
      <c r="AS126" s="443">
        <f t="shared" si="11"/>
        <v>1</v>
      </c>
      <c r="AT126" s="443">
        <f t="shared" si="12"/>
        <v>3</v>
      </c>
      <c r="AU126" s="443">
        <f t="shared" si="13"/>
        <v>3</v>
      </c>
      <c r="AV126" s="443">
        <f t="shared" si="14"/>
        <v>1</v>
      </c>
    </row>
    <row r="127" spans="1:48" ht="14.1" customHeight="1">
      <c r="A127" s="315" t="s">
        <v>299</v>
      </c>
      <c r="B127" s="443">
        <v>6</v>
      </c>
      <c r="C127" s="443">
        <v>2</v>
      </c>
      <c r="E127" s="443">
        <v>7</v>
      </c>
      <c r="F127" s="443">
        <v>1</v>
      </c>
      <c r="G127" s="443"/>
      <c r="H127" s="443">
        <v>1</v>
      </c>
      <c r="I127" s="443">
        <v>4</v>
      </c>
      <c r="K127" s="443">
        <v>5</v>
      </c>
      <c r="L127" s="443">
        <v>0</v>
      </c>
      <c r="P127" s="443"/>
      <c r="Q127" s="443"/>
      <c r="R127" s="443"/>
      <c r="S127" s="443"/>
      <c r="T127" s="443">
        <v>1</v>
      </c>
      <c r="U127" s="443"/>
      <c r="V127" s="443"/>
      <c r="W127" s="443">
        <v>1</v>
      </c>
      <c r="X127" s="443">
        <v>5</v>
      </c>
      <c r="Y127" s="443">
        <v>2</v>
      </c>
      <c r="Z127" s="443">
        <v>7</v>
      </c>
      <c r="AA127" s="443"/>
      <c r="AB127" s="443">
        <f t="shared" si="7"/>
        <v>6</v>
      </c>
      <c r="AC127" s="443">
        <f t="shared" si="8"/>
        <v>2</v>
      </c>
      <c r="AD127" s="443">
        <f t="shared" si="9"/>
        <v>7</v>
      </c>
      <c r="AE127" s="443">
        <f t="shared" si="10"/>
        <v>1</v>
      </c>
      <c r="AG127" s="443"/>
      <c r="AH127" s="443"/>
      <c r="AI127" s="443"/>
      <c r="AJ127" s="443"/>
      <c r="AK127" s="443"/>
      <c r="AL127" s="443"/>
      <c r="AM127" s="443"/>
      <c r="AN127" s="443"/>
      <c r="AO127" s="443">
        <v>1</v>
      </c>
      <c r="AP127" s="443">
        <v>4</v>
      </c>
      <c r="AQ127" s="443">
        <v>5</v>
      </c>
      <c r="AR127" s="443"/>
      <c r="AS127" s="443">
        <f t="shared" si="11"/>
        <v>1</v>
      </c>
      <c r="AT127" s="443">
        <f t="shared" si="12"/>
        <v>4</v>
      </c>
      <c r="AU127" s="443">
        <f t="shared" si="13"/>
        <v>5</v>
      </c>
      <c r="AV127" s="443">
        <f t="shared" si="14"/>
        <v>0</v>
      </c>
    </row>
    <row r="128" spans="1:48" ht="14.1" customHeight="1">
      <c r="A128" s="315" t="s">
        <v>301</v>
      </c>
      <c r="B128" s="443">
        <v>13</v>
      </c>
      <c r="C128" s="443">
        <v>35</v>
      </c>
      <c r="E128" s="443">
        <v>41</v>
      </c>
      <c r="F128" s="443">
        <v>7</v>
      </c>
      <c r="G128" s="443"/>
      <c r="H128" s="443">
        <v>0</v>
      </c>
      <c r="I128" s="443">
        <v>16</v>
      </c>
      <c r="K128" s="443">
        <v>13</v>
      </c>
      <c r="L128" s="443">
        <v>3</v>
      </c>
      <c r="P128" s="443">
        <v>1</v>
      </c>
      <c r="Q128" s="443">
        <v>16</v>
      </c>
      <c r="R128" s="443">
        <f>+Q128+P128</f>
        <v>17</v>
      </c>
      <c r="S128" s="443"/>
      <c r="T128" s="443">
        <v>4</v>
      </c>
      <c r="U128" s="443">
        <v>3</v>
      </c>
      <c r="V128" s="443"/>
      <c r="W128" s="443">
        <v>7</v>
      </c>
      <c r="X128" s="443">
        <v>8</v>
      </c>
      <c r="Y128" s="443">
        <v>16</v>
      </c>
      <c r="Z128" s="443">
        <f>8+16</f>
        <v>24</v>
      </c>
      <c r="AA128" s="443"/>
      <c r="AB128" s="443">
        <f t="shared" si="7"/>
        <v>13</v>
      </c>
      <c r="AC128" s="443">
        <f t="shared" si="8"/>
        <v>35</v>
      </c>
      <c r="AD128" s="443">
        <f t="shared" si="9"/>
        <v>41</v>
      </c>
      <c r="AE128" s="443">
        <f t="shared" si="10"/>
        <v>7</v>
      </c>
      <c r="AG128" s="443"/>
      <c r="AH128" s="443">
        <v>5</v>
      </c>
      <c r="AI128" s="443">
        <v>5</v>
      </c>
      <c r="AJ128" s="443"/>
      <c r="AK128" s="443"/>
      <c r="AL128" s="443">
        <v>3</v>
      </c>
      <c r="AM128" s="443"/>
      <c r="AN128" s="443">
        <v>3</v>
      </c>
      <c r="AO128" s="443"/>
      <c r="AP128" s="443">
        <v>8</v>
      </c>
      <c r="AQ128" s="443">
        <v>8</v>
      </c>
      <c r="AR128" s="443"/>
      <c r="AS128" s="443">
        <f t="shared" si="11"/>
        <v>0</v>
      </c>
      <c r="AT128" s="443">
        <f t="shared" si="12"/>
        <v>16</v>
      </c>
      <c r="AU128" s="443">
        <f t="shared" si="13"/>
        <v>13</v>
      </c>
      <c r="AV128" s="443">
        <f t="shared" si="14"/>
        <v>3</v>
      </c>
    </row>
    <row r="129" spans="1:48" ht="14.1" customHeight="1">
      <c r="A129" s="315" t="s">
        <v>3</v>
      </c>
      <c r="B129" s="443">
        <v>0</v>
      </c>
      <c r="C129" s="443">
        <v>2</v>
      </c>
      <c r="E129" s="443">
        <v>2</v>
      </c>
      <c r="F129" s="443">
        <v>0</v>
      </c>
      <c r="G129" s="443"/>
      <c r="H129" s="443">
        <v>0</v>
      </c>
      <c r="I129" s="443">
        <v>0</v>
      </c>
      <c r="K129" s="443">
        <v>0</v>
      </c>
      <c r="L129" s="443">
        <v>0</v>
      </c>
      <c r="P129" s="443"/>
      <c r="Q129" s="443"/>
      <c r="R129" s="443"/>
      <c r="S129" s="443"/>
      <c r="T129" s="443"/>
      <c r="U129" s="443"/>
      <c r="V129" s="443"/>
      <c r="W129" s="443"/>
      <c r="X129" s="443"/>
      <c r="Y129" s="443">
        <v>2</v>
      </c>
      <c r="Z129" s="443">
        <v>2</v>
      </c>
      <c r="AA129" s="443"/>
      <c r="AB129" s="443">
        <f t="shared" si="7"/>
        <v>0</v>
      </c>
      <c r="AC129" s="443">
        <f t="shared" si="8"/>
        <v>2</v>
      </c>
      <c r="AD129" s="443">
        <f t="shared" si="9"/>
        <v>2</v>
      </c>
      <c r="AE129" s="443">
        <f t="shared" si="10"/>
        <v>0</v>
      </c>
      <c r="AG129" s="443"/>
      <c r="AH129" s="443"/>
      <c r="AI129" s="443"/>
      <c r="AJ129" s="443"/>
      <c r="AK129" s="443"/>
      <c r="AL129" s="443"/>
      <c r="AM129" s="443"/>
      <c r="AN129" s="443"/>
      <c r="AO129" s="443"/>
      <c r="AP129" s="443"/>
      <c r="AQ129" s="443"/>
      <c r="AR129" s="443"/>
      <c r="AS129" s="443">
        <f t="shared" si="11"/>
        <v>0</v>
      </c>
      <c r="AT129" s="443">
        <f t="shared" si="12"/>
        <v>0</v>
      </c>
      <c r="AU129" s="443">
        <f t="shared" si="13"/>
        <v>0</v>
      </c>
      <c r="AV129" s="443">
        <f t="shared" si="14"/>
        <v>0</v>
      </c>
    </row>
    <row r="130" spans="1:48" ht="4.5" customHeight="1">
      <c r="A130" s="327"/>
      <c r="B130" s="450"/>
      <c r="C130" s="450"/>
      <c r="D130" s="450"/>
      <c r="E130" s="450"/>
      <c r="F130" s="450"/>
      <c r="G130" s="450"/>
      <c r="H130" s="450"/>
      <c r="I130" s="450"/>
      <c r="J130" s="450"/>
      <c r="K130" s="450"/>
      <c r="L130" s="450"/>
    </row>
    <row r="131" spans="1:48" ht="11.1" customHeight="1">
      <c r="A131" s="856"/>
      <c r="L131" s="658" t="s">
        <v>161</v>
      </c>
    </row>
    <row r="132" spans="1:48" ht="26.1" customHeight="1">
      <c r="A132" s="1274" t="str">
        <f>A90</f>
        <v>8.33  PUNO:  POBLACIÓN PENAL EN LOS ESTABLECIMIENTOS PENITENCIARIOS POR SITUACIÓN JURÍDICA Y SEXO,
         SEGÚN TIPO DE DELITO,  2017 - 2022</v>
      </c>
      <c r="B132" s="1274"/>
      <c r="C132" s="1274"/>
      <c r="D132" s="1274"/>
      <c r="E132" s="1274"/>
      <c r="F132" s="1274"/>
      <c r="G132" s="1274"/>
      <c r="H132" s="1274"/>
      <c r="I132" s="1274"/>
      <c r="J132" s="1274"/>
      <c r="K132" s="1274"/>
      <c r="L132" s="1274"/>
      <c r="P132" s="103">
        <v>2021</v>
      </c>
      <c r="AG132" s="103">
        <v>2022</v>
      </c>
    </row>
    <row r="133" spans="1:48" ht="9" customHeight="1">
      <c r="L133" s="658" t="s">
        <v>556</v>
      </c>
    </row>
    <row r="134" spans="1:48">
      <c r="A134" s="1278" t="s">
        <v>32</v>
      </c>
      <c r="B134" s="1272" t="s">
        <v>473</v>
      </c>
      <c r="C134" s="1272"/>
      <c r="D134" s="1272"/>
      <c r="E134" s="1272"/>
      <c r="F134" s="1272"/>
      <c r="G134" s="320"/>
      <c r="H134" s="1273" t="s">
        <v>472</v>
      </c>
      <c r="I134" s="1273"/>
      <c r="J134" s="1273"/>
      <c r="K134" s="1273"/>
      <c r="L134" s="1273"/>
      <c r="P134" s="1273" t="s">
        <v>389</v>
      </c>
      <c r="Q134" s="1273"/>
      <c r="R134" s="1273"/>
      <c r="S134" s="1273"/>
      <c r="T134" s="1273" t="s">
        <v>390</v>
      </c>
      <c r="U134" s="1273"/>
      <c r="V134" s="1273"/>
      <c r="W134" s="1273"/>
      <c r="X134" s="1273" t="s">
        <v>391</v>
      </c>
      <c r="Y134" s="1273"/>
      <c r="Z134" s="1273"/>
      <c r="AA134" s="1273"/>
      <c r="AB134" s="1273" t="s">
        <v>392</v>
      </c>
      <c r="AC134" s="1273"/>
      <c r="AD134" s="1273"/>
      <c r="AE134" s="1273"/>
      <c r="AG134" s="1273" t="s">
        <v>389</v>
      </c>
      <c r="AH134" s="1273"/>
      <c r="AI134" s="1273"/>
      <c r="AJ134" s="1273"/>
      <c r="AK134" s="1273" t="s">
        <v>390</v>
      </c>
      <c r="AL134" s="1273"/>
      <c r="AM134" s="1273"/>
      <c r="AN134" s="1273"/>
      <c r="AO134" s="1273" t="s">
        <v>391</v>
      </c>
      <c r="AP134" s="1273"/>
      <c r="AQ134" s="1273"/>
      <c r="AR134" s="1273"/>
      <c r="AS134" s="1273" t="s">
        <v>392</v>
      </c>
      <c r="AT134" s="1273"/>
      <c r="AU134" s="1273"/>
      <c r="AV134" s="1273"/>
    </row>
    <row r="135" spans="1:48">
      <c r="A135" s="1279"/>
      <c r="B135" s="1272" t="s">
        <v>555</v>
      </c>
      <c r="C135" s="1272"/>
      <c r="D135" s="836"/>
      <c r="E135" s="1272" t="s">
        <v>71</v>
      </c>
      <c r="F135" s="1272"/>
      <c r="G135" s="320"/>
      <c r="H135" s="1272" t="s">
        <v>555</v>
      </c>
      <c r="I135" s="1272"/>
      <c r="J135" s="836"/>
      <c r="K135" s="1272" t="s">
        <v>71</v>
      </c>
      <c r="L135" s="1272"/>
      <c r="P135" s="1272" t="s">
        <v>291</v>
      </c>
      <c r="Q135" s="1272"/>
      <c r="R135" s="1272" t="s">
        <v>71</v>
      </c>
      <c r="S135" s="1272"/>
      <c r="T135" s="1272" t="s">
        <v>291</v>
      </c>
      <c r="U135" s="1272"/>
      <c r="V135" s="1272" t="s">
        <v>71</v>
      </c>
      <c r="W135" s="1272"/>
      <c r="X135" s="1272" t="s">
        <v>291</v>
      </c>
      <c r="Y135" s="1272"/>
      <c r="Z135" s="1272" t="s">
        <v>71</v>
      </c>
      <c r="AA135" s="1272"/>
      <c r="AB135" s="1272" t="s">
        <v>291</v>
      </c>
      <c r="AC135" s="1272"/>
      <c r="AD135" s="1272" t="s">
        <v>71</v>
      </c>
      <c r="AE135" s="1272"/>
      <c r="AG135" s="1272" t="s">
        <v>291</v>
      </c>
      <c r="AH135" s="1272"/>
      <c r="AI135" s="1272" t="s">
        <v>71</v>
      </c>
      <c r="AJ135" s="1272"/>
      <c r="AK135" s="1272" t="s">
        <v>291</v>
      </c>
      <c r="AL135" s="1272"/>
      <c r="AM135" s="1272" t="s">
        <v>71</v>
      </c>
      <c r="AN135" s="1272"/>
      <c r="AO135" s="1272" t="s">
        <v>291</v>
      </c>
      <c r="AP135" s="1272"/>
      <c r="AQ135" s="1272" t="s">
        <v>71</v>
      </c>
      <c r="AR135" s="1272"/>
      <c r="AS135" s="1272" t="s">
        <v>291</v>
      </c>
      <c r="AT135" s="1272"/>
      <c r="AU135" s="1272" t="s">
        <v>71</v>
      </c>
      <c r="AV135" s="1272"/>
    </row>
    <row r="136" spans="1:48" ht="12.75" customHeight="1">
      <c r="A136" s="1279"/>
      <c r="B136" s="637" t="s">
        <v>284</v>
      </c>
      <c r="C136" s="316" t="s">
        <v>285</v>
      </c>
      <c r="D136" s="316"/>
      <c r="E136" s="637" t="s">
        <v>91</v>
      </c>
      <c r="F136" s="316" t="s">
        <v>92</v>
      </c>
      <c r="G136" s="323"/>
      <c r="H136" s="637" t="s">
        <v>284</v>
      </c>
      <c r="I136" s="316" t="s">
        <v>285</v>
      </c>
      <c r="J136" s="316"/>
      <c r="K136" s="637" t="s">
        <v>91</v>
      </c>
      <c r="L136" s="316" t="s">
        <v>92</v>
      </c>
      <c r="P136" s="838" t="s">
        <v>284</v>
      </c>
      <c r="Q136" s="139" t="s">
        <v>285</v>
      </c>
      <c r="R136" s="838" t="s">
        <v>91</v>
      </c>
      <c r="S136" s="139" t="s">
        <v>92</v>
      </c>
      <c r="T136" s="838" t="s">
        <v>284</v>
      </c>
      <c r="U136" s="139" t="s">
        <v>285</v>
      </c>
      <c r="V136" s="838" t="s">
        <v>91</v>
      </c>
      <c r="W136" s="139" t="s">
        <v>92</v>
      </c>
      <c r="X136" s="838" t="s">
        <v>284</v>
      </c>
      <c r="Y136" s="139" t="s">
        <v>285</v>
      </c>
      <c r="Z136" s="838" t="s">
        <v>91</v>
      </c>
      <c r="AA136" s="139" t="s">
        <v>92</v>
      </c>
      <c r="AB136" s="838" t="s">
        <v>284</v>
      </c>
      <c r="AC136" s="139" t="s">
        <v>285</v>
      </c>
      <c r="AD136" s="838" t="s">
        <v>91</v>
      </c>
      <c r="AE136" s="139" t="s">
        <v>92</v>
      </c>
      <c r="AG136" s="838" t="s">
        <v>284</v>
      </c>
      <c r="AH136" s="139" t="s">
        <v>285</v>
      </c>
      <c r="AI136" s="838" t="s">
        <v>91</v>
      </c>
      <c r="AJ136" s="139" t="s">
        <v>92</v>
      </c>
      <c r="AK136" s="838" t="s">
        <v>284</v>
      </c>
      <c r="AL136" s="139" t="s">
        <v>285</v>
      </c>
      <c r="AM136" s="838" t="s">
        <v>91</v>
      </c>
      <c r="AN136" s="139" t="s">
        <v>92</v>
      </c>
      <c r="AO136" s="838" t="s">
        <v>284</v>
      </c>
      <c r="AP136" s="139" t="s">
        <v>285</v>
      </c>
      <c r="AQ136" s="838" t="s">
        <v>91</v>
      </c>
      <c r="AR136" s="139" t="s">
        <v>92</v>
      </c>
      <c r="AS136" s="838" t="s">
        <v>284</v>
      </c>
      <c r="AT136" s="139" t="s">
        <v>285</v>
      </c>
      <c r="AU136" s="838" t="s">
        <v>91</v>
      </c>
      <c r="AV136" s="139" t="s">
        <v>92</v>
      </c>
    </row>
    <row r="137" spans="1:48" ht="15" customHeight="1">
      <c r="A137" s="314" t="s">
        <v>2</v>
      </c>
      <c r="B137" s="933">
        <f>SUM(B138:B150)</f>
        <v>548</v>
      </c>
      <c r="C137" s="933">
        <f>SUM(C138:C150)</f>
        <v>1710</v>
      </c>
      <c r="D137" s="933"/>
      <c r="E137" s="933">
        <f>SUM(E138:E150)</f>
        <v>2050</v>
      </c>
      <c r="F137" s="933">
        <f>SUM(F138:F150)</f>
        <v>208</v>
      </c>
      <c r="G137" s="439"/>
      <c r="H137" s="933">
        <f>SUM(H138:H150)</f>
        <v>510</v>
      </c>
      <c r="I137" s="933">
        <f>SUM(I138:I150)</f>
        <v>1774</v>
      </c>
      <c r="J137" s="933"/>
      <c r="K137" s="933">
        <f>SUM(K138:K150)</f>
        <v>2094</v>
      </c>
      <c r="L137" s="933">
        <f>SUM(L138:L150)</f>
        <v>190</v>
      </c>
      <c r="P137" s="439">
        <f t="shared" ref="P137:AA137" si="15">SUM(P138:P150)</f>
        <v>139</v>
      </c>
      <c r="Q137" s="439">
        <f t="shared" si="15"/>
        <v>637</v>
      </c>
      <c r="R137" s="439">
        <f t="shared" si="15"/>
        <v>776</v>
      </c>
      <c r="S137" s="439">
        <f t="shared" si="15"/>
        <v>0</v>
      </c>
      <c r="T137" s="439">
        <f t="shared" si="15"/>
        <v>63</v>
      </c>
      <c r="U137" s="439">
        <f t="shared" si="15"/>
        <v>92</v>
      </c>
      <c r="V137" s="439">
        <f t="shared" si="15"/>
        <v>0</v>
      </c>
      <c r="W137" s="439">
        <f t="shared" si="15"/>
        <v>155</v>
      </c>
      <c r="X137" s="439">
        <f t="shared" si="15"/>
        <v>346</v>
      </c>
      <c r="Y137" s="439">
        <f t="shared" si="15"/>
        <v>981</v>
      </c>
      <c r="Z137" s="439">
        <f t="shared" si="15"/>
        <v>1274</v>
      </c>
      <c r="AA137" s="439">
        <f t="shared" si="15"/>
        <v>53</v>
      </c>
      <c r="AB137" s="439">
        <f>+P137+T137+X137</f>
        <v>548</v>
      </c>
      <c r="AC137" s="439">
        <f>+Q137+U137+Y137</f>
        <v>1710</v>
      </c>
      <c r="AD137" s="439">
        <f>+R137+V137+Z137</f>
        <v>2050</v>
      </c>
      <c r="AE137" s="439">
        <f>+S137+W137+AA137</f>
        <v>208</v>
      </c>
      <c r="AG137" s="439">
        <f t="shared" ref="AG137:AR137" si="16">SUM(AG138:AG150)</f>
        <v>133</v>
      </c>
      <c r="AH137" s="439">
        <f t="shared" si="16"/>
        <v>594</v>
      </c>
      <c r="AI137" s="439">
        <f t="shared" si="16"/>
        <v>727</v>
      </c>
      <c r="AJ137" s="439">
        <f t="shared" si="16"/>
        <v>0</v>
      </c>
      <c r="AK137" s="439">
        <f t="shared" si="16"/>
        <v>52</v>
      </c>
      <c r="AL137" s="439">
        <f t="shared" si="16"/>
        <v>93</v>
      </c>
      <c r="AM137" s="439">
        <f t="shared" si="16"/>
        <v>0</v>
      </c>
      <c r="AN137" s="439">
        <f t="shared" si="16"/>
        <v>145</v>
      </c>
      <c r="AO137" s="439">
        <f t="shared" si="16"/>
        <v>325</v>
      </c>
      <c r="AP137" s="439">
        <f t="shared" si="16"/>
        <v>1087</v>
      </c>
      <c r="AQ137" s="439">
        <f t="shared" si="16"/>
        <v>1367</v>
      </c>
      <c r="AR137" s="439">
        <f t="shared" si="16"/>
        <v>45</v>
      </c>
      <c r="AS137" s="439">
        <f>+AG137+AK137+AO137</f>
        <v>510</v>
      </c>
      <c r="AT137" s="439">
        <f>+AH137+AL137+AP137</f>
        <v>1774</v>
      </c>
      <c r="AU137" s="439">
        <f>+AI137+AM137+AQ137</f>
        <v>2094</v>
      </c>
      <c r="AV137" s="439">
        <f>+AJ137+AN137+AR137</f>
        <v>190</v>
      </c>
    </row>
    <row r="138" spans="1:48" ht="15" customHeight="1">
      <c r="A138" s="315" t="s">
        <v>13</v>
      </c>
      <c r="B138" s="443">
        <v>49</v>
      </c>
      <c r="C138" s="443">
        <v>238</v>
      </c>
      <c r="E138" s="443">
        <v>261</v>
      </c>
      <c r="F138" s="443">
        <v>26</v>
      </c>
      <c r="G138" s="443"/>
      <c r="H138" s="443">
        <v>66</v>
      </c>
      <c r="I138" s="443">
        <v>235</v>
      </c>
      <c r="K138" s="443">
        <v>269</v>
      </c>
      <c r="L138" s="443">
        <v>32</v>
      </c>
      <c r="P138" s="443">
        <v>13</v>
      </c>
      <c r="Q138" s="443">
        <v>106</v>
      </c>
      <c r="R138" s="443">
        <v>119</v>
      </c>
      <c r="S138" s="443"/>
      <c r="T138" s="443">
        <v>7</v>
      </c>
      <c r="U138" s="443">
        <v>11</v>
      </c>
      <c r="V138" s="443"/>
      <c r="W138" s="443">
        <v>18</v>
      </c>
      <c r="X138" s="443">
        <v>29</v>
      </c>
      <c r="Y138" s="443">
        <f>113+8</f>
        <v>121</v>
      </c>
      <c r="Z138" s="443">
        <f>29+113</f>
        <v>142</v>
      </c>
      <c r="AA138" s="443">
        <v>8</v>
      </c>
      <c r="AB138" s="443">
        <f t="shared" ref="AB138:AB150" si="17">+P138+T138+X138</f>
        <v>49</v>
      </c>
      <c r="AC138" s="443">
        <f t="shared" ref="AC138:AC150" si="18">+Q138+U138+Y138</f>
        <v>238</v>
      </c>
      <c r="AD138" s="443">
        <f t="shared" ref="AD138:AD150" si="19">+R138+V138+Z138</f>
        <v>261</v>
      </c>
      <c r="AE138" s="443">
        <f t="shared" ref="AE138:AE150" si="20">+S138+W138+AA138</f>
        <v>26</v>
      </c>
      <c r="AG138" s="443">
        <v>16</v>
      </c>
      <c r="AH138" s="443">
        <v>92</v>
      </c>
      <c r="AI138" s="443">
        <f>16+92</f>
        <v>108</v>
      </c>
      <c r="AJ138" s="443"/>
      <c r="AK138" s="443">
        <v>10</v>
      </c>
      <c r="AL138" s="443">
        <v>15</v>
      </c>
      <c r="AM138" s="443"/>
      <c r="AN138" s="443">
        <v>25</v>
      </c>
      <c r="AO138" s="443">
        <v>40</v>
      </c>
      <c r="AP138" s="443">
        <f>121+7</f>
        <v>128</v>
      </c>
      <c r="AQ138" s="443">
        <f>40+121</f>
        <v>161</v>
      </c>
      <c r="AR138" s="443">
        <v>7</v>
      </c>
      <c r="AS138" s="443">
        <f t="shared" ref="AS138:AS150" si="21">+AG138+AK138+AO138</f>
        <v>66</v>
      </c>
      <c r="AT138" s="443">
        <f t="shared" ref="AT138:AT150" si="22">+AH138+AL138+AP138</f>
        <v>235</v>
      </c>
      <c r="AU138" s="443">
        <f t="shared" ref="AU138:AU150" si="23">+AI138+AM138+AQ138</f>
        <v>269</v>
      </c>
      <c r="AV138" s="443">
        <f t="shared" ref="AV138:AV150" si="24">+AJ138+AN138+AR138</f>
        <v>32</v>
      </c>
    </row>
    <row r="139" spans="1:48" ht="15" customHeight="1">
      <c r="A139" s="315" t="s">
        <v>14</v>
      </c>
      <c r="B139" s="443">
        <v>6</v>
      </c>
      <c r="C139" s="443">
        <v>11</v>
      </c>
      <c r="E139" s="443">
        <v>17</v>
      </c>
      <c r="F139" s="443">
        <v>0</v>
      </c>
      <c r="G139" s="443"/>
      <c r="H139" s="443">
        <v>5</v>
      </c>
      <c r="I139" s="443">
        <v>12</v>
      </c>
      <c r="K139" s="443">
        <v>17</v>
      </c>
      <c r="L139" s="443">
        <v>0</v>
      </c>
      <c r="P139" s="443">
        <v>3</v>
      </c>
      <c r="Q139" s="443">
        <v>8</v>
      </c>
      <c r="R139" s="443">
        <v>11</v>
      </c>
      <c r="S139" s="443"/>
      <c r="T139" s="443"/>
      <c r="U139" s="443"/>
      <c r="V139" s="443"/>
      <c r="W139" s="443"/>
      <c r="X139" s="443">
        <v>3</v>
      </c>
      <c r="Y139" s="443">
        <v>3</v>
      </c>
      <c r="Z139" s="443">
        <v>6</v>
      </c>
      <c r="AA139" s="443"/>
      <c r="AB139" s="443">
        <f t="shared" si="17"/>
        <v>6</v>
      </c>
      <c r="AC139" s="443">
        <f t="shared" si="18"/>
        <v>11</v>
      </c>
      <c r="AD139" s="443">
        <f t="shared" si="19"/>
        <v>17</v>
      </c>
      <c r="AE139" s="443">
        <f t="shared" si="20"/>
        <v>0</v>
      </c>
      <c r="AG139" s="443">
        <v>2</v>
      </c>
      <c r="AH139" s="443">
        <v>6</v>
      </c>
      <c r="AI139" s="443">
        <v>8</v>
      </c>
      <c r="AJ139" s="443"/>
      <c r="AK139" s="443"/>
      <c r="AL139" s="443"/>
      <c r="AM139" s="443"/>
      <c r="AN139" s="443"/>
      <c r="AO139" s="443">
        <v>3</v>
      </c>
      <c r="AP139" s="443">
        <v>6</v>
      </c>
      <c r="AQ139" s="443">
        <v>9</v>
      </c>
      <c r="AR139" s="443"/>
      <c r="AS139" s="443">
        <f t="shared" si="21"/>
        <v>5</v>
      </c>
      <c r="AT139" s="443">
        <f t="shared" si="22"/>
        <v>12</v>
      </c>
      <c r="AU139" s="443">
        <f t="shared" si="23"/>
        <v>17</v>
      </c>
      <c r="AV139" s="443">
        <f t="shared" si="24"/>
        <v>0</v>
      </c>
    </row>
    <row r="140" spans="1:48" ht="15" customHeight="1">
      <c r="A140" s="315" t="s">
        <v>15</v>
      </c>
      <c r="B140" s="443">
        <v>128</v>
      </c>
      <c r="C140" s="443">
        <v>533</v>
      </c>
      <c r="E140" s="443">
        <v>628</v>
      </c>
      <c r="F140" s="443">
        <v>33</v>
      </c>
      <c r="G140" s="443"/>
      <c r="H140" s="443">
        <v>117</v>
      </c>
      <c r="I140" s="443">
        <v>573</v>
      </c>
      <c r="K140" s="443">
        <v>667</v>
      </c>
      <c r="L140" s="443">
        <v>23</v>
      </c>
      <c r="O140" s="855"/>
      <c r="P140" s="443">
        <v>33</v>
      </c>
      <c r="Q140" s="443">
        <v>186</v>
      </c>
      <c r="R140" s="443">
        <v>219</v>
      </c>
      <c r="S140" s="443"/>
      <c r="T140" s="443">
        <v>8</v>
      </c>
      <c r="U140" s="443">
        <v>20</v>
      </c>
      <c r="V140" s="443"/>
      <c r="W140" s="443">
        <v>28</v>
      </c>
      <c r="X140" s="443">
        <v>87</v>
      </c>
      <c r="Y140" s="443">
        <f>322+5</f>
        <v>327</v>
      </c>
      <c r="Z140" s="443">
        <f>87+322</f>
        <v>409</v>
      </c>
      <c r="AA140" s="443">
        <v>5</v>
      </c>
      <c r="AB140" s="443">
        <f t="shared" si="17"/>
        <v>128</v>
      </c>
      <c r="AC140" s="443">
        <f t="shared" si="18"/>
        <v>533</v>
      </c>
      <c r="AD140" s="443">
        <f t="shared" si="19"/>
        <v>628</v>
      </c>
      <c r="AE140" s="443">
        <f t="shared" si="20"/>
        <v>33</v>
      </c>
      <c r="AF140" s="857"/>
      <c r="AG140" s="443">
        <v>31</v>
      </c>
      <c r="AH140" s="443">
        <v>191</v>
      </c>
      <c r="AI140" s="443">
        <f>+AH140+AG140</f>
        <v>222</v>
      </c>
      <c r="AJ140" s="443"/>
      <c r="AK140" s="443">
        <v>3</v>
      </c>
      <c r="AL140" s="443">
        <v>17</v>
      </c>
      <c r="AM140" s="443"/>
      <c r="AN140" s="443">
        <v>20</v>
      </c>
      <c r="AO140" s="443">
        <v>83</v>
      </c>
      <c r="AP140" s="443">
        <f>362+3</f>
        <v>365</v>
      </c>
      <c r="AQ140" s="443">
        <f>83+362</f>
        <v>445</v>
      </c>
      <c r="AR140" s="443">
        <v>3</v>
      </c>
      <c r="AS140" s="443">
        <f t="shared" si="21"/>
        <v>117</v>
      </c>
      <c r="AT140" s="443">
        <f t="shared" si="22"/>
        <v>573</v>
      </c>
      <c r="AU140" s="443">
        <f t="shared" si="23"/>
        <v>667</v>
      </c>
      <c r="AV140" s="443">
        <f t="shared" si="24"/>
        <v>23</v>
      </c>
    </row>
    <row r="141" spans="1:48" ht="15" customHeight="1">
      <c r="A141" s="315" t="s">
        <v>10</v>
      </c>
      <c r="B141" s="443">
        <v>99</v>
      </c>
      <c r="C141" s="443">
        <v>371</v>
      </c>
      <c r="E141" s="443">
        <v>457</v>
      </c>
      <c r="F141" s="443">
        <v>13</v>
      </c>
      <c r="G141" s="443"/>
      <c r="H141" s="443">
        <v>91</v>
      </c>
      <c r="I141" s="443">
        <v>376</v>
      </c>
      <c r="K141" s="443">
        <v>458</v>
      </c>
      <c r="L141" s="443">
        <v>9</v>
      </c>
      <c r="P141" s="443">
        <v>19</v>
      </c>
      <c r="Q141" s="443">
        <v>124</v>
      </c>
      <c r="R141" s="443">
        <f>+Q141+P141</f>
        <v>143</v>
      </c>
      <c r="S141" s="443"/>
      <c r="T141" s="443">
        <v>6</v>
      </c>
      <c r="U141" s="443">
        <v>5</v>
      </c>
      <c r="V141" s="443"/>
      <c r="W141" s="443">
        <v>11</v>
      </c>
      <c r="X141" s="443">
        <v>74</v>
      </c>
      <c r="Y141" s="443">
        <v>242</v>
      </c>
      <c r="Z141" s="443">
        <f>74+240</f>
        <v>314</v>
      </c>
      <c r="AA141" s="443">
        <v>2</v>
      </c>
      <c r="AB141" s="443">
        <f t="shared" si="17"/>
        <v>99</v>
      </c>
      <c r="AC141" s="443">
        <f t="shared" si="18"/>
        <v>371</v>
      </c>
      <c r="AD141" s="443">
        <f t="shared" si="19"/>
        <v>457</v>
      </c>
      <c r="AE141" s="443">
        <f t="shared" si="20"/>
        <v>13</v>
      </c>
      <c r="AG141" s="443">
        <v>21</v>
      </c>
      <c r="AH141" s="443">
        <v>108</v>
      </c>
      <c r="AI141" s="443">
        <f>+AH141+AG141</f>
        <v>129</v>
      </c>
      <c r="AJ141" s="443"/>
      <c r="AK141" s="443">
        <v>3</v>
      </c>
      <c r="AL141" s="443">
        <v>4</v>
      </c>
      <c r="AM141" s="443"/>
      <c r="AN141" s="443">
        <v>7</v>
      </c>
      <c r="AO141" s="443">
        <v>67</v>
      </c>
      <c r="AP141" s="443">
        <f>262+2</f>
        <v>264</v>
      </c>
      <c r="AQ141" s="443">
        <f>67+262</f>
        <v>329</v>
      </c>
      <c r="AR141" s="443">
        <v>2</v>
      </c>
      <c r="AS141" s="443">
        <f t="shared" si="21"/>
        <v>91</v>
      </c>
      <c r="AT141" s="443">
        <f t="shared" si="22"/>
        <v>376</v>
      </c>
      <c r="AU141" s="443">
        <f t="shared" si="23"/>
        <v>458</v>
      </c>
      <c r="AV141" s="443">
        <f t="shared" si="24"/>
        <v>9</v>
      </c>
    </row>
    <row r="142" spans="1:48" ht="15" customHeight="1">
      <c r="A142" s="315" t="s">
        <v>400</v>
      </c>
      <c r="B142" s="443">
        <v>0</v>
      </c>
      <c r="C142" s="443">
        <v>0</v>
      </c>
      <c r="E142" s="443">
        <v>0</v>
      </c>
      <c r="F142" s="443">
        <v>0</v>
      </c>
      <c r="G142" s="443"/>
      <c r="H142" s="443">
        <v>1</v>
      </c>
      <c r="I142" s="443">
        <v>0</v>
      </c>
      <c r="K142" s="443">
        <v>0</v>
      </c>
      <c r="L142" s="443">
        <v>1</v>
      </c>
      <c r="P142" s="443"/>
      <c r="Q142" s="443"/>
      <c r="R142" s="443"/>
      <c r="S142" s="443"/>
      <c r="T142" s="443"/>
      <c r="U142" s="443"/>
      <c r="V142" s="443"/>
      <c r="W142" s="443"/>
      <c r="X142" s="443"/>
      <c r="Y142" s="443"/>
      <c r="Z142" s="443"/>
      <c r="AA142" s="443"/>
      <c r="AB142" s="443">
        <f t="shared" si="17"/>
        <v>0</v>
      </c>
      <c r="AC142" s="443">
        <f t="shared" si="18"/>
        <v>0</v>
      </c>
      <c r="AD142" s="443">
        <f t="shared" si="19"/>
        <v>0</v>
      </c>
      <c r="AE142" s="443">
        <f t="shared" si="20"/>
        <v>0</v>
      </c>
      <c r="AG142" s="443"/>
      <c r="AH142" s="443"/>
      <c r="AI142" s="443"/>
      <c r="AJ142" s="443"/>
      <c r="AK142" s="443">
        <v>1</v>
      </c>
      <c r="AL142" s="443"/>
      <c r="AM142" s="443"/>
      <c r="AN142" s="443">
        <v>1</v>
      </c>
      <c r="AO142" s="443"/>
      <c r="AP142" s="443"/>
      <c r="AQ142" s="443"/>
      <c r="AR142" s="443"/>
      <c r="AS142" s="443">
        <f t="shared" si="21"/>
        <v>1</v>
      </c>
      <c r="AT142" s="443">
        <f t="shared" si="22"/>
        <v>0</v>
      </c>
      <c r="AU142" s="443">
        <f t="shared" si="23"/>
        <v>0</v>
      </c>
      <c r="AV142" s="443">
        <f t="shared" si="24"/>
        <v>1</v>
      </c>
    </row>
    <row r="143" spans="1:48" ht="15" customHeight="1">
      <c r="A143" s="315" t="s">
        <v>294</v>
      </c>
      <c r="B143" s="443">
        <v>0</v>
      </c>
      <c r="C143" s="443">
        <v>0</v>
      </c>
      <c r="E143" s="443">
        <v>0</v>
      </c>
      <c r="F143" s="443">
        <v>0</v>
      </c>
      <c r="G143" s="443"/>
      <c r="H143" s="443">
        <v>0</v>
      </c>
      <c r="I143" s="443">
        <v>0</v>
      </c>
      <c r="K143" s="443">
        <v>0</v>
      </c>
      <c r="L143" s="443">
        <v>0</v>
      </c>
      <c r="P143" s="443"/>
      <c r="Q143" s="443"/>
      <c r="R143" s="443"/>
      <c r="S143" s="443"/>
      <c r="T143" s="443"/>
      <c r="U143" s="443"/>
      <c r="V143" s="443"/>
      <c r="W143" s="443"/>
      <c r="X143" s="443"/>
      <c r="Y143" s="443"/>
      <c r="Z143" s="443"/>
      <c r="AA143" s="443"/>
      <c r="AB143" s="443">
        <f t="shared" si="17"/>
        <v>0</v>
      </c>
      <c r="AC143" s="443">
        <f t="shared" si="18"/>
        <v>0</v>
      </c>
      <c r="AD143" s="443">
        <f t="shared" si="19"/>
        <v>0</v>
      </c>
      <c r="AE143" s="443">
        <f t="shared" si="20"/>
        <v>0</v>
      </c>
      <c r="AG143" s="443"/>
      <c r="AH143" s="443"/>
      <c r="AI143" s="443"/>
      <c r="AJ143" s="443"/>
      <c r="AK143" s="443"/>
      <c r="AL143" s="443"/>
      <c r="AM143" s="443"/>
      <c r="AN143" s="443"/>
      <c r="AO143" s="443"/>
      <c r="AP143" s="443"/>
      <c r="AQ143" s="443"/>
      <c r="AR143" s="443"/>
      <c r="AS143" s="443">
        <f t="shared" si="21"/>
        <v>0</v>
      </c>
      <c r="AT143" s="443">
        <f t="shared" si="22"/>
        <v>0</v>
      </c>
      <c r="AU143" s="443">
        <f t="shared" si="23"/>
        <v>0</v>
      </c>
      <c r="AV143" s="443">
        <f t="shared" si="24"/>
        <v>0</v>
      </c>
    </row>
    <row r="144" spans="1:48" ht="15" customHeight="1">
      <c r="A144" s="315" t="s">
        <v>295</v>
      </c>
      <c r="B144" s="443">
        <v>213</v>
      </c>
      <c r="C144" s="443">
        <v>510</v>
      </c>
      <c r="E144" s="443">
        <v>600</v>
      </c>
      <c r="F144" s="443">
        <v>123</v>
      </c>
      <c r="G144" s="443"/>
      <c r="H144" s="443">
        <v>173</v>
      </c>
      <c r="I144" s="443">
        <v>518</v>
      </c>
      <c r="K144" s="443">
        <v>584</v>
      </c>
      <c r="L144" s="443">
        <v>107</v>
      </c>
      <c r="P144" s="443">
        <v>41</v>
      </c>
      <c r="Q144" s="443">
        <v>195</v>
      </c>
      <c r="R144" s="443">
        <f>+Q144+P144</f>
        <v>236</v>
      </c>
      <c r="S144" s="443"/>
      <c r="T144" s="443">
        <v>30</v>
      </c>
      <c r="U144" s="443">
        <v>56</v>
      </c>
      <c r="V144" s="443"/>
      <c r="W144" s="443">
        <v>86</v>
      </c>
      <c r="X144" s="443">
        <v>142</v>
      </c>
      <c r="Y144" s="443">
        <f>223+36</f>
        <v>259</v>
      </c>
      <c r="Z144" s="443">
        <f>141+223</f>
        <v>364</v>
      </c>
      <c r="AA144" s="443">
        <f>1+36</f>
        <v>37</v>
      </c>
      <c r="AB144" s="443">
        <f t="shared" si="17"/>
        <v>213</v>
      </c>
      <c r="AC144" s="443">
        <f t="shared" si="18"/>
        <v>510</v>
      </c>
      <c r="AD144" s="443">
        <f t="shared" si="19"/>
        <v>600</v>
      </c>
      <c r="AE144" s="443">
        <f t="shared" si="20"/>
        <v>123</v>
      </c>
      <c r="AG144" s="443">
        <v>43</v>
      </c>
      <c r="AH144" s="443">
        <v>172</v>
      </c>
      <c r="AI144" s="443">
        <f>+AH144+AG144</f>
        <v>215</v>
      </c>
      <c r="AJ144" s="443"/>
      <c r="AK144" s="443">
        <v>19</v>
      </c>
      <c r="AL144" s="443">
        <v>55</v>
      </c>
      <c r="AM144" s="443"/>
      <c r="AN144" s="443">
        <f>+AL144+AK144</f>
        <v>74</v>
      </c>
      <c r="AO144" s="443">
        <v>111</v>
      </c>
      <c r="AP144" s="443">
        <f>259+32</f>
        <v>291</v>
      </c>
      <c r="AQ144" s="443">
        <f>110+259</f>
        <v>369</v>
      </c>
      <c r="AR144" s="443">
        <f>1+32</f>
        <v>33</v>
      </c>
      <c r="AS144" s="443">
        <f t="shared" si="21"/>
        <v>173</v>
      </c>
      <c r="AT144" s="443">
        <f t="shared" si="22"/>
        <v>518</v>
      </c>
      <c r="AU144" s="443">
        <f t="shared" si="23"/>
        <v>584</v>
      </c>
      <c r="AV144" s="443">
        <f t="shared" si="24"/>
        <v>107</v>
      </c>
    </row>
    <row r="145" spans="1:48" ht="15" customHeight="1">
      <c r="A145" s="315" t="s">
        <v>296</v>
      </c>
      <c r="B145" s="443">
        <v>32</v>
      </c>
      <c r="C145" s="443">
        <v>14</v>
      </c>
      <c r="E145" s="443">
        <v>34</v>
      </c>
      <c r="F145" s="443">
        <v>12</v>
      </c>
      <c r="G145" s="443"/>
      <c r="H145" s="443">
        <v>41</v>
      </c>
      <c r="I145" s="443">
        <v>20</v>
      </c>
      <c r="K145" s="443">
        <v>46</v>
      </c>
      <c r="L145" s="443">
        <v>15</v>
      </c>
      <c r="P145" s="443">
        <v>13</v>
      </c>
      <c r="Q145" s="443">
        <v>5</v>
      </c>
      <c r="R145" s="443">
        <f>+Q145+P145</f>
        <v>18</v>
      </c>
      <c r="S145" s="443"/>
      <c r="T145" s="443">
        <v>11</v>
      </c>
      <c r="U145" s="443"/>
      <c r="V145" s="443"/>
      <c r="W145" s="443">
        <v>11</v>
      </c>
      <c r="X145" s="443">
        <v>8</v>
      </c>
      <c r="Y145" s="443">
        <v>9</v>
      </c>
      <c r="Z145" s="443">
        <v>16</v>
      </c>
      <c r="AA145" s="443">
        <v>1</v>
      </c>
      <c r="AB145" s="443">
        <f t="shared" si="17"/>
        <v>32</v>
      </c>
      <c r="AC145" s="443">
        <f t="shared" si="18"/>
        <v>14</v>
      </c>
      <c r="AD145" s="443">
        <f t="shared" si="19"/>
        <v>34</v>
      </c>
      <c r="AE145" s="443">
        <f t="shared" si="20"/>
        <v>12</v>
      </c>
      <c r="AG145" s="443">
        <v>8</v>
      </c>
      <c r="AH145" s="443">
        <v>7</v>
      </c>
      <c r="AI145" s="443">
        <f>+AH145+AG145</f>
        <v>15</v>
      </c>
      <c r="AJ145" s="443"/>
      <c r="AK145" s="443">
        <v>15</v>
      </c>
      <c r="AL145" s="443"/>
      <c r="AM145" s="443"/>
      <c r="AN145" s="443">
        <v>15</v>
      </c>
      <c r="AO145" s="443">
        <v>18</v>
      </c>
      <c r="AP145" s="443">
        <v>13</v>
      </c>
      <c r="AQ145" s="443">
        <f>18+13</f>
        <v>31</v>
      </c>
      <c r="AR145" s="443"/>
      <c r="AS145" s="443">
        <f t="shared" si="21"/>
        <v>41</v>
      </c>
      <c r="AT145" s="443">
        <f t="shared" si="22"/>
        <v>20</v>
      </c>
      <c r="AU145" s="443">
        <f t="shared" si="23"/>
        <v>46</v>
      </c>
      <c r="AV145" s="443">
        <f t="shared" si="24"/>
        <v>15</v>
      </c>
    </row>
    <row r="146" spans="1:48" ht="15" customHeight="1">
      <c r="A146" s="315" t="s">
        <v>297</v>
      </c>
      <c r="B146" s="443">
        <v>17</v>
      </c>
      <c r="C146" s="443">
        <v>20</v>
      </c>
      <c r="E146" s="443">
        <v>36</v>
      </c>
      <c r="F146" s="443">
        <v>1</v>
      </c>
      <c r="G146" s="443"/>
      <c r="H146" s="443">
        <v>13</v>
      </c>
      <c r="I146" s="443">
        <v>22</v>
      </c>
      <c r="K146" s="443">
        <v>34</v>
      </c>
      <c r="L146" s="443">
        <v>1</v>
      </c>
      <c r="P146" s="443">
        <v>16</v>
      </c>
      <c r="Q146" s="443">
        <v>11</v>
      </c>
      <c r="R146" s="443">
        <v>27</v>
      </c>
      <c r="S146" s="443"/>
      <c r="T146" s="443">
        <v>1</v>
      </c>
      <c r="U146" s="443"/>
      <c r="V146" s="443"/>
      <c r="W146" s="443">
        <v>1</v>
      </c>
      <c r="X146" s="443"/>
      <c r="Y146" s="443">
        <v>9</v>
      </c>
      <c r="Z146" s="443">
        <v>9</v>
      </c>
      <c r="AA146" s="443"/>
      <c r="AB146" s="443">
        <f t="shared" si="17"/>
        <v>17</v>
      </c>
      <c r="AC146" s="443">
        <f t="shared" si="18"/>
        <v>20</v>
      </c>
      <c r="AD146" s="443">
        <f t="shared" si="19"/>
        <v>36</v>
      </c>
      <c r="AE146" s="443">
        <f t="shared" si="20"/>
        <v>1</v>
      </c>
      <c r="AG146" s="443">
        <v>12</v>
      </c>
      <c r="AH146" s="443">
        <v>14</v>
      </c>
      <c r="AI146" s="443">
        <f>+AH146+AG146</f>
        <v>26</v>
      </c>
      <c r="AJ146" s="443"/>
      <c r="AK146" s="443">
        <v>1</v>
      </c>
      <c r="AL146" s="443"/>
      <c r="AM146" s="443"/>
      <c r="AN146" s="443">
        <v>1</v>
      </c>
      <c r="AO146" s="443"/>
      <c r="AP146" s="443">
        <v>8</v>
      </c>
      <c r="AQ146" s="443">
        <v>8</v>
      </c>
      <c r="AR146" s="443"/>
      <c r="AS146" s="443">
        <f t="shared" si="21"/>
        <v>13</v>
      </c>
      <c r="AT146" s="443">
        <f t="shared" si="22"/>
        <v>22</v>
      </c>
      <c r="AU146" s="443">
        <f t="shared" si="23"/>
        <v>34</v>
      </c>
      <c r="AV146" s="443">
        <f t="shared" si="24"/>
        <v>1</v>
      </c>
    </row>
    <row r="147" spans="1:48" ht="15" customHeight="1">
      <c r="A147" s="315" t="s">
        <v>298</v>
      </c>
      <c r="B147" s="443">
        <v>1</v>
      </c>
      <c r="C147" s="443">
        <v>3</v>
      </c>
      <c r="E147" s="443">
        <v>4</v>
      </c>
      <c r="F147" s="443">
        <v>0</v>
      </c>
      <c r="G147" s="443"/>
      <c r="H147" s="443">
        <v>1</v>
      </c>
      <c r="I147" s="443">
        <v>6</v>
      </c>
      <c r="K147" s="443">
        <v>6</v>
      </c>
      <c r="L147" s="443">
        <v>1</v>
      </c>
      <c r="P147" s="443"/>
      <c r="Q147" s="443"/>
      <c r="R147" s="443"/>
      <c r="S147" s="443"/>
      <c r="T147" s="443"/>
      <c r="U147" s="443"/>
      <c r="V147" s="443"/>
      <c r="W147" s="443"/>
      <c r="X147" s="443">
        <v>1</v>
      </c>
      <c r="Y147" s="443">
        <v>3</v>
      </c>
      <c r="Z147" s="443">
        <v>4</v>
      </c>
      <c r="AA147" s="443"/>
      <c r="AB147" s="443">
        <f t="shared" si="17"/>
        <v>1</v>
      </c>
      <c r="AC147" s="443">
        <f t="shared" si="18"/>
        <v>3</v>
      </c>
      <c r="AD147" s="443">
        <f t="shared" si="19"/>
        <v>4</v>
      </c>
      <c r="AE147" s="443">
        <f t="shared" si="20"/>
        <v>0</v>
      </c>
      <c r="AG147" s="443"/>
      <c r="AH147" s="443"/>
      <c r="AI147" s="443"/>
      <c r="AJ147" s="443"/>
      <c r="AK147" s="443"/>
      <c r="AL147" s="443">
        <v>1</v>
      </c>
      <c r="AM147" s="443"/>
      <c r="AN147" s="443">
        <v>1</v>
      </c>
      <c r="AO147" s="443">
        <v>1</v>
      </c>
      <c r="AP147" s="443">
        <v>5</v>
      </c>
      <c r="AQ147" s="443">
        <v>6</v>
      </c>
      <c r="AR147" s="443"/>
      <c r="AS147" s="443">
        <f t="shared" si="21"/>
        <v>1</v>
      </c>
      <c r="AT147" s="443">
        <f t="shared" si="22"/>
        <v>6</v>
      </c>
      <c r="AU147" s="443">
        <f t="shared" si="23"/>
        <v>6</v>
      </c>
      <c r="AV147" s="443">
        <f t="shared" si="24"/>
        <v>1</v>
      </c>
    </row>
    <row r="148" spans="1:48" ht="15" customHeight="1">
      <c r="A148" s="315" t="s">
        <v>299</v>
      </c>
      <c r="B148" s="443">
        <v>2</v>
      </c>
      <c r="C148" s="443">
        <v>2</v>
      </c>
      <c r="E148" s="443">
        <v>4</v>
      </c>
      <c r="F148" s="443">
        <v>0</v>
      </c>
      <c r="G148" s="443"/>
      <c r="H148" s="443">
        <v>1</v>
      </c>
      <c r="I148" s="443">
        <v>2</v>
      </c>
      <c r="K148" s="443">
        <v>3</v>
      </c>
      <c r="L148" s="443">
        <v>0</v>
      </c>
      <c r="P148" s="443"/>
      <c r="Q148" s="443"/>
      <c r="R148" s="443"/>
      <c r="S148" s="443"/>
      <c r="T148" s="443"/>
      <c r="U148" s="443"/>
      <c r="V148" s="443"/>
      <c r="W148" s="443"/>
      <c r="X148" s="443">
        <v>2</v>
      </c>
      <c r="Y148" s="443">
        <v>2</v>
      </c>
      <c r="Z148" s="443">
        <v>4</v>
      </c>
      <c r="AA148" s="443"/>
      <c r="AB148" s="443">
        <f t="shared" si="17"/>
        <v>2</v>
      </c>
      <c r="AC148" s="443">
        <f t="shared" si="18"/>
        <v>2</v>
      </c>
      <c r="AD148" s="443">
        <f t="shared" si="19"/>
        <v>4</v>
      </c>
      <c r="AE148" s="443">
        <f t="shared" si="20"/>
        <v>0</v>
      </c>
      <c r="AG148" s="443"/>
      <c r="AH148" s="443"/>
      <c r="AI148" s="443"/>
      <c r="AJ148" s="443"/>
      <c r="AK148" s="443"/>
      <c r="AL148" s="443"/>
      <c r="AM148" s="443"/>
      <c r="AN148" s="443"/>
      <c r="AO148" s="443">
        <v>1</v>
      </c>
      <c r="AP148" s="443">
        <v>2</v>
      </c>
      <c r="AQ148" s="443">
        <v>3</v>
      </c>
      <c r="AR148" s="443"/>
      <c r="AS148" s="443">
        <f t="shared" si="21"/>
        <v>1</v>
      </c>
      <c r="AT148" s="443">
        <f t="shared" si="22"/>
        <v>2</v>
      </c>
      <c r="AU148" s="443">
        <f t="shared" si="23"/>
        <v>3</v>
      </c>
      <c r="AV148" s="443">
        <f t="shared" si="24"/>
        <v>0</v>
      </c>
    </row>
    <row r="149" spans="1:48" ht="15" customHeight="1">
      <c r="A149" s="315" t="s">
        <v>301</v>
      </c>
      <c r="B149" s="443">
        <v>1</v>
      </c>
      <c r="C149" s="443">
        <v>8</v>
      </c>
      <c r="E149" s="443">
        <v>9</v>
      </c>
      <c r="F149" s="443">
        <v>0</v>
      </c>
      <c r="G149" s="443"/>
      <c r="H149" s="443">
        <v>1</v>
      </c>
      <c r="I149" s="443">
        <v>10</v>
      </c>
      <c r="K149" s="443">
        <v>10</v>
      </c>
      <c r="L149" s="443">
        <v>1</v>
      </c>
      <c r="P149" s="443">
        <v>1</v>
      </c>
      <c r="Q149" s="443">
        <v>2</v>
      </c>
      <c r="R149" s="443">
        <v>3</v>
      </c>
      <c r="S149" s="443"/>
      <c r="T149" s="443"/>
      <c r="U149" s="443"/>
      <c r="V149" s="443"/>
      <c r="W149" s="443"/>
      <c r="X149" s="443"/>
      <c r="Y149" s="443">
        <v>6</v>
      </c>
      <c r="Z149" s="443">
        <v>6</v>
      </c>
      <c r="AA149" s="443"/>
      <c r="AB149" s="443">
        <f t="shared" si="17"/>
        <v>1</v>
      </c>
      <c r="AC149" s="443">
        <f t="shared" si="18"/>
        <v>8</v>
      </c>
      <c r="AD149" s="443">
        <f t="shared" si="19"/>
        <v>9</v>
      </c>
      <c r="AE149" s="443">
        <f t="shared" si="20"/>
        <v>0</v>
      </c>
      <c r="AG149" s="443"/>
      <c r="AH149" s="443">
        <v>4</v>
      </c>
      <c r="AI149" s="443">
        <v>4</v>
      </c>
      <c r="AJ149" s="443"/>
      <c r="AK149" s="443"/>
      <c r="AL149" s="443">
        <v>1</v>
      </c>
      <c r="AM149" s="443"/>
      <c r="AN149" s="443">
        <v>1</v>
      </c>
      <c r="AO149" s="443">
        <v>1</v>
      </c>
      <c r="AP149" s="443">
        <v>5</v>
      </c>
      <c r="AQ149" s="443">
        <v>6</v>
      </c>
      <c r="AR149" s="443"/>
      <c r="AS149" s="443">
        <f t="shared" si="21"/>
        <v>1</v>
      </c>
      <c r="AT149" s="443">
        <f t="shared" si="22"/>
        <v>10</v>
      </c>
      <c r="AU149" s="443">
        <f t="shared" si="23"/>
        <v>10</v>
      </c>
      <c r="AV149" s="443">
        <f t="shared" si="24"/>
        <v>1</v>
      </c>
    </row>
    <row r="150" spans="1:48" ht="15" customHeight="1">
      <c r="A150" s="315" t="s">
        <v>3</v>
      </c>
      <c r="B150" s="443">
        <v>0</v>
      </c>
      <c r="C150" s="443">
        <v>0</v>
      </c>
      <c r="E150" s="443">
        <v>0</v>
      </c>
      <c r="F150" s="443">
        <v>0</v>
      </c>
      <c r="G150" s="443"/>
      <c r="H150" s="443">
        <v>0</v>
      </c>
      <c r="I150" s="443">
        <v>0</v>
      </c>
      <c r="K150" s="443">
        <v>0</v>
      </c>
      <c r="L150" s="443">
        <v>0</v>
      </c>
      <c r="P150" s="443"/>
      <c r="Q150" s="443"/>
      <c r="R150" s="443"/>
      <c r="S150" s="443"/>
      <c r="T150" s="443"/>
      <c r="U150" s="443"/>
      <c r="V150" s="443"/>
      <c r="W150" s="443"/>
      <c r="X150" s="443"/>
      <c r="Y150" s="443"/>
      <c r="Z150" s="443"/>
      <c r="AA150" s="443"/>
      <c r="AB150" s="443">
        <f t="shared" si="17"/>
        <v>0</v>
      </c>
      <c r="AC150" s="443">
        <f t="shared" si="18"/>
        <v>0</v>
      </c>
      <c r="AD150" s="443">
        <f t="shared" si="19"/>
        <v>0</v>
      </c>
      <c r="AE150" s="443">
        <f t="shared" si="20"/>
        <v>0</v>
      </c>
      <c r="AG150" s="443"/>
      <c r="AH150" s="443"/>
      <c r="AI150" s="443"/>
      <c r="AJ150" s="443"/>
      <c r="AK150" s="443"/>
      <c r="AL150" s="443"/>
      <c r="AM150" s="443"/>
      <c r="AN150" s="443"/>
      <c r="AO150" s="443"/>
      <c r="AP150" s="443"/>
      <c r="AQ150" s="443"/>
      <c r="AR150" s="443"/>
      <c r="AS150" s="443">
        <f t="shared" si="21"/>
        <v>0</v>
      </c>
      <c r="AT150" s="443">
        <f t="shared" si="22"/>
        <v>0</v>
      </c>
      <c r="AU150" s="443">
        <f t="shared" si="23"/>
        <v>0</v>
      </c>
      <c r="AV150" s="443">
        <f t="shared" si="24"/>
        <v>0</v>
      </c>
    </row>
    <row r="151" spans="1:48" ht="4.5" customHeight="1">
      <c r="A151" s="327"/>
      <c r="B151" s="450"/>
      <c r="C151" s="450"/>
      <c r="D151" s="450"/>
      <c r="E151" s="450"/>
      <c r="F151" s="450"/>
      <c r="G151" s="450"/>
      <c r="H151" s="450"/>
      <c r="I151" s="450"/>
      <c r="J151" s="450"/>
      <c r="K151" s="450"/>
      <c r="L151" s="450"/>
    </row>
    <row r="152" spans="1:48" ht="11.1" hidden="1" customHeight="1">
      <c r="A152" s="149" t="s">
        <v>458</v>
      </c>
    </row>
    <row r="153" spans="1:48" ht="11.1" customHeight="1">
      <c r="A153" s="723" t="s">
        <v>388</v>
      </c>
    </row>
  </sheetData>
  <mergeCells count="148">
    <mergeCell ref="AG134:AJ134"/>
    <mergeCell ref="AK134:AN134"/>
    <mergeCell ref="AO134:AR134"/>
    <mergeCell ref="AS134:AV134"/>
    <mergeCell ref="AG135:AH135"/>
    <mergeCell ref="AI135:AJ135"/>
    <mergeCell ref="AK135:AL135"/>
    <mergeCell ref="AM135:AN135"/>
    <mergeCell ref="AO135:AP135"/>
    <mergeCell ref="AQ135:AR135"/>
    <mergeCell ref="AS135:AT135"/>
    <mergeCell ref="AU135:AV135"/>
    <mergeCell ref="P134:S134"/>
    <mergeCell ref="T134:W134"/>
    <mergeCell ref="X134:AA134"/>
    <mergeCell ref="AB134:AE134"/>
    <mergeCell ref="P135:Q135"/>
    <mergeCell ref="R135:S135"/>
    <mergeCell ref="T135:U135"/>
    <mergeCell ref="V135:W135"/>
    <mergeCell ref="X135:Y135"/>
    <mergeCell ref="Z135:AA135"/>
    <mergeCell ref="AB135:AC135"/>
    <mergeCell ref="AD135:AE135"/>
    <mergeCell ref="AG113:AJ113"/>
    <mergeCell ref="AK113:AN113"/>
    <mergeCell ref="AO113:AR113"/>
    <mergeCell ref="AS113:AV113"/>
    <mergeCell ref="AG114:AH114"/>
    <mergeCell ref="AI114:AJ114"/>
    <mergeCell ref="AK114:AL114"/>
    <mergeCell ref="AM114:AN114"/>
    <mergeCell ref="AO114:AP114"/>
    <mergeCell ref="AQ114:AR114"/>
    <mergeCell ref="AS114:AT114"/>
    <mergeCell ref="AU114:AV114"/>
    <mergeCell ref="A1:L2"/>
    <mergeCell ref="A22:L23"/>
    <mergeCell ref="A43:L43"/>
    <mergeCell ref="B6:B7"/>
    <mergeCell ref="C6:C7"/>
    <mergeCell ref="B26:B27"/>
    <mergeCell ref="C26:C27"/>
    <mergeCell ref="I26:I27"/>
    <mergeCell ref="H26:H27"/>
    <mergeCell ref="H6:H7"/>
    <mergeCell ref="A24:A27"/>
    <mergeCell ref="B24:F24"/>
    <mergeCell ref="H24:L24"/>
    <mergeCell ref="E25:F25"/>
    <mergeCell ref="H25:I25"/>
    <mergeCell ref="K25:L25"/>
    <mergeCell ref="A4:A7"/>
    <mergeCell ref="B4:F4"/>
    <mergeCell ref="H4:L4"/>
    <mergeCell ref="B5:C5"/>
    <mergeCell ref="E5:F5"/>
    <mergeCell ref="H5:I5"/>
    <mergeCell ref="K5:L5"/>
    <mergeCell ref="E6:E7"/>
    <mergeCell ref="A69:A72"/>
    <mergeCell ref="B69:F69"/>
    <mergeCell ref="B70:C70"/>
    <mergeCell ref="E70:F70"/>
    <mergeCell ref="E71:E72"/>
    <mergeCell ref="H71:H72"/>
    <mergeCell ref="C71:C72"/>
    <mergeCell ref="B71:B72"/>
    <mergeCell ref="B47:B48"/>
    <mergeCell ref="C47:C48"/>
    <mergeCell ref="H47:H48"/>
    <mergeCell ref="F71:F72"/>
    <mergeCell ref="A45:A48"/>
    <mergeCell ref="B45:F45"/>
    <mergeCell ref="H45:L45"/>
    <mergeCell ref="I71:I72"/>
    <mergeCell ref="K71:K72"/>
    <mergeCell ref="L71:L72"/>
    <mergeCell ref="I47:I48"/>
    <mergeCell ref="K66:L66"/>
    <mergeCell ref="H69:L69"/>
    <mergeCell ref="F47:F48"/>
    <mergeCell ref="L47:L48"/>
    <mergeCell ref="K47:K48"/>
    <mergeCell ref="H70:I70"/>
    <mergeCell ref="K70:L70"/>
    <mergeCell ref="E26:E27"/>
    <mergeCell ref="F26:F27"/>
    <mergeCell ref="K26:K27"/>
    <mergeCell ref="L26:L27"/>
    <mergeCell ref="B46:C46"/>
    <mergeCell ref="E46:F46"/>
    <mergeCell ref="H46:I46"/>
    <mergeCell ref="K46:L46"/>
    <mergeCell ref="E47:E48"/>
    <mergeCell ref="F6:F7"/>
    <mergeCell ref="K6:K7"/>
    <mergeCell ref="L6:L7"/>
    <mergeCell ref="I6:I7"/>
    <mergeCell ref="B25:C25"/>
    <mergeCell ref="A134:A136"/>
    <mergeCell ref="B134:F134"/>
    <mergeCell ref="H134:L134"/>
    <mergeCell ref="B135:C135"/>
    <mergeCell ref="E135:F135"/>
    <mergeCell ref="H135:I135"/>
    <mergeCell ref="K135:L135"/>
    <mergeCell ref="A92:A94"/>
    <mergeCell ref="B92:F92"/>
    <mergeCell ref="H92:L92"/>
    <mergeCell ref="B93:C93"/>
    <mergeCell ref="E93:F93"/>
    <mergeCell ref="H93:I93"/>
    <mergeCell ref="K93:L93"/>
    <mergeCell ref="A113:A115"/>
    <mergeCell ref="B113:F113"/>
    <mergeCell ref="H113:L113"/>
    <mergeCell ref="B114:C114"/>
    <mergeCell ref="E114:F114"/>
    <mergeCell ref="A90:L90"/>
    <mergeCell ref="A111:L111"/>
    <mergeCell ref="A132:L132"/>
    <mergeCell ref="P92:S92"/>
    <mergeCell ref="P93:Q93"/>
    <mergeCell ref="R93:S93"/>
    <mergeCell ref="T92:W92"/>
    <mergeCell ref="T93:U93"/>
    <mergeCell ref="V93:W93"/>
    <mergeCell ref="P114:Q114"/>
    <mergeCell ref="R114:S114"/>
    <mergeCell ref="T114:U114"/>
    <mergeCell ref="V114:W114"/>
    <mergeCell ref="X93:Y93"/>
    <mergeCell ref="Z93:AA93"/>
    <mergeCell ref="AB92:AE92"/>
    <mergeCell ref="AB93:AC93"/>
    <mergeCell ref="AD93:AE93"/>
    <mergeCell ref="H114:I114"/>
    <mergeCell ref="K114:L114"/>
    <mergeCell ref="P113:S113"/>
    <mergeCell ref="T113:W113"/>
    <mergeCell ref="X113:AA113"/>
    <mergeCell ref="AB113:AE113"/>
    <mergeCell ref="X114:Y114"/>
    <mergeCell ref="Z114:AA114"/>
    <mergeCell ref="AB114:AC114"/>
    <mergeCell ref="AD114:AE114"/>
    <mergeCell ref="X92:AA92"/>
  </mergeCells>
  <phoneticPr fontId="24" type="noConversion"/>
  <pageMargins left="0.78740157480314965" right="0.78740157480314965" top="0.98425196850393704" bottom="0.98425196850393704" header="0.31496062992125984" footer="0"/>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8"/>
  <dimension ref="A1:I57"/>
  <sheetViews>
    <sheetView showGridLines="0" zoomScaleNormal="100" zoomScaleSheetLayoutView="100" workbookViewId="0">
      <selection sqref="A1:D1"/>
    </sheetView>
  </sheetViews>
  <sheetFormatPr baseColWidth="10" defaultColWidth="10.7109375" defaultRowHeight="11.25"/>
  <cols>
    <col min="1" max="1" width="17.7109375" style="5" customWidth="1"/>
    <col min="2" max="2" width="23.42578125" style="678" customWidth="1"/>
    <col min="3" max="3" width="21.140625" style="678" customWidth="1"/>
    <col min="4" max="4" width="20.7109375" style="678" customWidth="1"/>
    <col min="5" max="5" width="9.42578125" style="5" customWidth="1"/>
    <col min="6" max="6" width="12" style="5" customWidth="1"/>
    <col min="7" max="7" width="15.5703125" style="5" customWidth="1"/>
    <col min="8" max="8" width="9.28515625" style="5" customWidth="1"/>
    <col min="9" max="16384" width="10.7109375" style="5"/>
  </cols>
  <sheetData>
    <row r="1" spans="1:9" ht="15" customHeight="1">
      <c r="A1" s="1243" t="s">
        <v>557</v>
      </c>
      <c r="B1" s="1243"/>
      <c r="C1" s="1243"/>
      <c r="D1" s="1243"/>
    </row>
    <row r="2" spans="1:9" ht="11.25" customHeight="1">
      <c r="A2" s="934" t="s">
        <v>471</v>
      </c>
      <c r="B2" s="776"/>
      <c r="C2" s="776"/>
      <c r="D2" s="777"/>
    </row>
    <row r="3" spans="1:9" ht="5.0999999999999996" customHeight="1">
      <c r="A3" s="934"/>
      <c r="B3" s="776"/>
      <c r="C3" s="776"/>
      <c r="D3" s="777"/>
    </row>
    <row r="4" spans="1:9" ht="15" customHeight="1">
      <c r="A4" s="1293" t="s">
        <v>1</v>
      </c>
      <c r="B4" s="1295" t="s">
        <v>257</v>
      </c>
      <c r="C4" s="1295"/>
      <c r="D4" s="1295"/>
    </row>
    <row r="5" spans="1:9" ht="16.5" customHeight="1">
      <c r="A5" s="1294"/>
      <c r="B5" s="778" t="s">
        <v>558</v>
      </c>
      <c r="C5" s="778" t="s">
        <v>94</v>
      </c>
      <c r="D5" s="778" t="s">
        <v>543</v>
      </c>
      <c r="E5" s="35"/>
    </row>
    <row r="6" spans="1:9" ht="5.0999999999999996" customHeight="1">
      <c r="A6" s="350"/>
      <c r="B6" s="779"/>
      <c r="C6" s="779"/>
      <c r="D6" s="779"/>
    </row>
    <row r="7" spans="1:9" ht="12.75" hidden="1" customHeight="1">
      <c r="A7" s="351">
        <v>1997</v>
      </c>
      <c r="B7" s="780">
        <v>24297</v>
      </c>
      <c r="C7" s="781">
        <v>723</v>
      </c>
      <c r="D7" s="782">
        <v>23574</v>
      </c>
      <c r="F7" s="36"/>
      <c r="I7" s="37"/>
    </row>
    <row r="8" spans="1:9" ht="12.75" hidden="1" customHeight="1">
      <c r="A8" s="351">
        <v>1998</v>
      </c>
      <c r="B8" s="780">
        <v>25778</v>
      </c>
      <c r="C8" s="781">
        <v>790</v>
      </c>
      <c r="D8" s="782">
        <v>24966</v>
      </c>
      <c r="F8" s="36"/>
    </row>
    <row r="9" spans="1:9" ht="12.75" hidden="1" customHeight="1">
      <c r="A9" s="351">
        <v>1999</v>
      </c>
      <c r="B9" s="780">
        <v>27400</v>
      </c>
      <c r="C9" s="781">
        <v>834</v>
      </c>
      <c r="D9" s="782">
        <v>26535</v>
      </c>
      <c r="F9" s="36"/>
    </row>
    <row r="10" spans="1:9" ht="12.75" hidden="1" customHeight="1">
      <c r="A10" s="351">
        <v>2000</v>
      </c>
      <c r="B10" s="780">
        <v>27734</v>
      </c>
      <c r="C10" s="781">
        <v>944</v>
      </c>
      <c r="D10" s="782">
        <v>26790</v>
      </c>
      <c r="E10" s="38"/>
      <c r="F10" s="36"/>
    </row>
    <row r="11" spans="1:9" ht="12.75" hidden="1" customHeight="1">
      <c r="A11" s="351">
        <v>2001</v>
      </c>
      <c r="B11" s="780">
        <v>26989</v>
      </c>
      <c r="C11" s="781">
        <v>774</v>
      </c>
      <c r="D11" s="782">
        <v>26215</v>
      </c>
      <c r="E11" s="38"/>
      <c r="F11" s="36"/>
    </row>
    <row r="12" spans="1:9" ht="12.75" hidden="1" customHeight="1">
      <c r="A12" s="351">
        <v>2002</v>
      </c>
      <c r="B12" s="780">
        <v>28135</v>
      </c>
      <c r="C12" s="781">
        <v>797</v>
      </c>
      <c r="D12" s="782">
        <f>B12-C12</f>
        <v>27338</v>
      </c>
      <c r="E12" s="38"/>
      <c r="F12" s="36"/>
    </row>
    <row r="13" spans="1:9" ht="12.75" hidden="1" customHeight="1">
      <c r="A13" s="351">
        <v>2003</v>
      </c>
      <c r="B13" s="780">
        <v>28836</v>
      </c>
      <c r="C13" s="781">
        <v>670</v>
      </c>
      <c r="D13" s="782">
        <v>28166</v>
      </c>
      <c r="E13" s="38"/>
      <c r="F13" s="36"/>
    </row>
    <row r="14" spans="1:9" ht="12.75" hidden="1" customHeight="1">
      <c r="A14" s="351">
        <v>2004</v>
      </c>
      <c r="B14" s="780">
        <v>31311</v>
      </c>
      <c r="C14" s="781">
        <v>668</v>
      </c>
      <c r="D14" s="782">
        <v>30743</v>
      </c>
      <c r="E14" s="38"/>
      <c r="F14" s="36"/>
    </row>
    <row r="15" spans="1:9" ht="12.75" hidden="1">
      <c r="A15" s="351">
        <v>2005</v>
      </c>
      <c r="B15" s="780">
        <v>33641</v>
      </c>
      <c r="C15" s="781">
        <v>636</v>
      </c>
      <c r="D15" s="782">
        <f>B15-C15</f>
        <v>33005</v>
      </c>
      <c r="E15" s="38"/>
      <c r="F15" s="36"/>
    </row>
    <row r="16" spans="1:9" ht="27.75" hidden="1" customHeight="1">
      <c r="A16" s="352">
        <v>2006</v>
      </c>
      <c r="B16" s="475">
        <v>35642</v>
      </c>
      <c r="C16" s="783">
        <v>846</v>
      </c>
      <c r="D16" s="783">
        <v>34795</v>
      </c>
      <c r="E16" s="38"/>
      <c r="F16" s="36"/>
    </row>
    <row r="17" spans="1:8" ht="27.75" hidden="1" customHeight="1">
      <c r="A17" s="352">
        <v>2007</v>
      </c>
      <c r="B17" s="475">
        <v>39684</v>
      </c>
      <c r="C17" s="783">
        <v>944</v>
      </c>
      <c r="D17" s="783">
        <v>38740</v>
      </c>
      <c r="E17" s="38"/>
      <c r="F17" s="36"/>
    </row>
    <row r="18" spans="1:8" ht="27.75" hidden="1" customHeight="1">
      <c r="A18" s="352">
        <v>2008</v>
      </c>
      <c r="B18" s="475">
        <v>43286</v>
      </c>
      <c r="C18" s="783">
        <v>975</v>
      </c>
      <c r="D18" s="783">
        <v>42310</v>
      </c>
      <c r="E18" s="38"/>
      <c r="F18" s="36"/>
    </row>
    <row r="19" spans="1:8" ht="32.25" hidden="1" customHeight="1">
      <c r="A19" s="352">
        <v>2009</v>
      </c>
      <c r="B19" s="475">
        <v>44405</v>
      </c>
      <c r="C19" s="783">
        <v>986</v>
      </c>
      <c r="D19" s="783">
        <v>43420</v>
      </c>
      <c r="E19" s="38"/>
      <c r="F19" s="36"/>
    </row>
    <row r="20" spans="1:8" ht="32.25" hidden="1" customHeight="1">
      <c r="A20" s="352">
        <v>2010</v>
      </c>
      <c r="B20" s="475">
        <v>45464</v>
      </c>
      <c r="C20" s="783">
        <v>938</v>
      </c>
      <c r="D20" s="783">
        <v>44525</v>
      </c>
      <c r="E20" s="38"/>
      <c r="F20" s="36"/>
    </row>
    <row r="21" spans="1:8" ht="24.95" hidden="1" customHeight="1">
      <c r="A21" s="858">
        <v>2011</v>
      </c>
      <c r="B21" s="475">
        <v>49205</v>
      </c>
      <c r="C21" s="783">
        <v>1078</v>
      </c>
      <c r="D21" s="783">
        <v>48128</v>
      </c>
      <c r="E21" s="38"/>
      <c r="F21" s="36"/>
    </row>
    <row r="22" spans="1:8" ht="24.95" hidden="1" customHeight="1">
      <c r="A22" s="858">
        <v>2012</v>
      </c>
      <c r="B22" s="475">
        <v>61390</v>
      </c>
      <c r="C22" s="783">
        <v>1315</v>
      </c>
      <c r="D22" s="783">
        <v>60075</v>
      </c>
      <c r="E22" s="38"/>
      <c r="F22" s="36"/>
    </row>
    <row r="23" spans="1:8" ht="24.95" customHeight="1">
      <c r="A23" s="858">
        <v>2013</v>
      </c>
      <c r="B23" s="475">
        <v>67597</v>
      </c>
      <c r="C23" s="783">
        <v>1462</v>
      </c>
      <c r="D23" s="783">
        <v>66135</v>
      </c>
      <c r="E23" s="38"/>
      <c r="F23" s="36"/>
    </row>
    <row r="24" spans="1:8" ht="24.95" customHeight="1">
      <c r="A24" s="858">
        <v>2014</v>
      </c>
      <c r="B24" s="475">
        <v>71961</v>
      </c>
      <c r="C24" s="783">
        <v>1614</v>
      </c>
      <c r="D24" s="783">
        <v>70347</v>
      </c>
      <c r="E24" s="38"/>
      <c r="F24" s="36"/>
    </row>
    <row r="25" spans="1:8" ht="24.95" customHeight="1">
      <c r="A25" s="858">
        <v>2015</v>
      </c>
      <c r="B25" s="475">
        <v>77242</v>
      </c>
      <c r="C25" s="783">
        <v>1641</v>
      </c>
      <c r="D25" s="783">
        <v>75485</v>
      </c>
      <c r="F25" s="38"/>
    </row>
    <row r="26" spans="1:8" ht="24.95" customHeight="1">
      <c r="A26" s="858">
        <v>2016</v>
      </c>
      <c r="B26" s="134">
        <v>82023</v>
      </c>
      <c r="C26" s="783">
        <v>1904</v>
      </c>
      <c r="D26" s="783">
        <v>80066</v>
      </c>
      <c r="E26" s="38"/>
      <c r="F26" s="773"/>
    </row>
    <row r="27" spans="1:8" ht="24.95" customHeight="1">
      <c r="A27" s="858">
        <v>2017</v>
      </c>
      <c r="B27" s="134">
        <v>85811</v>
      </c>
      <c r="C27" s="783">
        <v>1977</v>
      </c>
      <c r="D27" s="783">
        <v>83608</v>
      </c>
      <c r="E27" s="812"/>
      <c r="F27" s="812"/>
      <c r="G27" s="812"/>
      <c r="H27" s="812"/>
    </row>
    <row r="28" spans="1:8" ht="24.95" customHeight="1">
      <c r="A28" s="858">
        <v>2018</v>
      </c>
      <c r="B28" s="134">
        <v>90934</v>
      </c>
      <c r="C28" s="783">
        <v>2272</v>
      </c>
      <c r="D28" s="783">
        <f t="shared" ref="D28:D34" si="0">B28-C28</f>
        <v>88662</v>
      </c>
      <c r="E28" s="38"/>
      <c r="F28" s="36"/>
    </row>
    <row r="29" spans="1:8" ht="24.95" customHeight="1">
      <c r="A29" s="858">
        <v>2019</v>
      </c>
      <c r="B29" s="134">
        <v>95548</v>
      </c>
      <c r="C29" s="783">
        <v>2408</v>
      </c>
      <c r="D29" s="783">
        <f t="shared" si="0"/>
        <v>93140</v>
      </c>
      <c r="E29" s="38"/>
      <c r="F29" s="36"/>
    </row>
    <row r="30" spans="1:8" ht="24.95" customHeight="1">
      <c r="A30" s="858">
        <v>2020</v>
      </c>
      <c r="B30" s="134">
        <v>86955</v>
      </c>
      <c r="C30" s="134">
        <v>2208</v>
      </c>
      <c r="D30" s="134">
        <f t="shared" si="0"/>
        <v>84747</v>
      </c>
      <c r="E30" s="38"/>
      <c r="F30" s="36"/>
    </row>
    <row r="31" spans="1:8" ht="24.95" customHeight="1">
      <c r="A31" s="858">
        <v>2021</v>
      </c>
      <c r="B31" s="134">
        <v>87245</v>
      </c>
      <c r="C31" s="134">
        <v>2297</v>
      </c>
      <c r="D31" s="134">
        <f t="shared" si="0"/>
        <v>84948</v>
      </c>
      <c r="E31" s="38"/>
      <c r="F31" s="36"/>
    </row>
    <row r="32" spans="1:8" ht="24.95" customHeight="1">
      <c r="A32" s="859">
        <v>2022</v>
      </c>
      <c r="B32" s="134">
        <v>89948</v>
      </c>
      <c r="C32" s="134">
        <v>2363</v>
      </c>
      <c r="D32" s="134">
        <f t="shared" si="0"/>
        <v>87585</v>
      </c>
      <c r="E32" s="38"/>
      <c r="F32" s="36"/>
    </row>
    <row r="33" spans="1:8" ht="24.95" customHeight="1">
      <c r="A33" s="859">
        <v>2023</v>
      </c>
      <c r="B33" s="134">
        <v>94759</v>
      </c>
      <c r="C33" s="134">
        <v>2514</v>
      </c>
      <c r="D33" s="134">
        <f t="shared" ref="D33" si="1">B33-C33</f>
        <v>92245</v>
      </c>
      <c r="E33" s="38"/>
      <c r="F33" s="36"/>
    </row>
    <row r="34" spans="1:8" ht="24.95" customHeight="1">
      <c r="A34" s="859" t="s">
        <v>508</v>
      </c>
      <c r="B34" s="134">
        <v>98736</v>
      </c>
      <c r="C34" s="134">
        <v>2581</v>
      </c>
      <c r="D34" s="134">
        <f t="shared" si="0"/>
        <v>96155</v>
      </c>
      <c r="E34" s="774"/>
      <c r="F34" s="775"/>
    </row>
    <row r="35" spans="1:8" ht="5.0999999999999996" customHeight="1">
      <c r="A35" s="353"/>
      <c r="B35" s="784"/>
      <c r="C35" s="785"/>
      <c r="D35" s="786"/>
      <c r="F35" s="36"/>
    </row>
    <row r="36" spans="1:8" ht="11.1" customHeight="1">
      <c r="A36" s="819" t="s">
        <v>507</v>
      </c>
      <c r="B36" s="787"/>
      <c r="C36" s="781"/>
      <c r="D36" s="788"/>
      <c r="F36" s="36"/>
    </row>
    <row r="37" spans="1:8" ht="11.1" customHeight="1">
      <c r="A37" s="16" t="s">
        <v>459</v>
      </c>
      <c r="B37" s="787"/>
      <c r="C37" s="781"/>
      <c r="D37" s="788"/>
      <c r="F37" s="36"/>
    </row>
    <row r="38" spans="1:8" ht="15.75" customHeight="1">
      <c r="B38" s="789"/>
      <c r="C38" s="789"/>
      <c r="D38" s="789"/>
      <c r="E38" s="40"/>
      <c r="F38" s="41"/>
      <c r="G38" s="41"/>
      <c r="H38" s="42"/>
    </row>
    <row r="39" spans="1:8">
      <c r="A39" s="39"/>
      <c r="B39" s="790"/>
      <c r="C39" s="790"/>
      <c r="D39" s="790"/>
      <c r="E39" s="43"/>
      <c r="F39" s="644"/>
      <c r="G39" s="43"/>
      <c r="H39" s="43"/>
    </row>
    <row r="40" spans="1:8">
      <c r="A40" s="39"/>
      <c r="B40" s="790"/>
      <c r="C40" s="790"/>
      <c r="D40" s="790"/>
      <c r="E40" s="43"/>
      <c r="F40" s="43"/>
      <c r="G40" s="43"/>
      <c r="H40" s="43"/>
    </row>
    <row r="41" spans="1:8">
      <c r="A41" s="39"/>
      <c r="B41" s="790"/>
      <c r="C41" s="790"/>
      <c r="D41" s="790"/>
      <c r="E41" s="44"/>
      <c r="F41" s="43"/>
      <c r="G41" s="43"/>
      <c r="H41" s="45"/>
    </row>
    <row r="42" spans="1:8">
      <c r="A42" s="46"/>
      <c r="B42" s="791"/>
      <c r="C42" s="791"/>
      <c r="D42" s="791"/>
      <c r="E42" s="1296"/>
      <c r="F42" s="1296"/>
      <c r="G42" s="1296"/>
      <c r="H42" s="1296"/>
    </row>
    <row r="43" spans="1:8">
      <c r="A43" s="46"/>
      <c r="B43" s="791"/>
      <c r="C43" s="791"/>
      <c r="D43" s="791"/>
      <c r="E43" s="47"/>
    </row>
    <row r="44" spans="1:8">
      <c r="A44" s="46"/>
      <c r="B44" s="791"/>
      <c r="C44" s="791"/>
      <c r="D44" s="791"/>
      <c r="E44" s="1297"/>
      <c r="F44" s="1297"/>
      <c r="G44" s="1297"/>
      <c r="H44" s="1297"/>
    </row>
    <row r="45" spans="1:8">
      <c r="A45" s="48"/>
      <c r="B45" s="792"/>
      <c r="C45" s="792"/>
      <c r="D45" s="792"/>
      <c r="E45" s="41"/>
      <c r="F45" s="41"/>
      <c r="G45" s="41"/>
      <c r="H45" s="42"/>
    </row>
    <row r="46" spans="1:8">
      <c r="A46" s="50"/>
      <c r="B46" s="793"/>
      <c r="C46" s="793"/>
      <c r="D46" s="793"/>
      <c r="E46" s="43"/>
      <c r="F46" s="43"/>
      <c r="G46" s="43"/>
      <c r="H46" s="43"/>
    </row>
    <row r="47" spans="1:8">
      <c r="A47" s="50"/>
      <c r="B47" s="793"/>
      <c r="C47" s="793"/>
      <c r="D47" s="793"/>
      <c r="E47" s="43"/>
      <c r="F47" s="43"/>
      <c r="G47" s="43"/>
      <c r="H47" s="43"/>
    </row>
    <row r="48" spans="1:8">
      <c r="A48" s="49"/>
      <c r="B48" s="793"/>
      <c r="C48" s="793"/>
      <c r="D48" s="793"/>
      <c r="E48" s="51"/>
      <c r="F48" s="43"/>
      <c r="G48" s="43"/>
      <c r="H48" s="45"/>
    </row>
    <row r="49" spans="1:8">
      <c r="A49" s="52"/>
      <c r="B49" s="794"/>
      <c r="C49" s="794"/>
      <c r="D49" s="794"/>
      <c r="E49" s="1296"/>
      <c r="F49" s="1296"/>
      <c r="G49" s="1296"/>
      <c r="H49" s="1296"/>
    </row>
    <row r="50" spans="1:8">
      <c r="A50" s="48"/>
      <c r="B50" s="795"/>
      <c r="C50" s="795"/>
      <c r="D50" s="795"/>
      <c r="E50" s="53"/>
    </row>
    <row r="51" spans="1:8">
      <c r="A51" s="49"/>
      <c r="B51" s="794"/>
      <c r="C51" s="794"/>
      <c r="D51" s="794"/>
      <c r="E51" s="53"/>
    </row>
    <row r="52" spans="1:8">
      <c r="A52" s="48"/>
      <c r="B52" s="795"/>
      <c r="C52" s="795"/>
      <c r="D52" s="795"/>
      <c r="E52" s="53"/>
      <c r="G52" s="661"/>
    </row>
    <row r="53" spans="1:8">
      <c r="A53" s="49"/>
      <c r="B53" s="794"/>
      <c r="C53" s="794"/>
      <c r="D53" s="794"/>
      <c r="E53" s="53"/>
    </row>
    <row r="54" spans="1:8">
      <c r="A54" s="54"/>
      <c r="B54" s="796"/>
      <c r="C54" s="796"/>
      <c r="D54" s="796"/>
      <c r="E54" s="53"/>
    </row>
    <row r="55" spans="1:8">
      <c r="A55" s="55"/>
      <c r="B55" s="796"/>
      <c r="C55" s="796"/>
      <c r="D55" s="796"/>
      <c r="E55" s="53"/>
    </row>
    <row r="56" spans="1:8">
      <c r="A56" s="54"/>
      <c r="B56" s="797"/>
      <c r="C56" s="797"/>
      <c r="D56" s="797"/>
      <c r="E56" s="56"/>
    </row>
    <row r="57" spans="1:8">
      <c r="A57" s="57"/>
      <c r="B57" s="797"/>
      <c r="C57" s="797"/>
      <c r="D57" s="797"/>
      <c r="E57" s="56"/>
    </row>
  </sheetData>
  <mergeCells count="6">
    <mergeCell ref="A4:A5"/>
    <mergeCell ref="A1:D1"/>
    <mergeCell ref="B4:D4"/>
    <mergeCell ref="E49:H49"/>
    <mergeCell ref="E44:H44"/>
    <mergeCell ref="E42:H42"/>
  </mergeCells>
  <phoneticPr fontId="24" type="noConversion"/>
  <pageMargins left="0.78740157480314965" right="0.78740157480314965" top="0.98425196850393704" bottom="0.98425196850393704" header="0.31496062992125984" footer="0"/>
  <pageSetup paperSize="9" orientation="portrait" r:id="rId1"/>
  <headerFooter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dimension ref="A1:AA89"/>
  <sheetViews>
    <sheetView showGridLines="0" topLeftCell="A40" zoomScaleNormal="100" zoomScaleSheetLayoutView="100" workbookViewId="0">
      <selection activeCell="A40" sqref="A40:M40"/>
    </sheetView>
  </sheetViews>
  <sheetFormatPr baseColWidth="10" defaultColWidth="11.42578125" defaultRowHeight="12.75"/>
  <cols>
    <col min="1" max="1" width="23.140625" style="159" customWidth="1"/>
    <col min="2" max="2" width="7.85546875" style="9" customWidth="1"/>
    <col min="3" max="3" width="6.28515625" style="9" bestFit="1" customWidth="1"/>
    <col min="4" max="4" width="4.7109375" style="9" bestFit="1" customWidth="1"/>
    <col min="5" max="5" width="1.85546875" style="9" customWidth="1"/>
    <col min="6" max="7" width="5.5703125" style="9" customWidth="1"/>
    <col min="8" max="8" width="4.7109375" style="9" bestFit="1" customWidth="1"/>
    <col min="9" max="9" width="1.42578125" style="9" customWidth="1"/>
    <col min="10" max="11" width="5.5703125" style="9" customWidth="1"/>
    <col min="12" max="12" width="4.7109375" style="9" bestFit="1" customWidth="1"/>
    <col min="13" max="13" width="7.85546875" style="9" customWidth="1"/>
    <col min="14" max="14" width="11.42578125" style="9" customWidth="1"/>
    <col min="15" max="16384" width="11.42578125" style="9"/>
  </cols>
  <sheetData>
    <row r="1" spans="1:13" ht="13.5" hidden="1">
      <c r="A1" s="1298" t="s">
        <v>361</v>
      </c>
      <c r="B1" s="1298"/>
      <c r="C1" s="1298"/>
      <c r="D1" s="1298"/>
      <c r="E1" s="1298"/>
      <c r="F1" s="1298"/>
      <c r="G1" s="1298"/>
      <c r="H1" s="1298"/>
      <c r="I1" s="1298"/>
      <c r="J1" s="1298"/>
      <c r="K1" s="1298"/>
      <c r="L1" s="1298"/>
      <c r="M1" s="1298"/>
    </row>
    <row r="2" spans="1:13" hidden="1"/>
    <row r="3" spans="1:13" ht="15.75" hidden="1" customHeight="1">
      <c r="A3" s="1278" t="s">
        <v>282</v>
      </c>
      <c r="B3" s="1301" t="s">
        <v>283</v>
      </c>
      <c r="C3" s="1272" t="s">
        <v>2</v>
      </c>
      <c r="D3" s="1272"/>
      <c r="E3" s="312"/>
      <c r="F3" s="1272" t="s">
        <v>284</v>
      </c>
      <c r="G3" s="1272"/>
      <c r="H3" s="1272"/>
      <c r="I3" s="312"/>
      <c r="J3" s="1272" t="s">
        <v>285</v>
      </c>
      <c r="K3" s="1272"/>
      <c r="L3" s="1272"/>
      <c r="M3" s="1302" t="s">
        <v>286</v>
      </c>
    </row>
    <row r="4" spans="1:13" hidden="1">
      <c r="A4" s="1279"/>
      <c r="B4" s="1301"/>
      <c r="C4" s="312" t="s">
        <v>91</v>
      </c>
      <c r="D4" s="312" t="s">
        <v>92</v>
      </c>
      <c r="E4" s="312"/>
      <c r="F4" s="312" t="s">
        <v>2</v>
      </c>
      <c r="G4" s="312" t="s">
        <v>91</v>
      </c>
      <c r="H4" s="312" t="s">
        <v>92</v>
      </c>
      <c r="I4" s="312"/>
      <c r="J4" s="312" t="s">
        <v>2</v>
      </c>
      <c r="K4" s="312" t="s">
        <v>91</v>
      </c>
      <c r="L4" s="312" t="s">
        <v>92</v>
      </c>
      <c r="M4" s="1302"/>
    </row>
    <row r="5" spans="1:13" hidden="1">
      <c r="A5" s="326"/>
      <c r="B5" s="1303"/>
      <c r="C5" s="1303"/>
      <c r="D5" s="1303"/>
      <c r="E5" s="1303"/>
      <c r="F5" s="1303"/>
      <c r="G5" s="1303"/>
      <c r="H5" s="1303"/>
      <c r="I5" s="1303"/>
      <c r="J5" s="1303"/>
      <c r="K5" s="1303"/>
      <c r="L5" s="1303"/>
      <c r="M5" s="1303"/>
    </row>
    <row r="6" spans="1:13" hidden="1">
      <c r="A6" s="452">
        <v>2011</v>
      </c>
      <c r="B6" s="139"/>
      <c r="C6" s="139"/>
      <c r="D6" s="139"/>
      <c r="E6" s="139"/>
      <c r="F6" s="139"/>
      <c r="G6" s="139"/>
      <c r="H6" s="139"/>
      <c r="I6" s="139"/>
      <c r="J6" s="139"/>
      <c r="K6" s="139"/>
      <c r="L6" s="139"/>
      <c r="M6" s="139"/>
    </row>
    <row r="7" spans="1:13" hidden="1">
      <c r="A7" s="314" t="s">
        <v>2</v>
      </c>
      <c r="B7" s="139">
        <f t="shared" ref="B7:M7" si="0">SUM(B8:B11)</f>
        <v>1078</v>
      </c>
      <c r="C7" s="138">
        <f t="shared" si="0"/>
        <v>981</v>
      </c>
      <c r="D7" s="138">
        <f t="shared" si="0"/>
        <v>97</v>
      </c>
      <c r="E7" s="139"/>
      <c r="F7" s="138">
        <f t="shared" si="0"/>
        <v>473</v>
      </c>
      <c r="G7" s="138">
        <f t="shared" si="0"/>
        <v>414</v>
      </c>
      <c r="H7" s="138">
        <f t="shared" si="0"/>
        <v>59</v>
      </c>
      <c r="I7" s="139"/>
      <c r="J7" s="138">
        <f t="shared" si="0"/>
        <v>606</v>
      </c>
      <c r="K7" s="138">
        <f t="shared" si="0"/>
        <v>568</v>
      </c>
      <c r="L7" s="138">
        <f t="shared" si="0"/>
        <v>38</v>
      </c>
      <c r="M7" s="139">
        <f t="shared" si="0"/>
        <v>1066</v>
      </c>
    </row>
    <row r="8" spans="1:13" hidden="1">
      <c r="A8" s="315" t="s">
        <v>287</v>
      </c>
      <c r="B8" s="172">
        <v>345</v>
      </c>
      <c r="C8" s="172">
        <v>345</v>
      </c>
      <c r="D8" s="172" t="s">
        <v>0</v>
      </c>
      <c r="E8" s="172"/>
      <c r="F8" s="172">
        <v>151</v>
      </c>
      <c r="G8" s="172">
        <v>151</v>
      </c>
      <c r="H8" s="172" t="s">
        <v>0</v>
      </c>
      <c r="I8" s="172"/>
      <c r="J8" s="172">
        <v>220</v>
      </c>
      <c r="K8" s="172">
        <v>220</v>
      </c>
      <c r="L8" s="172" t="s">
        <v>0</v>
      </c>
      <c r="M8" s="172">
        <v>352</v>
      </c>
    </row>
    <row r="9" spans="1:13" hidden="1">
      <c r="A9" s="315" t="s">
        <v>372</v>
      </c>
      <c r="B9" s="172">
        <v>484</v>
      </c>
      <c r="C9" s="172">
        <v>484</v>
      </c>
      <c r="D9" s="172" t="s">
        <v>0</v>
      </c>
      <c r="E9" s="172"/>
      <c r="F9" s="172">
        <v>233</v>
      </c>
      <c r="G9" s="172">
        <v>233</v>
      </c>
      <c r="H9" s="172" t="s">
        <v>0</v>
      </c>
      <c r="I9" s="172"/>
      <c r="J9" s="172">
        <v>250</v>
      </c>
      <c r="K9" s="172">
        <v>250</v>
      </c>
      <c r="L9" s="172" t="s">
        <v>0</v>
      </c>
      <c r="M9" s="172">
        <v>420</v>
      </c>
    </row>
    <row r="10" spans="1:13" hidden="1">
      <c r="A10" s="315" t="s">
        <v>288</v>
      </c>
      <c r="B10" s="172">
        <v>152</v>
      </c>
      <c r="C10" s="172">
        <v>152</v>
      </c>
      <c r="D10" s="172" t="s">
        <v>0</v>
      </c>
      <c r="E10" s="172"/>
      <c r="F10" s="172">
        <v>30</v>
      </c>
      <c r="G10" s="172">
        <v>30</v>
      </c>
      <c r="H10" s="172" t="s">
        <v>0</v>
      </c>
      <c r="I10" s="172"/>
      <c r="J10" s="172">
        <v>98</v>
      </c>
      <c r="K10" s="172">
        <v>98</v>
      </c>
      <c r="L10" s="172" t="s">
        <v>0</v>
      </c>
      <c r="M10" s="172">
        <v>250</v>
      </c>
    </row>
    <row r="11" spans="1:13" ht="12.75" hidden="1" customHeight="1">
      <c r="A11" s="315" t="s">
        <v>235</v>
      </c>
      <c r="B11" s="172">
        <v>97</v>
      </c>
      <c r="C11" s="172" t="s">
        <v>0</v>
      </c>
      <c r="D11" s="172">
        <v>97</v>
      </c>
      <c r="E11" s="172"/>
      <c r="F11" s="172">
        <v>59</v>
      </c>
      <c r="G11" s="172" t="s">
        <v>0</v>
      </c>
      <c r="H11" s="172">
        <v>59</v>
      </c>
      <c r="I11" s="172"/>
      <c r="J11" s="172">
        <v>38</v>
      </c>
      <c r="K11" s="172" t="s">
        <v>0</v>
      </c>
      <c r="L11" s="172">
        <v>38</v>
      </c>
      <c r="M11" s="172">
        <v>44</v>
      </c>
    </row>
    <row r="12" spans="1:13" hidden="1">
      <c r="A12" s="452">
        <v>2012</v>
      </c>
      <c r="B12" s="453"/>
      <c r="C12" s="454"/>
      <c r="D12" s="455"/>
      <c r="E12" s="456"/>
      <c r="F12" s="453"/>
      <c r="G12" s="454"/>
      <c r="H12" s="455"/>
      <c r="I12" s="456"/>
      <c r="J12" s="453"/>
      <c r="K12" s="454"/>
      <c r="L12" s="455"/>
      <c r="M12" s="455"/>
    </row>
    <row r="13" spans="1:13" hidden="1">
      <c r="A13" s="314" t="s">
        <v>2</v>
      </c>
      <c r="B13" s="139">
        <f t="shared" ref="B13:M13" si="1">SUM(B14:B17)</f>
        <v>1315</v>
      </c>
      <c r="C13" s="139">
        <f t="shared" si="1"/>
        <v>1259</v>
      </c>
      <c r="D13" s="138">
        <f t="shared" si="1"/>
        <v>56</v>
      </c>
      <c r="E13" s="139"/>
      <c r="F13" s="138">
        <f t="shared" si="1"/>
        <v>615</v>
      </c>
      <c r="G13" s="138">
        <f t="shared" si="1"/>
        <v>584</v>
      </c>
      <c r="H13" s="138">
        <f t="shared" si="1"/>
        <v>31</v>
      </c>
      <c r="I13" s="139"/>
      <c r="J13" s="138">
        <f t="shared" si="1"/>
        <v>700</v>
      </c>
      <c r="K13" s="138">
        <f t="shared" si="1"/>
        <v>675</v>
      </c>
      <c r="L13" s="138">
        <f t="shared" si="1"/>
        <v>25</v>
      </c>
      <c r="M13" s="138">
        <f t="shared" si="1"/>
        <v>1197</v>
      </c>
    </row>
    <row r="14" spans="1:13" hidden="1">
      <c r="A14" s="315" t="s">
        <v>287</v>
      </c>
      <c r="B14" s="172">
        <v>478</v>
      </c>
      <c r="C14" s="172">
        <v>478</v>
      </c>
      <c r="D14" s="172" t="s">
        <v>0</v>
      </c>
      <c r="E14" s="172"/>
      <c r="F14" s="172">
        <v>163</v>
      </c>
      <c r="G14" s="172">
        <v>163</v>
      </c>
      <c r="H14" s="172" t="s">
        <v>0</v>
      </c>
      <c r="I14" s="172"/>
      <c r="J14" s="172">
        <v>281</v>
      </c>
      <c r="K14" s="172">
        <v>281</v>
      </c>
      <c r="L14" s="172" t="s">
        <v>0</v>
      </c>
      <c r="M14" s="172">
        <v>420</v>
      </c>
    </row>
    <row r="15" spans="1:13" hidden="1">
      <c r="A15" s="315" t="s">
        <v>372</v>
      </c>
      <c r="B15" s="172">
        <v>719</v>
      </c>
      <c r="C15" s="172">
        <v>699</v>
      </c>
      <c r="D15" s="172">
        <v>20</v>
      </c>
      <c r="E15" s="172"/>
      <c r="F15" s="172">
        <v>404</v>
      </c>
      <c r="G15" s="172">
        <v>393</v>
      </c>
      <c r="H15" s="172">
        <v>11</v>
      </c>
      <c r="I15" s="172"/>
      <c r="J15" s="172">
        <v>332</v>
      </c>
      <c r="K15" s="172">
        <v>323</v>
      </c>
      <c r="L15" s="172">
        <v>9</v>
      </c>
      <c r="M15" s="172">
        <v>472</v>
      </c>
    </row>
    <row r="16" spans="1:13" hidden="1">
      <c r="A16" s="315" t="s">
        <v>288</v>
      </c>
      <c r="B16" s="172">
        <v>82</v>
      </c>
      <c r="C16" s="172">
        <v>82</v>
      </c>
      <c r="D16" s="172" t="s">
        <v>0</v>
      </c>
      <c r="E16" s="172"/>
      <c r="F16" s="172">
        <v>28</v>
      </c>
      <c r="G16" s="172">
        <v>28</v>
      </c>
      <c r="H16" s="172"/>
      <c r="I16" s="172"/>
      <c r="J16" s="172">
        <v>71</v>
      </c>
      <c r="K16" s="172">
        <v>71</v>
      </c>
      <c r="L16" s="172" t="s">
        <v>0</v>
      </c>
      <c r="M16" s="172">
        <v>255</v>
      </c>
    </row>
    <row r="17" spans="1:13" hidden="1">
      <c r="A17" s="315" t="s">
        <v>235</v>
      </c>
      <c r="B17" s="172">
        <v>36</v>
      </c>
      <c r="C17" s="172" t="s">
        <v>0</v>
      </c>
      <c r="D17" s="172">
        <v>36</v>
      </c>
      <c r="E17" s="172"/>
      <c r="F17" s="172">
        <v>20</v>
      </c>
      <c r="G17" s="172" t="s">
        <v>0</v>
      </c>
      <c r="H17" s="172">
        <v>20</v>
      </c>
      <c r="I17" s="172"/>
      <c r="J17" s="172">
        <v>16</v>
      </c>
      <c r="K17" s="172" t="s">
        <v>0</v>
      </c>
      <c r="L17" s="172">
        <v>16</v>
      </c>
      <c r="M17" s="172">
        <v>50</v>
      </c>
    </row>
    <row r="18" spans="1:13" hidden="1">
      <c r="A18" s="452">
        <v>2013</v>
      </c>
      <c r="B18" s="453"/>
      <c r="C18" s="454"/>
      <c r="D18" s="455"/>
      <c r="E18" s="456"/>
      <c r="F18" s="453"/>
      <c r="G18" s="454"/>
      <c r="H18" s="453"/>
      <c r="I18" s="456"/>
      <c r="J18" s="453"/>
      <c r="K18" s="454"/>
      <c r="L18" s="453"/>
      <c r="M18" s="455"/>
    </row>
    <row r="19" spans="1:13" hidden="1">
      <c r="A19" s="314" t="s">
        <v>2</v>
      </c>
      <c r="B19" s="457">
        <f t="shared" ref="B19:M19" si="2">SUM(B20:B23)</f>
        <v>1462</v>
      </c>
      <c r="C19" s="457">
        <f t="shared" si="2"/>
        <v>1165</v>
      </c>
      <c r="D19" s="457">
        <f t="shared" si="2"/>
        <v>196</v>
      </c>
      <c r="E19" s="457"/>
      <c r="F19" s="457">
        <f t="shared" si="2"/>
        <v>621</v>
      </c>
      <c r="G19" s="457">
        <f t="shared" si="2"/>
        <v>489</v>
      </c>
      <c r="H19" s="457">
        <f t="shared" si="2"/>
        <v>132</v>
      </c>
      <c r="I19" s="457"/>
      <c r="J19" s="457">
        <f t="shared" si="2"/>
        <v>841</v>
      </c>
      <c r="K19" s="457">
        <f t="shared" si="2"/>
        <v>777</v>
      </c>
      <c r="L19" s="457">
        <f t="shared" si="2"/>
        <v>64</v>
      </c>
      <c r="M19" s="457">
        <f t="shared" si="2"/>
        <v>1197</v>
      </c>
    </row>
    <row r="20" spans="1:13" hidden="1">
      <c r="A20" s="315" t="s">
        <v>287</v>
      </c>
      <c r="B20" s="458">
        <v>476</v>
      </c>
      <c r="C20" s="458">
        <v>475</v>
      </c>
      <c r="D20" s="458" t="s">
        <v>0</v>
      </c>
      <c r="E20" s="458"/>
      <c r="F20" s="458">
        <v>126</v>
      </c>
      <c r="G20" s="458">
        <v>120</v>
      </c>
      <c r="H20" s="458" t="s">
        <v>0</v>
      </c>
      <c r="I20" s="458"/>
      <c r="J20" s="458">
        <v>302</v>
      </c>
      <c r="K20" s="458">
        <v>302</v>
      </c>
      <c r="L20" s="458" t="s">
        <v>0</v>
      </c>
      <c r="M20" s="458">
        <v>420</v>
      </c>
    </row>
    <row r="21" spans="1:13" hidden="1">
      <c r="A21" s="315" t="s">
        <v>372</v>
      </c>
      <c r="B21" s="458">
        <v>715</v>
      </c>
      <c r="C21" s="458">
        <v>567</v>
      </c>
      <c r="D21" s="458">
        <v>48</v>
      </c>
      <c r="E21" s="458"/>
      <c r="F21" s="458">
        <v>369</v>
      </c>
      <c r="G21" s="458">
        <v>353</v>
      </c>
      <c r="H21" s="458">
        <v>22</v>
      </c>
      <c r="I21" s="458"/>
      <c r="J21" s="458">
        <v>412</v>
      </c>
      <c r="K21" s="458">
        <v>386</v>
      </c>
      <c r="L21" s="458">
        <v>26</v>
      </c>
      <c r="M21" s="458">
        <v>472</v>
      </c>
    </row>
    <row r="22" spans="1:13" hidden="1">
      <c r="A22" s="315" t="s">
        <v>288</v>
      </c>
      <c r="B22" s="458">
        <v>123</v>
      </c>
      <c r="C22" s="458">
        <v>123</v>
      </c>
      <c r="D22" s="458" t="s">
        <v>0</v>
      </c>
      <c r="E22" s="458"/>
      <c r="F22" s="458">
        <v>16</v>
      </c>
      <c r="G22" s="458">
        <v>16</v>
      </c>
      <c r="H22" s="458" t="s">
        <v>0</v>
      </c>
      <c r="I22" s="458"/>
      <c r="J22" s="458">
        <v>89</v>
      </c>
      <c r="K22" s="458">
        <v>89</v>
      </c>
      <c r="L22" s="458" t="s">
        <v>0</v>
      </c>
      <c r="M22" s="458">
        <v>255</v>
      </c>
    </row>
    <row r="23" spans="1:13" hidden="1">
      <c r="A23" s="315" t="s">
        <v>235</v>
      </c>
      <c r="B23" s="458">
        <v>148</v>
      </c>
      <c r="C23" s="458" t="s">
        <v>0</v>
      </c>
      <c r="D23" s="458">
        <v>148</v>
      </c>
      <c r="E23" s="458"/>
      <c r="F23" s="458">
        <v>110</v>
      </c>
      <c r="G23" s="458" t="s">
        <v>0</v>
      </c>
      <c r="H23" s="458">
        <v>110</v>
      </c>
      <c r="I23" s="458"/>
      <c r="J23" s="458">
        <v>38</v>
      </c>
      <c r="K23" s="458" t="s">
        <v>0</v>
      </c>
      <c r="L23" s="458">
        <v>38</v>
      </c>
      <c r="M23" s="458">
        <v>50</v>
      </c>
    </row>
    <row r="24" spans="1:13" hidden="1">
      <c r="A24" s="452">
        <v>2014</v>
      </c>
      <c r="B24" s="459"/>
      <c r="C24" s="459"/>
      <c r="D24" s="459"/>
      <c r="E24" s="460"/>
      <c r="F24" s="459"/>
      <c r="G24" s="459"/>
      <c r="H24" s="459"/>
      <c r="I24" s="460"/>
      <c r="J24" s="459"/>
      <c r="K24" s="459"/>
      <c r="L24" s="459"/>
      <c r="M24" s="459"/>
    </row>
    <row r="25" spans="1:13" hidden="1">
      <c r="A25" s="314" t="s">
        <v>2</v>
      </c>
      <c r="B25" s="457">
        <f t="shared" ref="B25:M25" si="3">SUM(B26:B29)</f>
        <v>1614</v>
      </c>
      <c r="C25" s="457">
        <f t="shared" si="3"/>
        <v>1420</v>
      </c>
      <c r="D25" s="457">
        <f t="shared" si="3"/>
        <v>194</v>
      </c>
      <c r="E25" s="457"/>
      <c r="F25" s="457">
        <f t="shared" si="3"/>
        <v>607</v>
      </c>
      <c r="G25" s="457">
        <f t="shared" si="3"/>
        <v>477</v>
      </c>
      <c r="H25" s="457">
        <f t="shared" si="3"/>
        <v>130</v>
      </c>
      <c r="I25" s="457"/>
      <c r="J25" s="457">
        <f t="shared" si="3"/>
        <v>1007</v>
      </c>
      <c r="K25" s="457">
        <f t="shared" si="3"/>
        <v>943</v>
      </c>
      <c r="L25" s="457">
        <f t="shared" si="3"/>
        <v>64</v>
      </c>
      <c r="M25" s="457">
        <f t="shared" si="3"/>
        <v>1197</v>
      </c>
    </row>
    <row r="26" spans="1:13" hidden="1">
      <c r="A26" s="315" t="s">
        <v>287</v>
      </c>
      <c r="B26" s="458">
        <v>471</v>
      </c>
      <c r="C26" s="458">
        <v>471</v>
      </c>
      <c r="D26" s="458" t="s">
        <v>0</v>
      </c>
      <c r="E26" s="458"/>
      <c r="F26" s="458">
        <v>120</v>
      </c>
      <c r="G26" s="458">
        <v>120</v>
      </c>
      <c r="H26" s="458" t="s">
        <v>0</v>
      </c>
      <c r="I26" s="458"/>
      <c r="J26" s="458">
        <v>351</v>
      </c>
      <c r="K26" s="458">
        <v>351</v>
      </c>
      <c r="L26" s="458" t="s">
        <v>0</v>
      </c>
      <c r="M26" s="458">
        <v>420</v>
      </c>
    </row>
    <row r="27" spans="1:13" hidden="1">
      <c r="A27" s="315" t="s">
        <v>372</v>
      </c>
      <c r="B27" s="458">
        <v>871</v>
      </c>
      <c r="C27" s="458">
        <v>825</v>
      </c>
      <c r="D27" s="458">
        <v>46</v>
      </c>
      <c r="E27" s="458"/>
      <c r="F27" s="458">
        <v>362</v>
      </c>
      <c r="G27" s="458">
        <v>341</v>
      </c>
      <c r="H27" s="458">
        <v>21</v>
      </c>
      <c r="I27" s="458"/>
      <c r="J27" s="458">
        <v>509</v>
      </c>
      <c r="K27" s="458">
        <v>484</v>
      </c>
      <c r="L27" s="458">
        <v>25</v>
      </c>
      <c r="M27" s="458">
        <v>472</v>
      </c>
    </row>
    <row r="28" spans="1:13" hidden="1">
      <c r="A28" s="315" t="s">
        <v>288</v>
      </c>
      <c r="B28" s="458">
        <v>124</v>
      </c>
      <c r="C28" s="458">
        <v>124</v>
      </c>
      <c r="D28" s="458" t="s">
        <v>0</v>
      </c>
      <c r="E28" s="458"/>
      <c r="F28" s="458">
        <v>16</v>
      </c>
      <c r="G28" s="458">
        <v>16</v>
      </c>
      <c r="H28" s="458" t="s">
        <v>0</v>
      </c>
      <c r="I28" s="458"/>
      <c r="J28" s="458">
        <v>108</v>
      </c>
      <c r="K28" s="458">
        <v>108</v>
      </c>
      <c r="L28" s="458" t="s">
        <v>0</v>
      </c>
      <c r="M28" s="458">
        <v>255</v>
      </c>
    </row>
    <row r="29" spans="1:13" hidden="1">
      <c r="A29" s="315" t="s">
        <v>235</v>
      </c>
      <c r="B29" s="458">
        <v>148</v>
      </c>
      <c r="C29" s="458" t="s">
        <v>0</v>
      </c>
      <c r="D29" s="458">
        <v>148</v>
      </c>
      <c r="E29" s="458"/>
      <c r="F29" s="458">
        <v>109</v>
      </c>
      <c r="G29" s="458" t="s">
        <v>0</v>
      </c>
      <c r="H29" s="458">
        <v>109</v>
      </c>
      <c r="I29" s="458"/>
      <c r="J29" s="458">
        <v>39</v>
      </c>
      <c r="K29" s="458" t="s">
        <v>0</v>
      </c>
      <c r="L29" s="458">
        <v>39</v>
      </c>
      <c r="M29" s="458">
        <v>50</v>
      </c>
    </row>
    <row r="30" spans="1:13" hidden="1">
      <c r="A30" s="452">
        <v>2015</v>
      </c>
      <c r="B30" s="461"/>
      <c r="C30" s="462"/>
      <c r="D30" s="463"/>
      <c r="E30" s="460"/>
      <c r="F30" s="461"/>
      <c r="G30" s="462"/>
      <c r="H30" s="461"/>
      <c r="I30" s="460"/>
      <c r="J30" s="461"/>
      <c r="K30" s="462"/>
      <c r="L30" s="461"/>
      <c r="M30" s="463"/>
    </row>
    <row r="31" spans="1:13" hidden="1">
      <c r="A31" s="314" t="s">
        <v>2</v>
      </c>
      <c r="B31" s="457">
        <f t="shared" ref="B31:M31" si="4">SUM(B32:B35)</f>
        <v>1767</v>
      </c>
      <c r="C31" s="457">
        <f t="shared" si="4"/>
        <v>1596</v>
      </c>
      <c r="D31" s="457">
        <f t="shared" si="4"/>
        <v>171</v>
      </c>
      <c r="E31" s="457"/>
      <c r="F31" s="457">
        <f t="shared" si="4"/>
        <v>620</v>
      </c>
      <c r="G31" s="457">
        <f t="shared" si="4"/>
        <v>553</v>
      </c>
      <c r="H31" s="457">
        <f t="shared" si="4"/>
        <v>67</v>
      </c>
      <c r="I31" s="457"/>
      <c r="J31" s="457">
        <f t="shared" si="4"/>
        <v>1147</v>
      </c>
      <c r="K31" s="457">
        <f t="shared" si="4"/>
        <v>1043</v>
      </c>
      <c r="L31" s="457">
        <f t="shared" si="4"/>
        <v>104</v>
      </c>
      <c r="M31" s="457">
        <f t="shared" si="4"/>
        <v>1197</v>
      </c>
    </row>
    <row r="32" spans="1:13" hidden="1">
      <c r="A32" s="315" t="s">
        <v>287</v>
      </c>
      <c r="B32" s="458">
        <v>486</v>
      </c>
      <c r="C32" s="458">
        <v>486</v>
      </c>
      <c r="D32" s="458" t="s">
        <v>0</v>
      </c>
      <c r="E32" s="458"/>
      <c r="F32" s="458">
        <v>136</v>
      </c>
      <c r="G32" s="458">
        <v>136</v>
      </c>
      <c r="H32" s="458" t="s">
        <v>0</v>
      </c>
      <c r="I32" s="458"/>
      <c r="J32" s="458">
        <v>350</v>
      </c>
      <c r="K32" s="458">
        <v>350</v>
      </c>
      <c r="L32" s="458" t="s">
        <v>0</v>
      </c>
      <c r="M32" s="458">
        <v>420</v>
      </c>
    </row>
    <row r="33" spans="1:13" hidden="1">
      <c r="A33" s="315" t="s">
        <v>372</v>
      </c>
      <c r="B33" s="458">
        <v>1007</v>
      </c>
      <c r="C33" s="458">
        <v>950</v>
      </c>
      <c r="D33" s="458">
        <v>57</v>
      </c>
      <c r="E33" s="458"/>
      <c r="F33" s="458">
        <v>369</v>
      </c>
      <c r="G33" s="458">
        <v>359</v>
      </c>
      <c r="H33" s="458">
        <v>10</v>
      </c>
      <c r="I33" s="458"/>
      <c r="J33" s="458">
        <v>638</v>
      </c>
      <c r="K33" s="458">
        <v>591</v>
      </c>
      <c r="L33" s="458">
        <v>47</v>
      </c>
      <c r="M33" s="458">
        <v>472</v>
      </c>
    </row>
    <row r="34" spans="1:13" hidden="1">
      <c r="A34" s="315" t="s">
        <v>288</v>
      </c>
      <c r="B34" s="458">
        <v>160</v>
      </c>
      <c r="C34" s="458">
        <v>160</v>
      </c>
      <c r="D34" s="458" t="s">
        <v>0</v>
      </c>
      <c r="E34" s="458"/>
      <c r="F34" s="458">
        <v>58</v>
      </c>
      <c r="G34" s="458">
        <v>58</v>
      </c>
      <c r="H34" s="458" t="s">
        <v>0</v>
      </c>
      <c r="I34" s="458"/>
      <c r="J34" s="458">
        <v>102</v>
      </c>
      <c r="K34" s="458">
        <v>102</v>
      </c>
      <c r="L34" s="458" t="s">
        <v>0</v>
      </c>
      <c r="M34" s="458">
        <v>255</v>
      </c>
    </row>
    <row r="35" spans="1:13" hidden="1">
      <c r="A35" s="327" t="s">
        <v>235</v>
      </c>
      <c r="B35" s="464">
        <v>114</v>
      </c>
      <c r="C35" s="464" t="s">
        <v>0</v>
      </c>
      <c r="D35" s="464">
        <v>114</v>
      </c>
      <c r="E35" s="464"/>
      <c r="F35" s="464">
        <v>57</v>
      </c>
      <c r="G35" s="464" t="s">
        <v>0</v>
      </c>
      <c r="H35" s="464">
        <v>57</v>
      </c>
      <c r="I35" s="464"/>
      <c r="J35" s="464">
        <v>57</v>
      </c>
      <c r="K35" s="464" t="s">
        <v>0</v>
      </c>
      <c r="L35" s="464">
        <v>57</v>
      </c>
      <c r="M35" s="464">
        <v>50</v>
      </c>
    </row>
    <row r="36" spans="1:13" ht="13.5" hidden="1">
      <c r="A36" s="176"/>
      <c r="B36" s="324"/>
      <c r="C36" s="97"/>
      <c r="D36" s="97"/>
      <c r="E36" s="97"/>
      <c r="F36" s="97"/>
      <c r="G36" s="97"/>
      <c r="H36" s="97"/>
      <c r="I36" s="97"/>
      <c r="J36" s="97"/>
      <c r="K36" s="97"/>
      <c r="L36" s="97"/>
      <c r="M36" s="93" t="s">
        <v>289</v>
      </c>
    </row>
    <row r="37" spans="1:13" hidden="1">
      <c r="A37" s="176"/>
      <c r="B37" s="324"/>
      <c r="C37" s="97"/>
      <c r="D37" s="97"/>
      <c r="E37" s="97"/>
      <c r="F37" s="97"/>
      <c r="G37" s="97"/>
      <c r="H37" s="97"/>
      <c r="I37" s="97"/>
      <c r="J37" s="97"/>
      <c r="K37" s="97"/>
      <c r="L37" s="97"/>
      <c r="M37" s="97"/>
    </row>
    <row r="38" spans="1:13" hidden="1">
      <c r="A38" s="325"/>
      <c r="B38" s="324"/>
      <c r="C38" s="97"/>
      <c r="D38" s="97"/>
      <c r="E38" s="97"/>
      <c r="F38" s="97"/>
      <c r="G38" s="97"/>
      <c r="H38" s="97"/>
      <c r="I38" s="97"/>
      <c r="J38" s="97"/>
      <c r="K38" s="97"/>
      <c r="L38" s="97"/>
      <c r="M38" s="97"/>
    </row>
    <row r="39" spans="1:13" hidden="1">
      <c r="A39" s="325"/>
      <c r="B39" s="324"/>
      <c r="C39" s="97"/>
      <c r="D39" s="97"/>
      <c r="E39" s="97"/>
      <c r="F39" s="97"/>
      <c r="G39" s="97"/>
      <c r="H39" s="97"/>
      <c r="I39" s="97"/>
      <c r="J39" s="97"/>
      <c r="K39" s="97"/>
      <c r="L39" s="97"/>
      <c r="M39" s="97"/>
    </row>
    <row r="40" spans="1:13" ht="25.5" customHeight="1">
      <c r="A40" s="1159" t="s">
        <v>560</v>
      </c>
      <c r="B40" s="1159"/>
      <c r="C40" s="1159"/>
      <c r="D40" s="1159"/>
      <c r="E40" s="1159"/>
      <c r="F40" s="1159"/>
      <c r="G40" s="1159"/>
      <c r="H40" s="1159"/>
      <c r="I40" s="1159"/>
      <c r="J40" s="1159"/>
      <c r="K40" s="1159"/>
      <c r="L40" s="1159"/>
      <c r="M40" s="1159"/>
    </row>
    <row r="41" spans="1:13" ht="5.0999999999999996" customHeight="1">
      <c r="A41" s="542"/>
      <c r="B41" s="336"/>
      <c r="C41" s="336"/>
      <c r="D41" s="336"/>
      <c r="E41" s="336"/>
      <c r="F41" s="336"/>
      <c r="G41" s="336"/>
      <c r="H41" s="336"/>
      <c r="I41" s="336"/>
      <c r="J41" s="336"/>
      <c r="K41" s="336"/>
      <c r="L41" s="336"/>
      <c r="M41" s="336"/>
    </row>
    <row r="42" spans="1:13" ht="0.75" customHeight="1">
      <c r="A42" s="173"/>
      <c r="B42" s="173"/>
      <c r="C42" s="173"/>
      <c r="D42" s="173"/>
      <c r="E42" s="173"/>
      <c r="F42" s="173"/>
      <c r="G42" s="173"/>
      <c r="H42" s="173"/>
      <c r="I42" s="173"/>
      <c r="J42" s="173"/>
      <c r="K42" s="173"/>
      <c r="L42" s="97"/>
      <c r="M42" s="93"/>
    </row>
    <row r="43" spans="1:13" ht="12.75" customHeight="1">
      <c r="A43" s="1278" t="s">
        <v>282</v>
      </c>
      <c r="B43" s="1299" t="s">
        <v>257</v>
      </c>
      <c r="C43" s="1272" t="s">
        <v>2</v>
      </c>
      <c r="D43" s="1272"/>
      <c r="E43" s="320"/>
      <c r="F43" s="1272" t="s">
        <v>284</v>
      </c>
      <c r="G43" s="1272"/>
      <c r="H43" s="1272"/>
      <c r="I43" s="320"/>
      <c r="J43" s="1272" t="s">
        <v>285</v>
      </c>
      <c r="K43" s="1272"/>
      <c r="L43" s="1272"/>
      <c r="M43" s="1300" t="s">
        <v>559</v>
      </c>
    </row>
    <row r="44" spans="1:13" ht="24" customHeight="1">
      <c r="A44" s="1279"/>
      <c r="B44" s="1287"/>
      <c r="C44" s="322" t="s">
        <v>91</v>
      </c>
      <c r="D44" s="322" t="s">
        <v>92</v>
      </c>
      <c r="E44" s="322"/>
      <c r="F44" s="322" t="s">
        <v>2</v>
      </c>
      <c r="G44" s="322" t="s">
        <v>91</v>
      </c>
      <c r="H44" s="322" t="s">
        <v>92</v>
      </c>
      <c r="I44" s="322"/>
      <c r="J44" s="322" t="s">
        <v>2</v>
      </c>
      <c r="K44" s="322" t="s">
        <v>91</v>
      </c>
      <c r="L44" s="322" t="s">
        <v>92</v>
      </c>
      <c r="M44" s="1285"/>
    </row>
    <row r="45" spans="1:13" hidden="1">
      <c r="A45" s="452">
        <v>2017</v>
      </c>
      <c r="B45" s="443"/>
      <c r="C45" s="443"/>
      <c r="D45" s="443"/>
      <c r="E45" s="443"/>
      <c r="F45" s="443"/>
      <c r="G45" s="443"/>
      <c r="H45" s="443"/>
      <c r="I45" s="443"/>
      <c r="J45" s="443"/>
      <c r="K45" s="443"/>
      <c r="L45" s="443"/>
      <c r="M45" s="443"/>
    </row>
    <row r="46" spans="1:13" hidden="1">
      <c r="A46" s="314" t="s">
        <v>2</v>
      </c>
      <c r="B46" s="465">
        <v>2203</v>
      </c>
      <c r="C46" s="439">
        <v>2008</v>
      </c>
      <c r="D46" s="439">
        <v>195</v>
      </c>
      <c r="E46" s="439"/>
      <c r="F46" s="439">
        <v>888</v>
      </c>
      <c r="G46" s="439">
        <v>818</v>
      </c>
      <c r="H46" s="439">
        <v>70</v>
      </c>
      <c r="I46" s="439"/>
      <c r="J46" s="439">
        <v>1315</v>
      </c>
      <c r="K46" s="439">
        <v>1190</v>
      </c>
      <c r="L46" s="439">
        <v>125</v>
      </c>
      <c r="M46" s="439">
        <v>1456</v>
      </c>
    </row>
    <row r="47" spans="1:13" s="483" customFormat="1" ht="25.5" hidden="1">
      <c r="A47" s="480" t="s">
        <v>287</v>
      </c>
      <c r="B47" s="481">
        <f>SUM(C47:D47)</f>
        <v>696</v>
      </c>
      <c r="C47" s="482">
        <v>696</v>
      </c>
      <c r="D47" s="482" t="s">
        <v>97</v>
      </c>
      <c r="E47" s="482"/>
      <c r="F47" s="482">
        <f>SUM(G47:H47)</f>
        <v>267</v>
      </c>
      <c r="G47" s="482">
        <v>267</v>
      </c>
      <c r="H47" s="482" t="s">
        <v>281</v>
      </c>
      <c r="I47" s="482"/>
      <c r="J47" s="482">
        <f>SUM(K47:L47)</f>
        <v>429</v>
      </c>
      <c r="K47" s="482">
        <v>429</v>
      </c>
      <c r="L47" s="482" t="s">
        <v>97</v>
      </c>
      <c r="M47" s="482">
        <v>778</v>
      </c>
    </row>
    <row r="48" spans="1:13" s="483" customFormat="1" ht="25.5" hidden="1">
      <c r="A48" s="480" t="s">
        <v>387</v>
      </c>
      <c r="B48" s="481">
        <f>SUM(C48:D48)</f>
        <v>1167</v>
      </c>
      <c r="C48" s="482">
        <v>1119</v>
      </c>
      <c r="D48" s="482">
        <v>48</v>
      </c>
      <c r="E48" s="482"/>
      <c r="F48" s="482">
        <f>SUM(G48:H48)</f>
        <v>435</v>
      </c>
      <c r="G48" s="482">
        <v>432</v>
      </c>
      <c r="H48" s="482">
        <v>3</v>
      </c>
      <c r="I48" s="482"/>
      <c r="J48" s="482">
        <f>SUM(K48:L48)</f>
        <v>732</v>
      </c>
      <c r="K48" s="482">
        <v>687</v>
      </c>
      <c r="L48" s="482">
        <v>45</v>
      </c>
      <c r="M48" s="482">
        <v>420</v>
      </c>
    </row>
    <row r="49" spans="1:13" s="483" customFormat="1" ht="25.5" hidden="1">
      <c r="A49" s="480" t="s">
        <v>235</v>
      </c>
      <c r="B49" s="481">
        <f>SUM(C49:D49)</f>
        <v>147</v>
      </c>
      <c r="C49" s="482" t="s">
        <v>97</v>
      </c>
      <c r="D49" s="482">
        <v>147</v>
      </c>
      <c r="E49" s="482"/>
      <c r="F49" s="482">
        <f>SUM(G49:H49)</f>
        <v>67</v>
      </c>
      <c r="G49" s="482" t="s">
        <v>290</v>
      </c>
      <c r="H49" s="482">
        <v>67</v>
      </c>
      <c r="I49" s="482"/>
      <c r="J49" s="482">
        <f>SUM(K49:L49)</f>
        <v>80</v>
      </c>
      <c r="K49" s="482" t="s">
        <v>97</v>
      </c>
      <c r="L49" s="482">
        <v>80</v>
      </c>
      <c r="M49" s="482">
        <v>44</v>
      </c>
    </row>
    <row r="50" spans="1:13" ht="15.75" hidden="1" customHeight="1">
      <c r="A50" s="452">
        <v>2018</v>
      </c>
      <c r="B50" s="443"/>
      <c r="C50" s="443"/>
      <c r="D50" s="443"/>
      <c r="E50" s="443"/>
      <c r="F50" s="443"/>
      <c r="G50" s="443"/>
      <c r="H50" s="443"/>
      <c r="I50" s="443"/>
      <c r="J50" s="443"/>
      <c r="K50" s="443"/>
      <c r="L50" s="443"/>
      <c r="M50" s="443"/>
    </row>
    <row r="51" spans="1:13" hidden="1">
      <c r="A51" s="314" t="s">
        <v>2</v>
      </c>
      <c r="B51" s="465">
        <f>+SUM(B52:B54)</f>
        <v>2272</v>
      </c>
      <c r="C51" s="465">
        <f t="shared" ref="C51:M51" si="5">+SUM(C52:C54)</f>
        <v>2039</v>
      </c>
      <c r="D51" s="465">
        <f t="shared" si="5"/>
        <v>233</v>
      </c>
      <c r="E51" s="465"/>
      <c r="F51" s="465">
        <f t="shared" si="5"/>
        <v>789</v>
      </c>
      <c r="G51" s="465">
        <f t="shared" si="5"/>
        <v>704</v>
      </c>
      <c r="H51" s="465">
        <f t="shared" si="5"/>
        <v>85</v>
      </c>
      <c r="I51" s="465"/>
      <c r="J51" s="465">
        <f t="shared" si="5"/>
        <v>1483</v>
      </c>
      <c r="K51" s="465">
        <f t="shared" si="5"/>
        <v>1335</v>
      </c>
      <c r="L51" s="465">
        <f t="shared" si="5"/>
        <v>148</v>
      </c>
      <c r="M51" s="465">
        <f t="shared" si="5"/>
        <v>1242</v>
      </c>
    </row>
    <row r="52" spans="1:13" s="483" customFormat="1" ht="25.5" hidden="1">
      <c r="A52" s="480" t="s">
        <v>287</v>
      </c>
      <c r="B52" s="481">
        <v>737</v>
      </c>
      <c r="C52" s="482">
        <f>+G52+K52</f>
        <v>737</v>
      </c>
      <c r="D52" s="482" t="s">
        <v>0</v>
      </c>
      <c r="E52" s="482"/>
      <c r="F52" s="482">
        <v>246</v>
      </c>
      <c r="G52" s="482">
        <v>246</v>
      </c>
      <c r="H52" s="482" t="s">
        <v>281</v>
      </c>
      <c r="I52" s="482"/>
      <c r="J52" s="482">
        <f>+K52</f>
        <v>491</v>
      </c>
      <c r="K52" s="482">
        <f>474+17</f>
        <v>491</v>
      </c>
      <c r="L52" s="482" t="s">
        <v>97</v>
      </c>
      <c r="M52" s="482">
        <v>778</v>
      </c>
    </row>
    <row r="53" spans="1:13" s="483" customFormat="1" ht="25.5" hidden="1">
      <c r="A53" s="480" t="s">
        <v>387</v>
      </c>
      <c r="B53" s="481">
        <v>1347</v>
      </c>
      <c r="C53" s="482">
        <v>1302</v>
      </c>
      <c r="D53" s="482">
        <v>45</v>
      </c>
      <c r="E53" s="482"/>
      <c r="F53" s="482">
        <v>460</v>
      </c>
      <c r="G53" s="482">
        <v>458</v>
      </c>
      <c r="H53" s="482">
        <v>2</v>
      </c>
      <c r="I53" s="482"/>
      <c r="J53" s="482">
        <v>887</v>
      </c>
      <c r="K53" s="482">
        <f>791+53</f>
        <v>844</v>
      </c>
      <c r="L53" s="482">
        <v>43</v>
      </c>
      <c r="M53" s="482">
        <v>420</v>
      </c>
    </row>
    <row r="54" spans="1:13" s="483" customFormat="1" ht="25.5" hidden="1">
      <c r="A54" s="480" t="s">
        <v>235</v>
      </c>
      <c r="B54" s="481">
        <v>188</v>
      </c>
      <c r="C54" s="482" t="s">
        <v>0</v>
      </c>
      <c r="D54" s="482">
        <v>188</v>
      </c>
      <c r="E54" s="482"/>
      <c r="F54" s="482">
        <v>83</v>
      </c>
      <c r="G54" s="482" t="s">
        <v>290</v>
      </c>
      <c r="H54" s="482">
        <v>83</v>
      </c>
      <c r="I54" s="482"/>
      <c r="J54" s="482">
        <v>105</v>
      </c>
      <c r="K54" s="482" t="s">
        <v>97</v>
      </c>
      <c r="L54" s="482">
        <v>105</v>
      </c>
      <c r="M54" s="482">
        <v>44</v>
      </c>
    </row>
    <row r="55" spans="1:13" ht="13.5" customHeight="1">
      <c r="A55" s="452">
        <v>2019</v>
      </c>
      <c r="B55" s="443"/>
      <c r="C55" s="443"/>
      <c r="D55" s="443"/>
      <c r="E55" s="443"/>
      <c r="F55" s="443"/>
      <c r="G55" s="443"/>
      <c r="H55" s="443"/>
      <c r="I55" s="443"/>
      <c r="J55" s="443"/>
      <c r="K55" s="443"/>
      <c r="L55" s="443"/>
      <c r="M55" s="443"/>
    </row>
    <row r="56" spans="1:13">
      <c r="A56" s="314" t="s">
        <v>2</v>
      </c>
      <c r="B56" s="465">
        <f>SUM(B57:B59)</f>
        <v>2748</v>
      </c>
      <c r="C56" s="465">
        <f>SUM(C57:C59)</f>
        <v>2497</v>
      </c>
      <c r="D56" s="465">
        <f t="shared" ref="D56:M56" si="6">SUM(D57:D59)</f>
        <v>251</v>
      </c>
      <c r="E56" s="465"/>
      <c r="F56" s="465">
        <f t="shared" si="6"/>
        <v>914</v>
      </c>
      <c r="G56" s="465">
        <f t="shared" si="6"/>
        <v>825</v>
      </c>
      <c r="H56" s="465">
        <f>SUM(H57:H59)</f>
        <v>89</v>
      </c>
      <c r="I56" s="1120"/>
      <c r="J56" s="465">
        <f t="shared" si="6"/>
        <v>1834</v>
      </c>
      <c r="K56" s="465">
        <f t="shared" si="6"/>
        <v>1672</v>
      </c>
      <c r="L56" s="465">
        <f t="shared" si="6"/>
        <v>162</v>
      </c>
      <c r="M56" s="465">
        <f t="shared" si="6"/>
        <v>1242</v>
      </c>
    </row>
    <row r="57" spans="1:13" s="483" customFormat="1" ht="25.5">
      <c r="A57" s="480" t="s">
        <v>287</v>
      </c>
      <c r="B57" s="481">
        <f>+SUM(C57:D57)</f>
        <v>888</v>
      </c>
      <c r="C57" s="482">
        <v>888</v>
      </c>
      <c r="D57" s="482">
        <v>0</v>
      </c>
      <c r="E57" s="482"/>
      <c r="F57" s="482">
        <f>SUM(G57:H57)</f>
        <v>303</v>
      </c>
      <c r="G57" s="482">
        <v>303</v>
      </c>
      <c r="H57" s="482">
        <v>0</v>
      </c>
      <c r="I57" s="482"/>
      <c r="J57" s="482">
        <f>SUM(K57:L57)</f>
        <v>585</v>
      </c>
      <c r="K57" s="482">
        <v>585</v>
      </c>
      <c r="L57" s="482">
        <v>0</v>
      </c>
      <c r="M57" s="482">
        <v>778</v>
      </c>
    </row>
    <row r="58" spans="1:13" s="483" customFormat="1" ht="25.5">
      <c r="A58" s="480" t="s">
        <v>387</v>
      </c>
      <c r="B58" s="481">
        <f>+SUM(C58:D58)</f>
        <v>1665</v>
      </c>
      <c r="C58" s="482">
        <v>1609</v>
      </c>
      <c r="D58" s="482">
        <v>56</v>
      </c>
      <c r="E58" s="482"/>
      <c r="F58" s="482">
        <f>SUM(G58:H58)</f>
        <v>524</v>
      </c>
      <c r="G58" s="482">
        <v>522</v>
      </c>
      <c r="H58" s="482">
        <v>2</v>
      </c>
      <c r="I58" s="482"/>
      <c r="J58" s="482">
        <f>SUM(K58:L58)</f>
        <v>1141</v>
      </c>
      <c r="K58" s="482">
        <f>1031+56</f>
        <v>1087</v>
      </c>
      <c r="L58" s="482">
        <v>54</v>
      </c>
      <c r="M58" s="482">
        <v>420</v>
      </c>
    </row>
    <row r="59" spans="1:13" s="483" customFormat="1" ht="25.5">
      <c r="A59" s="480" t="s">
        <v>235</v>
      </c>
      <c r="B59" s="481">
        <f>+SUM(C59:D59)</f>
        <v>195</v>
      </c>
      <c r="C59" s="482">
        <v>0</v>
      </c>
      <c r="D59" s="482">
        <v>195</v>
      </c>
      <c r="E59" s="482"/>
      <c r="F59" s="482">
        <v>87</v>
      </c>
      <c r="G59" s="482">
        <v>0</v>
      </c>
      <c r="H59" s="482">
        <v>87</v>
      </c>
      <c r="I59" s="482"/>
      <c r="J59" s="482">
        <f>SUM(K59:L59)</f>
        <v>108</v>
      </c>
      <c r="K59" s="482">
        <v>0</v>
      </c>
      <c r="L59" s="482">
        <v>108</v>
      </c>
      <c r="M59" s="482">
        <v>44</v>
      </c>
    </row>
    <row r="60" spans="1:13">
      <c r="A60" s="452">
        <v>2020</v>
      </c>
      <c r="B60" s="443"/>
      <c r="C60" s="443"/>
      <c r="D60" s="443"/>
      <c r="E60" s="443"/>
      <c r="F60" s="443"/>
      <c r="G60" s="443"/>
      <c r="H60" s="443"/>
      <c r="I60" s="443"/>
      <c r="J60" s="443"/>
      <c r="K60" s="443"/>
      <c r="L60" s="443"/>
      <c r="M60" s="443"/>
    </row>
    <row r="61" spans="1:13">
      <c r="A61" s="314" t="s">
        <v>2</v>
      </c>
      <c r="B61" s="465">
        <f>+SUM(B62:B64)</f>
        <v>2210</v>
      </c>
      <c r="C61" s="465">
        <f>+SUM(C62:C64)</f>
        <v>1996</v>
      </c>
      <c r="D61" s="465">
        <f>+SUM(D62:D64)</f>
        <v>214</v>
      </c>
      <c r="E61" s="465"/>
      <c r="F61" s="465">
        <f>+SUM(F62:F64)</f>
        <v>548</v>
      </c>
      <c r="G61" s="465">
        <f>+SUM(G62:G64)</f>
        <v>491</v>
      </c>
      <c r="H61" s="465">
        <f>+SUM(H62:H64)</f>
        <v>57</v>
      </c>
      <c r="I61" s="465"/>
      <c r="J61" s="465">
        <f>+SUM(J62:J64)</f>
        <v>1662</v>
      </c>
      <c r="K61" s="465">
        <f>+SUM(K62:K64)</f>
        <v>1505</v>
      </c>
      <c r="L61" s="465">
        <f>+SUM(L62:L64)</f>
        <v>157</v>
      </c>
      <c r="M61" s="465">
        <f>+SUM(M62:M64)</f>
        <v>1242</v>
      </c>
    </row>
    <row r="62" spans="1:13" ht="25.5">
      <c r="A62" s="480" t="s">
        <v>287</v>
      </c>
      <c r="B62" s="481">
        <v>697</v>
      </c>
      <c r="C62" s="482">
        <v>697</v>
      </c>
      <c r="D62" s="482">
        <v>0</v>
      </c>
      <c r="E62" s="483"/>
      <c r="F62" s="482">
        <f>SUM(G62:H62)</f>
        <v>157</v>
      </c>
      <c r="G62" s="482">
        <v>157</v>
      </c>
      <c r="H62" s="482">
        <v>0</v>
      </c>
      <c r="I62" s="483"/>
      <c r="J62" s="482">
        <f>SUM(K62:L62)</f>
        <v>540</v>
      </c>
      <c r="K62" s="482">
        <v>540</v>
      </c>
      <c r="L62" s="482">
        <v>0</v>
      </c>
      <c r="M62" s="482">
        <v>778</v>
      </c>
    </row>
    <row r="63" spans="1:13" ht="25.5">
      <c r="A63" s="480" t="s">
        <v>387</v>
      </c>
      <c r="B63" s="481">
        <v>1347</v>
      </c>
      <c r="C63" s="482">
        <v>1299</v>
      </c>
      <c r="D63" s="482">
        <v>48</v>
      </c>
      <c r="E63" s="483"/>
      <c r="F63" s="482">
        <f>SUM(G63:H63)</f>
        <v>336</v>
      </c>
      <c r="G63" s="482">
        <v>334</v>
      </c>
      <c r="H63" s="482">
        <v>2</v>
      </c>
      <c r="I63" s="483"/>
      <c r="J63" s="482">
        <f>SUM(K63:L63)</f>
        <v>1011</v>
      </c>
      <c r="K63" s="482">
        <f>918+47</f>
        <v>965</v>
      </c>
      <c r="L63" s="482">
        <v>46</v>
      </c>
      <c r="M63" s="482">
        <v>420</v>
      </c>
    </row>
    <row r="64" spans="1:13" ht="25.5">
      <c r="A64" s="480" t="s">
        <v>235</v>
      </c>
      <c r="B64" s="481">
        <v>166</v>
      </c>
      <c r="C64" s="482">
        <v>0</v>
      </c>
      <c r="D64" s="482">
        <v>166</v>
      </c>
      <c r="E64" s="483"/>
      <c r="F64" s="482">
        <f>SUM(G64:H64)</f>
        <v>55</v>
      </c>
      <c r="G64" s="482">
        <v>0</v>
      </c>
      <c r="H64" s="482">
        <v>55</v>
      </c>
      <c r="I64" s="483"/>
      <c r="J64" s="482">
        <f>SUM(K64:L64)</f>
        <v>111</v>
      </c>
      <c r="K64" s="482">
        <v>0</v>
      </c>
      <c r="L64" s="482">
        <v>111</v>
      </c>
      <c r="M64" s="482">
        <v>44</v>
      </c>
    </row>
    <row r="65" spans="1:27">
      <c r="A65" s="452">
        <v>2021</v>
      </c>
      <c r="B65" s="443"/>
      <c r="C65" s="443"/>
      <c r="D65" s="443"/>
      <c r="E65" s="443"/>
      <c r="F65" s="443"/>
      <c r="G65" s="443"/>
      <c r="H65" s="443"/>
      <c r="I65" s="443"/>
      <c r="J65" s="443"/>
      <c r="K65" s="443"/>
      <c r="L65" s="443"/>
      <c r="M65" s="443"/>
    </row>
    <row r="66" spans="1:27">
      <c r="A66" s="314" t="s">
        <v>2</v>
      </c>
      <c r="B66" s="465">
        <f>+SUM(B67:B69)</f>
        <v>2319</v>
      </c>
      <c r="C66" s="465">
        <f>+SUM(C67:C69)</f>
        <v>2085</v>
      </c>
      <c r="D66" s="465">
        <f>+SUM(D67:D69)</f>
        <v>234</v>
      </c>
      <c r="E66" s="465"/>
      <c r="F66" s="465">
        <f>+SUM(F67:F69)</f>
        <v>579</v>
      </c>
      <c r="G66" s="465">
        <f>+SUM(G67:G69)</f>
        <v>501</v>
      </c>
      <c r="H66" s="465">
        <f>+SUM(H67:H69)</f>
        <v>78</v>
      </c>
      <c r="I66" s="465"/>
      <c r="J66" s="465">
        <f>+SUM(J67:J69)</f>
        <v>1740</v>
      </c>
      <c r="K66" s="465">
        <f>+SUM(K67:K69)</f>
        <v>1584</v>
      </c>
      <c r="L66" s="465">
        <f>+SUM(L67:L69)</f>
        <v>156</v>
      </c>
      <c r="M66" s="465">
        <f>+SUM(M67:M69)</f>
        <v>1242</v>
      </c>
    </row>
    <row r="67" spans="1:27" ht="25.5">
      <c r="A67" s="480" t="s">
        <v>369</v>
      </c>
      <c r="B67" s="481">
        <f>+SUM(C67:D67)</f>
        <v>788</v>
      </c>
      <c r="C67" s="482">
        <v>788</v>
      </c>
      <c r="D67" s="482">
        <v>0</v>
      </c>
      <c r="E67" s="483"/>
      <c r="F67" s="482">
        <f>SUM(G67:H67)</f>
        <v>143</v>
      </c>
      <c r="G67" s="482">
        <v>143</v>
      </c>
      <c r="H67" s="482">
        <v>0</v>
      </c>
      <c r="I67" s="483"/>
      <c r="J67" s="482">
        <f>SUM(K67:L67)</f>
        <v>645</v>
      </c>
      <c r="K67" s="482">
        <f>615+30</f>
        <v>645</v>
      </c>
      <c r="L67" s="482">
        <v>0</v>
      </c>
      <c r="M67" s="482">
        <v>778</v>
      </c>
    </row>
    <row r="68" spans="1:27" ht="25.5">
      <c r="A68" s="480" t="s">
        <v>387</v>
      </c>
      <c r="B68" s="481">
        <f>+SUM(C68:D68)</f>
        <v>1352</v>
      </c>
      <c r="C68" s="482">
        <v>1297</v>
      </c>
      <c r="D68" s="482">
        <v>55</v>
      </c>
      <c r="E68" s="483"/>
      <c r="F68" s="482">
        <f>SUM(G68:H68)</f>
        <v>359</v>
      </c>
      <c r="G68" s="482">
        <v>358</v>
      </c>
      <c r="H68" s="482">
        <v>1</v>
      </c>
      <c r="I68" s="483"/>
      <c r="J68" s="482">
        <f>SUM(K68:L68)</f>
        <v>993</v>
      </c>
      <c r="K68" s="482">
        <f>903+36</f>
        <v>939</v>
      </c>
      <c r="L68" s="482">
        <f>53+1</f>
        <v>54</v>
      </c>
      <c r="M68" s="482">
        <v>420</v>
      </c>
      <c r="N68" s="441"/>
    </row>
    <row r="69" spans="1:27" ht="25.5">
      <c r="A69" s="480" t="s">
        <v>235</v>
      </c>
      <c r="B69" s="481">
        <f>+SUM(C69:D69)</f>
        <v>179</v>
      </c>
      <c r="C69" s="482">
        <v>0</v>
      </c>
      <c r="D69" s="482">
        <v>179</v>
      </c>
      <c r="E69" s="483"/>
      <c r="F69" s="482">
        <f>SUM(G69:H69)</f>
        <v>77</v>
      </c>
      <c r="G69" s="482">
        <v>0</v>
      </c>
      <c r="H69" s="482">
        <v>77</v>
      </c>
      <c r="I69" s="483"/>
      <c r="J69" s="482">
        <f>SUM(K69:L69)</f>
        <v>102</v>
      </c>
      <c r="K69" s="482">
        <v>0</v>
      </c>
      <c r="L69" s="482">
        <v>102</v>
      </c>
      <c r="M69" s="482">
        <v>44</v>
      </c>
      <c r="P69"/>
      <c r="Q69"/>
      <c r="R69"/>
      <c r="S69"/>
      <c r="T69"/>
      <c r="U69"/>
      <c r="V69"/>
      <c r="W69"/>
      <c r="X69"/>
      <c r="Y69"/>
      <c r="Z69"/>
      <c r="AA69"/>
    </row>
    <row r="70" spans="1:27">
      <c r="A70" s="452">
        <v>2022</v>
      </c>
      <c r="B70" s="443"/>
      <c r="C70" s="443"/>
      <c r="D70" s="443"/>
      <c r="E70" s="443"/>
      <c r="F70" s="443"/>
      <c r="G70" s="443"/>
      <c r="H70" s="443"/>
      <c r="I70" s="443"/>
      <c r="J70" s="443"/>
      <c r="K70" s="443"/>
      <c r="L70" s="443"/>
      <c r="M70" s="443"/>
      <c r="P70"/>
      <c r="Q70"/>
      <c r="R70"/>
      <c r="S70"/>
      <c r="T70"/>
      <c r="U70"/>
      <c r="V70"/>
      <c r="W70"/>
      <c r="X70"/>
      <c r="Y70"/>
      <c r="Z70"/>
      <c r="AA70"/>
    </row>
    <row r="71" spans="1:27" ht="15.75" customHeight="1">
      <c r="A71" s="314" t="s">
        <v>2</v>
      </c>
      <c r="B71" s="465">
        <f>SUM(B72:B74)</f>
        <v>2365</v>
      </c>
      <c r="C71" s="465">
        <f>+SUM(C72:C74)</f>
        <v>2162</v>
      </c>
      <c r="D71" s="465">
        <f t="shared" ref="D71:M71" si="7">+SUM(D72:D74)</f>
        <v>203</v>
      </c>
      <c r="E71" s="465"/>
      <c r="F71" s="465">
        <f t="shared" si="7"/>
        <v>542</v>
      </c>
      <c r="G71" s="465">
        <f t="shared" si="7"/>
        <v>484</v>
      </c>
      <c r="H71" s="465">
        <f t="shared" si="7"/>
        <v>58</v>
      </c>
      <c r="I71" s="465"/>
      <c r="J71" s="465">
        <f t="shared" si="7"/>
        <v>1823</v>
      </c>
      <c r="K71" s="465">
        <f t="shared" si="7"/>
        <v>1678</v>
      </c>
      <c r="L71" s="465">
        <f t="shared" si="7"/>
        <v>145</v>
      </c>
      <c r="M71" s="465">
        <f t="shared" si="7"/>
        <v>1242</v>
      </c>
      <c r="N71" s="441"/>
      <c r="P71"/>
      <c r="Q71"/>
      <c r="R71"/>
      <c r="S71"/>
      <c r="T71"/>
      <c r="U71"/>
      <c r="V71"/>
      <c r="W71"/>
      <c r="X71"/>
      <c r="Y71"/>
      <c r="Z71"/>
      <c r="AA71"/>
    </row>
    <row r="72" spans="1:27" ht="25.5">
      <c r="A72" s="480" t="s">
        <v>369</v>
      </c>
      <c r="B72" s="481">
        <f>+SUM(C72:D72)</f>
        <v>784</v>
      </c>
      <c r="C72" s="482">
        <v>784</v>
      </c>
      <c r="D72" s="482">
        <v>0</v>
      </c>
      <c r="E72" s="638"/>
      <c r="F72" s="481">
        <f>+SUM(G72:H72)</f>
        <v>138</v>
      </c>
      <c r="G72" s="482">
        <v>138</v>
      </c>
      <c r="H72" s="482">
        <v>0</v>
      </c>
      <c r="I72" s="638"/>
      <c r="J72" s="481">
        <f>+SUM(K72:L72)</f>
        <v>646</v>
      </c>
      <c r="K72" s="482">
        <v>646</v>
      </c>
      <c r="L72" s="482">
        <v>0</v>
      </c>
      <c r="M72" s="482">
        <v>778</v>
      </c>
      <c r="P72"/>
      <c r="Q72"/>
      <c r="R72"/>
      <c r="S72"/>
      <c r="T72"/>
      <c r="U72"/>
      <c r="V72"/>
      <c r="W72"/>
      <c r="X72"/>
      <c r="Y72"/>
      <c r="Z72"/>
      <c r="AA72"/>
    </row>
    <row r="73" spans="1:27" ht="26.25" customHeight="1">
      <c r="A73" s="480" t="s">
        <v>387</v>
      </c>
      <c r="B73" s="481">
        <f>+SUM(C73:D73)</f>
        <v>1426</v>
      </c>
      <c r="C73" s="482">
        <v>1378</v>
      </c>
      <c r="D73" s="482">
        <v>48</v>
      </c>
      <c r="E73" s="638"/>
      <c r="F73" s="481">
        <f>+SUM(G73:H73)</f>
        <v>347</v>
      </c>
      <c r="G73" s="482">
        <v>346</v>
      </c>
      <c r="H73" s="482">
        <v>1</v>
      </c>
      <c r="I73" s="638"/>
      <c r="J73" s="481">
        <f>+SUM(K73:L73)</f>
        <v>1079</v>
      </c>
      <c r="K73" s="482">
        <v>1032</v>
      </c>
      <c r="L73" s="482">
        <v>47</v>
      </c>
      <c r="M73" s="482">
        <v>420</v>
      </c>
      <c r="P73"/>
      <c r="Q73"/>
      <c r="R73"/>
      <c r="S73"/>
      <c r="T73"/>
      <c r="U73"/>
      <c r="V73"/>
      <c r="W73"/>
      <c r="X73"/>
      <c r="Y73"/>
      <c r="Z73"/>
      <c r="AA73"/>
    </row>
    <row r="74" spans="1:27" ht="25.5">
      <c r="A74" s="480" t="s">
        <v>235</v>
      </c>
      <c r="B74" s="975">
        <f>+SUM(C74:D74)</f>
        <v>155</v>
      </c>
      <c r="C74" s="976">
        <v>0</v>
      </c>
      <c r="D74" s="976">
        <v>155</v>
      </c>
      <c r="E74" s="977"/>
      <c r="F74" s="975">
        <f>+SUM(G74:H74)</f>
        <v>57</v>
      </c>
      <c r="G74" s="976">
        <v>0</v>
      </c>
      <c r="H74" s="976">
        <v>57</v>
      </c>
      <c r="I74" s="977"/>
      <c r="J74" s="975">
        <f>+SUM(K74:L74)</f>
        <v>98</v>
      </c>
      <c r="K74" s="976">
        <v>0</v>
      </c>
      <c r="L74" s="976">
        <v>98</v>
      </c>
      <c r="M74" s="976">
        <v>44</v>
      </c>
      <c r="P74"/>
      <c r="Q74"/>
      <c r="R74"/>
      <c r="S74"/>
      <c r="T74"/>
      <c r="U74"/>
      <c r="V74"/>
      <c r="W74"/>
      <c r="X74"/>
      <c r="Y74"/>
      <c r="Z74"/>
      <c r="AA74"/>
    </row>
    <row r="75" spans="1:27">
      <c r="A75" s="452">
        <v>2023</v>
      </c>
      <c r="B75" s="941"/>
      <c r="C75" s="941"/>
      <c r="D75" s="941"/>
      <c r="E75" s="941"/>
      <c r="F75" s="941"/>
      <c r="G75" s="941"/>
      <c r="H75" s="941"/>
      <c r="I75" s="941"/>
      <c r="J75" s="941"/>
      <c r="K75" s="941"/>
      <c r="L75" s="941"/>
      <c r="M75" s="941"/>
      <c r="P75"/>
      <c r="Q75"/>
      <c r="R75"/>
      <c r="S75"/>
      <c r="T75"/>
      <c r="U75"/>
      <c r="V75"/>
      <c r="W75"/>
      <c r="X75"/>
      <c r="Y75"/>
      <c r="Z75"/>
      <c r="AA75"/>
    </row>
    <row r="76" spans="1:27">
      <c r="A76" s="314" t="s">
        <v>2</v>
      </c>
      <c r="B76" s="978">
        <f>SUM(B77:B79)</f>
        <v>2514</v>
      </c>
      <c r="C76" s="978">
        <f>+SUM(C77:C79)</f>
        <v>2304</v>
      </c>
      <c r="D76" s="978">
        <f t="shared" ref="D76:M76" si="8">+SUM(D77:D79)</f>
        <v>210</v>
      </c>
      <c r="E76" s="978"/>
      <c r="F76" s="978">
        <f t="shared" si="8"/>
        <v>529</v>
      </c>
      <c r="G76" s="978">
        <f t="shared" si="8"/>
        <v>474</v>
      </c>
      <c r="H76" s="978">
        <f t="shared" si="8"/>
        <v>55</v>
      </c>
      <c r="I76" s="978"/>
      <c r="J76" s="978">
        <f t="shared" si="8"/>
        <v>1985</v>
      </c>
      <c r="K76" s="978">
        <f t="shared" si="8"/>
        <v>1830</v>
      </c>
      <c r="L76" s="978">
        <f t="shared" si="8"/>
        <v>155</v>
      </c>
      <c r="M76" s="978">
        <f t="shared" si="8"/>
        <v>1242</v>
      </c>
      <c r="O76" s="441"/>
      <c r="P76"/>
      <c r="Q76"/>
      <c r="R76"/>
      <c r="S76"/>
      <c r="T76"/>
      <c r="U76"/>
      <c r="V76"/>
      <c r="W76"/>
      <c r="X76"/>
      <c r="Y76"/>
      <c r="Z76"/>
      <c r="AA76"/>
    </row>
    <row r="77" spans="1:27" ht="25.5">
      <c r="A77" s="480" t="s">
        <v>369</v>
      </c>
      <c r="B77" s="975">
        <f>+SUM(C77:D77)</f>
        <v>789</v>
      </c>
      <c r="C77" s="976">
        <v>789</v>
      </c>
      <c r="D77" s="976">
        <v>0</v>
      </c>
      <c r="E77" s="977"/>
      <c r="F77" s="975">
        <f>+SUM(G77:H77)</f>
        <v>110</v>
      </c>
      <c r="G77" s="976">
        <v>110</v>
      </c>
      <c r="H77" s="976">
        <v>0</v>
      </c>
      <c r="I77" s="977"/>
      <c r="J77" s="975">
        <f>+SUM(K77:L77)</f>
        <v>679</v>
      </c>
      <c r="K77" s="976">
        <v>679</v>
      </c>
      <c r="L77" s="976">
        <v>0</v>
      </c>
      <c r="M77" s="976">
        <v>778</v>
      </c>
      <c r="P77"/>
      <c r="Q77"/>
      <c r="R77"/>
      <c r="S77"/>
      <c r="T77"/>
      <c r="U77"/>
      <c r="V77"/>
      <c r="W77"/>
      <c r="X77"/>
      <c r="Y77"/>
      <c r="Z77"/>
      <c r="AA77"/>
    </row>
    <row r="78" spans="1:27" ht="25.5">
      <c r="A78" s="480" t="s">
        <v>387</v>
      </c>
      <c r="B78" s="975">
        <f>+SUM(C78:D78)</f>
        <v>1556</v>
      </c>
      <c r="C78" s="976">
        <v>1515</v>
      </c>
      <c r="D78" s="976">
        <v>41</v>
      </c>
      <c r="E78" s="977"/>
      <c r="F78" s="975">
        <f>+SUM(G78:H78)</f>
        <v>366</v>
      </c>
      <c r="G78" s="976">
        <v>364</v>
      </c>
      <c r="H78" s="976">
        <v>2</v>
      </c>
      <c r="I78" s="977"/>
      <c r="J78" s="975">
        <f>+SUM(K78:L78)</f>
        <v>1190</v>
      </c>
      <c r="K78" s="976">
        <v>1151</v>
      </c>
      <c r="L78" s="976">
        <v>39</v>
      </c>
      <c r="M78" s="976">
        <v>420</v>
      </c>
      <c r="P78"/>
      <c r="Q78"/>
      <c r="R78"/>
      <c r="S78"/>
      <c r="T78"/>
      <c r="U78"/>
      <c r="V78"/>
      <c r="W78"/>
      <c r="X78"/>
      <c r="Y78"/>
      <c r="Z78"/>
      <c r="AA78"/>
    </row>
    <row r="79" spans="1:27" ht="25.5">
      <c r="A79" s="480" t="s">
        <v>235</v>
      </c>
      <c r="B79" s="975">
        <f>+SUM(C79:D79)</f>
        <v>169</v>
      </c>
      <c r="C79" s="976">
        <v>0</v>
      </c>
      <c r="D79" s="976">
        <v>169</v>
      </c>
      <c r="E79" s="977"/>
      <c r="F79" s="975">
        <f>+SUM(G79:H79)</f>
        <v>53</v>
      </c>
      <c r="G79" s="976">
        <v>0</v>
      </c>
      <c r="H79" s="976">
        <v>53</v>
      </c>
      <c r="I79" s="977"/>
      <c r="J79" s="975">
        <f>+SUM(K79:L79)</f>
        <v>116</v>
      </c>
      <c r="K79" s="976">
        <v>0</v>
      </c>
      <c r="L79" s="976">
        <v>116</v>
      </c>
      <c r="M79" s="976">
        <v>44</v>
      </c>
      <c r="P79"/>
      <c r="Q79"/>
      <c r="R79"/>
      <c r="S79"/>
      <c r="T79"/>
      <c r="U79"/>
      <c r="V79"/>
      <c r="W79"/>
      <c r="X79"/>
      <c r="Y79"/>
      <c r="Z79"/>
      <c r="AA79"/>
    </row>
    <row r="80" spans="1:27" ht="13.5" customHeight="1">
      <c r="A80" s="452" t="s">
        <v>508</v>
      </c>
      <c r="B80" s="941"/>
      <c r="C80" s="941"/>
      <c r="D80" s="941"/>
      <c r="E80" s="941"/>
      <c r="F80" s="941"/>
      <c r="G80" s="941"/>
      <c r="H80" s="941"/>
      <c r="I80" s="941"/>
      <c r="J80" s="941"/>
      <c r="K80" s="941"/>
      <c r="L80" s="941"/>
      <c r="M80" s="941"/>
      <c r="P80"/>
      <c r="Q80"/>
      <c r="R80"/>
      <c r="S80"/>
      <c r="T80"/>
      <c r="U80"/>
      <c r="V80"/>
      <c r="W80"/>
      <c r="X80"/>
      <c r="Y80"/>
      <c r="Z80"/>
      <c r="AA80"/>
    </row>
    <row r="81" spans="1:27" ht="13.5" customHeight="1">
      <c r="A81" s="314" t="s">
        <v>2</v>
      </c>
      <c r="B81" s="978">
        <f>SUM(B82:B84)</f>
        <v>2581</v>
      </c>
      <c r="C81" s="978">
        <f>+SUM(C82:C84)</f>
        <v>2378</v>
      </c>
      <c r="D81" s="978">
        <f t="shared" ref="D81:M81" si="9">+SUM(D82:D84)</f>
        <v>203</v>
      </c>
      <c r="E81" s="978"/>
      <c r="F81" s="978">
        <f t="shared" si="9"/>
        <v>535</v>
      </c>
      <c r="G81" s="978">
        <f t="shared" si="9"/>
        <v>479</v>
      </c>
      <c r="H81" s="978">
        <f t="shared" si="9"/>
        <v>56</v>
      </c>
      <c r="I81" s="978"/>
      <c r="J81" s="978">
        <f t="shared" si="9"/>
        <v>2046</v>
      </c>
      <c r="K81" s="978">
        <f t="shared" si="9"/>
        <v>1899</v>
      </c>
      <c r="L81" s="978">
        <f t="shared" si="9"/>
        <v>147</v>
      </c>
      <c r="M81" s="978">
        <f t="shared" si="9"/>
        <v>1242</v>
      </c>
      <c r="O81" s="441"/>
      <c r="P81"/>
      <c r="Q81"/>
      <c r="R81"/>
      <c r="S81"/>
      <c r="T81"/>
      <c r="U81"/>
      <c r="V81"/>
      <c r="W81"/>
      <c r="X81"/>
      <c r="Y81"/>
      <c r="Z81"/>
      <c r="AA81"/>
    </row>
    <row r="82" spans="1:27" ht="25.5">
      <c r="A82" s="480" t="s">
        <v>369</v>
      </c>
      <c r="B82" s="975">
        <f>+SUM(C82:D82)</f>
        <v>812</v>
      </c>
      <c r="C82" s="976">
        <v>812</v>
      </c>
      <c r="D82" s="976">
        <v>0</v>
      </c>
      <c r="E82" s="977"/>
      <c r="F82" s="975">
        <f>+SUM(G82:H82)</f>
        <v>111</v>
      </c>
      <c r="G82" s="976">
        <v>111</v>
      </c>
      <c r="H82" s="976">
        <v>0</v>
      </c>
      <c r="I82" s="977"/>
      <c r="J82" s="975">
        <f>+SUM(K82:L82)</f>
        <v>701</v>
      </c>
      <c r="K82" s="976">
        <v>701</v>
      </c>
      <c r="L82" s="976">
        <v>0</v>
      </c>
      <c r="M82" s="976">
        <v>778</v>
      </c>
      <c r="P82"/>
      <c r="Q82"/>
      <c r="R82"/>
      <c r="S82"/>
      <c r="T82"/>
      <c r="U82"/>
      <c r="V82"/>
      <c r="W82"/>
      <c r="X82"/>
      <c r="Y82"/>
      <c r="Z82"/>
      <c r="AA82"/>
    </row>
    <row r="83" spans="1:27" ht="25.5">
      <c r="A83" s="480" t="s">
        <v>387</v>
      </c>
      <c r="B83" s="975">
        <f>+SUM(C83:D83)</f>
        <v>1601</v>
      </c>
      <c r="C83" s="976">
        <v>1566</v>
      </c>
      <c r="D83" s="976">
        <v>35</v>
      </c>
      <c r="E83" s="977"/>
      <c r="F83" s="975">
        <f>+SUM(G83:H83)</f>
        <v>368</v>
      </c>
      <c r="G83" s="976">
        <v>368</v>
      </c>
      <c r="H83" s="976">
        <v>0</v>
      </c>
      <c r="I83" s="977"/>
      <c r="J83" s="975">
        <f>+SUM(K83:L83)</f>
        <v>1233</v>
      </c>
      <c r="K83" s="976">
        <v>1198</v>
      </c>
      <c r="L83" s="976">
        <v>35</v>
      </c>
      <c r="M83" s="976">
        <v>420</v>
      </c>
      <c r="P83"/>
      <c r="Q83"/>
      <c r="R83"/>
      <c r="S83"/>
      <c r="T83"/>
      <c r="U83"/>
      <c r="V83"/>
      <c r="W83"/>
      <c r="X83"/>
      <c r="Y83"/>
      <c r="Z83"/>
      <c r="AA83"/>
    </row>
    <row r="84" spans="1:27" ht="25.5">
      <c r="A84" s="480" t="s">
        <v>235</v>
      </c>
      <c r="B84" s="975">
        <f>+SUM(C84:D84)</f>
        <v>168</v>
      </c>
      <c r="C84" s="976">
        <v>0</v>
      </c>
      <c r="D84" s="976">
        <v>168</v>
      </c>
      <c r="E84" s="977"/>
      <c r="F84" s="975">
        <f>+SUM(G84:H84)</f>
        <v>56</v>
      </c>
      <c r="G84" s="976">
        <v>0</v>
      </c>
      <c r="H84" s="976">
        <v>56</v>
      </c>
      <c r="I84" s="977"/>
      <c r="J84" s="975">
        <f>+SUM(K84:L84)</f>
        <v>112</v>
      </c>
      <c r="K84" s="976">
        <v>0</v>
      </c>
      <c r="L84" s="976">
        <v>112</v>
      </c>
      <c r="M84" s="976">
        <v>44</v>
      </c>
      <c r="N84" s="441"/>
      <c r="P84"/>
      <c r="Q84"/>
      <c r="R84"/>
      <c r="S84"/>
      <c r="T84"/>
      <c r="U84"/>
      <c r="V84"/>
      <c r="W84"/>
      <c r="X84"/>
      <c r="Y84"/>
      <c r="Z84"/>
      <c r="AA84"/>
    </row>
    <row r="85" spans="1:27" ht="5.0999999999999996" customHeight="1">
      <c r="A85" s="328"/>
      <c r="B85" s="298"/>
      <c r="C85" s="298"/>
      <c r="D85" s="298"/>
      <c r="E85" s="298"/>
      <c r="F85" s="298"/>
      <c r="G85" s="298"/>
      <c r="H85" s="298"/>
      <c r="I85" s="298"/>
      <c r="J85" s="298"/>
      <c r="K85" s="298"/>
      <c r="L85" s="298"/>
      <c r="M85" s="319"/>
      <c r="P85"/>
      <c r="Q85"/>
      <c r="R85"/>
      <c r="S85"/>
      <c r="T85"/>
      <c r="U85"/>
      <c r="V85"/>
      <c r="W85"/>
      <c r="X85"/>
      <c r="Y85"/>
      <c r="Z85"/>
      <c r="AA85"/>
    </row>
    <row r="86" spans="1:27" ht="11.1" customHeight="1">
      <c r="A86" s="104" t="s">
        <v>507</v>
      </c>
      <c r="P86"/>
      <c r="Q86"/>
      <c r="R86"/>
      <c r="S86"/>
      <c r="T86"/>
      <c r="U86"/>
      <c r="V86"/>
      <c r="W86"/>
      <c r="X86"/>
      <c r="Y86"/>
      <c r="Z86"/>
      <c r="AA86"/>
    </row>
    <row r="87" spans="1:27" ht="11.1" customHeight="1">
      <c r="A87" s="16" t="s">
        <v>388</v>
      </c>
      <c r="P87"/>
      <c r="Q87"/>
      <c r="R87"/>
      <c r="S87"/>
      <c r="T87"/>
      <c r="U87"/>
      <c r="V87"/>
      <c r="W87"/>
      <c r="X87"/>
      <c r="Y87"/>
      <c r="Z87"/>
      <c r="AA87"/>
    </row>
    <row r="88" spans="1:27">
      <c r="P88"/>
      <c r="Q88"/>
      <c r="R88"/>
      <c r="S88"/>
      <c r="T88"/>
      <c r="U88"/>
      <c r="V88"/>
      <c r="W88"/>
      <c r="X88"/>
      <c r="Y88"/>
      <c r="Z88"/>
      <c r="AA88"/>
    </row>
    <row r="89" spans="1:27" ht="13.5" customHeight="1"/>
  </sheetData>
  <mergeCells count="15">
    <mergeCell ref="A1:M1"/>
    <mergeCell ref="A43:A44"/>
    <mergeCell ref="B43:B44"/>
    <mergeCell ref="C43:D43"/>
    <mergeCell ref="F43:H43"/>
    <mergeCell ref="J43:L43"/>
    <mergeCell ref="M43:M44"/>
    <mergeCell ref="A3:A4"/>
    <mergeCell ref="B3:B4"/>
    <mergeCell ref="C3:D3"/>
    <mergeCell ref="F3:H3"/>
    <mergeCell ref="J3:L3"/>
    <mergeCell ref="M3:M4"/>
    <mergeCell ref="B5:M5"/>
    <mergeCell ref="A40:M40"/>
  </mergeCells>
  <phoneticPr fontId="24" type="noConversion"/>
  <pageMargins left="0.78740157480314965" right="0.78740157480314965" top="0.98425196850393704" bottom="0.98425196850393704" header="0" footer="0"/>
  <pageSetup paperSize="9" orientation="portrait" r:id="rId1"/>
  <headerFooter alignWithMargins="0"/>
  <ignoredErrors>
    <ignoredError sqref="J48 J57 J62 J69 J64 J59 J72:M84"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zoomScaleNormal="100" zoomScaleSheetLayoutView="100" workbookViewId="0">
      <selection sqref="A1:D1"/>
    </sheetView>
  </sheetViews>
  <sheetFormatPr baseColWidth="10" defaultColWidth="9.7109375" defaultRowHeight="11.25"/>
  <cols>
    <col min="1" max="1" width="15.42578125" style="1" customWidth="1"/>
    <col min="2" max="4" width="23" style="1" customWidth="1"/>
    <col min="5" max="5" width="11.7109375" style="1" bestFit="1" customWidth="1"/>
    <col min="6" max="16384" width="9.7109375" style="1"/>
  </cols>
  <sheetData>
    <row r="1" spans="1:5" ht="13.5" customHeight="1">
      <c r="A1" s="1137" t="s">
        <v>526</v>
      </c>
      <c r="B1" s="1137"/>
      <c r="C1" s="1137"/>
      <c r="D1" s="1137"/>
      <c r="E1" s="130"/>
    </row>
    <row r="2" spans="1:5" ht="13.5" customHeight="1">
      <c r="A2" s="1137" t="s">
        <v>511</v>
      </c>
      <c r="B2" s="1137"/>
      <c r="C2" s="1137"/>
      <c r="D2" s="1137"/>
      <c r="E2" s="130"/>
    </row>
    <row r="3" spans="1:5" ht="5.0999999999999996" customHeight="1">
      <c r="A3" s="2"/>
      <c r="B3" s="2"/>
      <c r="C3" s="2"/>
      <c r="D3" s="2"/>
    </row>
    <row r="4" spans="1:5" s="4" customFormat="1" ht="19.5" customHeight="1">
      <c r="A4" s="487" t="s">
        <v>1</v>
      </c>
      <c r="B4" s="494" t="s">
        <v>462</v>
      </c>
      <c r="C4" s="272" t="s">
        <v>4</v>
      </c>
      <c r="D4" s="357" t="s">
        <v>525</v>
      </c>
    </row>
    <row r="5" spans="1:5" s="4" customFormat="1" ht="5.0999999999999996" customHeight="1">
      <c r="A5" s="188"/>
      <c r="B5" s="1010"/>
      <c r="C5" s="495"/>
      <c r="D5" s="495"/>
    </row>
    <row r="6" spans="1:5" s="14" customFormat="1" ht="12.95" hidden="1" customHeight="1">
      <c r="A6" s="188">
        <v>1990</v>
      </c>
      <c r="B6" s="1011">
        <v>154106</v>
      </c>
      <c r="C6" s="496">
        <v>3042</v>
      </c>
      <c r="D6" s="61">
        <v>151064</v>
      </c>
    </row>
    <row r="7" spans="1:5" s="14" customFormat="1" ht="12.95" hidden="1" customHeight="1">
      <c r="A7" s="188">
        <v>1991</v>
      </c>
      <c r="B7" s="1012">
        <v>147791</v>
      </c>
      <c r="C7" s="496">
        <v>3111</v>
      </c>
      <c r="D7" s="61">
        <v>144680</v>
      </c>
    </row>
    <row r="8" spans="1:5" s="14" customFormat="1" ht="12.95" hidden="1" customHeight="1">
      <c r="A8" s="188">
        <v>1992</v>
      </c>
      <c r="B8" s="1012">
        <v>264452</v>
      </c>
      <c r="C8" s="496">
        <v>7158</v>
      </c>
      <c r="D8" s="61">
        <v>257294</v>
      </c>
    </row>
    <row r="9" spans="1:5" s="14" customFormat="1" ht="12.95" hidden="1" customHeight="1">
      <c r="A9" s="452">
        <v>1993</v>
      </c>
      <c r="B9" s="1012">
        <v>288844</v>
      </c>
      <c r="C9" s="61">
        <v>7921</v>
      </c>
      <c r="D9" s="61">
        <v>280923</v>
      </c>
    </row>
    <row r="10" spans="1:5" s="14" customFormat="1" ht="12.95" customHeight="1">
      <c r="A10" s="452">
        <v>1994</v>
      </c>
      <c r="B10" s="1012">
        <v>202833</v>
      </c>
      <c r="C10" s="61">
        <v>1446</v>
      </c>
      <c r="D10" s="61">
        <v>201387</v>
      </c>
    </row>
    <row r="11" spans="1:5" s="14" customFormat="1" ht="12.95" customHeight="1">
      <c r="A11" s="452">
        <v>1995</v>
      </c>
      <c r="B11" s="1012">
        <v>179074</v>
      </c>
      <c r="C11" s="61">
        <v>2225</v>
      </c>
      <c r="D11" s="61">
        <v>176849</v>
      </c>
    </row>
    <row r="12" spans="1:5" s="14" customFormat="1" ht="12.95" customHeight="1">
      <c r="A12" s="452">
        <v>1996</v>
      </c>
      <c r="B12" s="1012">
        <v>181299</v>
      </c>
      <c r="C12" s="61">
        <v>2685</v>
      </c>
      <c r="D12" s="61">
        <v>178614</v>
      </c>
    </row>
    <row r="13" spans="1:5" s="14" customFormat="1" ht="12.95" customHeight="1">
      <c r="A13" s="452">
        <v>1997</v>
      </c>
      <c r="B13" s="1012">
        <v>184142</v>
      </c>
      <c r="C13" s="61">
        <v>2920</v>
      </c>
      <c r="D13" s="61">
        <v>181222</v>
      </c>
    </row>
    <row r="14" spans="1:5" s="14" customFormat="1" ht="12.95" customHeight="1">
      <c r="A14" s="452">
        <v>1998</v>
      </c>
      <c r="B14" s="1012">
        <v>191639</v>
      </c>
      <c r="C14" s="61">
        <v>2645</v>
      </c>
      <c r="D14" s="61">
        <v>188994</v>
      </c>
    </row>
    <row r="15" spans="1:5" s="14" customFormat="1" ht="12.95" customHeight="1">
      <c r="A15" s="452">
        <v>1999</v>
      </c>
      <c r="B15" s="1012">
        <v>192082</v>
      </c>
      <c r="C15" s="61">
        <v>2800</v>
      </c>
      <c r="D15" s="61">
        <v>188994</v>
      </c>
    </row>
    <row r="16" spans="1:5" s="14" customFormat="1" ht="12.95" customHeight="1">
      <c r="A16" s="452">
        <v>2000</v>
      </c>
      <c r="B16" s="1012">
        <v>168734</v>
      </c>
      <c r="C16" s="61">
        <v>1001</v>
      </c>
      <c r="D16" s="61">
        <f>+B16-C16</f>
        <v>167733</v>
      </c>
    </row>
    <row r="17" spans="1:5" s="14" customFormat="1" ht="12.95" customHeight="1">
      <c r="A17" s="452">
        <v>2001</v>
      </c>
      <c r="B17" s="1012">
        <v>160157</v>
      </c>
      <c r="C17" s="61">
        <v>947</v>
      </c>
      <c r="D17" s="61">
        <f>+B17-C17</f>
        <v>159210</v>
      </c>
    </row>
    <row r="18" spans="1:5" s="14" customFormat="1" ht="12.95" customHeight="1">
      <c r="A18" s="452">
        <v>2002</v>
      </c>
      <c r="B18" s="1012">
        <v>161621</v>
      </c>
      <c r="C18" s="61">
        <v>1134</v>
      </c>
      <c r="D18" s="61">
        <f>B18-C18</f>
        <v>160487</v>
      </c>
    </row>
    <row r="19" spans="1:5" s="14" customFormat="1" ht="12.95" customHeight="1">
      <c r="A19" s="452">
        <v>2003</v>
      </c>
      <c r="B19" s="1012">
        <v>159990</v>
      </c>
      <c r="C19" s="61">
        <v>1235</v>
      </c>
      <c r="D19" s="61">
        <f>B19-C19</f>
        <v>158755</v>
      </c>
      <c r="E19" s="810"/>
    </row>
    <row r="20" spans="1:5" s="14" customFormat="1" ht="12.95" customHeight="1">
      <c r="A20" s="452">
        <v>2004</v>
      </c>
      <c r="B20" s="1012">
        <v>165298</v>
      </c>
      <c r="C20" s="61">
        <v>867</v>
      </c>
      <c r="D20" s="61">
        <v>154610</v>
      </c>
      <c r="E20" s="15"/>
    </row>
    <row r="21" spans="1:5" s="14" customFormat="1" ht="12.95" customHeight="1">
      <c r="A21" s="452">
        <v>2005</v>
      </c>
      <c r="B21" s="1012">
        <v>152516</v>
      </c>
      <c r="C21" s="61">
        <v>1034</v>
      </c>
      <c r="D21" s="61">
        <v>151482</v>
      </c>
    </row>
    <row r="22" spans="1:5" s="14" customFormat="1" ht="12.95" customHeight="1">
      <c r="A22" s="452">
        <v>2006</v>
      </c>
      <c r="B22" s="1012">
        <v>153055</v>
      </c>
      <c r="C22" s="61">
        <v>1300</v>
      </c>
      <c r="D22" s="497">
        <v>151755</v>
      </c>
    </row>
    <row r="23" spans="1:5" s="14" customFormat="1" ht="12.95" customHeight="1">
      <c r="A23" s="452">
        <v>2007</v>
      </c>
      <c r="B23" s="1012">
        <v>144205</v>
      </c>
      <c r="C23" s="61">
        <v>1607</v>
      </c>
      <c r="D23" s="497">
        <v>142598</v>
      </c>
    </row>
    <row r="24" spans="1:5" s="14" customFormat="1" ht="12.95" customHeight="1">
      <c r="A24" s="452">
        <v>2008</v>
      </c>
      <c r="B24" s="1012">
        <v>151560</v>
      </c>
      <c r="C24" s="61">
        <v>1543</v>
      </c>
      <c r="D24" s="61">
        <v>150017</v>
      </c>
    </row>
    <row r="25" spans="1:5" s="14" customFormat="1" ht="12.95" customHeight="1">
      <c r="A25" s="452">
        <v>2009</v>
      </c>
      <c r="B25" s="1012">
        <v>160848</v>
      </c>
      <c r="C25" s="61">
        <v>1442</v>
      </c>
      <c r="D25" s="61">
        <v>159349</v>
      </c>
    </row>
    <row r="26" spans="1:5" s="14" customFormat="1" ht="12.95" customHeight="1">
      <c r="A26" s="452">
        <v>2010</v>
      </c>
      <c r="B26" s="686">
        <v>181866</v>
      </c>
      <c r="C26" s="61">
        <v>1556</v>
      </c>
      <c r="D26" s="134">
        <v>180310</v>
      </c>
    </row>
    <row r="27" spans="1:5" s="14" customFormat="1" ht="12.95" customHeight="1">
      <c r="A27" s="452">
        <v>2011</v>
      </c>
      <c r="B27" s="686">
        <v>206610</v>
      </c>
      <c r="C27" s="61">
        <v>1630</v>
      </c>
      <c r="D27" s="134">
        <f t="shared" ref="D27:D38" si="0">B27-C27</f>
        <v>204980</v>
      </c>
    </row>
    <row r="28" spans="1:5" s="14" customFormat="1" ht="12.95" customHeight="1">
      <c r="A28" s="452">
        <v>2012</v>
      </c>
      <c r="B28" s="686">
        <v>254645</v>
      </c>
      <c r="C28" s="61">
        <v>1369</v>
      </c>
      <c r="D28" s="134">
        <f t="shared" si="0"/>
        <v>253276</v>
      </c>
    </row>
    <row r="29" spans="1:5" s="14" customFormat="1" ht="12.95" customHeight="1">
      <c r="A29" s="452">
        <v>2013</v>
      </c>
      <c r="B29" s="686">
        <v>268018</v>
      </c>
      <c r="C29" s="61">
        <v>1712</v>
      </c>
      <c r="D29" s="134">
        <f t="shared" si="0"/>
        <v>266306</v>
      </c>
    </row>
    <row r="30" spans="1:5" s="14" customFormat="1" ht="12.95" customHeight="1">
      <c r="A30" s="452">
        <v>2014</v>
      </c>
      <c r="B30" s="686">
        <v>278181</v>
      </c>
      <c r="C30" s="61">
        <v>2025</v>
      </c>
      <c r="D30" s="134">
        <f t="shared" si="0"/>
        <v>276156</v>
      </c>
    </row>
    <row r="31" spans="1:5" s="14" customFormat="1" ht="12.95" customHeight="1">
      <c r="A31" s="452">
        <v>2015</v>
      </c>
      <c r="B31" s="686">
        <v>287806</v>
      </c>
      <c r="C31" s="61">
        <v>2706</v>
      </c>
      <c r="D31" s="134">
        <f t="shared" si="0"/>
        <v>285100</v>
      </c>
    </row>
    <row r="32" spans="1:5" s="14" customFormat="1" ht="12.95" customHeight="1">
      <c r="A32" s="452">
        <v>2016</v>
      </c>
      <c r="B32" s="686">
        <v>277673</v>
      </c>
      <c r="C32" s="61">
        <v>2715</v>
      </c>
      <c r="D32" s="134">
        <f t="shared" si="0"/>
        <v>274958</v>
      </c>
    </row>
    <row r="33" spans="1:5" s="14" customFormat="1" ht="12.95" customHeight="1">
      <c r="A33" s="452">
        <v>2017</v>
      </c>
      <c r="B33" s="686">
        <v>399869</v>
      </c>
      <c r="C33" s="61">
        <v>4206</v>
      </c>
      <c r="D33" s="134">
        <f t="shared" si="0"/>
        <v>395663</v>
      </c>
    </row>
    <row r="34" spans="1:5" s="14" customFormat="1" ht="12.95" customHeight="1">
      <c r="A34" s="452">
        <v>2018</v>
      </c>
      <c r="B34" s="686">
        <v>446088</v>
      </c>
      <c r="C34" s="61">
        <v>5267</v>
      </c>
      <c r="D34" s="134">
        <f t="shared" si="0"/>
        <v>440821</v>
      </c>
    </row>
    <row r="35" spans="1:5" s="14" customFormat="1" ht="12.95" customHeight="1">
      <c r="A35" s="452">
        <v>2019</v>
      </c>
      <c r="B35" s="686">
        <v>446508</v>
      </c>
      <c r="C35" s="61">
        <v>6385</v>
      </c>
      <c r="D35" s="134">
        <f t="shared" si="0"/>
        <v>440123</v>
      </c>
    </row>
    <row r="36" spans="1:5" s="14" customFormat="1" ht="12.95" customHeight="1">
      <c r="A36" s="452">
        <v>2020</v>
      </c>
      <c r="B36" s="686">
        <v>320819</v>
      </c>
      <c r="C36" s="61">
        <v>5619</v>
      </c>
      <c r="D36" s="134">
        <f t="shared" si="0"/>
        <v>315200</v>
      </c>
    </row>
    <row r="37" spans="1:5" s="14" customFormat="1" ht="12.95" customHeight="1">
      <c r="A37" s="452">
        <v>2021</v>
      </c>
      <c r="B37" s="686">
        <v>403071</v>
      </c>
      <c r="C37" s="61">
        <v>7091</v>
      </c>
      <c r="D37" s="134">
        <f t="shared" si="0"/>
        <v>395980</v>
      </c>
    </row>
    <row r="38" spans="1:5" s="14" customFormat="1" ht="12.95" customHeight="1">
      <c r="A38" s="452">
        <v>2022</v>
      </c>
      <c r="B38" s="686">
        <v>497581</v>
      </c>
      <c r="C38" s="61">
        <v>7921</v>
      </c>
      <c r="D38" s="134">
        <f t="shared" si="0"/>
        <v>489660</v>
      </c>
    </row>
    <row r="39" spans="1:5" s="14" customFormat="1" ht="12.95" customHeight="1">
      <c r="A39" s="452">
        <v>2023</v>
      </c>
      <c r="B39" s="686">
        <v>563257</v>
      </c>
      <c r="C39" s="61">
        <v>8185</v>
      </c>
      <c r="D39" s="134">
        <f>B39-C39</f>
        <v>555072</v>
      </c>
    </row>
    <row r="40" spans="1:5" ht="5.0999999999999996" customHeight="1">
      <c r="A40" s="189"/>
      <c r="B40" s="1013"/>
      <c r="C40" s="329"/>
      <c r="D40" s="330"/>
      <c r="E40" s="64"/>
    </row>
    <row r="41" spans="1:5" ht="11.1" customHeight="1">
      <c r="A41" s="1136" t="s">
        <v>494</v>
      </c>
      <c r="B41" s="1136"/>
      <c r="C41" s="1136"/>
      <c r="D41" s="1136"/>
    </row>
    <row r="42" spans="1:5">
      <c r="A42" s="148"/>
    </row>
    <row r="44" spans="1:5">
      <c r="E44" s="166"/>
    </row>
    <row r="46" spans="1:5">
      <c r="E46" s="166"/>
    </row>
  </sheetData>
  <mergeCells count="3">
    <mergeCell ref="A41:D41"/>
    <mergeCell ref="A1:D1"/>
    <mergeCell ref="A2:D2"/>
  </mergeCells>
  <phoneticPr fontId="0" type="noConversion"/>
  <pageMargins left="0.78740157480314965" right="0.78740157480314965" top="0.98425196850393704" bottom="0.98425196850393704" header="0.31496062992125984" footer="0"/>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6"/>
  <sheetViews>
    <sheetView zoomScaleNormal="100" zoomScaleSheetLayoutView="100" workbookViewId="0">
      <selection sqref="A1:Y1"/>
    </sheetView>
  </sheetViews>
  <sheetFormatPr baseColWidth="10" defaultColWidth="9.7109375" defaultRowHeight="12.75"/>
  <cols>
    <col min="1" max="1" width="22.7109375" style="103" customWidth="1"/>
    <col min="2" max="2" width="6.28515625" style="103" hidden="1" customWidth="1"/>
    <col min="3" max="3" width="7.7109375" style="103" hidden="1" customWidth="1"/>
    <col min="4" max="4" width="7" style="103" hidden="1" customWidth="1"/>
    <col min="5" max="5" width="6.7109375" style="103" hidden="1" customWidth="1"/>
    <col min="6" max="6" width="6.28515625" style="103" hidden="1" customWidth="1"/>
    <col min="7" max="7" width="7" style="103" hidden="1" customWidth="1"/>
    <col min="8" max="9" width="6.5703125" style="103" hidden="1" customWidth="1"/>
    <col min="10" max="10" width="6.42578125" style="103" hidden="1" customWidth="1"/>
    <col min="11" max="17" width="10.85546875" style="103" hidden="1" customWidth="1"/>
    <col min="18" max="18" width="9.7109375" style="103" hidden="1" customWidth="1"/>
    <col min="19" max="19" width="10.42578125" style="103" hidden="1" customWidth="1"/>
    <col min="20" max="22" width="10.42578125" style="103" customWidth="1"/>
    <col min="23" max="24" width="9.7109375" style="103"/>
    <col min="25" max="16384" width="9.7109375" style="9"/>
  </cols>
  <sheetData>
    <row r="1" spans="1:27" ht="13.5">
      <c r="A1" s="1135" t="s">
        <v>527</v>
      </c>
      <c r="B1" s="1135"/>
      <c r="C1" s="1135"/>
      <c r="D1" s="1135"/>
      <c r="E1" s="1135"/>
      <c r="F1" s="1135"/>
      <c r="G1" s="1135"/>
      <c r="H1" s="1135"/>
      <c r="I1" s="1135"/>
      <c r="J1" s="1135"/>
      <c r="K1" s="1135"/>
      <c r="L1" s="1135"/>
      <c r="M1" s="1135"/>
      <c r="N1" s="1135"/>
      <c r="O1" s="1135"/>
      <c r="P1" s="1135"/>
      <c r="Q1" s="1135"/>
      <c r="R1" s="1135"/>
      <c r="S1" s="1135"/>
      <c r="T1" s="1135"/>
      <c r="U1" s="1135"/>
      <c r="V1" s="1135"/>
      <c r="W1" s="1135"/>
      <c r="X1" s="1135"/>
      <c r="Y1" s="1135"/>
    </row>
    <row r="2" spans="1:27" ht="5.0999999999999996" customHeight="1">
      <c r="A2" s="135"/>
      <c r="B2" s="135"/>
      <c r="C2" s="135"/>
    </row>
    <row r="3" spans="1:27" ht="39" customHeight="1">
      <c r="A3" s="907" t="s">
        <v>32</v>
      </c>
      <c r="B3" s="595">
        <v>2000</v>
      </c>
      <c r="C3" s="595">
        <v>2001</v>
      </c>
      <c r="D3" s="596">
        <v>2002</v>
      </c>
      <c r="E3" s="596">
        <v>2003</v>
      </c>
      <c r="F3" s="596">
        <v>2004</v>
      </c>
      <c r="G3" s="596">
        <v>2005</v>
      </c>
      <c r="H3" s="596">
        <v>2006</v>
      </c>
      <c r="I3" s="596">
        <v>2007</v>
      </c>
      <c r="J3" s="596">
        <v>2008</v>
      </c>
      <c r="K3" s="596">
        <v>2009</v>
      </c>
      <c r="L3" s="596">
        <v>2010</v>
      </c>
      <c r="M3" s="596">
        <v>2011</v>
      </c>
      <c r="N3" s="596">
        <v>2012</v>
      </c>
      <c r="O3" s="596">
        <v>2013</v>
      </c>
      <c r="P3" s="596">
        <v>2014</v>
      </c>
      <c r="Q3" s="596">
        <v>2015</v>
      </c>
      <c r="R3" s="912">
        <v>2016</v>
      </c>
      <c r="S3" s="912">
        <v>2017</v>
      </c>
      <c r="T3" s="1014">
        <v>2018</v>
      </c>
      <c r="U3" s="912">
        <v>2019</v>
      </c>
      <c r="V3" s="912">
        <v>2020</v>
      </c>
      <c r="W3" s="912">
        <v>2021</v>
      </c>
      <c r="X3" s="912">
        <v>2022</v>
      </c>
      <c r="Y3" s="912">
        <v>2023</v>
      </c>
    </row>
    <row r="4" spans="1:27" ht="5.0999999999999996" customHeight="1">
      <c r="A4" s="622"/>
      <c r="B4" s="687"/>
      <c r="C4" s="687"/>
      <c r="D4" s="687"/>
      <c r="T4" s="806"/>
      <c r="Y4" s="103"/>
    </row>
    <row r="5" spans="1:27" ht="21.75" customHeight="1">
      <c r="A5" s="607" t="s">
        <v>2</v>
      </c>
      <c r="B5" s="311">
        <f t="shared" ref="B5:I5" si="0">SUM(B7:B20)</f>
        <v>281</v>
      </c>
      <c r="C5" s="688">
        <f t="shared" si="0"/>
        <v>895</v>
      </c>
      <c r="D5" s="311">
        <f t="shared" si="0"/>
        <v>926</v>
      </c>
      <c r="E5" s="131">
        <f t="shared" si="0"/>
        <v>1235</v>
      </c>
      <c r="F5" s="131">
        <f t="shared" si="0"/>
        <v>526</v>
      </c>
      <c r="G5" s="131">
        <f t="shared" si="0"/>
        <v>843</v>
      </c>
      <c r="H5" s="131">
        <f t="shared" si="0"/>
        <v>1300</v>
      </c>
      <c r="I5" s="131">
        <f t="shared" si="0"/>
        <v>1607</v>
      </c>
      <c r="J5" s="131">
        <f>SUM(J7:J20)</f>
        <v>1543</v>
      </c>
      <c r="K5" s="131">
        <f>SUM(K7:K20)</f>
        <v>1424</v>
      </c>
      <c r="L5" s="131">
        <f>SUM(L7:L20)</f>
        <v>1263</v>
      </c>
      <c r="M5" s="131">
        <f>SUM(M6:M20)</f>
        <v>1560</v>
      </c>
      <c r="N5" s="131">
        <f>SUM(N7:N20)</f>
        <v>1046</v>
      </c>
      <c r="O5" s="131">
        <f>SUM(O7:O20)</f>
        <v>1655</v>
      </c>
      <c r="P5" s="131">
        <f t="shared" ref="P5:U5" si="1">SUM(P7:P20)</f>
        <v>1904</v>
      </c>
      <c r="Q5" s="131">
        <f t="shared" si="1"/>
        <v>1772</v>
      </c>
      <c r="R5" s="135">
        <f>SUM(R7:R20)</f>
        <v>2715</v>
      </c>
      <c r="S5" s="131">
        <f t="shared" si="1"/>
        <v>3654</v>
      </c>
      <c r="T5" s="1017">
        <f t="shared" si="1"/>
        <v>3454</v>
      </c>
      <c r="U5" s="506">
        <f t="shared" si="1"/>
        <v>4944</v>
      </c>
      <c r="V5" s="506">
        <f>SUM(V7:V20)</f>
        <v>5062</v>
      </c>
      <c r="W5" s="506">
        <f>SUM(W7:W20)</f>
        <v>5524</v>
      </c>
      <c r="X5" s="506">
        <f>SUM(X7:X20)</f>
        <v>7538</v>
      </c>
      <c r="Y5" s="506">
        <f>SUM(Y7:Y20)</f>
        <v>8761</v>
      </c>
    </row>
    <row r="6" spans="1:27" ht="4.5" customHeight="1">
      <c r="A6" s="607"/>
      <c r="B6" s="689"/>
      <c r="C6" s="628"/>
      <c r="D6" s="140"/>
      <c r="E6" s="140"/>
      <c r="F6" s="689"/>
      <c r="G6" s="689"/>
      <c r="H6" s="690"/>
      <c r="I6" s="140"/>
      <c r="K6" s="90"/>
      <c r="L6" s="90"/>
      <c r="T6" s="905"/>
      <c r="U6" s="165"/>
      <c r="V6" s="165"/>
      <c r="W6" s="165"/>
      <c r="X6" s="165"/>
      <c r="Y6" s="165"/>
    </row>
    <row r="7" spans="1:27" ht="23.1" customHeight="1">
      <c r="A7" s="622" t="s">
        <v>13</v>
      </c>
      <c r="B7" s="140">
        <v>76</v>
      </c>
      <c r="C7" s="628">
        <v>225</v>
      </c>
      <c r="D7" s="140">
        <v>434</v>
      </c>
      <c r="E7" s="438">
        <v>361</v>
      </c>
      <c r="F7" s="438">
        <v>149</v>
      </c>
      <c r="G7" s="438">
        <v>264</v>
      </c>
      <c r="H7" s="438">
        <v>462</v>
      </c>
      <c r="I7" s="438">
        <v>616</v>
      </c>
      <c r="J7" s="438">
        <v>527</v>
      </c>
      <c r="K7" s="436">
        <v>583</v>
      </c>
      <c r="L7" s="436">
        <v>411</v>
      </c>
      <c r="M7" s="437">
        <v>395</v>
      </c>
      <c r="N7" s="437">
        <v>198</v>
      </c>
      <c r="O7" s="437">
        <v>484</v>
      </c>
      <c r="P7" s="437">
        <v>463</v>
      </c>
      <c r="Q7" s="437">
        <v>238</v>
      </c>
      <c r="R7" s="103">
        <f>33+6+429+1</f>
        <v>469</v>
      </c>
      <c r="S7" s="437">
        <f>167+7+501+12</f>
        <v>687</v>
      </c>
      <c r="T7" s="1015">
        <f>74+10+418+2</f>
        <v>504</v>
      </c>
      <c r="U7" s="438">
        <v>1013</v>
      </c>
      <c r="V7" s="438">
        <f>83+8+1309+1</f>
        <v>1401</v>
      </c>
      <c r="W7" s="438">
        <f>130+6+1795+2</f>
        <v>1933</v>
      </c>
      <c r="X7" s="438">
        <v>2612</v>
      </c>
      <c r="Y7" s="438">
        <v>2669</v>
      </c>
    </row>
    <row r="8" spans="1:27" ht="23.1" customHeight="1">
      <c r="A8" s="622" t="s">
        <v>116</v>
      </c>
      <c r="B8" s="691" t="s">
        <v>96</v>
      </c>
      <c r="C8" s="628">
        <v>4</v>
      </c>
      <c r="D8" s="140">
        <v>1</v>
      </c>
      <c r="E8" s="438">
        <v>19</v>
      </c>
      <c r="F8" s="438">
        <v>2</v>
      </c>
      <c r="G8" s="438" t="s">
        <v>93</v>
      </c>
      <c r="H8" s="438">
        <v>8</v>
      </c>
      <c r="I8" s="438">
        <v>4</v>
      </c>
      <c r="J8" s="437">
        <v>3</v>
      </c>
      <c r="K8" s="436">
        <v>4</v>
      </c>
      <c r="L8" s="692" t="s">
        <v>56</v>
      </c>
      <c r="M8" s="692" t="s">
        <v>56</v>
      </c>
      <c r="N8" s="437">
        <v>1</v>
      </c>
      <c r="O8" s="437">
        <v>3</v>
      </c>
      <c r="P8" s="437">
        <v>3</v>
      </c>
      <c r="Q8" s="437">
        <v>9</v>
      </c>
      <c r="R8" s="103">
        <f>1+1</f>
        <v>2</v>
      </c>
      <c r="S8" s="437">
        <f>0+0</f>
        <v>0</v>
      </c>
      <c r="T8" s="1015">
        <f>0+0</f>
        <v>0</v>
      </c>
      <c r="U8" s="438">
        <v>1</v>
      </c>
      <c r="V8" s="438">
        <v>1</v>
      </c>
      <c r="W8" s="438">
        <v>0</v>
      </c>
      <c r="X8" s="438">
        <v>0</v>
      </c>
      <c r="Y8" s="438">
        <v>0</v>
      </c>
    </row>
    <row r="9" spans="1:27" ht="23.1" customHeight="1">
      <c r="A9" s="622" t="s">
        <v>10</v>
      </c>
      <c r="B9" s="140">
        <v>108</v>
      </c>
      <c r="C9" s="628">
        <v>430</v>
      </c>
      <c r="D9" s="140">
        <v>456</v>
      </c>
      <c r="E9" s="438">
        <v>476</v>
      </c>
      <c r="F9" s="438">
        <v>251</v>
      </c>
      <c r="G9" s="438">
        <v>367</v>
      </c>
      <c r="H9" s="438">
        <v>541</v>
      </c>
      <c r="I9" s="438">
        <v>527</v>
      </c>
      <c r="J9" s="437">
        <v>595</v>
      </c>
      <c r="K9" s="436">
        <v>621</v>
      </c>
      <c r="L9" s="436">
        <v>675</v>
      </c>
      <c r="M9" s="437">
        <v>857</v>
      </c>
      <c r="N9" s="437">
        <v>580</v>
      </c>
      <c r="O9" s="437">
        <v>806</v>
      </c>
      <c r="P9" s="437">
        <v>990</v>
      </c>
      <c r="Q9" s="437">
        <v>797</v>
      </c>
      <c r="R9" s="103">
        <f>670+475+13+2+22+0+0+5+12</f>
        <v>1199</v>
      </c>
      <c r="S9" s="437">
        <f>539+508+15+13+33+0+1+14+23</f>
        <v>1146</v>
      </c>
      <c r="T9" s="1015">
        <f>685+392+5+11+4+8+52+84</f>
        <v>1241</v>
      </c>
      <c r="U9" s="438">
        <v>1122</v>
      </c>
      <c r="V9" s="438">
        <f>809+340+8+52+0+12+27+178</f>
        <v>1426</v>
      </c>
      <c r="W9" s="438">
        <f>822+395+21+133+0+85+53+460</f>
        <v>1969</v>
      </c>
      <c r="X9" s="438">
        <v>2678</v>
      </c>
      <c r="Y9" s="438">
        <v>3799</v>
      </c>
    </row>
    <row r="10" spans="1:27" ht="23.1" customHeight="1">
      <c r="A10" s="622" t="s">
        <v>14</v>
      </c>
      <c r="B10" s="689" t="s">
        <v>96</v>
      </c>
      <c r="C10" s="628">
        <v>44</v>
      </c>
      <c r="D10" s="691" t="s">
        <v>96</v>
      </c>
      <c r="E10" s="438">
        <v>135</v>
      </c>
      <c r="F10" s="438">
        <v>27</v>
      </c>
      <c r="G10" s="438">
        <v>67</v>
      </c>
      <c r="H10" s="438">
        <v>29</v>
      </c>
      <c r="I10" s="438">
        <v>56</v>
      </c>
      <c r="J10" s="437">
        <v>104</v>
      </c>
      <c r="K10" s="436">
        <v>14</v>
      </c>
      <c r="L10" s="436">
        <v>15</v>
      </c>
      <c r="M10" s="438" t="s">
        <v>97</v>
      </c>
      <c r="N10" s="437">
        <v>4</v>
      </c>
      <c r="O10" s="437">
        <v>6</v>
      </c>
      <c r="P10" s="437">
        <v>11</v>
      </c>
      <c r="Q10" s="437">
        <v>8</v>
      </c>
      <c r="R10" s="103">
        <f>1+9+0+0</f>
        <v>10</v>
      </c>
      <c r="S10" s="437">
        <f>1+23+0+0</f>
        <v>24</v>
      </c>
      <c r="T10" s="1015">
        <f>9+4+2</f>
        <v>15</v>
      </c>
      <c r="U10" s="438">
        <v>9</v>
      </c>
      <c r="V10" s="438">
        <f>12+0+0</f>
        <v>12</v>
      </c>
      <c r="W10" s="438">
        <v>26</v>
      </c>
      <c r="X10" s="438">
        <v>43</v>
      </c>
      <c r="Y10" s="438">
        <v>49</v>
      </c>
      <c r="AA10" s="9" t="s">
        <v>45</v>
      </c>
    </row>
    <row r="11" spans="1:27" ht="23.1" customHeight="1">
      <c r="A11" s="622" t="s">
        <v>15</v>
      </c>
      <c r="B11" s="140">
        <v>39</v>
      </c>
      <c r="C11" s="628">
        <v>119</v>
      </c>
      <c r="D11" s="691" t="s">
        <v>96</v>
      </c>
      <c r="E11" s="438">
        <v>177</v>
      </c>
      <c r="F11" s="438">
        <v>63</v>
      </c>
      <c r="G11" s="438">
        <v>92</v>
      </c>
      <c r="H11" s="438">
        <v>156</v>
      </c>
      <c r="I11" s="438">
        <v>206</v>
      </c>
      <c r="J11" s="437">
        <v>224</v>
      </c>
      <c r="K11" s="436">
        <v>163</v>
      </c>
      <c r="L11" s="436">
        <v>98</v>
      </c>
      <c r="M11" s="437">
        <v>110</v>
      </c>
      <c r="N11" s="437">
        <v>89</v>
      </c>
      <c r="O11" s="437">
        <v>99</v>
      </c>
      <c r="P11" s="437">
        <v>137</v>
      </c>
      <c r="Q11" s="437">
        <v>159</v>
      </c>
      <c r="R11" s="103">
        <f>36+1+13+121+2+1+4</f>
        <v>178</v>
      </c>
      <c r="S11" s="437">
        <f>64+2+34+200+1+4+6</f>
        <v>311</v>
      </c>
      <c r="T11" s="905">
        <f>55+4+32+120+0+0+8</f>
        <v>219</v>
      </c>
      <c r="U11" s="165">
        <v>226</v>
      </c>
      <c r="V11" s="165">
        <f>40+11+14+236+3+2+1</f>
        <v>307</v>
      </c>
      <c r="W11" s="165">
        <f>38+3+21+298+2+2+2</f>
        <v>366</v>
      </c>
      <c r="X11" s="165">
        <v>514</v>
      </c>
      <c r="Y11" s="165">
        <v>611</v>
      </c>
    </row>
    <row r="12" spans="1:27" ht="23.1" customHeight="1">
      <c r="A12" s="622" t="s">
        <v>27</v>
      </c>
      <c r="B12" s="689" t="s">
        <v>96</v>
      </c>
      <c r="C12" s="628">
        <v>10</v>
      </c>
      <c r="D12" s="691" t="s">
        <v>96</v>
      </c>
      <c r="E12" s="438" t="s">
        <v>96</v>
      </c>
      <c r="F12" s="438">
        <v>5</v>
      </c>
      <c r="G12" s="438">
        <v>2</v>
      </c>
      <c r="H12" s="438" t="s">
        <v>93</v>
      </c>
      <c r="I12" s="438" t="s">
        <v>93</v>
      </c>
      <c r="J12" s="438" t="s">
        <v>93</v>
      </c>
      <c r="K12" s="438" t="s">
        <v>93</v>
      </c>
      <c r="L12" s="438" t="s">
        <v>93</v>
      </c>
      <c r="M12" s="438" t="s">
        <v>93</v>
      </c>
      <c r="N12" s="438" t="s">
        <v>97</v>
      </c>
      <c r="O12" s="438" t="s">
        <v>97</v>
      </c>
      <c r="P12" s="437">
        <v>2</v>
      </c>
      <c r="Q12" s="437">
        <v>9</v>
      </c>
      <c r="R12" s="437">
        <f t="shared" ref="R12:Y12" si="2">0+0</f>
        <v>0</v>
      </c>
      <c r="S12" s="437">
        <f t="shared" si="2"/>
        <v>0</v>
      </c>
      <c r="T12" s="1015">
        <f t="shared" si="2"/>
        <v>0</v>
      </c>
      <c r="U12" s="438">
        <f t="shared" si="2"/>
        <v>0</v>
      </c>
      <c r="V12" s="438">
        <f t="shared" si="2"/>
        <v>0</v>
      </c>
      <c r="W12" s="438">
        <f t="shared" si="2"/>
        <v>0</v>
      </c>
      <c r="X12" s="438">
        <f t="shared" si="2"/>
        <v>0</v>
      </c>
      <c r="Y12" s="438">
        <f t="shared" si="2"/>
        <v>0</v>
      </c>
    </row>
    <row r="13" spans="1:27" ht="23.1" customHeight="1">
      <c r="A13" s="622" t="s">
        <v>11</v>
      </c>
      <c r="B13" s="140">
        <v>7</v>
      </c>
      <c r="C13" s="628">
        <v>11</v>
      </c>
      <c r="D13" s="691" t="s">
        <v>96</v>
      </c>
      <c r="E13" s="438">
        <v>11</v>
      </c>
      <c r="F13" s="438">
        <v>2</v>
      </c>
      <c r="G13" s="438">
        <v>6</v>
      </c>
      <c r="H13" s="438">
        <v>11</v>
      </c>
      <c r="I13" s="438">
        <v>124</v>
      </c>
      <c r="J13" s="437">
        <v>44</v>
      </c>
      <c r="K13" s="436">
        <v>21</v>
      </c>
      <c r="L13" s="436">
        <v>32</v>
      </c>
      <c r="M13" s="437">
        <v>147</v>
      </c>
      <c r="N13" s="437">
        <v>78</v>
      </c>
      <c r="O13" s="437">
        <v>222</v>
      </c>
      <c r="P13" s="437">
        <v>233</v>
      </c>
      <c r="Q13" s="437">
        <v>442</v>
      </c>
      <c r="R13" s="103">
        <f>659+55+5+17+19</f>
        <v>755</v>
      </c>
      <c r="S13" s="437">
        <f>1160+40+11+37+20</f>
        <v>1268</v>
      </c>
      <c r="T13" s="1015">
        <f>1236+24</f>
        <v>1260</v>
      </c>
      <c r="U13" s="438">
        <v>2346</v>
      </c>
      <c r="V13" s="438">
        <f>1495+71</f>
        <v>1566</v>
      </c>
      <c r="W13" s="438">
        <f>1041+14</f>
        <v>1055</v>
      </c>
      <c r="X13" s="438">
        <v>1499</v>
      </c>
      <c r="Y13" s="438">
        <v>1351</v>
      </c>
    </row>
    <row r="14" spans="1:27" ht="23.1" customHeight="1">
      <c r="A14" s="622" t="s">
        <v>16</v>
      </c>
      <c r="B14" s="689" t="s">
        <v>96</v>
      </c>
      <c r="C14" s="628">
        <v>3</v>
      </c>
      <c r="D14" s="691" t="s">
        <v>96</v>
      </c>
      <c r="E14" s="438" t="s">
        <v>96</v>
      </c>
      <c r="F14" s="438">
        <v>2</v>
      </c>
      <c r="G14" s="438" t="s">
        <v>93</v>
      </c>
      <c r="H14" s="438">
        <v>2</v>
      </c>
      <c r="I14" s="438">
        <v>3</v>
      </c>
      <c r="J14" s="437">
        <v>1</v>
      </c>
      <c r="K14" s="436">
        <v>2</v>
      </c>
      <c r="L14" s="692" t="s">
        <v>97</v>
      </c>
      <c r="M14" s="438">
        <v>6</v>
      </c>
      <c r="N14" s="437">
        <v>1</v>
      </c>
      <c r="O14" s="437">
        <v>2</v>
      </c>
      <c r="P14" s="437">
        <v>1</v>
      </c>
      <c r="Q14" s="437">
        <v>2</v>
      </c>
      <c r="R14" s="103">
        <f>4+0+0+0+1</f>
        <v>5</v>
      </c>
      <c r="S14" s="437">
        <f>4+0+0+0+4</f>
        <v>8</v>
      </c>
      <c r="T14" s="1015" t="s">
        <v>117</v>
      </c>
      <c r="U14" s="438" t="s">
        <v>117</v>
      </c>
      <c r="V14" s="438" t="s">
        <v>117</v>
      </c>
      <c r="W14" s="438" t="s">
        <v>117</v>
      </c>
      <c r="X14" s="438" t="s">
        <v>117</v>
      </c>
      <c r="Y14" s="438" t="s">
        <v>117</v>
      </c>
    </row>
    <row r="15" spans="1:27" ht="23.1" customHeight="1">
      <c r="A15" s="622" t="s">
        <v>381</v>
      </c>
      <c r="B15" s="689"/>
      <c r="C15" s="628"/>
      <c r="D15" s="691"/>
      <c r="E15" s="438"/>
      <c r="F15" s="438"/>
      <c r="G15" s="438"/>
      <c r="H15" s="438"/>
      <c r="I15" s="438"/>
      <c r="J15" s="437"/>
      <c r="K15" s="436"/>
      <c r="L15" s="692"/>
      <c r="M15" s="438"/>
      <c r="N15" s="437"/>
      <c r="O15" s="437"/>
      <c r="P15" s="437"/>
      <c r="Q15" s="437"/>
      <c r="R15" s="103">
        <f>5+5</f>
        <v>10</v>
      </c>
      <c r="S15" s="438" t="s">
        <v>117</v>
      </c>
      <c r="T15" s="1015" t="s">
        <v>117</v>
      </c>
      <c r="U15" s="692">
        <v>121</v>
      </c>
      <c r="V15" s="692">
        <f>10+3</f>
        <v>13</v>
      </c>
      <c r="W15" s="692">
        <v>13</v>
      </c>
      <c r="X15" s="692">
        <v>0</v>
      </c>
      <c r="Y15" s="692">
        <v>0</v>
      </c>
    </row>
    <row r="16" spans="1:27" ht="23.1" customHeight="1">
      <c r="A16" s="622" t="s">
        <v>17</v>
      </c>
      <c r="B16" s="689" t="s">
        <v>96</v>
      </c>
      <c r="C16" s="628">
        <v>2</v>
      </c>
      <c r="D16" s="691" t="s">
        <v>96</v>
      </c>
      <c r="E16" s="438">
        <v>4</v>
      </c>
      <c r="F16" s="438">
        <v>7</v>
      </c>
      <c r="G16" s="438" t="s">
        <v>93</v>
      </c>
      <c r="H16" s="438">
        <v>5</v>
      </c>
      <c r="I16" s="438">
        <v>15</v>
      </c>
      <c r="J16" s="437">
        <v>9</v>
      </c>
      <c r="K16" s="692" t="s">
        <v>97</v>
      </c>
      <c r="L16" s="436">
        <v>4</v>
      </c>
      <c r="M16" s="437">
        <v>11</v>
      </c>
      <c r="N16" s="437">
        <v>72</v>
      </c>
      <c r="O16" s="437">
        <v>12</v>
      </c>
      <c r="P16" s="437">
        <v>43</v>
      </c>
      <c r="Q16" s="437">
        <v>44</v>
      </c>
      <c r="R16" s="103">
        <f>13+0</f>
        <v>13</v>
      </c>
      <c r="S16" s="437">
        <v>58</v>
      </c>
      <c r="T16" s="1016">
        <f>0+0</f>
        <v>0</v>
      </c>
      <c r="U16" s="692">
        <v>3</v>
      </c>
      <c r="V16" s="692">
        <v>5</v>
      </c>
      <c r="W16" s="692">
        <v>0</v>
      </c>
      <c r="X16" s="692">
        <v>0</v>
      </c>
      <c r="Y16" s="692">
        <v>0</v>
      </c>
    </row>
    <row r="17" spans="1:25" ht="23.1" customHeight="1">
      <c r="A17" s="622" t="s">
        <v>28</v>
      </c>
      <c r="B17" s="689" t="s">
        <v>96</v>
      </c>
      <c r="C17" s="628">
        <v>10</v>
      </c>
      <c r="D17" s="691" t="s">
        <v>96</v>
      </c>
      <c r="E17" s="438">
        <v>24</v>
      </c>
      <c r="F17" s="438">
        <v>6</v>
      </c>
      <c r="G17" s="438">
        <v>20</v>
      </c>
      <c r="H17" s="438">
        <v>25</v>
      </c>
      <c r="I17" s="438">
        <v>19</v>
      </c>
      <c r="J17" s="437">
        <v>9</v>
      </c>
      <c r="K17" s="436">
        <v>6</v>
      </c>
      <c r="L17" s="436">
        <v>9</v>
      </c>
      <c r="M17" s="437">
        <v>7</v>
      </c>
      <c r="N17" s="437">
        <v>13</v>
      </c>
      <c r="O17" s="437">
        <v>6</v>
      </c>
      <c r="P17" s="437">
        <v>4</v>
      </c>
      <c r="Q17" s="437">
        <v>9</v>
      </c>
      <c r="R17" s="103">
        <f>8+0+4</f>
        <v>12</v>
      </c>
      <c r="S17" s="437">
        <f>6+0+9</f>
        <v>15</v>
      </c>
      <c r="T17" s="905">
        <f>3+1+2</f>
        <v>6</v>
      </c>
      <c r="U17" s="165">
        <v>3</v>
      </c>
      <c r="V17" s="165">
        <f>6+3+11</f>
        <v>20</v>
      </c>
      <c r="W17" s="165">
        <f>14+0+13</f>
        <v>27</v>
      </c>
      <c r="X17" s="165">
        <v>30</v>
      </c>
      <c r="Y17" s="165">
        <v>50</v>
      </c>
    </row>
    <row r="18" spans="1:25" ht="23.1" customHeight="1">
      <c r="A18" s="622" t="s">
        <v>18</v>
      </c>
      <c r="B18" s="689" t="s">
        <v>96</v>
      </c>
      <c r="C18" s="628">
        <v>8</v>
      </c>
      <c r="D18" s="691" t="s">
        <v>96</v>
      </c>
      <c r="E18" s="438">
        <v>7</v>
      </c>
      <c r="F18" s="438">
        <v>2</v>
      </c>
      <c r="G18" s="438">
        <v>16</v>
      </c>
      <c r="H18" s="438">
        <v>52</v>
      </c>
      <c r="I18" s="438">
        <v>33</v>
      </c>
      <c r="J18" s="437">
        <v>22</v>
      </c>
      <c r="K18" s="436">
        <v>5</v>
      </c>
      <c r="L18" s="436">
        <v>9</v>
      </c>
      <c r="M18" s="437">
        <v>4</v>
      </c>
      <c r="N18" s="437">
        <v>2</v>
      </c>
      <c r="O18" s="437">
        <v>13</v>
      </c>
      <c r="P18" s="437">
        <v>12</v>
      </c>
      <c r="Q18" s="437">
        <v>52</v>
      </c>
      <c r="R18" s="103">
        <f>49+5+0</f>
        <v>54</v>
      </c>
      <c r="S18" s="437">
        <f>72+9+3</f>
        <v>84</v>
      </c>
      <c r="T18" s="905">
        <f>67+8+0</f>
        <v>75</v>
      </c>
      <c r="U18" s="165">
        <v>89</v>
      </c>
      <c r="V18" s="165">
        <f>263+11+5</f>
        <v>279</v>
      </c>
      <c r="W18" s="165">
        <f>92+9+3</f>
        <v>104</v>
      </c>
      <c r="X18" s="165">
        <v>132</v>
      </c>
      <c r="Y18" s="165">
        <v>89</v>
      </c>
    </row>
    <row r="19" spans="1:25" ht="23.1" customHeight="1">
      <c r="A19" s="622" t="s">
        <v>270</v>
      </c>
      <c r="B19" s="689"/>
      <c r="C19" s="628"/>
      <c r="D19" s="691" t="s">
        <v>163</v>
      </c>
      <c r="E19" s="438" t="s">
        <v>117</v>
      </c>
      <c r="F19" s="438" t="s">
        <v>117</v>
      </c>
      <c r="G19" s="438" t="s">
        <v>117</v>
      </c>
      <c r="H19" s="438" t="s">
        <v>117</v>
      </c>
      <c r="I19" s="438" t="s">
        <v>117</v>
      </c>
      <c r="J19" s="438" t="s">
        <v>117</v>
      </c>
      <c r="K19" s="438" t="s">
        <v>117</v>
      </c>
      <c r="L19" s="438" t="s">
        <v>117</v>
      </c>
      <c r="M19" s="438" t="s">
        <v>117</v>
      </c>
      <c r="N19" s="438" t="s">
        <v>117</v>
      </c>
      <c r="O19" s="438" t="s">
        <v>117</v>
      </c>
      <c r="P19" s="438" t="s">
        <v>117</v>
      </c>
      <c r="Q19" s="438" t="s">
        <v>117</v>
      </c>
      <c r="R19" s="103">
        <f>1</f>
        <v>1</v>
      </c>
      <c r="S19" s="437">
        <v>1</v>
      </c>
      <c r="T19" s="1015" t="s">
        <v>117</v>
      </c>
      <c r="U19" s="438" t="s">
        <v>117</v>
      </c>
      <c r="V19" s="438" t="s">
        <v>117</v>
      </c>
      <c r="W19" s="438" t="s">
        <v>117</v>
      </c>
      <c r="X19" s="438" t="s">
        <v>117</v>
      </c>
      <c r="Y19" s="438" t="s">
        <v>117</v>
      </c>
    </row>
    <row r="20" spans="1:25" ht="23.1" customHeight="1">
      <c r="A20" s="622" t="s">
        <v>3</v>
      </c>
      <c r="B20" s="140">
        <v>51</v>
      </c>
      <c r="C20" s="628">
        <v>29</v>
      </c>
      <c r="D20" s="691">
        <v>35</v>
      </c>
      <c r="E20" s="437">
        <v>21</v>
      </c>
      <c r="F20" s="437">
        <v>10</v>
      </c>
      <c r="G20" s="437">
        <v>9</v>
      </c>
      <c r="H20" s="437">
        <v>9</v>
      </c>
      <c r="I20" s="437">
        <v>4</v>
      </c>
      <c r="J20" s="437">
        <v>5</v>
      </c>
      <c r="K20" s="437">
        <v>5</v>
      </c>
      <c r="L20" s="437">
        <v>10</v>
      </c>
      <c r="M20" s="437">
        <v>23</v>
      </c>
      <c r="N20" s="437">
        <v>8</v>
      </c>
      <c r="O20" s="437">
        <v>2</v>
      </c>
      <c r="P20" s="437">
        <v>5</v>
      </c>
      <c r="Q20" s="437">
        <v>3</v>
      </c>
      <c r="R20" s="103">
        <v>7</v>
      </c>
      <c r="S20" s="437">
        <f>47+5</f>
        <v>52</v>
      </c>
      <c r="T20" s="905">
        <f>12+122</f>
        <v>134</v>
      </c>
      <c r="U20" s="165">
        <f>6+2+3</f>
        <v>11</v>
      </c>
      <c r="V20" s="165">
        <v>32</v>
      </c>
      <c r="W20" s="165">
        <v>31</v>
      </c>
      <c r="X20" s="165">
        <v>30</v>
      </c>
      <c r="Y20" s="165">
        <v>143</v>
      </c>
    </row>
    <row r="21" spans="1:25" ht="5.0999999999999996" customHeight="1">
      <c r="A21" s="693"/>
      <c r="B21" s="694"/>
      <c r="C21" s="695"/>
      <c r="D21" s="374"/>
      <c r="E21" s="374"/>
      <c r="F21" s="374"/>
      <c r="G21" s="374"/>
      <c r="H21" s="696"/>
      <c r="I21" s="374"/>
      <c r="J21" s="374"/>
      <c r="K21" s="374"/>
      <c r="L21" s="374"/>
      <c r="M21" s="374"/>
      <c r="N21" s="374"/>
      <c r="O21" s="374"/>
      <c r="P21" s="374"/>
      <c r="Q21" s="374"/>
      <c r="R21" s="374"/>
      <c r="S21" s="374"/>
      <c r="T21" s="906"/>
      <c r="U21" s="374"/>
      <c r="V21" s="374"/>
      <c r="W21" s="374"/>
      <c r="X21" s="374"/>
      <c r="Y21" s="374"/>
    </row>
    <row r="22" spans="1:25" ht="11.1" customHeight="1">
      <c r="A22" s="723" t="s">
        <v>494</v>
      </c>
      <c r="B22" s="723"/>
      <c r="C22" s="723"/>
      <c r="D22" s="723"/>
      <c r="E22" s="723"/>
      <c r="F22" s="723"/>
      <c r="G22" s="723"/>
      <c r="H22" s="723"/>
      <c r="I22" s="723"/>
      <c r="J22" s="723"/>
      <c r="K22" s="723"/>
      <c r="L22" s="723"/>
      <c r="M22" s="723"/>
      <c r="N22" s="723"/>
      <c r="O22" s="723"/>
      <c r="P22" s="723"/>
      <c r="Q22" s="723"/>
      <c r="R22" s="723"/>
      <c r="S22" s="723"/>
      <c r="T22" s="723"/>
      <c r="U22" s="423"/>
      <c r="Y22" s="103"/>
    </row>
    <row r="23" spans="1:25">
      <c r="A23" s="697"/>
      <c r="H23" s="149"/>
    </row>
    <row r="24" spans="1:25">
      <c r="A24" s="135"/>
      <c r="B24" s="698"/>
      <c r="C24" s="698"/>
      <c r="F24" s="687"/>
    </row>
    <row r="25" spans="1:25">
      <c r="A25" s="135"/>
      <c r="B25" s="135"/>
      <c r="C25" s="135"/>
      <c r="F25" s="687"/>
    </row>
    <row r="26" spans="1:25">
      <c r="A26" s="135"/>
      <c r="B26" s="698"/>
      <c r="C26" s="698"/>
      <c r="F26" s="687"/>
    </row>
    <row r="27" spans="1:25">
      <c r="A27" s="698"/>
      <c r="B27" s="178"/>
      <c r="C27" s="178"/>
      <c r="F27" s="687"/>
    </row>
    <row r="28" spans="1:25">
      <c r="A28" s="698"/>
      <c r="B28" s="178"/>
      <c r="C28" s="178"/>
      <c r="F28" s="687"/>
    </row>
    <row r="29" spans="1:25">
      <c r="A29" s="697"/>
      <c r="B29" s="699"/>
      <c r="C29" s="700"/>
    </row>
    <row r="30" spans="1:25">
      <c r="A30" s="697"/>
      <c r="B30" s="699"/>
      <c r="C30" s="700"/>
    </row>
    <row r="31" spans="1:25">
      <c r="A31" s="697"/>
      <c r="B31" s="699"/>
      <c r="C31" s="700"/>
    </row>
    <row r="32" spans="1:25">
      <c r="A32" s="697"/>
      <c r="B32" s="699"/>
      <c r="C32" s="700"/>
    </row>
    <row r="33" spans="1:3">
      <c r="A33" s="697"/>
      <c r="B33" s="699"/>
      <c r="C33" s="700"/>
    </row>
    <row r="34" spans="1:3">
      <c r="A34" s="697"/>
      <c r="B34" s="701"/>
    </row>
    <row r="35" spans="1:3">
      <c r="A35" s="697"/>
    </row>
    <row r="36" spans="1:3">
      <c r="A36" s="697"/>
    </row>
    <row r="37" spans="1:3">
      <c r="A37" s="698"/>
      <c r="B37" s="698"/>
      <c r="C37" s="698"/>
    </row>
    <row r="38" spans="1:3">
      <c r="A38" s="698"/>
      <c r="B38" s="698"/>
      <c r="C38" s="698"/>
    </row>
    <row r="39" spans="1:3">
      <c r="A39" s="135"/>
      <c r="B39" s="135"/>
      <c r="C39" s="135"/>
    </row>
    <row r="40" spans="1:3">
      <c r="A40" s="135"/>
      <c r="B40" s="698"/>
      <c r="C40" s="698"/>
    </row>
    <row r="41" spans="1:3">
      <c r="A41" s="698"/>
      <c r="B41" s="178"/>
      <c r="C41" s="178"/>
    </row>
    <row r="42" spans="1:3">
      <c r="A42" s="698"/>
      <c r="B42" s="178"/>
      <c r="C42" s="178"/>
    </row>
    <row r="43" spans="1:3">
      <c r="A43" s="697"/>
      <c r="B43" s="700"/>
      <c r="C43" s="700"/>
    </row>
    <row r="44" spans="1:3">
      <c r="A44" s="697"/>
      <c r="B44" s="699"/>
      <c r="C44" s="700"/>
    </row>
    <row r="45" spans="1:3">
      <c r="A45" s="697"/>
      <c r="B45" s="699"/>
      <c r="C45" s="700"/>
    </row>
    <row r="46" spans="1:3">
      <c r="A46" s="697"/>
      <c r="B46" s="699"/>
      <c r="C46" s="700"/>
    </row>
    <row r="47" spans="1:3">
      <c r="A47" s="697"/>
      <c r="B47" s="699"/>
      <c r="C47" s="700"/>
    </row>
    <row r="48" spans="1:3">
      <c r="A48" s="697"/>
      <c r="B48" s="699"/>
      <c r="C48" s="700"/>
    </row>
    <row r="49" spans="1:3">
      <c r="A49" s="697"/>
      <c r="B49" s="699"/>
      <c r="C49" s="700"/>
    </row>
    <row r="50" spans="1:3">
      <c r="A50" s="697"/>
      <c r="B50" s="699"/>
      <c r="C50" s="700"/>
    </row>
    <row r="51" spans="1:3">
      <c r="A51" s="697"/>
      <c r="B51" s="699"/>
      <c r="C51" s="700"/>
    </row>
    <row r="52" spans="1:3">
      <c r="A52" s="697"/>
      <c r="B52" s="699"/>
      <c r="C52" s="700"/>
    </row>
    <row r="53" spans="1:3">
      <c r="A53" s="697"/>
      <c r="B53" s="699"/>
      <c r="C53" s="700"/>
    </row>
    <row r="54" spans="1:3">
      <c r="A54" s="697"/>
      <c r="B54" s="699"/>
      <c r="C54" s="700"/>
    </row>
    <row r="55" spans="1:3">
      <c r="A55" s="697"/>
    </row>
    <row r="56" spans="1:3">
      <c r="A56" s="697"/>
    </row>
  </sheetData>
  <mergeCells count="1">
    <mergeCell ref="A1:Y1"/>
  </mergeCells>
  <phoneticPr fontId="0" type="noConversion"/>
  <pageMargins left="0.78740157480314965" right="0.78740157480314965" top="0.98425196850393704" bottom="0.98425196850393704" header="0.31496062992125984" footer="0"/>
  <pageSetup paperSize="9" orientation="portrait" r:id="rId1"/>
  <headerFooter alignWithMargins="0"/>
  <ignoredErrors>
    <ignoredError sqref="M5"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64"/>
  <sheetViews>
    <sheetView showGridLines="0" zoomScaleNormal="100" workbookViewId="0">
      <selection sqref="A1:Y36"/>
    </sheetView>
  </sheetViews>
  <sheetFormatPr baseColWidth="10" defaultColWidth="11.42578125" defaultRowHeight="12.75"/>
  <cols>
    <col min="1" max="1" width="19.28515625" style="192" customWidth="1"/>
    <col min="2" max="2" width="5.42578125" style="192" customWidth="1"/>
    <col min="3" max="3" width="4.42578125" style="192" customWidth="1"/>
    <col min="4" max="4" width="4.85546875" style="192" customWidth="1"/>
    <col min="5" max="5" width="4.28515625" style="192" customWidth="1"/>
    <col min="6" max="6" width="4.85546875" style="192" customWidth="1"/>
    <col min="7" max="8" width="4.28515625" style="192" customWidth="1"/>
    <col min="9" max="9" width="4.5703125" style="192" customWidth="1"/>
    <col min="10" max="10" width="4.85546875" style="192" customWidth="1"/>
    <col min="11" max="12" width="4.42578125" style="192" customWidth="1"/>
    <col min="13" max="13" width="5.42578125" style="192" customWidth="1"/>
    <col min="14" max="14" width="4.42578125" style="192" customWidth="1"/>
    <col min="15" max="16" width="4.7109375" style="192" customWidth="1"/>
    <col min="17" max="17" width="4.85546875" style="192" customWidth="1"/>
    <col min="18" max="18" width="4.7109375" style="192" customWidth="1"/>
    <col min="19" max="19" width="5" style="192" customWidth="1"/>
    <col min="20" max="20" width="4.7109375" style="192" customWidth="1"/>
    <col min="21" max="21" width="4.42578125" style="192" customWidth="1"/>
    <col min="22" max="22" width="5.140625" style="192" customWidth="1"/>
    <col min="23" max="24" width="4.85546875" style="192" customWidth="1"/>
    <col min="25" max="25" width="4.7109375" style="192" customWidth="1"/>
    <col min="26" max="26" width="7.7109375" style="192" customWidth="1"/>
    <col min="27" max="27" width="1.140625" style="192" customWidth="1"/>
    <col min="28" max="28" width="7.28515625" style="192" customWidth="1"/>
    <col min="29" max="29" width="7.140625" style="192" customWidth="1"/>
    <col min="30" max="30" width="4" style="192" customWidth="1"/>
    <col min="31" max="32" width="3" style="192" customWidth="1"/>
    <col min="33" max="16384" width="11.42578125" style="192"/>
  </cols>
  <sheetData>
    <row r="1" ht="20.25" customHeight="1"/>
    <row r="2" ht="3" customHeight="1"/>
    <row r="3" ht="14.25" customHeight="1"/>
    <row r="4" ht="12.75" customHeight="1"/>
    <row r="5" ht="7.5" customHeight="1"/>
    <row r="6" ht="14.25" customHeight="1"/>
    <row r="7" ht="12.95" customHeight="1"/>
    <row r="8" ht="12.95" customHeight="1"/>
    <row r="9" ht="12.95" customHeight="1"/>
    <row r="10" ht="12.95" customHeight="1"/>
    <row r="11" ht="12.95" customHeight="1"/>
    <row r="12" ht="12.95" customHeight="1"/>
    <row r="13" ht="8.25" customHeight="1"/>
    <row r="14" ht="12.75" customHeight="1"/>
    <row r="15" ht="12.75" customHeight="1"/>
    <row r="16"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spans="1:48" ht="12.75" customHeight="1"/>
    <row r="34" spans="1:48" ht="12.75" customHeight="1"/>
    <row r="35" spans="1:48" ht="12.75" customHeight="1"/>
    <row r="36" spans="1:48" ht="12.75" customHeight="1"/>
    <row r="37" spans="1:48" s="202" customFormat="1" ht="13.5" customHeight="1">
      <c r="A37" s="191" t="s">
        <v>320</v>
      </c>
      <c r="B37" s="191"/>
      <c r="C37" s="199"/>
      <c r="D37" s="199"/>
      <c r="E37" s="199"/>
      <c r="F37" s="199"/>
      <c r="G37" s="199"/>
      <c r="H37" s="199"/>
      <c r="I37" s="199"/>
      <c r="J37" s="200"/>
      <c r="K37" s="200"/>
      <c r="L37" s="200"/>
      <c r="M37" s="200"/>
      <c r="N37" s="200"/>
      <c r="O37" s="200"/>
      <c r="P37" s="200"/>
      <c r="Q37" s="201"/>
      <c r="R37" s="201"/>
      <c r="S37" s="201"/>
      <c r="T37" s="201"/>
      <c r="U37" s="201"/>
    </row>
    <row r="38" spans="1:48" s="202" customFormat="1" ht="4.5" customHeight="1"/>
    <row r="39" spans="1:48" s="202" customFormat="1" ht="14.25" customHeight="1">
      <c r="A39" s="1138" t="s">
        <v>23</v>
      </c>
      <c r="B39" s="1140" t="s">
        <v>321</v>
      </c>
      <c r="C39" s="1141"/>
      <c r="D39" s="1141"/>
      <c r="E39" s="1141"/>
      <c r="F39" s="1141"/>
      <c r="G39" s="1141"/>
      <c r="H39" s="1141"/>
      <c r="I39" s="1141"/>
      <c r="J39" s="1141"/>
      <c r="K39" s="1141"/>
      <c r="L39" s="1141"/>
      <c r="M39" s="1141"/>
      <c r="N39" s="1141"/>
      <c r="O39" s="1141"/>
      <c r="P39" s="1141"/>
      <c r="Q39" s="1141"/>
      <c r="R39" s="1141"/>
      <c r="S39" s="1141"/>
      <c r="T39" s="1141"/>
      <c r="U39" s="1141"/>
      <c r="V39" s="1141"/>
      <c r="W39" s="1141"/>
      <c r="X39" s="203"/>
      <c r="AB39" s="204"/>
      <c r="AC39" s="205"/>
      <c r="AD39" s="205"/>
      <c r="AE39" s="205"/>
      <c r="AF39" s="205"/>
      <c r="AG39" s="205"/>
      <c r="AH39" s="205"/>
      <c r="AI39" s="205"/>
      <c r="AJ39" s="193"/>
      <c r="AK39" s="193"/>
      <c r="AL39" s="193"/>
      <c r="AM39" s="193"/>
      <c r="AN39" s="193"/>
      <c r="AO39" s="193"/>
      <c r="AP39" s="193"/>
      <c r="AQ39" s="193"/>
      <c r="AR39" s="193"/>
      <c r="AS39" s="193"/>
      <c r="AT39" s="193"/>
      <c r="AU39" s="193"/>
      <c r="AV39" s="193"/>
    </row>
    <row r="40" spans="1:48" s="209" customFormat="1" ht="13.5" customHeight="1">
      <c r="A40" s="1139"/>
      <c r="B40" s="206">
        <v>1993</v>
      </c>
      <c r="C40" s="206">
        <v>1995</v>
      </c>
      <c r="D40" s="207">
        <v>1996</v>
      </c>
      <c r="E40" s="208">
        <v>1997</v>
      </c>
      <c r="F40" s="208">
        <v>1998</v>
      </c>
      <c r="G40" s="208">
        <v>1999</v>
      </c>
      <c r="H40" s="208">
        <v>2000</v>
      </c>
      <c r="I40" s="208">
        <v>2001</v>
      </c>
      <c r="J40" s="208">
        <v>2002</v>
      </c>
      <c r="K40" s="208">
        <v>2003</v>
      </c>
      <c r="L40" s="208">
        <v>2004</v>
      </c>
      <c r="M40" s="208">
        <v>2005</v>
      </c>
      <c r="N40" s="208">
        <v>2006</v>
      </c>
      <c r="O40" s="208">
        <v>2007</v>
      </c>
      <c r="P40" s="208">
        <v>2008</v>
      </c>
      <c r="Q40" s="208">
        <v>2009</v>
      </c>
      <c r="R40" s="208">
        <v>2010</v>
      </c>
      <c r="S40" s="208">
        <v>2011</v>
      </c>
      <c r="T40" s="208">
        <v>2012</v>
      </c>
      <c r="U40" s="208">
        <v>2013</v>
      </c>
      <c r="V40" s="208">
        <v>2014</v>
      </c>
      <c r="W40" s="208">
        <v>2015</v>
      </c>
      <c r="X40" s="208">
        <v>2016</v>
      </c>
      <c r="Y40" s="208" t="s">
        <v>322</v>
      </c>
      <c r="AB40" s="210"/>
      <c r="AC40" s="198"/>
      <c r="AD40" s="211"/>
      <c r="AE40" s="198"/>
      <c r="AF40" s="198"/>
      <c r="AG40" s="198"/>
      <c r="AH40" s="198"/>
      <c r="AI40" s="193"/>
      <c r="AJ40" s="193"/>
      <c r="AK40" s="193"/>
      <c r="AL40" s="193"/>
      <c r="AM40" s="193"/>
      <c r="AN40" s="193"/>
      <c r="AO40" s="193"/>
      <c r="AP40" s="193"/>
      <c r="AQ40" s="193"/>
      <c r="AR40" s="193"/>
      <c r="AS40" s="193"/>
      <c r="AT40" s="193"/>
      <c r="AU40" s="193"/>
      <c r="AV40" s="193"/>
    </row>
    <row r="41" spans="1:48" s="202" customFormat="1" ht="6.75" customHeight="1">
      <c r="A41" s="212"/>
      <c r="B41" s="194"/>
      <c r="C41" s="213"/>
      <c r="D41" s="214"/>
      <c r="E41" s="215"/>
      <c r="F41" s="215"/>
      <c r="G41" s="216"/>
      <c r="H41" s="216"/>
      <c r="I41" s="216"/>
      <c r="J41" s="216"/>
      <c r="K41" s="216"/>
      <c r="L41" s="216"/>
      <c r="M41" s="217"/>
      <c r="Q41" s="217"/>
      <c r="R41" s="217"/>
      <c r="AB41" s="218"/>
      <c r="AC41" s="219"/>
      <c r="AD41" s="219"/>
      <c r="AE41" s="219"/>
      <c r="AF41" s="219"/>
      <c r="AG41" s="219"/>
      <c r="AH41" s="219"/>
      <c r="AI41" s="219"/>
      <c r="AJ41" s="219"/>
      <c r="AK41" s="219"/>
      <c r="AL41" s="219"/>
      <c r="AM41" s="219"/>
      <c r="AN41" s="219"/>
      <c r="AO41" s="219"/>
      <c r="AP41" s="219"/>
      <c r="AQ41" s="219"/>
      <c r="AR41" s="219"/>
      <c r="AS41" s="219"/>
      <c r="AT41" s="219"/>
      <c r="AU41" s="219"/>
      <c r="AV41" s="219"/>
    </row>
    <row r="42" spans="1:48" s="227" customFormat="1" ht="12" customHeight="1">
      <c r="A42" s="220" t="s">
        <v>2</v>
      </c>
      <c r="B42" s="221">
        <f>B43+B50</f>
        <v>29</v>
      </c>
      <c r="C42" s="221">
        <v>15</v>
      </c>
      <c r="D42" s="221">
        <f>D43+D50</f>
        <v>29</v>
      </c>
      <c r="E42" s="221">
        <f>SUM(E43,E50)</f>
        <v>29</v>
      </c>
      <c r="F42" s="222">
        <f>SUM(F43,F50)</f>
        <v>54</v>
      </c>
      <c r="G42" s="222">
        <f>SUM(G43,G50)</f>
        <v>52</v>
      </c>
      <c r="H42" s="222">
        <f t="shared" ref="H42:V42" si="0">SUM(H43,H50)</f>
        <v>54</v>
      </c>
      <c r="I42" s="222">
        <f t="shared" si="0"/>
        <v>130</v>
      </c>
      <c r="J42" s="222">
        <f t="shared" si="0"/>
        <v>53</v>
      </c>
      <c r="K42" s="222">
        <f t="shared" si="0"/>
        <v>47</v>
      </c>
      <c r="L42" s="222">
        <f t="shared" si="0"/>
        <v>35</v>
      </c>
      <c r="M42" s="222">
        <f t="shared" si="0"/>
        <v>63</v>
      </c>
      <c r="N42" s="222">
        <f t="shared" si="0"/>
        <v>55</v>
      </c>
      <c r="O42" s="222">
        <f t="shared" si="0"/>
        <v>152</v>
      </c>
      <c r="P42" s="222">
        <f t="shared" si="0"/>
        <v>189</v>
      </c>
      <c r="Q42" s="222">
        <f t="shared" si="0"/>
        <v>141</v>
      </c>
      <c r="R42" s="222">
        <f t="shared" si="0"/>
        <v>94</v>
      </c>
      <c r="S42" s="222">
        <f t="shared" si="0"/>
        <v>154</v>
      </c>
      <c r="T42" s="222">
        <f t="shared" si="0"/>
        <v>106</v>
      </c>
      <c r="U42" s="223">
        <f t="shared" si="0"/>
        <v>90</v>
      </c>
      <c r="V42" s="222">
        <f t="shared" si="0"/>
        <v>53</v>
      </c>
      <c r="W42" s="224">
        <v>73</v>
      </c>
      <c r="X42" s="224">
        <v>116</v>
      </c>
      <c r="Y42" s="224">
        <v>107</v>
      </c>
      <c r="Z42" s="225"/>
      <c r="AA42" s="225"/>
      <c r="AB42" s="218"/>
      <c r="AC42" s="219"/>
      <c r="AD42" s="226"/>
      <c r="AE42" s="226"/>
      <c r="AF42" s="226"/>
      <c r="AG42" s="226"/>
      <c r="AH42" s="226"/>
      <c r="AI42" s="226"/>
      <c r="AJ42" s="226"/>
      <c r="AK42" s="226"/>
      <c r="AL42" s="226"/>
      <c r="AM42" s="193"/>
      <c r="AN42" s="193"/>
      <c r="AO42" s="193"/>
      <c r="AP42" s="193"/>
      <c r="AQ42" s="193"/>
      <c r="AR42" s="193"/>
      <c r="AS42" s="193"/>
      <c r="AT42" s="193"/>
      <c r="AU42" s="193"/>
      <c r="AV42" s="193"/>
    </row>
    <row r="43" spans="1:48" s="227" customFormat="1" ht="12" customHeight="1">
      <c r="A43" s="212" t="s">
        <v>19</v>
      </c>
      <c r="B43" s="228">
        <v>8</v>
      </c>
      <c r="C43" s="228">
        <f>SUM(C44,C47)</f>
        <v>15</v>
      </c>
      <c r="D43" s="228">
        <f>SUM(D44,D47)</f>
        <v>8</v>
      </c>
      <c r="E43" s="228">
        <f>E44+E47</f>
        <v>29</v>
      </c>
      <c r="F43" s="229">
        <f>F44+F47</f>
        <v>50</v>
      </c>
      <c r="G43" s="229">
        <v>40</v>
      </c>
      <c r="H43" s="229">
        <f t="shared" ref="H43:U43" si="1">H44+H47</f>
        <v>49</v>
      </c>
      <c r="I43" s="229">
        <f t="shared" si="1"/>
        <v>102</v>
      </c>
      <c r="J43" s="229">
        <f t="shared" si="1"/>
        <v>43</v>
      </c>
      <c r="K43" s="229">
        <f t="shared" si="1"/>
        <v>39</v>
      </c>
      <c r="L43" s="229">
        <v>33</v>
      </c>
      <c r="M43" s="229">
        <f t="shared" si="1"/>
        <v>62</v>
      </c>
      <c r="N43" s="229">
        <f t="shared" si="1"/>
        <v>54</v>
      </c>
      <c r="O43" s="229">
        <f t="shared" si="1"/>
        <v>126</v>
      </c>
      <c r="P43" s="229">
        <f t="shared" si="1"/>
        <v>188</v>
      </c>
      <c r="Q43" s="229">
        <f t="shared" si="1"/>
        <v>139</v>
      </c>
      <c r="R43" s="229">
        <f t="shared" si="1"/>
        <v>91</v>
      </c>
      <c r="S43" s="229">
        <f t="shared" si="1"/>
        <v>151</v>
      </c>
      <c r="T43" s="229">
        <f t="shared" si="1"/>
        <v>102</v>
      </c>
      <c r="U43" s="229">
        <f t="shared" si="1"/>
        <v>88</v>
      </c>
      <c r="V43" s="229">
        <v>52</v>
      </c>
      <c r="W43" s="224">
        <f>W44+W47</f>
        <v>67</v>
      </c>
      <c r="X43" s="224">
        <v>111</v>
      </c>
      <c r="Y43" s="230">
        <v>98</v>
      </c>
      <c r="Z43" s="231"/>
      <c r="AA43" s="231"/>
      <c r="AB43" s="218"/>
      <c r="AC43" s="232"/>
      <c r="AD43" s="232"/>
      <c r="AE43" s="224"/>
      <c r="AF43" s="224"/>
      <c r="AG43" s="224"/>
      <c r="AH43" s="224"/>
      <c r="AI43" s="224"/>
      <c r="AJ43" s="224"/>
      <c r="AK43" s="224"/>
      <c r="AL43" s="224"/>
      <c r="AM43" s="224"/>
      <c r="AN43" s="224"/>
      <c r="AO43" s="224"/>
      <c r="AP43" s="224"/>
      <c r="AQ43" s="224"/>
      <c r="AR43" s="224"/>
      <c r="AS43" s="224"/>
      <c r="AT43" s="224"/>
      <c r="AU43" s="224"/>
      <c r="AV43" s="224"/>
    </row>
    <row r="44" spans="1:48" s="227" customFormat="1" ht="12" customHeight="1">
      <c r="A44" s="212" t="s">
        <v>20</v>
      </c>
      <c r="B44" s="228">
        <v>8</v>
      </c>
      <c r="C44" s="228">
        <v>7</v>
      </c>
      <c r="D44" s="228">
        <f>SUM(D45:D46)</f>
        <v>8</v>
      </c>
      <c r="E44" s="228">
        <v>25</v>
      </c>
      <c r="F44" s="233">
        <v>41</v>
      </c>
      <c r="G44" s="233">
        <v>32</v>
      </c>
      <c r="H44" s="233">
        <v>38</v>
      </c>
      <c r="I44" s="233">
        <v>90</v>
      </c>
      <c r="J44" s="233">
        <f>SUM(J45:J46)</f>
        <v>32</v>
      </c>
      <c r="K44" s="233">
        <f>SUM(K45:K46)</f>
        <v>32</v>
      </c>
      <c r="L44" s="233">
        <f>SUM(L45:L46)</f>
        <v>25</v>
      </c>
      <c r="M44" s="233">
        <v>43</v>
      </c>
      <c r="N44" s="233">
        <v>37</v>
      </c>
      <c r="O44" s="233">
        <v>94</v>
      </c>
      <c r="P44" s="233">
        <v>148</v>
      </c>
      <c r="Q44" s="234">
        <f>SUM(Q45:Q46)</f>
        <v>114</v>
      </c>
      <c r="R44" s="235">
        <f>SUM(R45:R46)</f>
        <v>76</v>
      </c>
      <c r="S44" s="226">
        <v>120</v>
      </c>
      <c r="T44" s="226">
        <v>65</v>
      </c>
      <c r="U44" s="226">
        <v>59</v>
      </c>
      <c r="V44" s="226">
        <v>28</v>
      </c>
      <c r="W44" s="236">
        <v>52</v>
      </c>
      <c r="X44" s="236">
        <v>98</v>
      </c>
      <c r="Y44" s="236">
        <v>77</v>
      </c>
      <c r="Z44" s="237"/>
      <c r="AB44" s="238"/>
      <c r="AC44" s="193"/>
      <c r="AD44" s="193"/>
      <c r="AE44" s="236"/>
      <c r="AF44" s="236"/>
      <c r="AG44" s="236"/>
      <c r="AH44" s="236"/>
      <c r="AI44" s="236"/>
      <c r="AJ44" s="236"/>
      <c r="AK44" s="236"/>
      <c r="AL44" s="236"/>
      <c r="AM44" s="236"/>
      <c r="AN44" s="236"/>
      <c r="AO44" s="236"/>
      <c r="AP44" s="236"/>
      <c r="AQ44" s="236"/>
      <c r="AR44" s="236"/>
      <c r="AS44" s="236"/>
      <c r="AT44" s="236"/>
      <c r="AU44" s="236"/>
      <c r="AV44" s="236"/>
    </row>
    <row r="45" spans="1:48" s="227" customFormat="1" ht="12" customHeight="1">
      <c r="A45" s="239" t="s">
        <v>24</v>
      </c>
      <c r="B45" s="228" t="s">
        <v>97</v>
      </c>
      <c r="C45" s="240" t="s">
        <v>96</v>
      </c>
      <c r="D45" s="240" t="s">
        <v>96</v>
      </c>
      <c r="E45" s="240" t="s">
        <v>96</v>
      </c>
      <c r="F45" s="240" t="s">
        <v>96</v>
      </c>
      <c r="G45" s="233">
        <v>3</v>
      </c>
      <c r="H45" s="233" t="s">
        <v>57</v>
      </c>
      <c r="I45" s="233">
        <v>1</v>
      </c>
      <c r="J45" s="233">
        <v>31</v>
      </c>
      <c r="K45" s="233">
        <v>1</v>
      </c>
      <c r="L45" s="233" t="s">
        <v>56</v>
      </c>
      <c r="M45" s="233">
        <v>2</v>
      </c>
      <c r="N45" s="233" t="s">
        <v>56</v>
      </c>
      <c r="O45" s="233" t="s">
        <v>56</v>
      </c>
      <c r="P45" s="241">
        <v>2</v>
      </c>
      <c r="Q45" s="234">
        <v>2</v>
      </c>
      <c r="R45" s="233" t="s">
        <v>56</v>
      </c>
      <c r="S45" s="226" t="s">
        <v>117</v>
      </c>
      <c r="T45" s="226" t="s">
        <v>117</v>
      </c>
      <c r="U45" s="226" t="s">
        <v>117</v>
      </c>
      <c r="V45" s="226" t="s">
        <v>117</v>
      </c>
      <c r="W45" s="233" t="s">
        <v>55</v>
      </c>
      <c r="X45" s="236">
        <v>2</v>
      </c>
      <c r="Y45" s="236">
        <v>1</v>
      </c>
      <c r="Z45" s="225"/>
      <c r="AA45" s="225"/>
      <c r="AB45" s="238"/>
      <c r="AC45" s="224"/>
      <c r="AD45" s="224"/>
      <c r="AE45" s="224"/>
      <c r="AF45" s="224"/>
      <c r="AG45" s="224"/>
      <c r="AH45" s="224"/>
      <c r="AI45" s="224"/>
      <c r="AJ45" s="224"/>
      <c r="AK45" s="224"/>
      <c r="AL45" s="224"/>
      <c r="AM45" s="224"/>
      <c r="AN45" s="224"/>
      <c r="AO45" s="224"/>
      <c r="AP45" s="224"/>
      <c r="AQ45" s="224"/>
      <c r="AR45" s="224"/>
      <c r="AS45" s="224"/>
      <c r="AT45" s="224"/>
      <c r="AU45" s="224"/>
      <c r="AV45" s="224"/>
    </row>
    <row r="46" spans="1:48" s="227" customFormat="1" ht="12" customHeight="1">
      <c r="A46" s="239" t="s">
        <v>25</v>
      </c>
      <c r="B46" s="240">
        <v>8</v>
      </c>
      <c r="C46" s="240">
        <v>7</v>
      </c>
      <c r="D46" s="240">
        <v>8</v>
      </c>
      <c r="E46" s="240">
        <v>25</v>
      </c>
      <c r="F46" s="233">
        <v>41</v>
      </c>
      <c r="G46" s="233">
        <v>29</v>
      </c>
      <c r="H46" s="233">
        <v>38</v>
      </c>
      <c r="I46" s="233">
        <v>89</v>
      </c>
      <c r="J46" s="233">
        <v>1</v>
      </c>
      <c r="K46" s="233">
        <v>31</v>
      </c>
      <c r="L46" s="233">
        <v>25</v>
      </c>
      <c r="M46" s="233">
        <v>41</v>
      </c>
      <c r="N46" s="233">
        <v>37</v>
      </c>
      <c r="O46" s="233">
        <v>94</v>
      </c>
      <c r="P46" s="241">
        <v>146</v>
      </c>
      <c r="Q46" s="234">
        <v>112</v>
      </c>
      <c r="R46" s="235">
        <v>76</v>
      </c>
      <c r="S46" s="226" t="s">
        <v>117</v>
      </c>
      <c r="T46" s="226" t="s">
        <v>117</v>
      </c>
      <c r="U46" s="226" t="s">
        <v>117</v>
      </c>
      <c r="V46" s="226" t="s">
        <v>117</v>
      </c>
      <c r="W46" s="233" t="s">
        <v>117</v>
      </c>
      <c r="X46" s="236">
        <v>96</v>
      </c>
      <c r="Y46" s="236">
        <v>76</v>
      </c>
      <c r="Z46" s="231"/>
      <c r="AA46" s="231"/>
      <c r="AB46" s="238"/>
      <c r="AC46" s="236"/>
      <c r="AD46" s="236"/>
      <c r="AE46" s="236"/>
      <c r="AF46" s="236"/>
      <c r="AG46" s="236"/>
      <c r="AH46" s="236"/>
      <c r="AI46" s="236"/>
      <c r="AJ46" s="236"/>
      <c r="AK46" s="236"/>
      <c r="AL46" s="236"/>
      <c r="AM46" s="236"/>
      <c r="AN46" s="236"/>
      <c r="AO46" s="236"/>
      <c r="AP46" s="236"/>
      <c r="AQ46" s="236"/>
      <c r="AR46" s="236"/>
      <c r="AS46" s="236"/>
      <c r="AT46" s="236"/>
      <c r="AU46" s="236"/>
      <c r="AV46" s="236"/>
    </row>
    <row r="47" spans="1:48" s="227" customFormat="1" ht="12" customHeight="1">
      <c r="A47" s="212" t="s">
        <v>21</v>
      </c>
      <c r="B47" s="228" t="s">
        <v>0</v>
      </c>
      <c r="C47" s="240">
        <v>8</v>
      </c>
      <c r="D47" s="240" t="s">
        <v>0</v>
      </c>
      <c r="E47" s="240">
        <v>4</v>
      </c>
      <c r="F47" s="233">
        <v>9</v>
      </c>
      <c r="G47" s="233">
        <f>SUM(G49)</f>
        <v>8</v>
      </c>
      <c r="H47" s="233">
        <v>11</v>
      </c>
      <c r="I47" s="233">
        <v>12</v>
      </c>
      <c r="J47" s="233">
        <f>SUM(J48:J49)</f>
        <v>11</v>
      </c>
      <c r="K47" s="233">
        <v>7</v>
      </c>
      <c r="L47" s="233">
        <v>8</v>
      </c>
      <c r="M47" s="233">
        <v>19</v>
      </c>
      <c r="N47" s="233">
        <v>17</v>
      </c>
      <c r="O47" s="233">
        <v>32</v>
      </c>
      <c r="P47" s="241">
        <v>40</v>
      </c>
      <c r="Q47" s="234">
        <f>SUM(Q48:Q49)</f>
        <v>25</v>
      </c>
      <c r="R47" s="235">
        <f>SUM(R48:R49)</f>
        <v>15</v>
      </c>
      <c r="S47" s="226">
        <v>31</v>
      </c>
      <c r="T47" s="226">
        <v>37</v>
      </c>
      <c r="U47" s="226">
        <v>29</v>
      </c>
      <c r="V47" s="226">
        <v>24</v>
      </c>
      <c r="W47" s="236">
        <v>15</v>
      </c>
      <c r="X47" s="236">
        <v>13</v>
      </c>
      <c r="Y47" s="236">
        <v>21</v>
      </c>
      <c r="Z47" s="237"/>
      <c r="AB47" s="193"/>
      <c r="AC47" s="233"/>
      <c r="AD47" s="236"/>
      <c r="AE47" s="236"/>
      <c r="AF47" s="236"/>
      <c r="AG47" s="236"/>
      <c r="AH47" s="236"/>
      <c r="AI47" s="236"/>
      <c r="AJ47" s="236"/>
      <c r="AK47" s="236"/>
      <c r="AL47" s="236"/>
      <c r="AM47" s="236"/>
      <c r="AN47" s="236"/>
      <c r="AO47" s="236"/>
      <c r="AP47" s="236"/>
      <c r="AQ47" s="236"/>
      <c r="AR47" s="236"/>
      <c r="AS47" s="236"/>
      <c r="AT47" s="233"/>
      <c r="AU47" s="236"/>
      <c r="AV47" s="236"/>
    </row>
    <row r="48" spans="1:48" s="227" customFormat="1" ht="12" customHeight="1">
      <c r="A48" s="239" t="s">
        <v>24</v>
      </c>
      <c r="B48" s="228" t="s">
        <v>0</v>
      </c>
      <c r="C48" s="240" t="s">
        <v>0</v>
      </c>
      <c r="D48" s="240" t="s">
        <v>0</v>
      </c>
      <c r="E48" s="240" t="s">
        <v>0</v>
      </c>
      <c r="F48" s="233" t="s">
        <v>56</v>
      </c>
      <c r="G48" s="233" t="s">
        <v>65</v>
      </c>
      <c r="H48" s="233" t="s">
        <v>65</v>
      </c>
      <c r="I48" s="233" t="s">
        <v>65</v>
      </c>
      <c r="J48" s="233">
        <v>11</v>
      </c>
      <c r="K48" s="233" t="s">
        <v>56</v>
      </c>
      <c r="L48" s="233" t="s">
        <v>56</v>
      </c>
      <c r="M48" s="233" t="s">
        <v>56</v>
      </c>
      <c r="N48" s="233" t="s">
        <v>54</v>
      </c>
      <c r="O48" s="233" t="s">
        <v>56</v>
      </c>
      <c r="P48" s="241">
        <v>2</v>
      </c>
      <c r="Q48" s="234">
        <v>2</v>
      </c>
      <c r="R48" s="235" t="s">
        <v>97</v>
      </c>
      <c r="S48" s="226" t="s">
        <v>117</v>
      </c>
      <c r="T48" s="226" t="s">
        <v>117</v>
      </c>
      <c r="U48" s="226" t="s">
        <v>117</v>
      </c>
      <c r="V48" s="226" t="s">
        <v>117</v>
      </c>
      <c r="W48" s="233" t="s">
        <v>117</v>
      </c>
      <c r="X48" s="236">
        <v>1</v>
      </c>
      <c r="Y48" s="233" t="s">
        <v>0</v>
      </c>
      <c r="Z48" s="225"/>
      <c r="AA48" s="225"/>
      <c r="AB48" s="193"/>
      <c r="AC48" s="236"/>
      <c r="AD48" s="236"/>
      <c r="AE48" s="236"/>
      <c r="AF48" s="236"/>
      <c r="AG48" s="236"/>
      <c r="AH48" s="236"/>
      <c r="AI48" s="236"/>
      <c r="AJ48" s="236"/>
      <c r="AK48" s="236"/>
      <c r="AL48" s="236"/>
      <c r="AM48" s="236"/>
      <c r="AN48" s="236"/>
      <c r="AO48" s="236"/>
      <c r="AP48" s="236"/>
      <c r="AQ48" s="236"/>
      <c r="AR48" s="236"/>
      <c r="AS48" s="236"/>
      <c r="AT48" s="233"/>
      <c r="AU48" s="236"/>
      <c r="AV48" s="236"/>
    </row>
    <row r="49" spans="1:48" s="227" customFormat="1" ht="12" customHeight="1">
      <c r="A49" s="239" t="s">
        <v>25</v>
      </c>
      <c r="B49" s="228" t="s">
        <v>0</v>
      </c>
      <c r="C49" s="240">
        <v>8</v>
      </c>
      <c r="D49" s="240" t="s">
        <v>0</v>
      </c>
      <c r="E49" s="240">
        <v>4</v>
      </c>
      <c r="F49" s="233">
        <v>9</v>
      </c>
      <c r="G49" s="233">
        <v>8</v>
      </c>
      <c r="H49" s="233">
        <v>11</v>
      </c>
      <c r="I49" s="233">
        <v>12</v>
      </c>
      <c r="J49" s="233" t="s">
        <v>57</v>
      </c>
      <c r="K49" s="233">
        <v>7</v>
      </c>
      <c r="L49" s="233">
        <v>8</v>
      </c>
      <c r="M49" s="233">
        <v>19</v>
      </c>
      <c r="N49" s="233">
        <v>17</v>
      </c>
      <c r="O49" s="233">
        <v>32</v>
      </c>
      <c r="P49" s="241">
        <v>38</v>
      </c>
      <c r="Q49" s="234">
        <v>23</v>
      </c>
      <c r="R49" s="235">
        <v>15</v>
      </c>
      <c r="S49" s="226" t="s">
        <v>117</v>
      </c>
      <c r="T49" s="226" t="s">
        <v>117</v>
      </c>
      <c r="U49" s="226" t="s">
        <v>117</v>
      </c>
      <c r="V49" s="226" t="s">
        <v>117</v>
      </c>
      <c r="W49" s="233" t="s">
        <v>117</v>
      </c>
      <c r="X49" s="236">
        <v>12</v>
      </c>
      <c r="Y49" s="236">
        <v>21</v>
      </c>
      <c r="Z49" s="231"/>
      <c r="AA49" s="231"/>
      <c r="AB49" s="238"/>
      <c r="AC49" s="236"/>
      <c r="AD49" s="236"/>
      <c r="AE49" s="236"/>
      <c r="AF49" s="236"/>
      <c r="AG49" s="236"/>
      <c r="AH49" s="236"/>
      <c r="AI49" s="236"/>
      <c r="AJ49" s="236"/>
      <c r="AK49" s="236"/>
      <c r="AL49" s="236"/>
      <c r="AM49" s="236"/>
      <c r="AN49" s="236"/>
      <c r="AO49" s="236"/>
      <c r="AP49" s="236"/>
      <c r="AQ49" s="236"/>
      <c r="AR49" s="236"/>
      <c r="AS49" s="236"/>
      <c r="AT49" s="236"/>
      <c r="AU49" s="236"/>
      <c r="AV49" s="236"/>
    </row>
    <row r="50" spans="1:48" s="227" customFormat="1" ht="12" customHeight="1">
      <c r="A50" s="212" t="s">
        <v>22</v>
      </c>
      <c r="B50" s="228">
        <v>21</v>
      </c>
      <c r="C50" s="228" t="s">
        <v>0</v>
      </c>
      <c r="D50" s="228">
        <f>D51+D54</f>
        <v>21</v>
      </c>
      <c r="E50" s="228" t="s">
        <v>0</v>
      </c>
      <c r="F50" s="229">
        <v>4</v>
      </c>
      <c r="G50" s="229">
        <v>12</v>
      </c>
      <c r="H50" s="229">
        <v>5</v>
      </c>
      <c r="I50" s="229">
        <v>28</v>
      </c>
      <c r="J50" s="229">
        <v>10</v>
      </c>
      <c r="K50" s="229">
        <v>8</v>
      </c>
      <c r="L50" s="229">
        <v>2</v>
      </c>
      <c r="M50" s="229">
        <v>1</v>
      </c>
      <c r="N50" s="229">
        <v>1</v>
      </c>
      <c r="O50" s="229">
        <f>SUM(O53,O56)</f>
        <v>26</v>
      </c>
      <c r="P50" s="229">
        <v>1</v>
      </c>
      <c r="Q50" s="242">
        <v>2</v>
      </c>
      <c r="R50" s="242">
        <v>3</v>
      </c>
      <c r="S50" s="219">
        <v>3</v>
      </c>
      <c r="T50" s="219">
        <v>4</v>
      </c>
      <c r="U50" s="219">
        <v>2</v>
      </c>
      <c r="V50" s="219">
        <v>1</v>
      </c>
      <c r="W50" s="224">
        <v>6</v>
      </c>
      <c r="X50" s="236"/>
      <c r="Y50" s="236"/>
      <c r="Z50" s="237"/>
      <c r="AB50" s="193"/>
      <c r="AC50" s="233"/>
      <c r="AD50" s="236"/>
      <c r="AE50" s="236"/>
      <c r="AF50" s="236"/>
      <c r="AG50" s="236"/>
      <c r="AH50" s="236"/>
      <c r="AI50" s="236"/>
      <c r="AJ50" s="236"/>
      <c r="AK50" s="236"/>
      <c r="AL50" s="236"/>
      <c r="AM50" s="236"/>
      <c r="AN50" s="236"/>
      <c r="AO50" s="236"/>
      <c r="AP50" s="236"/>
      <c r="AQ50" s="236"/>
      <c r="AR50" s="236"/>
      <c r="AS50" s="236"/>
      <c r="AT50" s="236"/>
      <c r="AU50" s="236"/>
      <c r="AV50" s="233"/>
    </row>
    <row r="51" spans="1:48" s="227" customFormat="1" ht="12" customHeight="1">
      <c r="A51" s="212" t="s">
        <v>20</v>
      </c>
      <c r="B51" s="228">
        <v>18</v>
      </c>
      <c r="C51" s="228" t="s">
        <v>0</v>
      </c>
      <c r="D51" s="228">
        <f>SUM(D52:D53)</f>
        <v>18</v>
      </c>
      <c r="E51" s="228" t="s">
        <v>0</v>
      </c>
      <c r="F51" s="233">
        <v>3</v>
      </c>
      <c r="G51" s="233">
        <v>8</v>
      </c>
      <c r="H51" s="233">
        <v>3</v>
      </c>
      <c r="I51" s="233">
        <v>25</v>
      </c>
      <c r="J51" s="233" t="s">
        <v>57</v>
      </c>
      <c r="K51" s="233">
        <v>5</v>
      </c>
      <c r="L51" s="233" t="s">
        <v>56</v>
      </c>
      <c r="M51" s="233" t="s">
        <v>56</v>
      </c>
      <c r="N51" s="233" t="s">
        <v>56</v>
      </c>
      <c r="O51" s="233">
        <v>22</v>
      </c>
      <c r="P51" s="233">
        <v>1</v>
      </c>
      <c r="Q51" s="234">
        <v>2</v>
      </c>
      <c r="R51" s="234">
        <v>2</v>
      </c>
      <c r="S51" s="226">
        <v>3</v>
      </c>
      <c r="T51" s="226">
        <v>3</v>
      </c>
      <c r="U51" s="226">
        <v>1</v>
      </c>
      <c r="V51" s="226">
        <v>1</v>
      </c>
      <c r="W51" s="236">
        <v>4</v>
      </c>
      <c r="X51" s="224">
        <v>5</v>
      </c>
      <c r="Y51" s="224">
        <v>9</v>
      </c>
      <c r="Z51" s="225"/>
      <c r="AA51" s="225"/>
      <c r="AB51" s="193"/>
      <c r="AC51" s="236"/>
      <c r="AD51" s="236"/>
      <c r="AE51" s="236"/>
      <c r="AF51" s="236"/>
      <c r="AG51" s="236"/>
      <c r="AH51" s="236"/>
      <c r="AI51" s="236"/>
      <c r="AJ51" s="236"/>
      <c r="AK51" s="236"/>
      <c r="AL51" s="236"/>
      <c r="AM51" s="236"/>
      <c r="AN51" s="236"/>
      <c r="AO51" s="236"/>
      <c r="AP51" s="236"/>
      <c r="AQ51" s="236"/>
      <c r="AR51" s="236"/>
      <c r="AS51" s="236"/>
      <c r="AT51" s="236"/>
      <c r="AU51" s="236"/>
      <c r="AV51" s="236"/>
    </row>
    <row r="52" spans="1:48" s="227" customFormat="1" ht="12" customHeight="1">
      <c r="A52" s="239" t="s">
        <v>24</v>
      </c>
      <c r="B52" s="240">
        <v>1</v>
      </c>
      <c r="C52" s="240" t="s">
        <v>0</v>
      </c>
      <c r="D52" s="240">
        <v>1</v>
      </c>
      <c r="E52" s="240" t="s">
        <v>0</v>
      </c>
      <c r="F52" s="233" t="s">
        <v>56</v>
      </c>
      <c r="G52" s="233">
        <v>4</v>
      </c>
      <c r="H52" s="233" t="s">
        <v>65</v>
      </c>
      <c r="I52" s="233" t="s">
        <v>57</v>
      </c>
      <c r="J52" s="233" t="s">
        <v>57</v>
      </c>
      <c r="K52" s="233" t="s">
        <v>56</v>
      </c>
      <c r="L52" s="233" t="s">
        <v>56</v>
      </c>
      <c r="M52" s="233" t="s">
        <v>56</v>
      </c>
      <c r="N52" s="233" t="s">
        <v>56</v>
      </c>
      <c r="O52" s="233" t="s">
        <v>56</v>
      </c>
      <c r="P52" s="233" t="s">
        <v>54</v>
      </c>
      <c r="Q52" s="243" t="s">
        <v>97</v>
      </c>
      <c r="R52" s="243" t="s">
        <v>97</v>
      </c>
      <c r="S52" s="226" t="s">
        <v>117</v>
      </c>
      <c r="T52" s="226" t="s">
        <v>117</v>
      </c>
      <c r="U52" s="226" t="s">
        <v>117</v>
      </c>
      <c r="V52" s="226"/>
      <c r="W52" s="233">
        <v>4</v>
      </c>
      <c r="X52" s="236">
        <v>5</v>
      </c>
      <c r="Y52" s="236">
        <v>9</v>
      </c>
      <c r="Z52" s="231"/>
      <c r="AA52" s="231"/>
      <c r="AB52" s="238"/>
      <c r="AC52" s="236"/>
      <c r="AD52" s="236"/>
      <c r="AE52" s="236"/>
      <c r="AF52" s="236"/>
      <c r="AG52" s="236"/>
      <c r="AH52" s="236"/>
      <c r="AI52" s="236"/>
      <c r="AJ52" s="236"/>
      <c r="AK52" s="236"/>
      <c r="AL52" s="236"/>
      <c r="AM52" s="236"/>
      <c r="AN52" s="236"/>
      <c r="AO52" s="236"/>
      <c r="AP52" s="236"/>
      <c r="AQ52" s="236"/>
      <c r="AR52" s="236"/>
      <c r="AS52" s="236"/>
      <c r="AT52" s="236"/>
      <c r="AU52" s="236"/>
      <c r="AV52" s="236"/>
    </row>
    <row r="53" spans="1:48" s="227" customFormat="1" ht="12" customHeight="1">
      <c r="A53" s="239" t="s">
        <v>25</v>
      </c>
      <c r="B53" s="240">
        <v>17</v>
      </c>
      <c r="C53" s="240" t="s">
        <v>0</v>
      </c>
      <c r="D53" s="240">
        <v>17</v>
      </c>
      <c r="E53" s="240" t="s">
        <v>0</v>
      </c>
      <c r="F53" s="233">
        <v>3</v>
      </c>
      <c r="G53" s="233">
        <v>4</v>
      </c>
      <c r="H53" s="233">
        <v>3</v>
      </c>
      <c r="I53" s="233">
        <v>25</v>
      </c>
      <c r="J53" s="233" t="s">
        <v>57</v>
      </c>
      <c r="K53" s="233" t="s">
        <v>56</v>
      </c>
      <c r="L53" s="233" t="s">
        <v>56</v>
      </c>
      <c r="M53" s="233">
        <v>1</v>
      </c>
      <c r="N53" s="233" t="s">
        <v>56</v>
      </c>
      <c r="O53" s="233">
        <v>22</v>
      </c>
      <c r="P53" s="233" t="s">
        <v>54</v>
      </c>
      <c r="Q53" s="243" t="s">
        <v>97</v>
      </c>
      <c r="R53" s="243" t="s">
        <v>97</v>
      </c>
      <c r="S53" s="226" t="s">
        <v>117</v>
      </c>
      <c r="T53" s="226" t="s">
        <v>117</v>
      </c>
      <c r="U53" s="226" t="s">
        <v>117</v>
      </c>
      <c r="V53" s="226"/>
      <c r="W53" s="233" t="s">
        <v>97</v>
      </c>
      <c r="X53" s="233">
        <v>2</v>
      </c>
      <c r="Y53" s="233">
        <v>1</v>
      </c>
      <c r="Z53" s="237"/>
      <c r="AB53" s="238"/>
      <c r="AC53" s="224"/>
      <c r="AD53" s="224"/>
      <c r="AE53" s="224"/>
      <c r="AF53" s="224"/>
      <c r="AG53" s="224"/>
      <c r="AH53" s="224"/>
      <c r="AI53" s="224"/>
      <c r="AJ53" s="224"/>
      <c r="AK53" s="224"/>
      <c r="AL53" s="224"/>
      <c r="AM53" s="224"/>
      <c r="AN53" s="224"/>
      <c r="AO53" s="224"/>
      <c r="AP53" s="224"/>
      <c r="AQ53" s="224"/>
      <c r="AR53" s="224"/>
      <c r="AS53" s="224"/>
      <c r="AT53" s="224"/>
      <c r="AU53" s="224"/>
      <c r="AV53" s="224"/>
    </row>
    <row r="54" spans="1:48" s="227" customFormat="1" ht="12" customHeight="1">
      <c r="A54" s="212" t="s">
        <v>21</v>
      </c>
      <c r="B54" s="240">
        <v>3</v>
      </c>
      <c r="C54" s="240" t="s">
        <v>0</v>
      </c>
      <c r="D54" s="240">
        <f>SUM(D55:D56)</f>
        <v>3</v>
      </c>
      <c r="E54" s="240" t="s">
        <v>0</v>
      </c>
      <c r="F54" s="233">
        <v>1</v>
      </c>
      <c r="G54" s="233">
        <v>4</v>
      </c>
      <c r="H54" s="233">
        <v>2</v>
      </c>
      <c r="I54" s="233">
        <v>3</v>
      </c>
      <c r="J54" s="233" t="s">
        <v>57</v>
      </c>
      <c r="K54" s="233" t="s">
        <v>56</v>
      </c>
      <c r="L54" s="233" t="s">
        <v>56</v>
      </c>
      <c r="M54" s="233" t="s">
        <v>56</v>
      </c>
      <c r="N54" s="233" t="s">
        <v>56</v>
      </c>
      <c r="O54" s="233">
        <v>4</v>
      </c>
      <c r="P54" s="233" t="s">
        <v>54</v>
      </c>
      <c r="Q54" s="243" t="s">
        <v>97</v>
      </c>
      <c r="R54" s="234">
        <v>1</v>
      </c>
      <c r="S54" s="226" t="s">
        <v>117</v>
      </c>
      <c r="T54" s="226">
        <v>1</v>
      </c>
      <c r="U54" s="226">
        <v>1</v>
      </c>
      <c r="V54" s="226" t="s">
        <v>0</v>
      </c>
      <c r="W54" s="233">
        <v>2</v>
      </c>
      <c r="X54" s="233">
        <v>3</v>
      </c>
      <c r="Y54" s="233">
        <v>8</v>
      </c>
      <c r="Z54" s="225"/>
      <c r="AA54" s="225"/>
      <c r="AB54" s="238"/>
      <c r="AC54" s="236"/>
      <c r="AD54" s="236"/>
      <c r="AE54" s="236"/>
      <c r="AF54" s="236"/>
      <c r="AG54" s="236"/>
      <c r="AH54" s="236"/>
      <c r="AI54" s="236"/>
      <c r="AJ54" s="236"/>
      <c r="AK54" s="236"/>
      <c r="AL54" s="236"/>
      <c r="AM54" s="236"/>
      <c r="AN54" s="236"/>
      <c r="AO54" s="236"/>
      <c r="AP54" s="236"/>
      <c r="AQ54" s="236"/>
      <c r="AR54" s="236"/>
      <c r="AS54" s="236"/>
      <c r="AT54" s="236"/>
      <c r="AU54" s="236"/>
      <c r="AV54" s="236"/>
    </row>
    <row r="55" spans="1:48" s="227" customFormat="1" ht="12" customHeight="1">
      <c r="A55" s="239" t="s">
        <v>24</v>
      </c>
      <c r="B55" s="240" t="s">
        <v>0</v>
      </c>
      <c r="C55" s="240" t="s">
        <v>0</v>
      </c>
      <c r="D55" s="240" t="s">
        <v>0</v>
      </c>
      <c r="E55" s="240" t="s">
        <v>0</v>
      </c>
      <c r="F55" s="233" t="s">
        <v>56</v>
      </c>
      <c r="G55" s="233" t="s">
        <v>65</v>
      </c>
      <c r="H55" s="233" t="s">
        <v>65</v>
      </c>
      <c r="I55" s="233" t="s">
        <v>57</v>
      </c>
      <c r="J55" s="233" t="s">
        <v>57</v>
      </c>
      <c r="K55" s="233" t="s">
        <v>56</v>
      </c>
      <c r="L55" s="233" t="s">
        <v>56</v>
      </c>
      <c r="M55" s="233" t="s">
        <v>56</v>
      </c>
      <c r="N55" s="233" t="s">
        <v>56</v>
      </c>
      <c r="O55" s="233" t="s">
        <v>56</v>
      </c>
      <c r="P55" s="233" t="s">
        <v>54</v>
      </c>
      <c r="Q55" s="243" t="s">
        <v>97</v>
      </c>
      <c r="R55" s="243" t="s">
        <v>97</v>
      </c>
      <c r="S55" s="226" t="s">
        <v>117</v>
      </c>
      <c r="T55" s="226" t="s">
        <v>117</v>
      </c>
      <c r="U55" s="226" t="s">
        <v>117</v>
      </c>
      <c r="V55" s="226" t="s">
        <v>117</v>
      </c>
      <c r="W55" s="233" t="s">
        <v>97</v>
      </c>
      <c r="X55" s="233" t="s">
        <v>0</v>
      </c>
      <c r="Y55" s="233" t="s">
        <v>0</v>
      </c>
      <c r="Z55" s="231"/>
      <c r="AA55" s="231"/>
      <c r="AB55" s="193"/>
      <c r="AC55" s="233"/>
      <c r="AD55" s="236"/>
      <c r="AE55" s="236"/>
      <c r="AF55" s="236"/>
      <c r="AG55" s="236"/>
      <c r="AH55" s="236"/>
      <c r="AI55" s="236"/>
      <c r="AJ55" s="236"/>
      <c r="AK55" s="236"/>
      <c r="AL55" s="236"/>
      <c r="AM55" s="236"/>
      <c r="AN55" s="236"/>
      <c r="AO55" s="236"/>
      <c r="AP55" s="236"/>
      <c r="AQ55" s="236"/>
      <c r="AR55" s="236"/>
      <c r="AS55" s="233"/>
      <c r="AT55" s="233"/>
      <c r="AU55" s="233"/>
      <c r="AV55" s="233"/>
    </row>
    <row r="56" spans="1:48" s="227" customFormat="1" ht="12" customHeight="1">
      <c r="A56" s="239" t="s">
        <v>25</v>
      </c>
      <c r="B56" s="240">
        <v>3</v>
      </c>
      <c r="C56" s="240" t="s">
        <v>0</v>
      </c>
      <c r="D56" s="240">
        <v>3</v>
      </c>
      <c r="E56" s="240" t="s">
        <v>0</v>
      </c>
      <c r="F56" s="233">
        <v>1</v>
      </c>
      <c r="G56" s="233">
        <v>4</v>
      </c>
      <c r="H56" s="233">
        <v>2</v>
      </c>
      <c r="I56" s="233">
        <v>3</v>
      </c>
      <c r="J56" s="233" t="s">
        <v>57</v>
      </c>
      <c r="K56" s="233">
        <v>3</v>
      </c>
      <c r="L56" s="233" t="s">
        <v>56</v>
      </c>
      <c r="M56" s="233" t="s">
        <v>56</v>
      </c>
      <c r="N56" s="233">
        <v>1</v>
      </c>
      <c r="O56" s="233">
        <v>4</v>
      </c>
      <c r="P56" s="233" t="s">
        <v>54</v>
      </c>
      <c r="Q56" s="243" t="s">
        <v>97</v>
      </c>
      <c r="R56" s="243" t="s">
        <v>97</v>
      </c>
      <c r="S56" s="226" t="s">
        <v>117</v>
      </c>
      <c r="T56" s="226" t="s">
        <v>117</v>
      </c>
      <c r="U56" s="226" t="s">
        <v>117</v>
      </c>
      <c r="V56" s="226" t="s">
        <v>117</v>
      </c>
      <c r="W56" s="233">
        <v>2</v>
      </c>
      <c r="X56" s="233" t="s">
        <v>0</v>
      </c>
      <c r="Y56" s="233" t="s">
        <v>0</v>
      </c>
      <c r="Z56" s="237"/>
      <c r="AB56" s="193"/>
      <c r="AC56" s="236"/>
      <c r="AD56" s="236"/>
      <c r="AE56" s="236"/>
      <c r="AF56" s="236"/>
      <c r="AG56" s="236"/>
      <c r="AH56" s="236"/>
      <c r="AI56" s="236"/>
      <c r="AJ56" s="236"/>
      <c r="AK56" s="236"/>
      <c r="AL56" s="236"/>
      <c r="AM56" s="236"/>
      <c r="AN56" s="236"/>
      <c r="AO56" s="236"/>
      <c r="AP56" s="236"/>
      <c r="AQ56" s="236"/>
      <c r="AR56" s="236"/>
      <c r="AS56" s="233"/>
      <c r="AT56" s="233"/>
      <c r="AU56" s="233"/>
      <c r="AV56" s="233"/>
    </row>
    <row r="57" spans="1:48" s="202" customFormat="1" ht="3.75" customHeight="1">
      <c r="A57" s="244"/>
      <c r="B57" s="195"/>
      <c r="C57" s="245"/>
      <c r="D57" s="195"/>
      <c r="E57" s="246"/>
      <c r="F57" s="195"/>
      <c r="G57" s="195"/>
      <c r="H57" s="195"/>
      <c r="I57" s="195"/>
      <c r="J57" s="246"/>
      <c r="K57" s="246"/>
      <c r="L57" s="246"/>
      <c r="M57" s="247"/>
      <c r="N57" s="248"/>
      <c r="O57" s="248"/>
      <c r="P57" s="249"/>
      <c r="Q57" s="250"/>
      <c r="R57" s="251" t="s">
        <v>97</v>
      </c>
      <c r="S57" s="252"/>
      <c r="T57" s="253" t="s">
        <v>117</v>
      </c>
      <c r="U57" s="254"/>
      <c r="V57" s="252"/>
      <c r="W57" s="249"/>
      <c r="X57" s="249"/>
      <c r="Y57" s="249"/>
      <c r="Z57" s="225"/>
      <c r="AA57" s="225"/>
      <c r="AB57" s="238"/>
      <c r="AC57" s="236"/>
      <c r="AD57" s="236"/>
      <c r="AE57" s="236"/>
      <c r="AF57" s="236"/>
      <c r="AG57" s="236"/>
      <c r="AH57" s="236"/>
      <c r="AI57" s="236"/>
      <c r="AJ57" s="236"/>
      <c r="AK57" s="236"/>
      <c r="AL57" s="236"/>
      <c r="AM57" s="236"/>
      <c r="AN57" s="236"/>
      <c r="AO57" s="236"/>
      <c r="AP57" s="236"/>
      <c r="AQ57" s="236"/>
      <c r="AR57" s="236"/>
      <c r="AS57" s="233"/>
      <c r="AT57" s="233"/>
      <c r="AU57" s="233"/>
      <c r="AV57" s="233"/>
    </row>
    <row r="58" spans="1:48" ht="9.9499999999999993" customHeight="1">
      <c r="A58" s="255" t="s">
        <v>236</v>
      </c>
      <c r="B58" s="193"/>
      <c r="C58" s="193"/>
      <c r="D58" s="193"/>
      <c r="E58" s="193"/>
      <c r="F58" s="193"/>
      <c r="G58" s="193"/>
      <c r="H58" s="193"/>
      <c r="I58" s="193"/>
      <c r="J58" s="193"/>
      <c r="K58" s="193"/>
      <c r="L58" s="193"/>
      <c r="M58" s="193"/>
      <c r="N58" s="193"/>
      <c r="O58" s="193"/>
      <c r="T58" s="256"/>
      <c r="U58" s="197"/>
      <c r="X58" s="197"/>
      <c r="Y58" s="231"/>
      <c r="Z58" s="231"/>
      <c r="AA58" s="231"/>
      <c r="AB58" s="193"/>
      <c r="AC58" s="233"/>
      <c r="AD58" s="236"/>
      <c r="AE58" s="236"/>
      <c r="AF58" s="236"/>
      <c r="AG58" s="236"/>
      <c r="AH58" s="236"/>
      <c r="AI58" s="236"/>
      <c r="AJ58" s="236"/>
      <c r="AK58" s="236"/>
      <c r="AL58" s="236"/>
      <c r="AM58" s="236"/>
      <c r="AN58" s="236"/>
      <c r="AO58" s="236"/>
      <c r="AP58" s="236"/>
      <c r="AQ58" s="236"/>
      <c r="AR58" s="236"/>
      <c r="AS58" s="233"/>
      <c r="AT58" s="233"/>
      <c r="AU58" s="233"/>
      <c r="AV58" s="233"/>
    </row>
    <row r="59" spans="1:48" ht="9.9499999999999993" customHeight="1">
      <c r="A59" s="196" t="s">
        <v>164</v>
      </c>
      <c r="B59" s="193"/>
      <c r="C59" s="198"/>
      <c r="D59" s="193"/>
      <c r="E59" s="193"/>
      <c r="F59" s="193"/>
      <c r="G59" s="193"/>
      <c r="H59" s="193"/>
      <c r="I59" s="193"/>
      <c r="J59" s="193"/>
      <c r="K59" s="193"/>
      <c r="L59" s="193"/>
      <c r="M59" s="193"/>
      <c r="N59" s="193"/>
      <c r="O59" s="193"/>
      <c r="Y59" s="257"/>
      <c r="Z59" s="237"/>
      <c r="AA59" s="227"/>
      <c r="AB59" s="193"/>
      <c r="AC59" s="236"/>
      <c r="AD59" s="236"/>
      <c r="AE59" s="236"/>
      <c r="AF59" s="236"/>
      <c r="AG59" s="236"/>
      <c r="AH59" s="236"/>
      <c r="AI59" s="236"/>
      <c r="AJ59" s="236"/>
      <c r="AK59" s="236"/>
      <c r="AL59" s="236"/>
      <c r="AM59" s="236"/>
      <c r="AN59" s="236"/>
      <c r="AO59" s="236"/>
      <c r="AP59" s="236"/>
      <c r="AQ59" s="236"/>
      <c r="AR59" s="236"/>
      <c r="AS59" s="233"/>
      <c r="AT59" s="233"/>
      <c r="AU59" s="233"/>
      <c r="AV59" s="233"/>
    </row>
    <row r="62" spans="1:48" ht="13.5">
      <c r="X62" s="1142"/>
      <c r="Y62" s="1142"/>
      <c r="Z62" s="225"/>
      <c r="AA62" s="1143"/>
      <c r="AB62" s="1143"/>
    </row>
    <row r="63" spans="1:48">
      <c r="X63" s="231"/>
      <c r="Y63" s="231"/>
      <c r="Z63" s="231"/>
      <c r="AA63" s="231"/>
      <c r="AB63" s="258"/>
    </row>
    <row r="64" spans="1:48">
      <c r="X64" s="257"/>
      <c r="Y64" s="237"/>
      <c r="Z64" s="227"/>
      <c r="AA64" s="237"/>
      <c r="AB64" s="237"/>
    </row>
  </sheetData>
  <mergeCells count="4">
    <mergeCell ref="A39:A40"/>
    <mergeCell ref="B39:W39"/>
    <mergeCell ref="X62:Y62"/>
    <mergeCell ref="AA62:AB62"/>
  </mergeCells>
  <pageMargins left="0.98425196850393704" right="0.98425196850393704" top="1.1811023622047245" bottom="0.98425196850393704" header="0" footer="0"/>
  <pageSetup paperSize="9" orientation="landscape" horizontalDpi="360" verticalDpi="36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showGridLines="0" zoomScaleNormal="100" zoomScaleSheetLayoutView="96" workbookViewId="0">
      <selection activeCell="AH16" sqref="AH16:AH17"/>
    </sheetView>
  </sheetViews>
  <sheetFormatPr baseColWidth="10" defaultColWidth="9.7109375" defaultRowHeight="12.75"/>
  <cols>
    <col min="1" max="1" width="21.5703125" style="103" customWidth="1"/>
    <col min="2" max="2" width="7.28515625" style="103" hidden="1" customWidth="1"/>
    <col min="3" max="3" width="1.5703125" style="103" hidden="1" customWidth="1"/>
    <col min="4" max="15" width="6.85546875" style="103" hidden="1" customWidth="1"/>
    <col min="16" max="16" width="9.7109375" style="103" hidden="1" customWidth="1"/>
    <col min="17" max="22" width="11.140625" style="103" hidden="1" customWidth="1"/>
    <col min="23" max="23" width="12.140625" style="103" hidden="1" customWidth="1"/>
    <col min="24" max="24" width="9.7109375" style="103" hidden="1" customWidth="1"/>
    <col min="25" max="26" width="10.5703125" style="103" hidden="1" customWidth="1"/>
    <col min="27" max="31" width="12.7109375" style="103" customWidth="1"/>
    <col min="32" max="16384" width="9.7109375" style="9"/>
  </cols>
  <sheetData>
    <row r="1" spans="1:31" ht="15.75" customHeight="1">
      <c r="A1" s="1135" t="s">
        <v>529</v>
      </c>
      <c r="B1" s="1135"/>
      <c r="C1" s="1135"/>
      <c r="D1" s="1135"/>
      <c r="E1" s="1135"/>
      <c r="F1" s="1135"/>
      <c r="G1" s="1135"/>
      <c r="H1" s="1135"/>
      <c r="I1" s="1135"/>
      <c r="J1" s="1135"/>
      <c r="K1" s="1135"/>
      <c r="L1" s="1135"/>
      <c r="M1" s="1135"/>
      <c r="N1" s="1135"/>
      <c r="O1" s="1135"/>
      <c r="P1" s="1135"/>
      <c r="Q1" s="1135"/>
      <c r="R1" s="1135"/>
      <c r="S1" s="1135"/>
      <c r="T1" s="1135"/>
      <c r="U1" s="1135"/>
      <c r="V1" s="1135"/>
      <c r="W1" s="1135"/>
      <c r="X1" s="1135"/>
      <c r="Y1" s="1135"/>
      <c r="Z1" s="1135"/>
      <c r="AA1" s="1135"/>
      <c r="AB1" s="1135"/>
      <c r="AC1" s="1135"/>
      <c r="AD1" s="1135"/>
      <c r="AE1" s="1135"/>
    </row>
    <row r="2" spans="1:31" ht="4.5" customHeight="1">
      <c r="A2" s="698"/>
      <c r="B2" s="752"/>
      <c r="C2" s="752"/>
      <c r="D2" s="752"/>
      <c r="E2" s="752"/>
      <c r="F2" s="753"/>
      <c r="G2" s="754"/>
      <c r="H2" s="754"/>
      <c r="I2" s="754"/>
      <c r="J2" s="754"/>
      <c r="K2" s="754"/>
      <c r="L2" s="754"/>
      <c r="M2" s="754"/>
      <c r="N2" s="754"/>
      <c r="O2" s="754"/>
      <c r="P2" s="754"/>
      <c r="Q2" s="754"/>
      <c r="R2" s="754"/>
      <c r="S2" s="754"/>
      <c r="T2" s="754"/>
      <c r="U2" s="754"/>
      <c r="V2" s="754"/>
      <c r="W2" s="754"/>
      <c r="X2" s="374"/>
      <c r="Y2" s="374"/>
      <c r="Z2" s="374"/>
      <c r="AA2" s="374"/>
      <c r="AB2" s="374"/>
      <c r="AC2" s="374"/>
      <c r="AD2" s="374"/>
    </row>
    <row r="3" spans="1:31" ht="30" customHeight="1">
      <c r="A3" s="907" t="s">
        <v>528</v>
      </c>
      <c r="B3" s="261">
        <v>1993</v>
      </c>
      <c r="C3" s="261">
        <v>1995</v>
      </c>
      <c r="D3" s="261">
        <v>1996</v>
      </c>
      <c r="E3" s="261">
        <v>1997</v>
      </c>
      <c r="F3" s="261">
        <v>1998</v>
      </c>
      <c r="G3" s="261">
        <v>1999</v>
      </c>
      <c r="H3" s="261">
        <v>2000</v>
      </c>
      <c r="I3" s="261">
        <v>2001</v>
      </c>
      <c r="J3" s="261">
        <v>2002</v>
      </c>
      <c r="K3" s="261">
        <v>2003</v>
      </c>
      <c r="L3" s="261">
        <v>2004</v>
      </c>
      <c r="M3" s="261">
        <v>2005</v>
      </c>
      <c r="N3" s="261">
        <v>2006</v>
      </c>
      <c r="O3" s="261">
        <v>2007</v>
      </c>
      <c r="P3" s="261">
        <v>2008</v>
      </c>
      <c r="Q3" s="261">
        <v>2009</v>
      </c>
      <c r="R3" s="261">
        <v>2010</v>
      </c>
      <c r="S3" s="261">
        <v>2011</v>
      </c>
      <c r="T3" s="261" t="s">
        <v>313</v>
      </c>
      <c r="U3" s="261" t="s">
        <v>314</v>
      </c>
      <c r="V3" s="261" t="s">
        <v>315</v>
      </c>
      <c r="W3" s="261">
        <v>2015</v>
      </c>
      <c r="X3" s="261">
        <v>2016</v>
      </c>
      <c r="Y3" s="261">
        <v>2017</v>
      </c>
      <c r="Z3" s="261">
        <v>2018</v>
      </c>
      <c r="AA3" s="1018">
        <v>2019</v>
      </c>
      <c r="AB3" s="261">
        <v>2020</v>
      </c>
      <c r="AC3" s="261">
        <v>2021</v>
      </c>
      <c r="AD3" s="261">
        <v>2022</v>
      </c>
      <c r="AE3" s="261">
        <v>2023</v>
      </c>
    </row>
    <row r="4" spans="1:31" ht="5.0999999999999996" customHeight="1">
      <c r="A4" s="702"/>
      <c r="B4" s="703"/>
      <c r="C4" s="703"/>
      <c r="D4" s="703"/>
      <c r="E4" s="703"/>
      <c r="F4" s="703"/>
      <c r="G4" s="703"/>
      <c r="H4" s="703"/>
      <c r="I4" s="632"/>
      <c r="J4" s="632"/>
      <c r="K4" s="599"/>
      <c r="L4" s="599"/>
      <c r="M4" s="704"/>
      <c r="N4" s="704"/>
      <c r="O4" s="704"/>
      <c r="P4" s="704"/>
      <c r="Q4" s="705"/>
      <c r="R4" s="705"/>
      <c r="S4" s="704"/>
      <c r="T4" s="704"/>
      <c r="U4" s="704"/>
      <c r="V4" s="704"/>
      <c r="W4" s="704"/>
      <c r="X4" s="704"/>
      <c r="Y4" s="704"/>
      <c r="Z4" s="704"/>
      <c r="AA4" s="1019"/>
      <c r="AB4" s="704"/>
      <c r="AC4" s="704"/>
      <c r="AD4" s="704"/>
      <c r="AE4" s="704"/>
    </row>
    <row r="5" spans="1:31" ht="24.95" customHeight="1">
      <c r="A5" s="619" t="s">
        <v>373</v>
      </c>
      <c r="B5" s="259">
        <f>SUM(B6:B11)</f>
        <v>2111</v>
      </c>
      <c r="C5" s="260">
        <f t="shared" ref="C5:H5" si="0">SUM(C6:C10)</f>
        <v>9660</v>
      </c>
      <c r="D5" s="260">
        <f t="shared" si="0"/>
        <v>5896</v>
      </c>
      <c r="E5" s="260">
        <f t="shared" si="0"/>
        <v>1857</v>
      </c>
      <c r="F5" s="260">
        <f t="shared" si="0"/>
        <v>4961</v>
      </c>
      <c r="G5" s="260">
        <f t="shared" si="0"/>
        <v>3850</v>
      </c>
      <c r="H5" s="260">
        <f t="shared" si="0"/>
        <v>844</v>
      </c>
      <c r="I5" s="260">
        <f t="shared" ref="I5:P5" si="1">SUM(I6:I11)</f>
        <v>2020</v>
      </c>
      <c r="J5" s="331">
        <f t="shared" si="1"/>
        <v>2597</v>
      </c>
      <c r="K5" s="331">
        <f t="shared" si="1"/>
        <v>1951</v>
      </c>
      <c r="L5" s="331">
        <f t="shared" si="1"/>
        <v>1269</v>
      </c>
      <c r="M5" s="331">
        <f t="shared" si="1"/>
        <v>2547</v>
      </c>
      <c r="N5" s="331">
        <f t="shared" si="1"/>
        <v>3194</v>
      </c>
      <c r="O5" s="331">
        <f t="shared" si="1"/>
        <v>4134</v>
      </c>
      <c r="P5" s="331">
        <f t="shared" si="1"/>
        <v>5358</v>
      </c>
      <c r="Q5" s="331">
        <v>4245</v>
      </c>
      <c r="R5" s="331">
        <f t="shared" ref="R5:W5" si="2">SUM(R6:R11)</f>
        <v>3206</v>
      </c>
      <c r="S5" s="331">
        <f t="shared" si="2"/>
        <v>3150</v>
      </c>
      <c r="T5" s="331">
        <f t="shared" si="2"/>
        <v>2653</v>
      </c>
      <c r="U5" s="331">
        <f t="shared" si="2"/>
        <v>3593</v>
      </c>
      <c r="V5" s="331">
        <f t="shared" si="2"/>
        <v>4548</v>
      </c>
      <c r="W5" s="331">
        <f t="shared" si="2"/>
        <v>3561</v>
      </c>
      <c r="X5" s="135">
        <f>SUM(X6:X12)</f>
        <v>4521</v>
      </c>
      <c r="Y5" s="331">
        <f t="shared" ref="Y5:AD5" si="3">SUM(Y6:Y11)</f>
        <v>5448</v>
      </c>
      <c r="Z5" s="331">
        <f t="shared" si="3"/>
        <v>1548</v>
      </c>
      <c r="AA5" s="428">
        <f t="shared" si="3"/>
        <v>1841</v>
      </c>
      <c r="AB5" s="331">
        <f t="shared" si="3"/>
        <v>784</v>
      </c>
      <c r="AC5" s="331">
        <f t="shared" si="3"/>
        <v>1097</v>
      </c>
      <c r="AD5" s="331">
        <f t="shared" si="3"/>
        <v>1219</v>
      </c>
      <c r="AE5" s="331">
        <f t="shared" ref="AE5" si="4">SUM(AE6:AE11)</f>
        <v>717</v>
      </c>
    </row>
    <row r="6" spans="1:31" ht="24.95" customHeight="1">
      <c r="A6" s="706" t="s">
        <v>316</v>
      </c>
      <c r="B6" s="707">
        <v>428</v>
      </c>
      <c r="C6" s="708">
        <v>5357</v>
      </c>
      <c r="D6" s="708">
        <v>3063</v>
      </c>
      <c r="E6" s="708">
        <v>535</v>
      </c>
      <c r="F6" s="708">
        <v>2941</v>
      </c>
      <c r="G6" s="708">
        <v>2244</v>
      </c>
      <c r="H6" s="708">
        <v>340</v>
      </c>
      <c r="I6" s="708">
        <v>1140</v>
      </c>
      <c r="J6" s="332">
        <v>1304</v>
      </c>
      <c r="K6" s="332">
        <v>978</v>
      </c>
      <c r="L6" s="332">
        <v>665</v>
      </c>
      <c r="M6" s="332">
        <v>1062</v>
      </c>
      <c r="N6" s="332">
        <v>1613</v>
      </c>
      <c r="O6" s="332">
        <v>1850</v>
      </c>
      <c r="P6" s="332">
        <v>2177</v>
      </c>
      <c r="Q6" s="332">
        <v>1744</v>
      </c>
      <c r="R6" s="332">
        <v>1017</v>
      </c>
      <c r="S6" s="332">
        <v>954</v>
      </c>
      <c r="T6" s="332">
        <v>916</v>
      </c>
      <c r="U6" s="332">
        <v>1078</v>
      </c>
      <c r="V6" s="332">
        <v>1476</v>
      </c>
      <c r="W6" s="332">
        <v>1233</v>
      </c>
      <c r="X6" s="103">
        <f>763+145+354+147</f>
        <v>1409</v>
      </c>
      <c r="Y6" s="332">
        <f>698+129+322+15</f>
        <v>1164</v>
      </c>
      <c r="Z6" s="332">
        <f>580+106+78+269</f>
        <v>1033</v>
      </c>
      <c r="AA6" s="430">
        <v>1159</v>
      </c>
      <c r="AB6" s="332">
        <f>104+49+83+289</f>
        <v>525</v>
      </c>
      <c r="AC6" s="332">
        <f>120+32+103+441</f>
        <v>696</v>
      </c>
      <c r="AD6" s="332">
        <v>789</v>
      </c>
      <c r="AE6" s="332">
        <v>487</v>
      </c>
    </row>
    <row r="7" spans="1:31" ht="24.95" customHeight="1">
      <c r="A7" s="706" t="s">
        <v>317</v>
      </c>
      <c r="B7" s="707">
        <v>1480</v>
      </c>
      <c r="C7" s="708">
        <v>3193</v>
      </c>
      <c r="D7" s="708">
        <v>2576</v>
      </c>
      <c r="E7" s="708">
        <v>1270</v>
      </c>
      <c r="F7" s="708">
        <v>1376</v>
      </c>
      <c r="G7" s="708">
        <v>1483</v>
      </c>
      <c r="H7" s="708">
        <v>401</v>
      </c>
      <c r="I7" s="708">
        <v>415</v>
      </c>
      <c r="J7" s="332">
        <v>1146</v>
      </c>
      <c r="K7" s="332">
        <v>762</v>
      </c>
      <c r="L7" s="332">
        <v>505</v>
      </c>
      <c r="M7" s="332">
        <v>1054</v>
      </c>
      <c r="N7" s="332">
        <v>1049</v>
      </c>
      <c r="O7" s="332">
        <v>1179</v>
      </c>
      <c r="P7" s="332">
        <v>1462</v>
      </c>
      <c r="Q7" s="332">
        <v>1173</v>
      </c>
      <c r="R7" s="332">
        <v>893</v>
      </c>
      <c r="S7" s="332">
        <v>793</v>
      </c>
      <c r="T7" s="332">
        <v>582</v>
      </c>
      <c r="U7" s="332">
        <v>757</v>
      </c>
      <c r="V7" s="332">
        <v>758</v>
      </c>
      <c r="W7" s="332">
        <v>473</v>
      </c>
      <c r="X7" s="103">
        <f>311+24+381+15+4+0+7</f>
        <v>742</v>
      </c>
      <c r="Y7" s="332">
        <f>369+27+284+34+16+0+13</f>
        <v>743</v>
      </c>
      <c r="Z7" s="103">
        <f>294+142+12+50+5+0+0</f>
        <v>503</v>
      </c>
      <c r="AA7" s="806">
        <v>500</v>
      </c>
      <c r="AB7" s="103">
        <f>140+67+0+0+8+0+2</f>
        <v>217</v>
      </c>
      <c r="AC7" s="103">
        <f>249+67+25+1+2</f>
        <v>344</v>
      </c>
      <c r="AD7" s="103">
        <v>416</v>
      </c>
      <c r="AE7" s="103">
        <v>208</v>
      </c>
    </row>
    <row r="8" spans="1:31" ht="24.95" customHeight="1">
      <c r="A8" s="706" t="s">
        <v>318</v>
      </c>
      <c r="B8" s="259" t="s">
        <v>0</v>
      </c>
      <c r="C8" s="708">
        <v>410</v>
      </c>
      <c r="D8" s="708">
        <v>116</v>
      </c>
      <c r="E8" s="708">
        <v>15</v>
      </c>
      <c r="F8" s="708">
        <v>72</v>
      </c>
      <c r="G8" s="708">
        <v>28</v>
      </c>
      <c r="H8" s="708">
        <v>1</v>
      </c>
      <c r="I8" s="708">
        <v>85</v>
      </c>
      <c r="J8" s="332">
        <v>56</v>
      </c>
      <c r="K8" s="332">
        <v>62</v>
      </c>
      <c r="L8" s="332" t="s">
        <v>0</v>
      </c>
      <c r="M8" s="332">
        <v>16</v>
      </c>
      <c r="N8" s="332">
        <v>7</v>
      </c>
      <c r="O8" s="332">
        <v>27</v>
      </c>
      <c r="P8" s="332">
        <v>36</v>
      </c>
      <c r="Q8" s="332">
        <v>32</v>
      </c>
      <c r="R8" s="332">
        <v>19</v>
      </c>
      <c r="S8" s="332">
        <v>15</v>
      </c>
      <c r="T8" s="332">
        <v>29</v>
      </c>
      <c r="U8" s="332">
        <v>4</v>
      </c>
      <c r="V8" s="332">
        <v>8</v>
      </c>
      <c r="W8" s="332" t="s">
        <v>0</v>
      </c>
      <c r="X8" s="438" t="s">
        <v>117</v>
      </c>
      <c r="Y8" s="332">
        <f>3+0+0+0+0</f>
        <v>3</v>
      </c>
      <c r="Z8" s="103">
        <f>7+0+0+0+0</f>
        <v>7</v>
      </c>
      <c r="AA8" s="806">
        <v>47</v>
      </c>
      <c r="AB8" s="103">
        <f>4+0+0+0+0</f>
        <v>4</v>
      </c>
      <c r="AC8" s="103">
        <f>7+45</f>
        <v>52</v>
      </c>
      <c r="AD8" s="103">
        <v>3</v>
      </c>
      <c r="AE8" s="103">
        <v>10</v>
      </c>
    </row>
    <row r="9" spans="1:31" ht="24.95" customHeight="1">
      <c r="A9" s="706" t="s">
        <v>305</v>
      </c>
      <c r="B9" s="707">
        <v>16</v>
      </c>
      <c r="C9" s="708">
        <v>221</v>
      </c>
      <c r="D9" s="708">
        <v>44</v>
      </c>
      <c r="E9" s="708">
        <v>10</v>
      </c>
      <c r="F9" s="708">
        <v>254</v>
      </c>
      <c r="G9" s="708">
        <v>9</v>
      </c>
      <c r="H9" s="708" t="s">
        <v>55</v>
      </c>
      <c r="I9" s="708">
        <v>130</v>
      </c>
      <c r="J9" s="332">
        <v>17</v>
      </c>
      <c r="K9" s="332">
        <v>57</v>
      </c>
      <c r="L9" s="332">
        <v>3</v>
      </c>
      <c r="M9" s="332" t="s">
        <v>0</v>
      </c>
      <c r="N9" s="332">
        <v>1</v>
      </c>
      <c r="O9" s="332">
        <v>14</v>
      </c>
      <c r="P9" s="332">
        <v>2</v>
      </c>
      <c r="Q9" s="332">
        <v>4</v>
      </c>
      <c r="R9" s="332">
        <v>2</v>
      </c>
      <c r="S9" s="332" t="s">
        <v>97</v>
      </c>
      <c r="T9" s="332">
        <v>5</v>
      </c>
      <c r="U9" s="332">
        <v>11</v>
      </c>
      <c r="V9" s="332">
        <v>3</v>
      </c>
      <c r="W9" s="332">
        <v>2</v>
      </c>
      <c r="X9" s="103">
        <f>1+0+7</f>
        <v>8</v>
      </c>
      <c r="Y9" s="332">
        <f>8+10</f>
        <v>18</v>
      </c>
      <c r="Z9" s="438" t="s">
        <v>117</v>
      </c>
      <c r="AA9" s="430">
        <v>2</v>
      </c>
      <c r="AB9" s="332">
        <f>3+0+0+0+0+2</f>
        <v>5</v>
      </c>
      <c r="AC9" s="332">
        <v>2</v>
      </c>
      <c r="AD9" s="332">
        <v>2</v>
      </c>
      <c r="AE9" s="332">
        <v>6</v>
      </c>
    </row>
    <row r="10" spans="1:31" ht="24.95" customHeight="1">
      <c r="A10" s="706" t="s">
        <v>319</v>
      </c>
      <c r="B10" s="707">
        <v>106</v>
      </c>
      <c r="C10" s="708">
        <v>479</v>
      </c>
      <c r="D10" s="708">
        <v>97</v>
      </c>
      <c r="E10" s="708">
        <v>27</v>
      </c>
      <c r="F10" s="708">
        <v>318</v>
      </c>
      <c r="G10" s="708">
        <v>86</v>
      </c>
      <c r="H10" s="708">
        <v>102</v>
      </c>
      <c r="I10" s="708">
        <v>120</v>
      </c>
      <c r="J10" s="332">
        <v>31</v>
      </c>
      <c r="K10" s="332">
        <v>45</v>
      </c>
      <c r="L10" s="332">
        <v>4</v>
      </c>
      <c r="M10" s="332">
        <v>22</v>
      </c>
      <c r="N10" s="332">
        <v>6</v>
      </c>
      <c r="O10" s="332">
        <v>17</v>
      </c>
      <c r="P10" s="332">
        <v>17</v>
      </c>
      <c r="Q10" s="332">
        <v>14</v>
      </c>
      <c r="R10" s="332">
        <v>12</v>
      </c>
      <c r="S10" s="332">
        <v>12</v>
      </c>
      <c r="T10" s="332">
        <v>12</v>
      </c>
      <c r="U10" s="332">
        <v>105</v>
      </c>
      <c r="V10" s="332">
        <v>4</v>
      </c>
      <c r="W10" s="332" t="s">
        <v>0</v>
      </c>
      <c r="X10" s="438" t="s">
        <v>117</v>
      </c>
      <c r="Y10" s="332">
        <f>24+0+0+0+0</f>
        <v>24</v>
      </c>
      <c r="Z10" s="103">
        <f>1+4</f>
        <v>5</v>
      </c>
      <c r="AA10" s="806">
        <f>1+2+43+4+83+0+0</f>
        <v>133</v>
      </c>
      <c r="AB10" s="103">
        <f>7+6+1+19+0+0</f>
        <v>33</v>
      </c>
      <c r="AC10" s="103">
        <f>2+1</f>
        <v>3</v>
      </c>
      <c r="AD10" s="103">
        <v>9</v>
      </c>
      <c r="AE10" s="103">
        <v>6</v>
      </c>
    </row>
    <row r="11" spans="1:31" ht="24.95" customHeight="1">
      <c r="A11" s="706" t="s">
        <v>375</v>
      </c>
      <c r="B11" s="707">
        <v>81</v>
      </c>
      <c r="C11" s="260" t="s">
        <v>0</v>
      </c>
      <c r="D11" s="260" t="s">
        <v>0</v>
      </c>
      <c r="E11" s="260" t="s">
        <v>0</v>
      </c>
      <c r="F11" s="260" t="s">
        <v>0</v>
      </c>
      <c r="G11" s="708" t="s">
        <v>0</v>
      </c>
      <c r="H11" s="708" t="s">
        <v>55</v>
      </c>
      <c r="I11" s="708">
        <v>130</v>
      </c>
      <c r="J11" s="332">
        <v>43</v>
      </c>
      <c r="K11" s="332">
        <v>47</v>
      </c>
      <c r="L11" s="332">
        <v>92</v>
      </c>
      <c r="M11" s="332">
        <v>393</v>
      </c>
      <c r="N11" s="332">
        <v>518</v>
      </c>
      <c r="O11" s="332">
        <v>1047</v>
      </c>
      <c r="P11" s="332">
        <v>1664</v>
      </c>
      <c r="Q11" s="332">
        <v>1278</v>
      </c>
      <c r="R11" s="332">
        <v>1263</v>
      </c>
      <c r="S11" s="332">
        <v>1376</v>
      </c>
      <c r="T11" s="332">
        <v>1109</v>
      </c>
      <c r="U11" s="332">
        <v>1638</v>
      </c>
      <c r="V11" s="332">
        <v>2299</v>
      </c>
      <c r="W11" s="332">
        <v>1853</v>
      </c>
      <c r="X11" s="103">
        <f>1477+31+827+27</f>
        <v>2362</v>
      </c>
      <c r="Y11" s="332">
        <f>2732+28+664+72</f>
        <v>3496</v>
      </c>
      <c r="Z11" s="438" t="s">
        <v>117</v>
      </c>
      <c r="AA11" s="1015" t="s">
        <v>117</v>
      </c>
      <c r="AB11" s="438" t="s">
        <v>117</v>
      </c>
      <c r="AC11" s="438" t="s">
        <v>117</v>
      </c>
      <c r="AD11" s="438" t="s">
        <v>117</v>
      </c>
      <c r="AE11" s="438" t="s">
        <v>117</v>
      </c>
    </row>
    <row r="12" spans="1:31" ht="5.0999999999999996" customHeight="1">
      <c r="A12" s="709"/>
      <c r="B12" s="710"/>
      <c r="C12" s="711"/>
      <c r="D12" s="712"/>
      <c r="E12" s="712"/>
      <c r="F12" s="713"/>
      <c r="G12" s="713"/>
      <c r="H12" s="713"/>
      <c r="I12" s="714"/>
      <c r="J12" s="646"/>
      <c r="K12" s="646"/>
      <c r="L12" s="646"/>
      <c r="M12" s="715"/>
      <c r="N12" s="715"/>
      <c r="O12" s="715"/>
      <c r="P12" s="715"/>
      <c r="Q12" s="715"/>
      <c r="R12" s="715"/>
      <c r="S12" s="715"/>
      <c r="T12" s="715"/>
      <c r="U12" s="715"/>
      <c r="V12" s="647"/>
      <c r="W12" s="647"/>
      <c r="X12" s="647"/>
      <c r="Y12" s="647"/>
      <c r="Z12" s="715"/>
      <c r="AA12" s="1020"/>
      <c r="AB12" s="715"/>
      <c r="AC12" s="715"/>
      <c r="AD12" s="715"/>
      <c r="AE12" s="715"/>
    </row>
    <row r="13" spans="1:31" ht="8.25" customHeight="1">
      <c r="A13" s="1144" t="s">
        <v>566</v>
      </c>
      <c r="B13" s="1144"/>
      <c r="C13" s="1144"/>
      <c r="D13" s="1144"/>
      <c r="E13" s="1144"/>
      <c r="F13" s="1144"/>
      <c r="G13" s="1144"/>
      <c r="H13" s="1144"/>
      <c r="I13" s="1144"/>
      <c r="J13" s="1144"/>
      <c r="K13" s="1144"/>
      <c r="L13" s="1144"/>
      <c r="M13" s="1144"/>
      <c r="N13" s="1144"/>
      <c r="O13" s="1144"/>
      <c r="P13" s="1144"/>
      <c r="Q13" s="1144"/>
      <c r="R13" s="1144"/>
      <c r="S13" s="1144"/>
      <c r="T13" s="1144"/>
      <c r="U13" s="1144"/>
      <c r="V13" s="1144"/>
      <c r="W13" s="1144"/>
      <c r="X13" s="1144"/>
      <c r="Y13" s="1144"/>
      <c r="Z13" s="1144"/>
      <c r="AA13" s="1144"/>
      <c r="AB13" s="1144"/>
      <c r="AC13" s="1144"/>
      <c r="AD13" s="1144"/>
      <c r="AE13" s="1144"/>
    </row>
    <row r="14" spans="1:31" ht="10.5" customHeight="1">
      <c r="A14" s="1144"/>
      <c r="B14" s="1144"/>
      <c r="C14" s="1144"/>
      <c r="D14" s="1144"/>
      <c r="E14" s="1144"/>
      <c r="F14" s="1144"/>
      <c r="G14" s="1144"/>
      <c r="H14" s="1144"/>
      <c r="I14" s="1144"/>
      <c r="J14" s="1144"/>
      <c r="K14" s="1144"/>
      <c r="L14" s="1144"/>
      <c r="M14" s="1144"/>
      <c r="N14" s="1144"/>
      <c r="O14" s="1144"/>
      <c r="P14" s="1144"/>
      <c r="Q14" s="1144"/>
      <c r="R14" s="1144"/>
      <c r="S14" s="1144"/>
      <c r="T14" s="1144"/>
      <c r="U14" s="1144"/>
      <c r="V14" s="1144"/>
      <c r="W14" s="1144"/>
      <c r="X14" s="1144"/>
      <c r="Y14" s="1144"/>
      <c r="Z14" s="1144"/>
      <c r="AA14" s="1144"/>
      <c r="AB14" s="1144"/>
      <c r="AC14" s="1144"/>
      <c r="AD14" s="1144"/>
      <c r="AE14" s="1144"/>
    </row>
    <row r="15" spans="1:31" ht="7.5" customHeight="1">
      <c r="A15" s="1145" t="s">
        <v>568</v>
      </c>
      <c r="B15" s="1145"/>
      <c r="C15" s="1145"/>
      <c r="D15" s="1145"/>
      <c r="E15" s="1145"/>
      <c r="F15" s="1145"/>
      <c r="G15" s="1145"/>
      <c r="H15" s="1145"/>
      <c r="I15" s="1145"/>
      <c r="J15" s="1145"/>
      <c r="K15" s="1145"/>
      <c r="L15" s="1145"/>
      <c r="M15" s="1145"/>
      <c r="N15" s="1145"/>
      <c r="O15" s="1145"/>
      <c r="P15" s="1145"/>
      <c r="Q15" s="1145"/>
      <c r="R15" s="1145"/>
      <c r="S15" s="1145"/>
      <c r="T15" s="1145"/>
      <c r="U15" s="1145"/>
      <c r="V15" s="1145"/>
      <c r="W15" s="1145"/>
      <c r="X15" s="1145"/>
      <c r="Y15" s="1145"/>
      <c r="Z15" s="1145"/>
      <c r="AA15" s="1145"/>
      <c r="AB15" s="1145"/>
      <c r="AC15" s="1129"/>
      <c r="AD15" s="1129"/>
      <c r="AE15" s="1129"/>
    </row>
    <row r="16" spans="1:31" ht="12" customHeight="1">
      <c r="A16" s="723" t="s">
        <v>567</v>
      </c>
      <c r="B16" s="716"/>
      <c r="C16" s="716"/>
      <c r="D16" s="716"/>
      <c r="E16" s="716"/>
      <c r="F16" s="716"/>
      <c r="G16" s="716"/>
      <c r="H16" s="716"/>
      <c r="I16" s="716"/>
      <c r="J16" s="716"/>
      <c r="K16" s="716"/>
      <c r="L16" s="716"/>
      <c r="M16" s="716"/>
      <c r="N16" s="817"/>
      <c r="O16" s="817"/>
      <c r="P16" s="817"/>
      <c r="Q16" s="817"/>
      <c r="R16" s="817"/>
      <c r="S16" s="817"/>
      <c r="T16" s="817"/>
      <c r="U16" s="817"/>
      <c r="V16" s="817"/>
      <c r="W16" s="817"/>
      <c r="X16" s="817"/>
      <c r="Y16" s="817"/>
      <c r="Z16" s="817"/>
      <c r="AA16" s="149"/>
    </row>
    <row r="17" spans="1:30">
      <c r="A17" s="717"/>
      <c r="B17" s="718"/>
      <c r="C17" s="719"/>
      <c r="D17" s="720"/>
      <c r="E17" s="599"/>
      <c r="F17" s="599"/>
      <c r="G17" s="599"/>
      <c r="H17" s="599"/>
      <c r="I17" s="721"/>
      <c r="J17" s="704"/>
      <c r="K17" s="704"/>
      <c r="L17" s="704"/>
      <c r="M17" s="704"/>
      <c r="N17" s="704"/>
      <c r="O17" s="704"/>
      <c r="P17" s="704"/>
      <c r="Q17" s="704"/>
      <c r="R17" s="704"/>
      <c r="S17" s="704"/>
      <c r="T17" s="704"/>
      <c r="U17" s="704"/>
      <c r="V17" s="704"/>
      <c r="W17" s="704"/>
      <c r="X17" s="704"/>
      <c r="Y17" s="704"/>
      <c r="Z17" s="704"/>
    </row>
    <row r="18" spans="1:30">
      <c r="A18" s="717"/>
      <c r="B18" s="718"/>
      <c r="C18" s="719"/>
      <c r="D18" s="720"/>
      <c r="E18" s="599"/>
      <c r="F18" s="599"/>
      <c r="G18" s="599"/>
      <c r="H18" s="599"/>
      <c r="I18" s="721"/>
      <c r="J18" s="704"/>
      <c r="K18" s="704"/>
      <c r="L18" s="704"/>
      <c r="M18" s="704"/>
      <c r="N18" s="704"/>
      <c r="O18" s="704"/>
      <c r="P18" s="704"/>
      <c r="Q18" s="704"/>
      <c r="R18" s="704"/>
      <c r="S18" s="704"/>
      <c r="T18" s="704"/>
      <c r="U18" s="704"/>
      <c r="V18" s="704"/>
      <c r="W18" s="704"/>
      <c r="X18" s="704"/>
      <c r="Y18" s="704"/>
      <c r="Z18" s="704"/>
    </row>
    <row r="19" spans="1:30">
      <c r="A19" s="717"/>
      <c r="B19" s="718"/>
      <c r="C19" s="719"/>
      <c r="D19" s="720"/>
      <c r="E19" s="599"/>
      <c r="F19" s="599"/>
      <c r="G19" s="599"/>
      <c r="H19" s="599"/>
      <c r="I19" s="721"/>
      <c r="J19" s="704"/>
      <c r="K19" s="704"/>
      <c r="L19" s="704"/>
      <c r="M19" s="704"/>
      <c r="N19" s="704"/>
      <c r="O19" s="704"/>
      <c r="P19" s="704"/>
      <c r="Q19" s="704"/>
      <c r="R19" s="704"/>
      <c r="S19" s="704"/>
      <c r="T19" s="704"/>
      <c r="U19" s="704"/>
      <c r="V19" s="704"/>
      <c r="W19" s="704"/>
      <c r="X19" s="704"/>
      <c r="Y19" s="704"/>
      <c r="Z19" s="704"/>
    </row>
    <row r="20" spans="1:30">
      <c r="A20" s="717"/>
      <c r="B20" s="718"/>
      <c r="C20" s="719"/>
      <c r="D20" s="720"/>
      <c r="E20" s="599"/>
      <c r="F20" s="599"/>
      <c r="G20" s="599"/>
      <c r="H20" s="599"/>
      <c r="I20" s="721"/>
      <c r="J20" s="704"/>
      <c r="K20" s="704"/>
      <c r="L20" s="704"/>
      <c r="M20" s="704"/>
      <c r="N20" s="704"/>
      <c r="O20" s="704"/>
      <c r="P20" s="704"/>
      <c r="Q20" s="704"/>
      <c r="R20" s="704"/>
      <c r="S20" s="704"/>
      <c r="T20" s="704"/>
      <c r="U20" s="704"/>
      <c r="V20" s="704"/>
      <c r="W20" s="704"/>
      <c r="X20" s="704"/>
      <c r="Y20" s="704"/>
      <c r="Z20" s="704"/>
      <c r="AB20" s="722"/>
      <c r="AC20" s="722"/>
      <c r="AD20" s="722"/>
    </row>
    <row r="21" spans="1:30">
      <c r="A21" s="717"/>
      <c r="B21" s="718"/>
      <c r="C21" s="719"/>
      <c r="D21" s="720"/>
      <c r="E21" s="599"/>
      <c r="F21" s="599"/>
      <c r="G21" s="599"/>
      <c r="H21" s="599"/>
      <c r="I21" s="721"/>
      <c r="J21" s="704"/>
      <c r="K21" s="704"/>
      <c r="L21" s="704"/>
      <c r="M21" s="704"/>
      <c r="N21" s="704"/>
      <c r="O21" s="704"/>
      <c r="P21" s="704"/>
      <c r="Q21" s="704"/>
      <c r="R21" s="704"/>
      <c r="S21" s="704"/>
      <c r="T21" s="704"/>
      <c r="U21" s="704"/>
      <c r="V21" s="704"/>
      <c r="W21" s="704"/>
      <c r="X21" s="704"/>
      <c r="Y21" s="704"/>
      <c r="Z21" s="704"/>
    </row>
    <row r="22" spans="1:30">
      <c r="A22" s="717"/>
      <c r="B22" s="718"/>
      <c r="C22" s="719"/>
      <c r="D22" s="720"/>
      <c r="E22" s="599"/>
      <c r="F22" s="599"/>
      <c r="G22" s="599"/>
      <c r="H22" s="599"/>
      <c r="I22" s="721"/>
      <c r="J22" s="704"/>
      <c r="K22" s="704"/>
      <c r="L22" s="704"/>
      <c r="M22" s="704"/>
      <c r="N22" s="704"/>
      <c r="O22" s="704"/>
      <c r="P22" s="704"/>
      <c r="Q22" s="704"/>
      <c r="R22" s="704"/>
      <c r="S22" s="704"/>
      <c r="T22" s="704"/>
      <c r="U22" s="704"/>
      <c r="V22" s="704"/>
      <c r="W22" s="704"/>
      <c r="X22" s="704"/>
      <c r="Y22" s="704"/>
      <c r="Z22" s="704"/>
      <c r="AC22" s="1305"/>
      <c r="AD22" s="1305"/>
    </row>
    <row r="23" spans="1:30">
      <c r="A23" s="717"/>
      <c r="B23" s="718"/>
      <c r="C23" s="719"/>
      <c r="D23" s="720"/>
      <c r="E23" s="599"/>
      <c r="F23" s="599"/>
      <c r="G23" s="599"/>
      <c r="H23" s="599"/>
      <c r="I23" s="721"/>
      <c r="J23" s="704"/>
      <c r="K23" s="704"/>
      <c r="L23" s="704"/>
      <c r="M23" s="704"/>
      <c r="N23" s="704"/>
      <c r="O23" s="704"/>
      <c r="P23" s="704"/>
      <c r="Q23" s="704"/>
      <c r="R23" s="704"/>
      <c r="S23" s="704"/>
      <c r="T23" s="704"/>
      <c r="U23" s="704"/>
      <c r="V23" s="704"/>
      <c r="W23" s="704"/>
      <c r="X23" s="704"/>
      <c r="Y23" s="704"/>
      <c r="Z23" s="704"/>
      <c r="AC23" s="1305"/>
      <c r="AD23" s="1305"/>
    </row>
    <row r="24" spans="1:30">
      <c r="A24" s="717"/>
      <c r="B24" s="718"/>
      <c r="C24" s="719"/>
      <c r="D24" s="720"/>
      <c r="E24" s="599"/>
      <c r="F24" s="599"/>
      <c r="G24" s="599"/>
      <c r="H24" s="599"/>
      <c r="I24" s="721"/>
      <c r="J24" s="704"/>
      <c r="K24" s="704"/>
      <c r="L24" s="704"/>
      <c r="M24" s="704"/>
      <c r="N24" s="704"/>
      <c r="O24" s="704"/>
      <c r="P24" s="704"/>
      <c r="Q24" s="704"/>
      <c r="R24" s="704"/>
      <c r="S24" s="704"/>
      <c r="T24" s="704"/>
      <c r="U24" s="704"/>
      <c r="V24" s="704"/>
      <c r="W24" s="704"/>
      <c r="X24" s="704"/>
      <c r="Y24" s="704"/>
      <c r="Z24" s="704"/>
    </row>
    <row r="25" spans="1:30">
      <c r="A25" s="717"/>
      <c r="B25" s="718"/>
      <c r="C25" s="719"/>
      <c r="D25" s="720"/>
      <c r="E25" s="599"/>
      <c r="F25" s="599"/>
      <c r="G25" s="599"/>
      <c r="H25" s="599"/>
      <c r="I25" s="721"/>
      <c r="J25" s="704"/>
      <c r="K25" s="704"/>
      <c r="L25" s="704"/>
      <c r="M25" s="704"/>
      <c r="N25" s="704"/>
      <c r="O25" s="704"/>
      <c r="P25" s="704"/>
      <c r="Q25" s="704"/>
      <c r="R25" s="704"/>
      <c r="S25" s="704"/>
      <c r="T25" s="704"/>
      <c r="U25" s="704"/>
      <c r="V25" s="704"/>
      <c r="W25" s="704"/>
      <c r="X25" s="704"/>
      <c r="Y25" s="704"/>
      <c r="Z25" s="704"/>
    </row>
    <row r="26" spans="1:30">
      <c r="A26" s="717"/>
      <c r="B26" s="718"/>
      <c r="C26" s="719"/>
      <c r="D26" s="720"/>
      <c r="E26" s="599"/>
      <c r="F26" s="599"/>
      <c r="G26" s="599"/>
      <c r="H26" s="599"/>
      <c r="I26" s="721"/>
      <c r="J26" s="704"/>
      <c r="K26" s="704"/>
      <c r="L26" s="704"/>
      <c r="M26" s="704"/>
      <c r="N26" s="704"/>
      <c r="O26" s="704"/>
      <c r="P26" s="704"/>
      <c r="Q26" s="704"/>
      <c r="R26" s="704"/>
      <c r="S26" s="704"/>
      <c r="T26" s="704"/>
      <c r="U26" s="704"/>
      <c r="V26" s="704"/>
      <c r="W26" s="704"/>
      <c r="X26" s="704"/>
      <c r="Y26" s="704"/>
      <c r="Z26" s="704"/>
    </row>
    <row r="27" spans="1:30">
      <c r="A27" s="717"/>
      <c r="B27" s="718"/>
      <c r="C27" s="719"/>
      <c r="D27" s="720"/>
      <c r="E27" s="599"/>
      <c r="F27" s="599"/>
      <c r="G27" s="599"/>
      <c r="H27" s="599"/>
      <c r="I27" s="721"/>
      <c r="J27" s="704"/>
      <c r="K27" s="704"/>
      <c r="L27" s="704"/>
      <c r="M27" s="704"/>
      <c r="N27" s="704"/>
      <c r="O27" s="704"/>
      <c r="P27" s="704"/>
      <c r="Q27" s="704"/>
      <c r="R27" s="704"/>
      <c r="S27" s="704"/>
      <c r="T27" s="704"/>
      <c r="U27" s="704"/>
      <c r="V27" s="704"/>
      <c r="W27" s="704"/>
      <c r="X27" s="704"/>
      <c r="Y27" s="704"/>
      <c r="Z27" s="704"/>
    </row>
    <row r="28" spans="1:30">
      <c r="A28" s="717"/>
      <c r="B28" s="718"/>
      <c r="C28" s="719"/>
      <c r="D28" s="720"/>
      <c r="E28" s="599"/>
      <c r="F28" s="599"/>
      <c r="G28" s="599"/>
      <c r="H28" s="599"/>
      <c r="I28" s="721"/>
      <c r="J28" s="704"/>
      <c r="K28" s="704"/>
      <c r="L28" s="704"/>
      <c r="M28" s="704"/>
      <c r="N28" s="704"/>
      <c r="O28" s="704"/>
      <c r="P28" s="704"/>
      <c r="Q28" s="704"/>
      <c r="R28" s="704"/>
      <c r="S28" s="704"/>
      <c r="T28" s="704"/>
      <c r="U28" s="704"/>
      <c r="V28" s="704"/>
      <c r="W28" s="704"/>
      <c r="X28" s="704"/>
      <c r="Y28" s="704"/>
      <c r="Z28" s="704"/>
    </row>
    <row r="29" spans="1:30">
      <c r="A29" s="717"/>
      <c r="B29" s="718"/>
      <c r="C29" s="719"/>
      <c r="D29" s="720"/>
      <c r="E29" s="599"/>
      <c r="F29" s="599"/>
      <c r="G29" s="599"/>
      <c r="H29" s="599"/>
      <c r="I29" s="721"/>
      <c r="J29" s="704"/>
      <c r="K29" s="704"/>
      <c r="L29" s="704"/>
      <c r="M29" s="704"/>
      <c r="N29" s="704"/>
      <c r="O29" s="704"/>
      <c r="P29" s="704"/>
      <c r="Q29" s="704"/>
      <c r="R29" s="704"/>
      <c r="S29" s="704"/>
      <c r="T29" s="704"/>
      <c r="U29" s="704"/>
      <c r="V29" s="704"/>
      <c r="W29" s="704"/>
      <c r="X29" s="704"/>
      <c r="Y29" s="704"/>
      <c r="Z29" s="704"/>
    </row>
    <row r="30" spans="1:30">
      <c r="A30" s="717"/>
      <c r="B30" s="718"/>
      <c r="C30" s="719"/>
      <c r="D30" s="720"/>
      <c r="E30" s="599"/>
      <c r="F30" s="599"/>
      <c r="G30" s="599"/>
      <c r="H30" s="599"/>
      <c r="I30" s="721"/>
      <c r="J30" s="704"/>
      <c r="K30" s="704"/>
      <c r="L30" s="704"/>
      <c r="M30" s="704"/>
      <c r="N30" s="704"/>
      <c r="O30" s="704"/>
      <c r="P30" s="704"/>
      <c r="Q30" s="704"/>
      <c r="R30" s="704"/>
      <c r="S30" s="704"/>
      <c r="T30" s="704"/>
      <c r="U30" s="704"/>
      <c r="V30" s="704"/>
      <c r="W30" s="704"/>
      <c r="X30" s="704"/>
      <c r="Y30" s="704"/>
      <c r="Z30" s="704"/>
    </row>
    <row r="31" spans="1:30">
      <c r="A31" s="717"/>
      <c r="B31" s="718"/>
      <c r="C31" s="719"/>
      <c r="D31" s="720"/>
      <c r="E31" s="599"/>
      <c r="F31" s="599"/>
      <c r="G31" s="599"/>
      <c r="H31" s="599"/>
      <c r="I31" s="721"/>
      <c r="J31" s="704"/>
      <c r="K31" s="704"/>
      <c r="L31" s="704"/>
      <c r="M31" s="704"/>
      <c r="N31" s="704"/>
      <c r="O31" s="704"/>
      <c r="P31" s="704"/>
      <c r="Q31" s="704"/>
      <c r="R31" s="704"/>
      <c r="S31" s="704"/>
      <c r="T31" s="704"/>
      <c r="U31" s="704"/>
      <c r="V31" s="704"/>
      <c r="W31" s="704"/>
      <c r="X31" s="704"/>
      <c r="Y31" s="704"/>
      <c r="Z31" s="704"/>
    </row>
    <row r="32" spans="1:30">
      <c r="A32" s="717"/>
      <c r="B32" s="718"/>
      <c r="C32" s="719"/>
      <c r="D32" s="720"/>
      <c r="E32" s="599"/>
      <c r="F32" s="599"/>
      <c r="G32" s="599"/>
      <c r="H32" s="599"/>
      <c r="I32" s="721"/>
      <c r="J32" s="704"/>
      <c r="K32" s="704"/>
      <c r="L32" s="704"/>
      <c r="M32" s="704"/>
      <c r="N32" s="704"/>
      <c r="O32" s="704"/>
      <c r="P32" s="704"/>
      <c r="Q32" s="704"/>
      <c r="R32" s="704"/>
      <c r="S32" s="704"/>
      <c r="T32" s="704"/>
      <c r="U32" s="704"/>
      <c r="V32" s="704"/>
      <c r="W32" s="704"/>
      <c r="X32" s="704"/>
      <c r="Y32" s="704"/>
      <c r="Z32" s="704"/>
    </row>
    <row r="33" spans="1:26">
      <c r="A33" s="717"/>
      <c r="B33" s="718"/>
      <c r="C33" s="719"/>
      <c r="D33" s="720"/>
      <c r="E33" s="599"/>
      <c r="F33" s="599"/>
      <c r="G33" s="599"/>
      <c r="H33" s="599"/>
      <c r="I33" s="721"/>
      <c r="J33" s="704"/>
      <c r="K33" s="704"/>
      <c r="L33" s="704"/>
      <c r="M33" s="704"/>
      <c r="N33" s="704"/>
      <c r="O33" s="704"/>
      <c r="P33" s="704"/>
      <c r="Q33" s="704"/>
      <c r="R33" s="704"/>
      <c r="S33" s="704"/>
      <c r="T33" s="704"/>
      <c r="U33" s="704"/>
      <c r="V33" s="704"/>
      <c r="W33" s="704"/>
      <c r="X33" s="704"/>
      <c r="Y33" s="704"/>
      <c r="Z33" s="704"/>
    </row>
    <row r="34" spans="1:26">
      <c r="A34" s="717"/>
      <c r="B34" s="718"/>
      <c r="C34" s="719"/>
      <c r="D34" s="720"/>
      <c r="E34" s="599"/>
      <c r="F34" s="599"/>
      <c r="G34" s="599"/>
      <c r="H34" s="599"/>
      <c r="I34" s="721"/>
      <c r="J34" s="704"/>
      <c r="K34" s="704"/>
      <c r="L34" s="704"/>
      <c r="M34" s="704"/>
      <c r="N34" s="704"/>
      <c r="O34" s="704"/>
      <c r="P34" s="704"/>
      <c r="Q34" s="704"/>
      <c r="R34" s="704"/>
      <c r="S34" s="704"/>
      <c r="T34" s="704"/>
      <c r="U34" s="704"/>
      <c r="V34" s="704"/>
      <c r="W34" s="704"/>
      <c r="X34" s="704"/>
      <c r="Y34" s="704"/>
      <c r="Z34" s="704"/>
    </row>
    <row r="35" spans="1:26">
      <c r="A35" s="717"/>
      <c r="B35" s="718"/>
      <c r="C35" s="719"/>
      <c r="D35" s="720"/>
      <c r="E35" s="599"/>
      <c r="F35" s="599"/>
      <c r="G35" s="599"/>
      <c r="H35" s="599"/>
      <c r="I35" s="721"/>
      <c r="J35" s="704"/>
      <c r="K35" s="704"/>
      <c r="L35" s="704"/>
      <c r="M35" s="704"/>
      <c r="N35" s="704"/>
      <c r="O35" s="704"/>
      <c r="P35" s="704"/>
      <c r="Q35" s="704"/>
      <c r="R35" s="704"/>
      <c r="S35" s="704"/>
      <c r="T35" s="704"/>
      <c r="U35" s="704"/>
      <c r="V35" s="704"/>
      <c r="W35" s="704"/>
      <c r="X35" s="704"/>
      <c r="Y35" s="704"/>
      <c r="Z35" s="704"/>
    </row>
    <row r="36" spans="1:26">
      <c r="A36" s="717"/>
      <c r="B36" s="718"/>
      <c r="C36" s="719"/>
      <c r="D36" s="720"/>
      <c r="E36" s="599"/>
      <c r="F36" s="599"/>
      <c r="G36" s="599"/>
      <c r="H36" s="599"/>
      <c r="I36" s="721"/>
      <c r="J36" s="704"/>
      <c r="K36" s="704"/>
      <c r="L36" s="704"/>
      <c r="M36" s="704"/>
      <c r="N36" s="704"/>
      <c r="O36" s="704"/>
      <c r="P36" s="704"/>
      <c r="Q36" s="704"/>
      <c r="R36" s="704"/>
      <c r="S36" s="704"/>
      <c r="T36" s="704"/>
      <c r="U36" s="704"/>
      <c r="V36" s="704"/>
      <c r="W36" s="704"/>
      <c r="X36" s="704"/>
      <c r="Y36" s="704"/>
      <c r="Z36" s="704"/>
    </row>
    <row r="37" spans="1:26">
      <c r="A37" s="717"/>
      <c r="B37" s="718"/>
      <c r="C37" s="719"/>
      <c r="D37" s="720"/>
      <c r="E37" s="599"/>
      <c r="F37" s="599"/>
      <c r="G37" s="599"/>
      <c r="H37" s="599"/>
      <c r="I37" s="721"/>
      <c r="J37" s="704"/>
      <c r="K37" s="704"/>
      <c r="L37" s="704"/>
      <c r="M37" s="704"/>
      <c r="N37" s="704"/>
      <c r="O37" s="704"/>
      <c r="P37" s="704"/>
      <c r="Q37" s="704"/>
      <c r="R37" s="704"/>
      <c r="S37" s="704"/>
      <c r="T37" s="704"/>
      <c r="U37" s="704"/>
      <c r="V37" s="704"/>
      <c r="W37" s="704"/>
      <c r="X37" s="704"/>
      <c r="Y37" s="704"/>
      <c r="Z37" s="704"/>
    </row>
  </sheetData>
  <mergeCells count="3">
    <mergeCell ref="A13:AE14"/>
    <mergeCell ref="A15:AB15"/>
    <mergeCell ref="A1:AE1"/>
  </mergeCells>
  <phoneticPr fontId="0" type="noConversion"/>
  <pageMargins left="0.78740157480314965" right="0.78740157480314965" top="0.98425196850393704" bottom="0.98425196850393704" header="0.31496062992125984" footer="0"/>
  <pageSetup paperSize="9" orientation="portrait" r:id="rId1"/>
  <headerFooter alignWithMargins="0"/>
  <ignoredErrors>
    <ignoredError sqref="X5"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zoomScaleNormal="100" workbookViewId="0">
      <selection sqref="A1:Q1"/>
    </sheetView>
  </sheetViews>
  <sheetFormatPr baseColWidth="10" defaultColWidth="11.42578125" defaultRowHeight="12.75"/>
  <cols>
    <col min="1" max="1" width="16.85546875" style="97" customWidth="1"/>
    <col min="2" max="2" width="11.42578125" style="97" hidden="1" customWidth="1"/>
    <col min="3" max="8" width="8" style="97" hidden="1" customWidth="1"/>
    <col min="9" max="9" width="10.28515625" style="97" hidden="1" customWidth="1"/>
    <col min="10" max="11" width="10.7109375" style="97" hidden="1" customWidth="1"/>
    <col min="12" max="17" width="11.7109375" style="97" customWidth="1"/>
    <col min="18" max="16384" width="11.42578125" style="97"/>
  </cols>
  <sheetData>
    <row r="1" spans="1:17" s="103" customFormat="1" ht="15" customHeight="1">
      <c r="A1" s="1135" t="s">
        <v>530</v>
      </c>
      <c r="B1" s="1135"/>
      <c r="C1" s="1135"/>
      <c r="D1" s="1135"/>
      <c r="E1" s="1135"/>
      <c r="F1" s="1135"/>
      <c r="G1" s="1135"/>
      <c r="H1" s="1135"/>
      <c r="I1" s="1135"/>
      <c r="J1" s="1135"/>
      <c r="K1" s="1135"/>
      <c r="L1" s="1135"/>
      <c r="M1" s="1135"/>
      <c r="N1" s="1135"/>
      <c r="O1" s="1135"/>
      <c r="P1" s="1135"/>
      <c r="Q1" s="1135"/>
    </row>
    <row r="2" spans="1:17" s="103" customFormat="1">
      <c r="A2" s="834" t="s">
        <v>467</v>
      </c>
      <c r="D2" s="334"/>
      <c r="E2" s="334"/>
    </row>
    <row r="3" spans="1:17" s="103" customFormat="1" ht="5.0999999999999996" customHeight="1">
      <c r="A3" s="370"/>
      <c r="B3" s="371"/>
      <c r="C3" s="372"/>
      <c r="D3" s="366"/>
      <c r="E3" s="366"/>
      <c r="F3" s="373"/>
      <c r="G3" s="373"/>
      <c r="H3" s="373"/>
      <c r="I3" s="373"/>
      <c r="J3" s="373"/>
      <c r="L3" s="374"/>
    </row>
    <row r="4" spans="1:17" s="103" customFormat="1" ht="30" customHeight="1">
      <c r="A4" s="1025" t="s">
        <v>349</v>
      </c>
      <c r="B4" s="498">
        <v>2008</v>
      </c>
      <c r="C4" s="135">
        <v>2009</v>
      </c>
      <c r="D4" s="135">
        <v>2010</v>
      </c>
      <c r="E4" s="135">
        <v>2011</v>
      </c>
      <c r="F4" s="138">
        <v>2012</v>
      </c>
      <c r="G4" s="138">
        <v>2013</v>
      </c>
      <c r="H4" s="265">
        <v>2014</v>
      </c>
      <c r="I4" s="272">
        <v>2015</v>
      </c>
      <c r="J4" s="272">
        <v>2016</v>
      </c>
      <c r="K4" s="272">
        <v>2017</v>
      </c>
      <c r="L4" s="1021">
        <v>2018</v>
      </c>
      <c r="M4" s="272">
        <v>2019</v>
      </c>
      <c r="N4" s="272">
        <v>2020</v>
      </c>
      <c r="O4" s="272">
        <v>2021</v>
      </c>
      <c r="P4" s="272">
        <v>2022</v>
      </c>
      <c r="Q4" s="272">
        <v>2023</v>
      </c>
    </row>
    <row r="5" spans="1:17" s="103" customFormat="1" ht="5.0999999999999996" customHeight="1">
      <c r="A5" s="499"/>
      <c r="B5" s="498"/>
      <c r="C5" s="500"/>
      <c r="D5" s="500"/>
      <c r="E5" s="500"/>
      <c r="F5" s="498"/>
      <c r="G5" s="498"/>
      <c r="H5" s="501"/>
      <c r="I5" s="375"/>
      <c r="J5" s="375"/>
      <c r="K5" s="375"/>
      <c r="L5" s="1022"/>
      <c r="M5" s="375"/>
      <c r="N5" s="375"/>
      <c r="O5" s="375"/>
      <c r="P5" s="375"/>
      <c r="Q5" s="375"/>
    </row>
    <row r="6" spans="1:17" s="103" customFormat="1" ht="39.950000000000003" customHeight="1">
      <c r="A6" s="502" t="s">
        <v>462</v>
      </c>
      <c r="B6" s="369">
        <v>1902</v>
      </c>
      <c r="C6" s="491">
        <v>2479</v>
      </c>
      <c r="D6" s="491">
        <v>2351</v>
      </c>
      <c r="E6" s="491">
        <v>3864</v>
      </c>
      <c r="F6" s="491">
        <v>4301</v>
      </c>
      <c r="G6" s="491">
        <v>3597</v>
      </c>
      <c r="H6" s="503">
        <v>3252</v>
      </c>
      <c r="I6" s="503">
        <v>3174</v>
      </c>
      <c r="J6" s="503">
        <v>4525</v>
      </c>
      <c r="K6" s="503">
        <v>4148</v>
      </c>
      <c r="L6" s="1023">
        <v>5132</v>
      </c>
      <c r="M6" s="503">
        <f>25+75+5+209+30+1+372+63+21+66+252+158+127+2787+161+5+16+174+35+24+21+159+53</f>
        <v>4839</v>
      </c>
      <c r="N6" s="503">
        <v>3365</v>
      </c>
      <c r="O6" s="503">
        <v>4158</v>
      </c>
      <c r="P6" s="503">
        <v>4966</v>
      </c>
      <c r="Q6" s="503">
        <v>7110</v>
      </c>
    </row>
    <row r="7" spans="1:17" s="103" customFormat="1" ht="39.950000000000003" customHeight="1">
      <c r="A7" s="1027" t="s">
        <v>4</v>
      </c>
      <c r="B7" s="344">
        <v>61</v>
      </c>
      <c r="C7" s="339">
        <v>97</v>
      </c>
      <c r="D7" s="103">
        <v>80</v>
      </c>
      <c r="E7" s="103">
        <v>105</v>
      </c>
      <c r="F7" s="339">
        <v>16</v>
      </c>
      <c r="G7" s="103">
        <v>20</v>
      </c>
      <c r="H7" s="377">
        <v>12</v>
      </c>
      <c r="I7" s="103">
        <v>32</v>
      </c>
      <c r="J7" s="103">
        <v>68</v>
      </c>
      <c r="K7" s="103">
        <v>90</v>
      </c>
      <c r="L7" s="806">
        <v>40</v>
      </c>
      <c r="M7" s="103">
        <v>35</v>
      </c>
      <c r="N7" s="103">
        <v>7</v>
      </c>
      <c r="O7" s="103">
        <v>26</v>
      </c>
      <c r="P7" s="103">
        <v>23</v>
      </c>
      <c r="Q7" s="103">
        <v>34</v>
      </c>
    </row>
    <row r="8" spans="1:17" s="103" customFormat="1" ht="39.950000000000003" customHeight="1">
      <c r="A8" s="1027" t="s">
        <v>334</v>
      </c>
      <c r="B8" s="344">
        <f t="shared" ref="B8:O8" si="0">+B6-B7</f>
        <v>1841</v>
      </c>
      <c r="C8" s="344">
        <f t="shared" si="0"/>
        <v>2382</v>
      </c>
      <c r="D8" s="344">
        <f t="shared" si="0"/>
        <v>2271</v>
      </c>
      <c r="E8" s="344">
        <f t="shared" si="0"/>
        <v>3759</v>
      </c>
      <c r="F8" s="344">
        <f t="shared" si="0"/>
        <v>4285</v>
      </c>
      <c r="G8" s="344">
        <f t="shared" si="0"/>
        <v>3577</v>
      </c>
      <c r="H8" s="344">
        <f t="shared" si="0"/>
        <v>3240</v>
      </c>
      <c r="I8" s="344">
        <f t="shared" si="0"/>
        <v>3142</v>
      </c>
      <c r="J8" s="344">
        <f t="shared" si="0"/>
        <v>4457</v>
      </c>
      <c r="K8" s="344">
        <f t="shared" si="0"/>
        <v>4058</v>
      </c>
      <c r="L8" s="466">
        <f t="shared" si="0"/>
        <v>5092</v>
      </c>
      <c r="M8" s="339">
        <f t="shared" si="0"/>
        <v>4804</v>
      </c>
      <c r="N8" s="339">
        <f t="shared" si="0"/>
        <v>3358</v>
      </c>
      <c r="O8" s="339">
        <f t="shared" si="0"/>
        <v>4132</v>
      </c>
      <c r="P8" s="339">
        <f>+P6-P7</f>
        <v>4943</v>
      </c>
      <c r="Q8" s="339">
        <f>+Q6-Q7</f>
        <v>7076</v>
      </c>
    </row>
    <row r="9" spans="1:17" s="103" customFormat="1" ht="5.0999999999999996" customHeight="1">
      <c r="A9" s="379"/>
      <c r="B9" s="380"/>
      <c r="C9" s="381"/>
      <c r="D9" s="381"/>
      <c r="E9" s="381"/>
      <c r="F9" s="381"/>
      <c r="G9" s="374"/>
      <c r="H9" s="382"/>
      <c r="I9" s="374"/>
      <c r="J9" s="374"/>
      <c r="K9" s="374"/>
      <c r="L9" s="906"/>
      <c r="M9" s="374"/>
      <c r="N9" s="374"/>
      <c r="O9" s="374"/>
      <c r="P9" s="374"/>
      <c r="Q9" s="374"/>
    </row>
    <row r="10" spans="1:17" s="103" customFormat="1" ht="11.1" customHeight="1">
      <c r="A10" s="723" t="s">
        <v>495</v>
      </c>
      <c r="B10" s="383"/>
      <c r="C10" s="383"/>
      <c r="D10" s="383"/>
      <c r="E10" s="384"/>
      <c r="F10" s="384"/>
      <c r="G10" s="385"/>
      <c r="H10" s="385"/>
      <c r="I10" s="385"/>
      <c r="J10" s="385"/>
      <c r="K10" s="385"/>
      <c r="L10" s="384"/>
    </row>
    <row r="11" spans="1:17" s="103" customFormat="1">
      <c r="A11" s="384"/>
      <c r="B11" s="384"/>
      <c r="C11" s="386"/>
      <c r="D11" s="384"/>
      <c r="E11" s="386"/>
      <c r="F11" s="386"/>
      <c r="G11" s="384"/>
      <c r="H11" s="384"/>
      <c r="I11" s="384"/>
      <c r="J11" s="384"/>
      <c r="K11" s="384"/>
      <c r="L11" s="384"/>
    </row>
    <row r="12" spans="1:17">
      <c r="A12" s="384"/>
      <c r="B12" s="384"/>
      <c r="C12" s="386"/>
      <c r="D12" s="386"/>
      <c r="E12" s="386"/>
      <c r="F12" s="386"/>
      <c r="G12" s="386"/>
      <c r="H12" s="384"/>
      <c r="I12" s="384"/>
      <c r="J12" s="384"/>
      <c r="K12" s="384"/>
      <c r="L12" s="384"/>
    </row>
  </sheetData>
  <mergeCells count="1">
    <mergeCell ref="A1:Q1"/>
  </mergeCells>
  <pageMargins left="0.78740157480314965" right="0.78740157480314965" top="0.98425196850393704" bottom="0.98425196850393704" header="0.31496062992125984" footer="0"/>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zoomScaleNormal="100" workbookViewId="0">
      <selection sqref="A1:O1"/>
    </sheetView>
  </sheetViews>
  <sheetFormatPr baseColWidth="10" defaultColWidth="11.42578125" defaultRowHeight="12.75"/>
  <cols>
    <col min="1" max="1" width="13.5703125" style="97" customWidth="1"/>
    <col min="2" max="2" width="12.7109375" style="97" hidden="1" customWidth="1"/>
    <col min="3" max="5" width="10.28515625" style="97" hidden="1" customWidth="1"/>
    <col min="6" max="6" width="8.7109375" style="97" hidden="1" customWidth="1"/>
    <col min="7" max="9" width="10" style="97" hidden="1" customWidth="1"/>
    <col min="10" max="15" width="11.7109375" style="97" customWidth="1"/>
    <col min="16" max="16384" width="11.42578125" style="97"/>
  </cols>
  <sheetData>
    <row r="1" spans="1:15" ht="24" customHeight="1">
      <c r="A1" s="1148" t="s">
        <v>531</v>
      </c>
      <c r="B1" s="1148"/>
      <c r="C1" s="1148"/>
      <c r="D1" s="1148"/>
      <c r="E1" s="1148"/>
      <c r="F1" s="1148"/>
      <c r="G1" s="1148"/>
      <c r="H1" s="1148"/>
      <c r="I1" s="1148"/>
      <c r="J1" s="1148"/>
      <c r="K1" s="1148"/>
      <c r="L1" s="1148"/>
      <c r="M1" s="1148"/>
      <c r="N1" s="1148"/>
      <c r="O1" s="1148"/>
    </row>
    <row r="2" spans="1:15" ht="12" customHeight="1">
      <c r="A2" s="913" t="s">
        <v>468</v>
      </c>
    </row>
    <row r="3" spans="1:15" ht="5.0999999999999996" customHeight="1">
      <c r="A3" s="913"/>
    </row>
    <row r="4" spans="1:15" ht="15" customHeight="1">
      <c r="A4" s="1154" t="s">
        <v>266</v>
      </c>
      <c r="B4" s="1146">
        <v>2010</v>
      </c>
      <c r="C4" s="1146">
        <v>2011</v>
      </c>
      <c r="D4" s="1146">
        <v>2012</v>
      </c>
      <c r="E4" s="1146">
        <v>2013</v>
      </c>
      <c r="F4" s="1146">
        <v>2014</v>
      </c>
      <c r="G4" s="1146">
        <v>2015</v>
      </c>
      <c r="H4" s="1146">
        <v>2016</v>
      </c>
      <c r="I4" s="1146">
        <v>2017</v>
      </c>
      <c r="J4" s="1151">
        <v>2018</v>
      </c>
      <c r="K4" s="1146">
        <v>2019</v>
      </c>
      <c r="L4" s="1146">
        <v>2020</v>
      </c>
      <c r="M4" s="1146">
        <v>2021</v>
      </c>
      <c r="N4" s="1146">
        <v>2022</v>
      </c>
      <c r="O4" s="1146">
        <v>2023</v>
      </c>
    </row>
    <row r="5" spans="1:15" ht="15" customHeight="1">
      <c r="A5" s="1155"/>
      <c r="B5" s="1147"/>
      <c r="C5" s="1147"/>
      <c r="D5" s="1147"/>
      <c r="E5" s="1147"/>
      <c r="F5" s="1147"/>
      <c r="G5" s="1147"/>
      <c r="H5" s="1147"/>
      <c r="I5" s="1147"/>
      <c r="J5" s="1152"/>
      <c r="K5" s="1147"/>
      <c r="L5" s="1147"/>
      <c r="M5" s="1147"/>
      <c r="N5" s="1147"/>
      <c r="O5" s="1147"/>
    </row>
    <row r="6" spans="1:15" ht="8.25" customHeight="1">
      <c r="A6" s="504"/>
      <c r="B6" s="93"/>
      <c r="C6" s="93"/>
      <c r="D6" s="93"/>
      <c r="E6" s="93"/>
      <c r="F6" s="93"/>
      <c r="G6" s="93"/>
      <c r="H6" s="324"/>
      <c r="I6" s="324"/>
      <c r="J6" s="1028"/>
      <c r="K6" s="324"/>
      <c r="L6" s="324"/>
      <c r="M6" s="324"/>
      <c r="N6" s="324"/>
      <c r="O6" s="324"/>
    </row>
    <row r="7" spans="1:15" ht="39.950000000000003" customHeight="1">
      <c r="A7" s="477" t="s">
        <v>462</v>
      </c>
      <c r="B7" s="505">
        <v>298</v>
      </c>
      <c r="C7" s="506">
        <v>403</v>
      </c>
      <c r="D7" s="506">
        <v>457</v>
      </c>
      <c r="E7" s="506">
        <v>458</v>
      </c>
      <c r="F7" s="506">
        <v>501</v>
      </c>
      <c r="G7" s="506">
        <v>1082</v>
      </c>
      <c r="H7" s="506">
        <v>1371</v>
      </c>
      <c r="I7" s="506">
        <v>1480</v>
      </c>
      <c r="J7" s="1029">
        <v>1358</v>
      </c>
      <c r="K7" s="506">
        <v>1365</v>
      </c>
      <c r="L7" s="506">
        <v>692</v>
      </c>
      <c r="M7" s="506">
        <v>917</v>
      </c>
      <c r="N7" s="506">
        <v>631</v>
      </c>
      <c r="O7" s="506">
        <v>316</v>
      </c>
    </row>
    <row r="8" spans="1:15" ht="39.950000000000003" customHeight="1">
      <c r="A8" s="478" t="s">
        <v>4</v>
      </c>
      <c r="B8" s="134">
        <v>24</v>
      </c>
      <c r="C8" s="134">
        <v>16</v>
      </c>
      <c r="D8" s="134">
        <v>31</v>
      </c>
      <c r="E8" s="134">
        <v>10</v>
      </c>
      <c r="F8" s="134">
        <v>7</v>
      </c>
      <c r="G8" s="134">
        <v>30</v>
      </c>
      <c r="H8" s="134">
        <v>98</v>
      </c>
      <c r="I8" s="134">
        <v>111</v>
      </c>
      <c r="J8" s="1030">
        <v>113</v>
      </c>
      <c r="K8" s="134">
        <v>156</v>
      </c>
      <c r="L8" s="134">
        <v>53</v>
      </c>
      <c r="M8" s="134">
        <v>75</v>
      </c>
      <c r="N8" s="134">
        <v>3</v>
      </c>
      <c r="O8" s="134">
        <v>35</v>
      </c>
    </row>
    <row r="9" spans="1:15" s="103" customFormat="1" ht="39.950000000000003" customHeight="1">
      <c r="A9" s="378" t="s">
        <v>334</v>
      </c>
      <c r="B9" s="344">
        <f>+B7-B8</f>
        <v>274</v>
      </c>
      <c r="C9" s="344">
        <f t="shared" ref="C9:M9" si="0">+C7-C8</f>
        <v>387</v>
      </c>
      <c r="D9" s="344">
        <f t="shared" si="0"/>
        <v>426</v>
      </c>
      <c r="E9" s="344">
        <f t="shared" si="0"/>
        <v>448</v>
      </c>
      <c r="F9" s="344">
        <f t="shared" si="0"/>
        <v>494</v>
      </c>
      <c r="G9" s="344">
        <f t="shared" si="0"/>
        <v>1052</v>
      </c>
      <c r="H9" s="344">
        <f t="shared" si="0"/>
        <v>1273</v>
      </c>
      <c r="I9" s="344">
        <f t="shared" si="0"/>
        <v>1369</v>
      </c>
      <c r="J9" s="1031">
        <f t="shared" si="0"/>
        <v>1245</v>
      </c>
      <c r="K9" s="344">
        <f t="shared" si="0"/>
        <v>1209</v>
      </c>
      <c r="L9" s="344">
        <f t="shared" si="0"/>
        <v>639</v>
      </c>
      <c r="M9" s="344">
        <f t="shared" si="0"/>
        <v>842</v>
      </c>
      <c r="N9" s="344">
        <f>+N7-N8</f>
        <v>628</v>
      </c>
      <c r="O9" s="344">
        <f>+O7-O8</f>
        <v>281</v>
      </c>
    </row>
    <row r="10" spans="1:15" s="103" customFormat="1" ht="3" customHeight="1">
      <c r="A10" s="378"/>
      <c r="B10" s="344"/>
      <c r="C10" s="344"/>
      <c r="D10" s="344"/>
      <c r="E10" s="344"/>
      <c r="F10" s="344"/>
      <c r="G10" s="344"/>
      <c r="H10" s="344"/>
      <c r="I10" s="344"/>
      <c r="J10" s="1032"/>
      <c r="K10" s="344"/>
      <c r="L10" s="344"/>
      <c r="M10" s="344"/>
      <c r="N10" s="344"/>
      <c r="O10" s="344"/>
    </row>
    <row r="11" spans="1:15" ht="0.75" customHeight="1">
      <c r="A11" s="1150"/>
      <c r="B11" s="1150"/>
      <c r="C11" s="1150"/>
      <c r="D11" s="1150"/>
      <c r="E11" s="1150"/>
      <c r="F11" s="1150"/>
      <c r="G11" s="1150"/>
      <c r="H11" s="1033"/>
      <c r="I11" s="1033"/>
      <c r="J11" s="1033"/>
      <c r="K11" s="1033"/>
      <c r="L11" s="1033"/>
      <c r="M11" s="1033"/>
      <c r="N11" s="1033"/>
      <c r="O11" s="1033"/>
    </row>
    <row r="12" spans="1:15">
      <c r="A12" s="1153" t="s">
        <v>494</v>
      </c>
      <c r="B12" s="1153"/>
      <c r="C12" s="1153"/>
      <c r="D12" s="1153"/>
      <c r="E12" s="1153"/>
      <c r="F12" s="1153"/>
      <c r="G12" s="1153"/>
      <c r="H12" s="1153"/>
      <c r="I12" s="1153"/>
      <c r="J12" s="1153"/>
      <c r="K12" s="1153"/>
      <c r="L12" s="1153"/>
      <c r="M12" s="1153"/>
      <c r="N12" s="1153"/>
    </row>
    <row r="13" spans="1:15" ht="26.25" customHeight="1"/>
    <row r="14" spans="1:15" ht="21" customHeight="1">
      <c r="A14" s="1149"/>
      <c r="B14" s="1149"/>
      <c r="C14" s="1149"/>
      <c r="D14" s="1149"/>
      <c r="E14" s="1149"/>
      <c r="F14" s="1149"/>
      <c r="G14" s="1149"/>
      <c r="H14" s="1149"/>
      <c r="I14" s="1149"/>
      <c r="J14" s="1149"/>
      <c r="K14" s="1149"/>
      <c r="L14" s="1149"/>
    </row>
    <row r="17" spans="1:1">
      <c r="A17" s="755"/>
    </row>
  </sheetData>
  <mergeCells count="19">
    <mergeCell ref="A14:L14"/>
    <mergeCell ref="A11:G11"/>
    <mergeCell ref="M4:M5"/>
    <mergeCell ref="J4:J5"/>
    <mergeCell ref="H4:H5"/>
    <mergeCell ref="G4:G5"/>
    <mergeCell ref="I4:I5"/>
    <mergeCell ref="F4:F5"/>
    <mergeCell ref="E4:E5"/>
    <mergeCell ref="D4:D5"/>
    <mergeCell ref="C4:C5"/>
    <mergeCell ref="A12:N12"/>
    <mergeCell ref="B4:B5"/>
    <mergeCell ref="A4:A5"/>
    <mergeCell ref="O4:O5"/>
    <mergeCell ref="K4:K5"/>
    <mergeCell ref="L4:L5"/>
    <mergeCell ref="N4:N5"/>
    <mergeCell ref="A1:O1"/>
  </mergeCells>
  <pageMargins left="0.78740157480314965" right="0.78740157480314965" top="0.98425196850393704" bottom="0.98425196850393704" header="0.31496062992125984" footer="0"/>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33</vt:i4>
      </vt:variant>
      <vt:variant>
        <vt:lpstr>Rangos con nombre</vt:lpstr>
      </vt:variant>
      <vt:variant>
        <vt:i4>10</vt:i4>
      </vt:variant>
    </vt:vector>
  </HeadingPairs>
  <TitlesOfParts>
    <vt:vector size="43" baseType="lpstr">
      <vt:lpstr>Seguridad</vt:lpstr>
      <vt:lpstr>8.1</vt:lpstr>
      <vt:lpstr>8.2</vt:lpstr>
      <vt:lpstr>8.3</vt:lpstr>
      <vt:lpstr>8.4</vt:lpstr>
      <vt:lpstr>8,4-8,5</vt:lpstr>
      <vt:lpstr>8.5</vt:lpstr>
      <vt:lpstr>8.6</vt:lpstr>
      <vt:lpstr>8.7</vt:lpstr>
      <vt:lpstr>8.8</vt:lpstr>
      <vt:lpstr>8.9</vt:lpstr>
      <vt:lpstr>8.10</vt:lpstr>
      <vt:lpstr>8.11-8.13</vt:lpstr>
      <vt:lpstr>8.14-8.15</vt:lpstr>
      <vt:lpstr>8.16</vt:lpstr>
      <vt:lpstr>8.17</vt:lpstr>
      <vt:lpstr>8.18 - 8.19</vt:lpstr>
      <vt:lpstr>8.20</vt:lpstr>
      <vt:lpstr>8.21</vt:lpstr>
      <vt:lpstr>8.22</vt:lpstr>
      <vt:lpstr>8.23</vt:lpstr>
      <vt:lpstr>8.24</vt:lpstr>
      <vt:lpstr>8.25</vt:lpstr>
      <vt:lpstr>8.26</vt:lpstr>
      <vt:lpstr>8.27</vt:lpstr>
      <vt:lpstr>8.28</vt:lpstr>
      <vt:lpstr>8.29</vt:lpstr>
      <vt:lpstr>8.30</vt:lpstr>
      <vt:lpstr>8.31</vt:lpstr>
      <vt:lpstr>8.32</vt:lpstr>
      <vt:lpstr>8.33</vt:lpstr>
      <vt:lpstr>8.34</vt:lpstr>
      <vt:lpstr>8.35</vt:lpstr>
      <vt:lpstr>'8.10'!Área_de_impresión</vt:lpstr>
      <vt:lpstr>'8.11-8.13'!Área_de_impresión</vt:lpstr>
      <vt:lpstr>'8.14-8.15'!Área_de_impresión</vt:lpstr>
      <vt:lpstr>'8.20'!Área_de_impresión</vt:lpstr>
      <vt:lpstr>'8.3'!Área_de_impresión</vt:lpstr>
      <vt:lpstr>'8.4'!Área_de_impresión</vt:lpstr>
      <vt:lpstr>'8.5'!Área_de_impresión</vt:lpstr>
      <vt:lpstr>'8.6'!Área_de_impresión</vt:lpstr>
      <vt:lpstr>'8.7'!Área_de_impresión</vt:lpstr>
      <vt:lpstr>'8.8'!Área_de_impresión</vt:lpstr>
    </vt:vector>
  </TitlesOfParts>
  <Company>xxxxxxxxxx</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dc:creator>
  <cp:lastModifiedBy>Usuario</cp:lastModifiedBy>
  <cp:lastPrinted>2023-01-06T20:52:44Z</cp:lastPrinted>
  <dcterms:created xsi:type="dcterms:W3CDTF">2001-12-20T11:57:20Z</dcterms:created>
  <dcterms:modified xsi:type="dcterms:W3CDTF">2025-01-27T21:28:59Z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CO_ScreenResolution">
    <vt:lpwstr>96 96 1920 1080</vt:lpwstr>
  </property>
</Properties>
</file>