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7.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ml.chartshapes+xml"/>
  <Override PartName="/xl/charts/chart11.xml" ContentType="application/vnd.openxmlformats-officedocument.drawingml.chart+xml"/>
  <Override PartName="/xl/charts/style2.xml" ContentType="application/vnd.ms-office.chartstyle+xml"/>
  <Override PartName="/xl/charts/colors2.xml" ContentType="application/vnd.ms-office.chartcolorstyle+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charts/chart15.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6.xml" ContentType="application/vnd.openxmlformats-officedocument.drawingml.chart+xml"/>
  <Override PartName="/xl/drawings/drawing16.xml" ContentType="application/vnd.openxmlformats-officedocument.drawingml.chartshapes+xml"/>
  <Override PartName="/xl/charts/chart17.xml" ContentType="application/vnd.openxmlformats-officedocument.drawingml.chart+xml"/>
  <Override PartName="/xl/drawings/drawing17.xml" ContentType="application/vnd.openxmlformats-officedocument.drawingml.chartshapes+xml"/>
  <Override PartName="/xl/charts/chart18.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9.xml" ContentType="application/vnd.openxmlformats-officedocument.drawingml.chart+xml"/>
  <Override PartName="/xl/drawings/drawing20.xml" ContentType="application/vnd.openxmlformats-officedocument.drawingml.chartshapes+xml"/>
  <Override PartName="/xl/charts/chart20.xml" ContentType="application/vnd.openxmlformats-officedocument.drawingml.chart+xml"/>
  <Override PartName="/xl/drawings/drawing21.xml" ContentType="application/vnd.openxmlformats-officedocument.drawingml.chartshapes+xml"/>
  <Override PartName="/xl/charts/chart21.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22.xml" ContentType="application/vnd.openxmlformats-officedocument.drawingml.chart+xml"/>
  <Override PartName="/xl/charts/style4.xml" ContentType="application/vnd.ms-office.chartstyle+xml"/>
  <Override PartName="/xl/charts/colors4.xml" ContentType="application/vnd.ms-office.chartcolorstyle+xml"/>
  <Override PartName="/xl/charts/chart23.xml" ContentType="application/vnd.openxmlformats-officedocument.drawingml.chart+xml"/>
  <Override PartName="/xl/charts/style5.xml" ContentType="application/vnd.ms-office.chartstyle+xml"/>
  <Override PartName="/xl/charts/colors5.xml" ContentType="application/vnd.ms-office.chartcolorstyle+xml"/>
  <Override PartName="/xl/charts/chart24.xml" ContentType="application/vnd.openxmlformats-officedocument.drawingml.chart+xml"/>
  <Override PartName="/xl/charts/style6.xml" ContentType="application/vnd.ms-office.chartstyle+xml"/>
  <Override PartName="/xl/charts/colors6.xml" ContentType="application/vnd.ms-office.chartcolorstyle+xml"/>
  <Override PartName="/xl/charts/chart25.xml" ContentType="application/vnd.openxmlformats-officedocument.drawingml.chart+xml"/>
  <Override PartName="/xl/charts/style7.xml" ContentType="application/vnd.ms-office.chartstyle+xml"/>
  <Override PartName="/xl/charts/colors7.xml" ContentType="application/vnd.ms-office.chartcolorstyle+xml"/>
  <Override PartName="/xl/charts/chart26.xml" ContentType="application/vnd.openxmlformats-officedocument.drawingml.chart+xml"/>
  <Override PartName="/xl/charts/chart2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24226"/>
  <mc:AlternateContent xmlns:mc="http://schemas.openxmlformats.org/markup-compatibility/2006">
    <mc:Choice Requires="x15">
      <x15ac:absPath xmlns:x15ac="http://schemas.microsoft.com/office/spreadsheetml/2010/11/ac" url="D:\MARLEEEEEEEEEEEEEEEEEEEEEEEEEEEEEEEEEEEEEEEE\AÑO 2025\3 - HUELGAS EN EL PERU\"/>
    </mc:Choice>
  </mc:AlternateContent>
  <xr:revisionPtr revIDLastSave="0" documentId="13_ncr:1_{284A241C-A8AA-4099-8848-F1C704C3F728}" xr6:coauthVersionLast="47" xr6:coauthVersionMax="47" xr10:uidLastSave="{00000000-0000-0000-0000-000000000000}"/>
  <bookViews>
    <workbookView xWindow="28680" yWindow="-120" windowWidth="19440" windowHeight="15000" tabRatio="1000" firstSheet="17" activeTab="18" xr2:uid="{00000000-000D-0000-FFFF-FFFF00000000}"/>
  </bookViews>
  <sheets>
    <sheet name="página 1" sheetId="50" r:id="rId1"/>
    <sheet name="página 2" sheetId="53" r:id="rId2"/>
    <sheet name="página 3" sheetId="54" r:id="rId3"/>
    <sheet name="página 4" sheetId="55" r:id="rId4"/>
    <sheet name="página 5" sheetId="56" r:id="rId5"/>
    <sheet name="página 6" sheetId="57" r:id="rId6"/>
    <sheet name="página 7" sheetId="58" r:id="rId7"/>
    <sheet name="página 8" sheetId="59" r:id="rId8"/>
    <sheet name="página 9" sheetId="60" r:id="rId9"/>
    <sheet name="Anexo 01" sheetId="1" r:id="rId10"/>
    <sheet name="Anexo 02" sheetId="2" r:id="rId11"/>
    <sheet name="Anexo 03" sheetId="3" r:id="rId12"/>
    <sheet name="Anexo 04-05" sheetId="14" r:id="rId13"/>
    <sheet name="Anexo 06" sheetId="6" r:id="rId14"/>
    <sheet name="Anexo 07-08" sheetId="7" r:id="rId15"/>
    <sheet name="Anexo 09" sheetId="45" r:id="rId16"/>
    <sheet name="Anexo 10" sheetId="40" r:id="rId17"/>
    <sheet name="Anexo 11" sheetId="10" r:id="rId18"/>
    <sheet name="Anexo 12" sheetId="51" r:id="rId19"/>
    <sheet name="ANEXO13" sheetId="12" r:id="rId20"/>
    <sheet name="Anexo 14" sheetId="13" r:id="rId21"/>
    <sheet name="Anexo15" sheetId="15" r:id="rId22"/>
    <sheet name="Anexo 16" sheetId="52" r:id="rId23"/>
    <sheet name="Anexo 17" sheetId="17" r:id="rId24"/>
    <sheet name="Anexo 18" sheetId="33" r:id="rId25"/>
    <sheet name="Anexo 19" sheetId="24" r:id="rId26"/>
    <sheet name="Anexo 20" sheetId="37" r:id="rId27"/>
    <sheet name="Anexo 21" sheetId="36" r:id="rId28"/>
    <sheet name="Anexo 22" sheetId="41" r:id="rId29"/>
    <sheet name="Anexo 23" sheetId="39" r:id="rId30"/>
    <sheet name="Anexo 24" sheetId="44" r:id="rId31"/>
    <sheet name="Anexo 25" sheetId="42" r:id="rId32"/>
    <sheet name="Anexo 26" sheetId="48" r:id="rId33"/>
    <sheet name="Anexo 27" sheetId="49" r:id="rId34"/>
    <sheet name="Anexo 28 -HUELGA MINERA 2000-24" sheetId="46" r:id="rId35"/>
  </sheets>
  <definedNames>
    <definedName name="_xlnm._FilterDatabase" localSheetId="15" hidden="1">'Anexo 09'!$O$5:$P$34</definedName>
    <definedName name="_xlnm.Print_Area" localSheetId="9">'Anexo 01'!$A$1:$Q$41</definedName>
    <definedName name="_xlnm.Print_Area" localSheetId="10">'Anexo 02'!$A$1:$N$18</definedName>
    <definedName name="_xlnm.Print_Area" localSheetId="11">'Anexo 03'!$B$1:$N$20</definedName>
    <definedName name="_xlnm.Print_Area" localSheetId="12">'Anexo 04-05'!$A$1:$O$25</definedName>
    <definedName name="_xlnm.Print_Area" localSheetId="13">'Anexo 06'!$B$1:$N$24</definedName>
    <definedName name="_xlnm.Print_Area" localSheetId="14">'Anexo 07-08'!$A$1:$N$33</definedName>
    <definedName name="_xlnm.Print_Area" localSheetId="15">'Anexo 09'!$A$1:$H$38</definedName>
    <definedName name="_xlnm.Print_Area" localSheetId="16">'Anexo 10'!$B$1:$N$41</definedName>
    <definedName name="_xlnm.Print_Area" localSheetId="17">'Anexo 11'!$B$1:$N$20</definedName>
    <definedName name="_xlnm.Print_Area" localSheetId="18">'Anexo 12'!$B$1:$AX$103</definedName>
    <definedName name="_xlnm.Print_Area" localSheetId="20">'Anexo 14'!$B$1:$W$29</definedName>
    <definedName name="_xlnm.Print_Area" localSheetId="22">'Anexo 16'!$B$1:$AY$115</definedName>
    <definedName name="_xlnm.Print_Area" localSheetId="23">'Anexo 17'!$B$1:$AD$64</definedName>
    <definedName name="_xlnm.Print_Area" localSheetId="24">'Anexo 18'!$B$1:$AD$88</definedName>
    <definedName name="_xlnm.Print_Area" localSheetId="25">'Anexo 19'!$B$1:$I$25</definedName>
    <definedName name="_xlnm.Print_Area" localSheetId="26">'Anexo 20'!$B$1:$T$44</definedName>
    <definedName name="_xlnm.Print_Area" localSheetId="27">'Anexo 21'!$B$1:$I$36</definedName>
    <definedName name="_xlnm.Print_Area" localSheetId="28">'Anexo 22'!$B$1:$T$19</definedName>
    <definedName name="_xlnm.Print_Area" localSheetId="29">'Anexo 23'!$B$1:$H$38</definedName>
    <definedName name="_xlnm.Print_Area" localSheetId="30">'Anexo 24'!$B$1:$T$38</definedName>
    <definedName name="_xlnm.Print_Area" localSheetId="31">'Anexo 25'!$B$1:$T$38</definedName>
    <definedName name="_xlnm.Print_Area" localSheetId="32">'Anexo 26'!$B$2:$AY$65</definedName>
    <definedName name="_xlnm.Print_Area" localSheetId="33">'Anexo 27'!$A$1:$AY$50</definedName>
    <definedName name="_xlnm.Print_Area" localSheetId="34">'Anexo 28 -HUELGA MINERA 2000-24'!$B$1:$T$38</definedName>
    <definedName name="_xlnm.Print_Area" localSheetId="19">ANEXO13!$B$1:$K$54</definedName>
    <definedName name="_xlnm.Print_Area" localSheetId="21">Anexo15!$B$1:$U$25</definedName>
    <definedName name="_xlnm.Print_Area" localSheetId="0">'página 1'!$C$1:$K$59</definedName>
    <definedName name="_xlnm.Print_Area" localSheetId="1">'página 2'!$C$2:$K$78</definedName>
    <definedName name="_xlnm.Print_Area" localSheetId="2">'página 3'!$A$1:$K$62</definedName>
    <definedName name="_xlnm.Print_Area" localSheetId="3">'página 4'!$C$1:$K$47</definedName>
    <definedName name="_xlnm.Print_Area" localSheetId="4">'página 5'!$C$3:$K$53</definedName>
    <definedName name="_xlnm.Print_Area" localSheetId="5">'página 6'!$C$1:$K$85</definedName>
    <definedName name="_xlnm.Print_Area" localSheetId="6">'página 7'!$C$1:$K$59</definedName>
    <definedName name="_xlnm.Print_Area" localSheetId="7">'página 8'!$C$1:$K$83</definedName>
  </definedNames>
  <calcPr calcId="191029"/>
</workbook>
</file>

<file path=xl/calcChain.xml><?xml version="1.0" encoding="utf-8"?>
<calcChain xmlns="http://schemas.openxmlformats.org/spreadsheetml/2006/main">
  <c r="AB30" i="1" l="1"/>
  <c r="Y30" i="1"/>
  <c r="AH60" i="48" l="1"/>
  <c r="AF60" i="48"/>
  <c r="AB60" i="48"/>
  <c r="Z60" i="48"/>
  <c r="X60" i="48"/>
  <c r="AH59" i="48"/>
  <c r="AF59" i="48"/>
  <c r="AB59" i="48"/>
  <c r="Z59" i="48"/>
  <c r="X59" i="48"/>
  <c r="AH58" i="48"/>
  <c r="AF58" i="48"/>
  <c r="AB58" i="48"/>
  <c r="Z58" i="48"/>
  <c r="X58" i="48"/>
  <c r="AD60" i="48"/>
  <c r="AD59" i="48"/>
  <c r="AD58" i="48"/>
  <c r="AV10" i="48"/>
  <c r="AV11" i="48"/>
  <c r="AV12" i="48"/>
  <c r="AV14" i="48"/>
  <c r="AV15" i="48"/>
  <c r="AV16" i="48"/>
  <c r="AV18" i="48"/>
  <c r="AV19" i="48"/>
  <c r="AV20" i="48"/>
  <c r="AV22" i="48"/>
  <c r="AV23" i="48"/>
  <c r="AV24" i="48"/>
  <c r="AV26" i="48"/>
  <c r="AV27" i="48"/>
  <c r="AV28" i="48"/>
  <c r="AV30" i="48"/>
  <c r="AV31" i="48"/>
  <c r="AV32" i="48"/>
  <c r="AV34" i="48"/>
  <c r="AV35" i="48"/>
  <c r="AV36" i="48"/>
  <c r="AV38" i="48"/>
  <c r="AV39" i="48"/>
  <c r="AV40" i="48"/>
  <c r="AV42" i="48"/>
  <c r="AV43" i="48"/>
  <c r="AV44" i="48"/>
  <c r="AV46" i="48"/>
  <c r="AV47" i="48"/>
  <c r="AV48" i="48"/>
  <c r="AV50" i="48"/>
  <c r="AV51" i="48"/>
  <c r="AV52" i="48"/>
  <c r="AV54" i="48"/>
  <c r="AV55" i="48"/>
  <c r="AV56" i="48"/>
  <c r="AJ58" i="48"/>
  <c r="AL58" i="48"/>
  <c r="AN58" i="48"/>
  <c r="AP58" i="48"/>
  <c r="AR58" i="48"/>
  <c r="AT58" i="48"/>
  <c r="AJ59" i="48"/>
  <c r="AL59" i="48"/>
  <c r="AN59" i="48"/>
  <c r="AP59" i="48"/>
  <c r="AR59" i="48"/>
  <c r="AT59" i="48"/>
  <c r="AJ60" i="48"/>
  <c r="AL60" i="48"/>
  <c r="AN60" i="48"/>
  <c r="AP60" i="48"/>
  <c r="AR60" i="48"/>
  <c r="AT60" i="48"/>
  <c r="AV59" i="48" l="1"/>
  <c r="AV60" i="48"/>
  <c r="AX28" i="48" s="1"/>
  <c r="AV58" i="48"/>
  <c r="AX10" i="48" s="1"/>
  <c r="AX47" i="48"/>
  <c r="AX18" i="48"/>
  <c r="AX38" i="48"/>
  <c r="AX42" i="48"/>
  <c r="AX46" i="48"/>
  <c r="AX50" i="48"/>
  <c r="AX34" i="48"/>
  <c r="AX54" i="48"/>
  <c r="AX30" i="48"/>
  <c r="AX14" i="48"/>
  <c r="AX22" i="48"/>
  <c r="AX26" i="48"/>
  <c r="AX15" i="48"/>
  <c r="AX35" i="48"/>
  <c r="AX39" i="48"/>
  <c r="AX43" i="48"/>
  <c r="AX11" i="48"/>
  <c r="AX55" i="48"/>
  <c r="AX23" i="48"/>
  <c r="AX31" i="48"/>
  <c r="AX51" i="48"/>
  <c r="AX19" i="48"/>
  <c r="AX27" i="48"/>
  <c r="AX40" i="48"/>
  <c r="AX48" i="48"/>
  <c r="AC82" i="33"/>
  <c r="AC81" i="33"/>
  <c r="AC44" i="33"/>
  <c r="AC45" i="33"/>
  <c r="AC43" i="33"/>
  <c r="AC38" i="33"/>
  <c r="AC39" i="33"/>
  <c r="AC40" i="33"/>
  <c r="AC35" i="33"/>
  <c r="AC36" i="33"/>
  <c r="AC34" i="33"/>
  <c r="AC30" i="33"/>
  <c r="AC31" i="33"/>
  <c r="AC29" i="33"/>
  <c r="AC25" i="33"/>
  <c r="AC26" i="33"/>
  <c r="AC24" i="33"/>
  <c r="AC20" i="33"/>
  <c r="AC21" i="33"/>
  <c r="AC19" i="33"/>
  <c r="AC15" i="33"/>
  <c r="AC16" i="33"/>
  <c r="AC14" i="33"/>
  <c r="AC11" i="33"/>
  <c r="AC12" i="33"/>
  <c r="AC10" i="33"/>
  <c r="AC56" i="33"/>
  <c r="AA82" i="33"/>
  <c r="AA81" i="33"/>
  <c r="AA80" i="33"/>
  <c r="Y82" i="33"/>
  <c r="Y81" i="33"/>
  <c r="Y80" i="33"/>
  <c r="W82" i="33"/>
  <c r="W81" i="33"/>
  <c r="W80" i="33"/>
  <c r="U82" i="33"/>
  <c r="U81" i="33"/>
  <c r="U80" i="33"/>
  <c r="S82" i="33"/>
  <c r="S81" i="33"/>
  <c r="S80" i="33"/>
  <c r="O82" i="33"/>
  <c r="O81" i="33"/>
  <c r="O80" i="33"/>
  <c r="M82" i="33"/>
  <c r="M81" i="33"/>
  <c r="M80" i="33"/>
  <c r="K82" i="33"/>
  <c r="K81" i="33"/>
  <c r="K80" i="33"/>
  <c r="I82" i="33"/>
  <c r="I81" i="33"/>
  <c r="I80" i="33"/>
  <c r="G81" i="33"/>
  <c r="G82" i="33"/>
  <c r="G80" i="33"/>
  <c r="Q82" i="33"/>
  <c r="Q81" i="33"/>
  <c r="Q80" i="33"/>
  <c r="E82" i="33"/>
  <c r="S77" i="33"/>
  <c r="AA77" i="33" s="1"/>
  <c r="S76" i="33"/>
  <c r="AA76" i="33" s="1"/>
  <c r="S75" i="33"/>
  <c r="AA75" i="33" s="1"/>
  <c r="M72" i="33"/>
  <c r="AA71" i="33"/>
  <c r="M71" i="33"/>
  <c r="M70" i="33"/>
  <c r="AA70" i="33" s="1"/>
  <c r="AA67" i="33"/>
  <c r="AA66" i="33"/>
  <c r="AA65" i="33"/>
  <c r="E63" i="33"/>
  <c r="AA63" i="33" s="1"/>
  <c r="AA62" i="33"/>
  <c r="AA61" i="33"/>
  <c r="W58" i="33"/>
  <c r="S58" i="33"/>
  <c r="Q58" i="33"/>
  <c r="I58" i="33"/>
  <c r="G58" i="33"/>
  <c r="W57" i="33"/>
  <c r="S57" i="33"/>
  <c r="Q57" i="33"/>
  <c r="I57" i="33"/>
  <c r="G57" i="33"/>
  <c r="W56" i="33"/>
  <c r="S56" i="33"/>
  <c r="Q56" i="33"/>
  <c r="I56" i="33"/>
  <c r="G56" i="33"/>
  <c r="AA56" i="33" s="1"/>
  <c r="AA45" i="33"/>
  <c r="AA44" i="33"/>
  <c r="AA43" i="33"/>
  <c r="AA40" i="33"/>
  <c r="AA39" i="33"/>
  <c r="AA38" i="33"/>
  <c r="AA36" i="33"/>
  <c r="AA35" i="33"/>
  <c r="AA34" i="33"/>
  <c r="AA32" i="33"/>
  <c r="S31" i="33"/>
  <c r="AA31" i="33" s="1"/>
  <c r="S30" i="33"/>
  <c r="AA30" i="33" s="1"/>
  <c r="S29" i="33"/>
  <c r="AA29" i="33" s="1"/>
  <c r="S26" i="33"/>
  <c r="AA26" i="33" s="1"/>
  <c r="S25" i="33"/>
  <c r="AA25" i="33" s="1"/>
  <c r="S24" i="33"/>
  <c r="AA24" i="33" s="1"/>
  <c r="AA21" i="33"/>
  <c r="AA20" i="33"/>
  <c r="AA19" i="33"/>
  <c r="AA16" i="33"/>
  <c r="AA15" i="33"/>
  <c r="AA14" i="33"/>
  <c r="AA12" i="33"/>
  <c r="AA11" i="33"/>
  <c r="AA10" i="33"/>
  <c r="AX20" i="48" l="1"/>
  <c r="AX36" i="48"/>
  <c r="AX16" i="48"/>
  <c r="AX52" i="48"/>
  <c r="AX32" i="48"/>
  <c r="AX56" i="48"/>
  <c r="AX12" i="48"/>
  <c r="AX44" i="48"/>
  <c r="AX24" i="48"/>
  <c r="AX60" i="48" s="1"/>
  <c r="AX59" i="48"/>
  <c r="AX58" i="48"/>
  <c r="AC80" i="33"/>
  <c r="AE82" i="33"/>
  <c r="AE80" i="33"/>
  <c r="AE81" i="33"/>
  <c r="AC70" i="33"/>
  <c r="AA72" i="33"/>
  <c r="AA58" i="33"/>
  <c r="AA57" i="33"/>
  <c r="Q56" i="17"/>
  <c r="AA53" i="17"/>
  <c r="AA54" i="17"/>
  <c r="AA49" i="17"/>
  <c r="AA50" i="17"/>
  <c r="AA48" i="17"/>
  <c r="AA45" i="17"/>
  <c r="AA46" i="17"/>
  <c r="AA41" i="17"/>
  <c r="AA42" i="17"/>
  <c r="AA37" i="17"/>
  <c r="AA38" i="17"/>
  <c r="AA33" i="17"/>
  <c r="AA34" i="17"/>
  <c r="AA30" i="17"/>
  <c r="AA25" i="17"/>
  <c r="AA26" i="17"/>
  <c r="AA21" i="17"/>
  <c r="AA22" i="17"/>
  <c r="AA17" i="17"/>
  <c r="AA18" i="17"/>
  <c r="AA13" i="17"/>
  <c r="AA14" i="17"/>
  <c r="AA12" i="17"/>
  <c r="AA9" i="17"/>
  <c r="AA10" i="17"/>
  <c r="AA8" i="17"/>
  <c r="AA36" i="17"/>
  <c r="Y58" i="17"/>
  <c r="Y57" i="17"/>
  <c r="Y56" i="17"/>
  <c r="S56" i="17"/>
  <c r="S57" i="17"/>
  <c r="S58" i="17"/>
  <c r="E58" i="17"/>
  <c r="E57" i="17"/>
  <c r="E56" i="17"/>
  <c r="P11" i="15"/>
  <c r="P12" i="15"/>
  <c r="J11" i="15"/>
  <c r="J12" i="15"/>
  <c r="AC61" i="33" l="1"/>
  <c r="AC75" i="33"/>
  <c r="AC65" i="33"/>
  <c r="AC58" i="33"/>
  <c r="AC57" i="33"/>
  <c r="AC72" i="33"/>
  <c r="AA58" i="17"/>
  <c r="AC76" i="33" l="1"/>
  <c r="AC62" i="33"/>
  <c r="AC66" i="33"/>
  <c r="AC71" i="33"/>
  <c r="AC63" i="33"/>
  <c r="AC77" i="33"/>
  <c r="AC67" i="33"/>
  <c r="AC32" i="33"/>
  <c r="R15" i="45"/>
  <c r="O15" i="45"/>
  <c r="L15" i="45"/>
  <c r="O7" i="45"/>
  <c r="R7" i="45"/>
  <c r="L7" i="45"/>
  <c r="G30" i="45"/>
  <c r="E30" i="45"/>
  <c r="C30" i="45"/>
  <c r="S3" i="14"/>
  <c r="V3" i="14"/>
  <c r="X3" i="14"/>
  <c r="Z3" i="14"/>
  <c r="AB3" i="14"/>
  <c r="E13" i="2" l="1"/>
  <c r="C13" i="2"/>
  <c r="E8" i="2" s="1"/>
  <c r="S31" i="46" l="1"/>
  <c r="Q31" i="46"/>
  <c r="O31" i="46"/>
  <c r="AO40" i="49"/>
  <c r="AM40" i="49"/>
  <c r="AQ40" i="49"/>
  <c r="S32" i="42"/>
  <c r="M32" i="42"/>
  <c r="G32" i="42"/>
  <c r="S32" i="44"/>
  <c r="M32" i="44"/>
  <c r="G32" i="44"/>
  <c r="G31" i="39"/>
  <c r="S38" i="37"/>
  <c r="M38" i="37"/>
  <c r="G38" i="37"/>
  <c r="T107" i="52"/>
  <c r="N107" i="52"/>
  <c r="H107" i="52"/>
  <c r="K43" i="12"/>
  <c r="H43" i="12"/>
  <c r="E43" i="12"/>
  <c r="S92" i="51"/>
  <c r="Q92" i="51"/>
  <c r="O92" i="51"/>
  <c r="M31" i="40"/>
  <c r="S30" i="46"/>
  <c r="Q30" i="46"/>
  <c r="O30" i="46"/>
  <c r="AK29" i="49"/>
  <c r="AK40" i="49" s="1"/>
  <c r="AI40" i="49"/>
  <c r="AG40" i="49"/>
  <c r="S31" i="42"/>
  <c r="M31" i="42"/>
  <c r="G31" i="42"/>
  <c r="S31" i="44"/>
  <c r="M31" i="44"/>
  <c r="G31" i="44"/>
  <c r="G30" i="39"/>
  <c r="S37" i="37"/>
  <c r="M37" i="37"/>
  <c r="G37" i="37"/>
  <c r="P107" i="52"/>
  <c r="L107" i="52"/>
  <c r="R107" i="52"/>
  <c r="J107" i="52"/>
  <c r="T20" i="15"/>
  <c r="T19" i="15"/>
  <c r="T18" i="15"/>
  <c r="T17" i="15"/>
  <c r="T16" i="15"/>
  <c r="T15" i="15"/>
  <c r="T14" i="15"/>
  <c r="T13" i="15"/>
  <c r="M17" i="15"/>
  <c r="M16" i="15"/>
  <c r="M15" i="15"/>
  <c r="M14" i="15"/>
  <c r="M13" i="15"/>
  <c r="K21" i="15"/>
  <c r="I21" i="15"/>
  <c r="K42" i="12"/>
  <c r="H42" i="12"/>
  <c r="E42" i="12"/>
  <c r="I92" i="51"/>
  <c r="C15" i="41" l="1"/>
  <c r="M92" i="51"/>
  <c r="K92" i="51"/>
  <c r="S2" i="6" l="1"/>
  <c r="W2" i="6"/>
  <c r="U2" i="6"/>
  <c r="C19" i="6"/>
  <c r="V7" i="14"/>
  <c r="E16" i="6" l="1"/>
  <c r="E18" i="6"/>
  <c r="E13" i="6"/>
  <c r="E17" i="6"/>
  <c r="E14" i="6"/>
  <c r="E15" i="6"/>
  <c r="E12" i="6"/>
  <c r="E8" i="6"/>
  <c r="E11" i="6"/>
  <c r="E9" i="6"/>
  <c r="E10" i="6"/>
  <c r="E19" i="6" l="1"/>
  <c r="AB29" i="1"/>
  <c r="Y29" i="1"/>
  <c r="M30" i="40"/>
  <c r="S32" i="46" l="1"/>
  <c r="Q32" i="46"/>
  <c r="O32" i="46"/>
  <c r="AE40" i="49"/>
  <c r="AC40" i="49"/>
  <c r="AA40" i="49"/>
  <c r="S30" i="42"/>
  <c r="M30" i="42"/>
  <c r="G30" i="42"/>
  <c r="S30" i="44"/>
  <c r="M30" i="44"/>
  <c r="G30" i="44"/>
  <c r="G29" i="39"/>
  <c r="S36" i="37"/>
  <c r="M36" i="37"/>
  <c r="G36" i="37"/>
  <c r="W58" i="17"/>
  <c r="U58" i="17"/>
  <c r="Q58" i="17"/>
  <c r="O58" i="17"/>
  <c r="M58" i="17"/>
  <c r="K58" i="17"/>
  <c r="I58" i="17"/>
  <c r="G58" i="17"/>
  <c r="W57" i="17"/>
  <c r="U57" i="17"/>
  <c r="Q57" i="17"/>
  <c r="O57" i="17"/>
  <c r="M57" i="17"/>
  <c r="K57" i="17"/>
  <c r="I57" i="17"/>
  <c r="G57" i="17"/>
  <c r="W56" i="17"/>
  <c r="U56" i="17"/>
  <c r="O56" i="17"/>
  <c r="M56" i="17"/>
  <c r="K56" i="17"/>
  <c r="I56" i="17"/>
  <c r="G56" i="17"/>
  <c r="F107" i="52" l="1"/>
  <c r="D107" i="52"/>
  <c r="L22" i="13"/>
  <c r="I22" i="13"/>
  <c r="S22" i="13"/>
  <c r="P22" i="13"/>
  <c r="E22" i="13"/>
  <c r="C22" i="13"/>
  <c r="K44" i="12"/>
  <c r="K41" i="12"/>
  <c r="H44" i="12"/>
  <c r="E44" i="12"/>
  <c r="G92" i="51"/>
  <c r="E92" i="51"/>
  <c r="C92" i="51"/>
  <c r="M29" i="40"/>
  <c r="C11" i="2" l="1"/>
  <c r="C7" i="2"/>
  <c r="C9" i="2"/>
  <c r="Y28" i="1"/>
  <c r="AB28" i="1"/>
  <c r="E10" i="2" l="1"/>
  <c r="S28" i="46"/>
  <c r="Q28" i="46"/>
  <c r="O28" i="46"/>
  <c r="Y40" i="49"/>
  <c r="W40" i="49"/>
  <c r="U40" i="49"/>
  <c r="S29" i="42"/>
  <c r="M29" i="42"/>
  <c r="G29" i="42"/>
  <c r="S29" i="44"/>
  <c r="M29" i="44"/>
  <c r="G29" i="44"/>
  <c r="G28" i="39"/>
  <c r="S35" i="37"/>
  <c r="M35" i="37"/>
  <c r="G35" i="37"/>
  <c r="AX87" i="52"/>
  <c r="AH87" i="52"/>
  <c r="R87" i="52"/>
  <c r="E21" i="15"/>
  <c r="C21" i="15"/>
  <c r="G19" i="15"/>
  <c r="G9" i="15"/>
  <c r="G19" i="13"/>
  <c r="G16" i="13"/>
  <c r="H41" i="12"/>
  <c r="E41" i="12"/>
  <c r="K40" i="12"/>
  <c r="H40" i="12"/>
  <c r="E40" i="12"/>
  <c r="AS75" i="51"/>
  <c r="AW75" i="51"/>
  <c r="AU75" i="51"/>
  <c r="Y8" i="1"/>
  <c r="M32" i="40"/>
  <c r="W28" i="7" l="1"/>
  <c r="AD3" i="14" l="1"/>
  <c r="K11" i="2"/>
  <c r="K9" i="2"/>
  <c r="K13" i="2" s="1"/>
  <c r="K7" i="2"/>
  <c r="G11" i="2"/>
  <c r="G9" i="2"/>
  <c r="G7" i="2"/>
  <c r="AB27" i="1"/>
  <c r="AB26" i="1"/>
  <c r="Y27" i="1"/>
  <c r="S6" i="45"/>
  <c r="AB25" i="1"/>
  <c r="AB24" i="1"/>
  <c r="AB23" i="1"/>
  <c r="AB22" i="1"/>
  <c r="AB21" i="1"/>
  <c r="AB20" i="1"/>
  <c r="AB19" i="1"/>
  <c r="AB18" i="1"/>
  <c r="AB17" i="1"/>
  <c r="AB16" i="1"/>
  <c r="AB15" i="1"/>
  <c r="AB14" i="1"/>
  <c r="AB13" i="1"/>
  <c r="AB12" i="1"/>
  <c r="AB11" i="1"/>
  <c r="AB10" i="1"/>
  <c r="AB9" i="1"/>
  <c r="AB8" i="1"/>
  <c r="Y26" i="1"/>
  <c r="Y25" i="1"/>
  <c r="Y23" i="1"/>
  <c r="Y20" i="1"/>
  <c r="Y15" i="1"/>
  <c r="Y14" i="1"/>
  <c r="Y13" i="1"/>
  <c r="Y9" i="1"/>
  <c r="G13" i="2" l="1"/>
  <c r="S27" i="46"/>
  <c r="Q27" i="46"/>
  <c r="O27" i="46"/>
  <c r="S40" i="49" l="1"/>
  <c r="Q40" i="49"/>
  <c r="O40" i="49"/>
  <c r="S28" i="42"/>
  <c r="M28" i="42"/>
  <c r="G28" i="42"/>
  <c r="S28" i="44"/>
  <c r="M28" i="44"/>
  <c r="G28" i="44"/>
  <c r="G27" i="39"/>
  <c r="S34" i="37"/>
  <c r="M34" i="37"/>
  <c r="G34" i="37"/>
  <c r="AV84" i="52"/>
  <c r="AV82" i="52"/>
  <c r="AV74" i="52"/>
  <c r="AV73" i="52"/>
  <c r="AF84" i="52"/>
  <c r="AF82" i="52"/>
  <c r="AF74" i="52"/>
  <c r="AF73" i="52"/>
  <c r="P84" i="52"/>
  <c r="P82" i="52"/>
  <c r="P74" i="52"/>
  <c r="P73" i="52"/>
  <c r="G16" i="15"/>
  <c r="AV87" i="52" l="1"/>
  <c r="P87" i="52"/>
  <c r="AF87" i="52"/>
  <c r="K39" i="12"/>
  <c r="H39" i="12"/>
  <c r="E39" i="12"/>
  <c r="AQ75" i="51" l="1"/>
  <c r="AO75" i="51"/>
  <c r="AM75" i="51"/>
  <c r="M27" i="40"/>
  <c r="W4" i="2" l="1"/>
  <c r="AB7" i="14" l="1"/>
  <c r="AD7" i="14"/>
  <c r="T4" i="2"/>
  <c r="Q4" i="2"/>
  <c r="M28" i="40" l="1"/>
  <c r="S29" i="46" l="1"/>
  <c r="O29" i="46"/>
  <c r="Q29" i="46"/>
  <c r="S33" i="42"/>
  <c r="M33" i="42"/>
  <c r="G33" i="42"/>
  <c r="S33" i="44"/>
  <c r="M33" i="44"/>
  <c r="G33" i="44"/>
  <c r="G32" i="39"/>
  <c r="K28" i="7"/>
  <c r="K19" i="6"/>
  <c r="M18" i="6" s="1"/>
  <c r="M25" i="7" l="1"/>
  <c r="M15" i="6"/>
  <c r="M11" i="6"/>
  <c r="M10" i="6"/>
  <c r="M8" i="6"/>
  <c r="M9" i="6"/>
  <c r="I40" i="49"/>
  <c r="K40" i="49"/>
  <c r="M40" i="49"/>
  <c r="F10" i="50" l="1"/>
  <c r="E10" i="50"/>
  <c r="D10" i="50"/>
  <c r="S39" i="37" l="1"/>
  <c r="M39" i="37"/>
  <c r="G39" i="37"/>
  <c r="N87" i="52"/>
  <c r="AT87" i="52"/>
  <c r="AR87" i="52"/>
  <c r="AD87" i="52"/>
  <c r="J38" i="12"/>
  <c r="K38" i="12" s="1"/>
  <c r="G38" i="12"/>
  <c r="H38" i="12" s="1"/>
  <c r="D38" i="12"/>
  <c r="E38" i="12" s="1"/>
  <c r="AK75" i="51" l="1"/>
  <c r="AI75" i="51"/>
  <c r="AG75" i="51"/>
  <c r="Q27" i="42" l="1"/>
  <c r="K27" i="42"/>
  <c r="O27" i="44"/>
  <c r="I27" i="44"/>
  <c r="S25" i="46" l="1"/>
  <c r="Q25" i="46"/>
  <c r="O25" i="46"/>
  <c r="G40" i="49"/>
  <c r="E40" i="49"/>
  <c r="C40" i="49"/>
  <c r="S26" i="42"/>
  <c r="M26" i="42"/>
  <c r="G26" i="42"/>
  <c r="S26" i="44"/>
  <c r="M26" i="44"/>
  <c r="G26" i="44"/>
  <c r="G25" i="39"/>
  <c r="S8" i="41"/>
  <c r="S9" i="41"/>
  <c r="S10" i="41"/>
  <c r="S11" i="41"/>
  <c r="S12" i="41"/>
  <c r="S13" i="41"/>
  <c r="S14" i="41"/>
  <c r="Q8" i="41"/>
  <c r="Q9" i="41"/>
  <c r="Q10" i="41"/>
  <c r="Q11" i="41"/>
  <c r="Q12" i="41"/>
  <c r="Q13" i="41"/>
  <c r="Q14" i="41"/>
  <c r="O8" i="41"/>
  <c r="O9" i="41"/>
  <c r="O10" i="41"/>
  <c r="O11" i="41"/>
  <c r="O12" i="41"/>
  <c r="O13" i="41"/>
  <c r="O14" i="41"/>
  <c r="S7" i="41"/>
  <c r="Q7" i="41"/>
  <c r="O7" i="41"/>
  <c r="S32" i="37"/>
  <c r="M32" i="37"/>
  <c r="G32" i="37"/>
  <c r="AA52" i="17"/>
  <c r="AA44" i="17"/>
  <c r="AA40" i="17"/>
  <c r="AA32" i="17"/>
  <c r="AA29" i="17"/>
  <c r="AA57" i="17" s="1"/>
  <c r="AA28" i="17"/>
  <c r="AA24" i="17"/>
  <c r="AA20" i="17"/>
  <c r="AA16" i="17"/>
  <c r="AP87" i="52"/>
  <c r="AN87" i="52"/>
  <c r="AL87" i="52"/>
  <c r="AJ87" i="52"/>
  <c r="AB87" i="52"/>
  <c r="Z87" i="52"/>
  <c r="X87" i="52"/>
  <c r="V87" i="52"/>
  <c r="T87" i="52"/>
  <c r="L87" i="52"/>
  <c r="J87" i="52"/>
  <c r="H87" i="52"/>
  <c r="F87" i="52"/>
  <c r="D87" i="52"/>
  <c r="AY63" i="52"/>
  <c r="AX63" i="52"/>
  <c r="AV63" i="52"/>
  <c r="AU63" i="52"/>
  <c r="AT63" i="52"/>
  <c r="AR63" i="52"/>
  <c r="AP63" i="52"/>
  <c r="AN63" i="52"/>
  <c r="AL63" i="52"/>
  <c r="AJ63" i="52"/>
  <c r="AI63" i="52"/>
  <c r="AH63" i="52"/>
  <c r="AF63" i="52"/>
  <c r="AD63" i="52"/>
  <c r="AB63" i="52"/>
  <c r="Z63" i="52"/>
  <c r="X63" i="52"/>
  <c r="V63" i="52"/>
  <c r="T63" i="52"/>
  <c r="R63" i="52"/>
  <c r="P63" i="52"/>
  <c r="N63" i="52"/>
  <c r="L63" i="52"/>
  <c r="J63" i="52"/>
  <c r="H63" i="52"/>
  <c r="F63" i="52"/>
  <c r="D63" i="52"/>
  <c r="AX43" i="52"/>
  <c r="AV43" i="52"/>
  <c r="AT43" i="52"/>
  <c r="AR43" i="52"/>
  <c r="AP43" i="52"/>
  <c r="AN43" i="52"/>
  <c r="AL43" i="52"/>
  <c r="AJ43" i="52"/>
  <c r="AH43" i="52"/>
  <c r="AF43" i="52"/>
  <c r="AD43" i="52"/>
  <c r="AB43" i="52"/>
  <c r="Z43" i="52"/>
  <c r="X43" i="52"/>
  <c r="V43" i="52"/>
  <c r="T43" i="52"/>
  <c r="R43" i="52"/>
  <c r="P43" i="52"/>
  <c r="N43" i="52"/>
  <c r="L43" i="52"/>
  <c r="J43" i="52"/>
  <c r="H43" i="52"/>
  <c r="F43" i="52"/>
  <c r="D43" i="52"/>
  <c r="AX23" i="52"/>
  <c r="AT23" i="52"/>
  <c r="AR23" i="52"/>
  <c r="AP23" i="52"/>
  <c r="AN23" i="52"/>
  <c r="AL23" i="52"/>
  <c r="AJ23" i="52"/>
  <c r="AH23" i="52"/>
  <c r="AD23" i="52"/>
  <c r="AB23" i="52"/>
  <c r="Z23" i="52"/>
  <c r="X23" i="52"/>
  <c r="V23" i="52"/>
  <c r="T23" i="52"/>
  <c r="R23" i="52"/>
  <c r="N23" i="52"/>
  <c r="L23" i="52"/>
  <c r="J23" i="52"/>
  <c r="H23" i="52"/>
  <c r="F23" i="52"/>
  <c r="D23" i="52"/>
  <c r="AV21" i="52"/>
  <c r="AF21" i="52"/>
  <c r="P21" i="52"/>
  <c r="AV15" i="52"/>
  <c r="AF15" i="52"/>
  <c r="AV12" i="52"/>
  <c r="AF12" i="52"/>
  <c r="P12" i="52"/>
  <c r="AE75" i="51"/>
  <c r="AC75" i="51"/>
  <c r="AA75" i="51"/>
  <c r="Y75" i="51"/>
  <c r="W75" i="51"/>
  <c r="U75" i="51"/>
  <c r="S75" i="51"/>
  <c r="Q75" i="51"/>
  <c r="O75" i="51"/>
  <c r="M75" i="51"/>
  <c r="K75" i="51"/>
  <c r="I75" i="51"/>
  <c r="G75" i="51"/>
  <c r="E75" i="51"/>
  <c r="C75" i="51"/>
  <c r="AW54" i="51"/>
  <c r="AU54" i="51"/>
  <c r="AS54" i="51"/>
  <c r="AQ54" i="51"/>
  <c r="AO54" i="51"/>
  <c r="AM54" i="51"/>
  <c r="AK54" i="51"/>
  <c r="AI54" i="51"/>
  <c r="AG54" i="51"/>
  <c r="AE54" i="51"/>
  <c r="AC54" i="51"/>
  <c r="AA54" i="51"/>
  <c r="Y54" i="51"/>
  <c r="W54" i="51"/>
  <c r="U54" i="51"/>
  <c r="S54" i="51"/>
  <c r="Q54" i="51"/>
  <c r="O54" i="51"/>
  <c r="M54" i="51"/>
  <c r="K54" i="51"/>
  <c r="I54" i="51"/>
  <c r="G54" i="51"/>
  <c r="E54" i="51"/>
  <c r="C54" i="51"/>
  <c r="AW37" i="51"/>
  <c r="AU37" i="51"/>
  <c r="AS37" i="51"/>
  <c r="AQ37" i="51"/>
  <c r="AO37" i="51"/>
  <c r="AM37" i="51"/>
  <c r="AK37" i="51"/>
  <c r="AI37" i="51"/>
  <c r="AG37" i="51"/>
  <c r="AE37" i="51"/>
  <c r="AC37" i="51"/>
  <c r="AA37" i="51"/>
  <c r="Y37" i="51"/>
  <c r="W37" i="51"/>
  <c r="U37" i="51"/>
  <c r="S37" i="51"/>
  <c r="Q37" i="51"/>
  <c r="O37" i="51"/>
  <c r="M37" i="51"/>
  <c r="K37" i="51"/>
  <c r="I37" i="51"/>
  <c r="G37" i="51"/>
  <c r="E37" i="51"/>
  <c r="C37" i="51"/>
  <c r="AW20" i="51"/>
  <c r="AU20" i="51"/>
  <c r="AS20" i="51"/>
  <c r="AQ20" i="51"/>
  <c r="AO20" i="51"/>
  <c r="AM20" i="51"/>
  <c r="AK20" i="51"/>
  <c r="AI20" i="51"/>
  <c r="AG20" i="51"/>
  <c r="AE20" i="51"/>
  <c r="AC20" i="51"/>
  <c r="AA20" i="51"/>
  <c r="Y20" i="51"/>
  <c r="W20" i="51"/>
  <c r="U20" i="51"/>
  <c r="S20" i="51"/>
  <c r="Q20" i="51"/>
  <c r="O20" i="51"/>
  <c r="M20" i="51"/>
  <c r="K20" i="51"/>
  <c r="I20" i="51"/>
  <c r="G20" i="51"/>
  <c r="E20" i="51"/>
  <c r="C20" i="51"/>
  <c r="AA56" i="17" l="1"/>
  <c r="AC25" i="17"/>
  <c r="AC40" i="17"/>
  <c r="AC26" i="17"/>
  <c r="P23" i="52"/>
  <c r="AF23" i="52"/>
  <c r="AV23" i="52"/>
  <c r="AC21" i="17" l="1"/>
  <c r="AC9" i="17"/>
  <c r="AC17" i="17"/>
  <c r="AC37" i="17"/>
  <c r="AC38" i="17"/>
  <c r="AC14" i="17"/>
  <c r="AC18" i="17"/>
  <c r="AC50" i="17"/>
  <c r="AC34" i="17"/>
  <c r="AC30" i="17"/>
  <c r="AC46" i="17"/>
  <c r="AC42" i="17"/>
  <c r="AC22" i="17"/>
  <c r="AC10" i="17"/>
  <c r="AC54" i="17"/>
  <c r="AC45" i="17"/>
  <c r="AC49" i="17"/>
  <c r="AC29" i="17"/>
  <c r="AC33" i="17"/>
  <c r="AC13" i="17"/>
  <c r="AC41" i="17"/>
  <c r="AC53" i="17"/>
  <c r="AC44" i="17"/>
  <c r="AC48" i="17"/>
  <c r="AC16" i="17"/>
  <c r="AC52" i="17"/>
  <c r="AC8" i="17"/>
  <c r="AC12" i="17"/>
  <c r="AC32" i="17"/>
  <c r="AC36" i="17"/>
  <c r="AC24" i="17"/>
  <c r="AC28" i="17"/>
  <c r="AC20" i="17"/>
  <c r="M25" i="40"/>
  <c r="AC58" i="17" l="1"/>
  <c r="AC57" i="17"/>
  <c r="AC56" i="17"/>
  <c r="S26" i="46"/>
  <c r="Q26" i="46"/>
  <c r="O26" i="46"/>
  <c r="S24" i="46"/>
  <c r="Q24" i="46"/>
  <c r="O24" i="46"/>
  <c r="S23" i="46"/>
  <c r="Q23" i="46"/>
  <c r="O23" i="46"/>
  <c r="S22" i="46"/>
  <c r="Q22" i="46"/>
  <c r="O22" i="46"/>
  <c r="S21" i="46"/>
  <c r="Q21" i="46"/>
  <c r="O21" i="46"/>
  <c r="S20" i="46"/>
  <c r="Q20" i="46"/>
  <c r="O20" i="46"/>
  <c r="S19" i="46"/>
  <c r="Q19" i="46"/>
  <c r="O19" i="46"/>
  <c r="S18" i="46"/>
  <c r="Q18" i="46"/>
  <c r="O18" i="46"/>
  <c r="S17" i="46"/>
  <c r="Q17" i="46"/>
  <c r="O17" i="46"/>
  <c r="S16" i="46"/>
  <c r="Q16" i="46"/>
  <c r="O16" i="46"/>
  <c r="S15" i="46"/>
  <c r="Q15" i="46"/>
  <c r="O15" i="46"/>
  <c r="S14" i="46"/>
  <c r="Q14" i="46"/>
  <c r="O14" i="46"/>
  <c r="S13" i="46"/>
  <c r="Q13" i="46"/>
  <c r="O13" i="46"/>
  <c r="S12" i="46"/>
  <c r="Q12" i="46"/>
  <c r="O12" i="46"/>
  <c r="S11" i="46"/>
  <c r="Q11" i="46"/>
  <c r="O11" i="46"/>
  <c r="S10" i="46"/>
  <c r="Q10" i="46"/>
  <c r="O10" i="46"/>
  <c r="S9" i="46"/>
  <c r="Q9" i="46"/>
  <c r="O9" i="46"/>
  <c r="S8" i="46"/>
  <c r="Q8" i="46"/>
  <c r="O8" i="46"/>
  <c r="AW22" i="49"/>
  <c r="AQ22" i="49"/>
  <c r="AK22" i="49"/>
  <c r="AE22" i="49"/>
  <c r="Y22" i="49"/>
  <c r="S22" i="49"/>
  <c r="M22" i="49"/>
  <c r="G22" i="49"/>
  <c r="AU22" i="49"/>
  <c r="AO22" i="49"/>
  <c r="AI22" i="49"/>
  <c r="AC22" i="49"/>
  <c r="W22" i="49"/>
  <c r="Q22" i="49"/>
  <c r="K22" i="49"/>
  <c r="E22" i="49"/>
  <c r="AS22" i="49"/>
  <c r="AM22" i="49"/>
  <c r="AG22" i="49"/>
  <c r="AA22" i="49"/>
  <c r="U22" i="49"/>
  <c r="O22" i="49"/>
  <c r="I22" i="49"/>
  <c r="C22" i="49"/>
  <c r="S27" i="42"/>
  <c r="M27" i="42"/>
  <c r="G27" i="42"/>
  <c r="S25" i="42"/>
  <c r="M25" i="42"/>
  <c r="G25" i="42"/>
  <c r="S24" i="42"/>
  <c r="M24" i="42"/>
  <c r="G24" i="42"/>
  <c r="S23" i="42"/>
  <c r="M23" i="42"/>
  <c r="G23" i="42"/>
  <c r="S22" i="42"/>
  <c r="M22" i="42"/>
  <c r="G22" i="42"/>
  <c r="S21" i="42"/>
  <c r="M21" i="42"/>
  <c r="G21" i="42"/>
  <c r="S20" i="42"/>
  <c r="M20" i="42"/>
  <c r="G20" i="42"/>
  <c r="S19" i="42"/>
  <c r="M19" i="42"/>
  <c r="G19" i="42"/>
  <c r="S18" i="42"/>
  <c r="M18" i="42"/>
  <c r="G18" i="42"/>
  <c r="S17" i="42"/>
  <c r="M17" i="42"/>
  <c r="G17" i="42"/>
  <c r="S16" i="42"/>
  <c r="M16" i="42"/>
  <c r="G16" i="42"/>
  <c r="S15" i="42"/>
  <c r="M15" i="42"/>
  <c r="G15" i="42"/>
  <c r="S14" i="42"/>
  <c r="M14" i="42"/>
  <c r="G14" i="42"/>
  <c r="S13" i="42"/>
  <c r="M13" i="42"/>
  <c r="G13" i="42"/>
  <c r="S12" i="42"/>
  <c r="M12" i="42"/>
  <c r="G12" i="42"/>
  <c r="S11" i="42"/>
  <c r="M11" i="42"/>
  <c r="G11" i="42"/>
  <c r="S10" i="42"/>
  <c r="M10" i="42"/>
  <c r="G10" i="42"/>
  <c r="S9" i="42"/>
  <c r="M9" i="42"/>
  <c r="G9" i="42"/>
  <c r="S27" i="44"/>
  <c r="M27" i="44"/>
  <c r="G27" i="44"/>
  <c r="S25" i="44"/>
  <c r="M25" i="44"/>
  <c r="G25" i="44"/>
  <c r="S24" i="44"/>
  <c r="M24" i="44"/>
  <c r="G24" i="44"/>
  <c r="S23" i="44"/>
  <c r="M23" i="44"/>
  <c r="G23" i="44"/>
  <c r="S22" i="44"/>
  <c r="M22" i="44"/>
  <c r="G22" i="44"/>
  <c r="S21" i="44"/>
  <c r="M21" i="44"/>
  <c r="G21" i="44"/>
  <c r="S20" i="44"/>
  <c r="M20" i="44"/>
  <c r="G20" i="44"/>
  <c r="S19" i="44"/>
  <c r="M19" i="44"/>
  <c r="G19" i="44"/>
  <c r="S18" i="44"/>
  <c r="M18" i="44"/>
  <c r="G18" i="44"/>
  <c r="S17" i="44"/>
  <c r="M17" i="44"/>
  <c r="G17" i="44"/>
  <c r="S16" i="44"/>
  <c r="M16" i="44"/>
  <c r="G16" i="44"/>
  <c r="S15" i="44"/>
  <c r="M15" i="44"/>
  <c r="G15" i="44"/>
  <c r="S14" i="44"/>
  <c r="M14" i="44"/>
  <c r="G14" i="44"/>
  <c r="S13" i="44"/>
  <c r="M13" i="44"/>
  <c r="G13" i="44"/>
  <c r="S12" i="44"/>
  <c r="M12" i="44"/>
  <c r="G12" i="44"/>
  <c r="S11" i="44"/>
  <c r="M11" i="44"/>
  <c r="G11" i="44"/>
  <c r="S10" i="44"/>
  <c r="M10" i="44"/>
  <c r="G10" i="44"/>
  <c r="S9" i="44"/>
  <c r="M9" i="44"/>
  <c r="G9" i="44"/>
  <c r="G26" i="39"/>
  <c r="G24" i="39"/>
  <c r="G23" i="39"/>
  <c r="G22" i="39"/>
  <c r="G21" i="39"/>
  <c r="G20" i="39"/>
  <c r="G19" i="39"/>
  <c r="G18" i="39"/>
  <c r="G17" i="39"/>
  <c r="G16" i="39"/>
  <c r="G15" i="39"/>
  <c r="G14" i="39"/>
  <c r="G13" i="39"/>
  <c r="G12" i="39"/>
  <c r="G11" i="39"/>
  <c r="G10" i="39"/>
  <c r="G9" i="39"/>
  <c r="G8" i="39"/>
  <c r="G8" i="37"/>
  <c r="G9" i="37"/>
  <c r="G10" i="37"/>
  <c r="G11" i="37"/>
  <c r="G12" i="37"/>
  <c r="G13" i="37"/>
  <c r="G14" i="37"/>
  <c r="G15" i="37"/>
  <c r="G16" i="37"/>
  <c r="G17" i="37"/>
  <c r="G18" i="37"/>
  <c r="G19" i="37"/>
  <c r="G20" i="37"/>
  <c r="G21" i="37"/>
  <c r="G22" i="37"/>
  <c r="G23" i="37"/>
  <c r="G24" i="37"/>
  <c r="G25" i="37"/>
  <c r="G26" i="37"/>
  <c r="G27" i="37"/>
  <c r="G28" i="37"/>
  <c r="G29" i="37"/>
  <c r="G30" i="37"/>
  <c r="G31" i="37"/>
  <c r="G33" i="37"/>
  <c r="G7" i="37"/>
  <c r="S33" i="37"/>
  <c r="M33" i="37"/>
  <c r="S31" i="37"/>
  <c r="M31" i="37"/>
  <c r="S30" i="37"/>
  <c r="M30" i="37"/>
  <c r="S29" i="37"/>
  <c r="M29" i="37"/>
  <c r="S28" i="37"/>
  <c r="M28" i="37"/>
  <c r="S27" i="37"/>
  <c r="M27" i="37"/>
  <c r="S26" i="37"/>
  <c r="M26" i="37"/>
  <c r="S25" i="37"/>
  <c r="M25" i="37"/>
  <c r="S24" i="37"/>
  <c r="M24" i="37"/>
  <c r="S23" i="37"/>
  <c r="M23" i="37"/>
  <c r="S22" i="37"/>
  <c r="M22" i="37"/>
  <c r="S21" i="37"/>
  <c r="M21" i="37"/>
  <c r="S20" i="37"/>
  <c r="M20" i="37"/>
  <c r="S19" i="37"/>
  <c r="M19" i="37"/>
  <c r="S18" i="37"/>
  <c r="M18" i="37"/>
  <c r="S17" i="37"/>
  <c r="M17" i="37"/>
  <c r="S16" i="37"/>
  <c r="M16" i="37"/>
  <c r="S15" i="37"/>
  <c r="M15" i="37"/>
  <c r="S14" i="37"/>
  <c r="M14" i="37"/>
  <c r="S13" i="37"/>
  <c r="M13" i="37"/>
  <c r="S12" i="37"/>
  <c r="M12" i="37"/>
  <c r="S11" i="37"/>
  <c r="M11" i="37"/>
  <c r="S10" i="37"/>
  <c r="M10" i="37"/>
  <c r="S9" i="37"/>
  <c r="M9" i="37"/>
  <c r="S8" i="37"/>
  <c r="M8" i="37"/>
  <c r="S7" i="37"/>
  <c r="M7" i="37"/>
  <c r="M17" i="6"/>
  <c r="G19" i="6"/>
  <c r="I18" i="6" s="1"/>
  <c r="I15" i="6" l="1"/>
  <c r="I11" i="6"/>
  <c r="I8" i="6"/>
  <c r="I9" i="6"/>
  <c r="I17" i="6"/>
  <c r="I10" i="6"/>
  <c r="M13" i="6"/>
  <c r="I13" i="6"/>
  <c r="M14" i="6"/>
  <c r="M16" i="6"/>
  <c r="I14" i="6"/>
  <c r="I16" i="6"/>
  <c r="I12" i="6"/>
  <c r="M12" i="6"/>
  <c r="Q15" i="41"/>
  <c r="O15" i="41"/>
  <c r="M15" i="41"/>
  <c r="K15" i="41"/>
  <c r="I15" i="41"/>
  <c r="G15" i="41"/>
  <c r="E15" i="41"/>
  <c r="S15" i="41"/>
  <c r="M19" i="6" l="1"/>
  <c r="I19" i="6"/>
  <c r="H20" i="24"/>
  <c r="F20" i="24"/>
  <c r="D20" i="24"/>
  <c r="Q21" i="15"/>
  <c r="O21" i="15"/>
  <c r="M20" i="15"/>
  <c r="G20" i="15"/>
  <c r="M19" i="15"/>
  <c r="M18" i="15"/>
  <c r="G18" i="15"/>
  <c r="G17" i="15"/>
  <c r="G15" i="15"/>
  <c r="G14" i="15"/>
  <c r="G13" i="15"/>
  <c r="T12" i="15"/>
  <c r="M12" i="15"/>
  <c r="G12" i="15"/>
  <c r="T11" i="15"/>
  <c r="M11" i="15"/>
  <c r="G11" i="15"/>
  <c r="T10" i="15"/>
  <c r="M10" i="15"/>
  <c r="G10" i="15"/>
  <c r="T9" i="15"/>
  <c r="M9" i="15"/>
  <c r="K37" i="12"/>
  <c r="H37" i="12"/>
  <c r="E37" i="12"/>
  <c r="K36" i="12"/>
  <c r="H36" i="12"/>
  <c r="E36" i="12"/>
  <c r="K35" i="12"/>
  <c r="H35" i="12"/>
  <c r="E35" i="12"/>
  <c r="K34" i="12"/>
  <c r="H34" i="12"/>
  <c r="E34" i="12"/>
  <c r="K33" i="12"/>
  <c r="H33" i="12"/>
  <c r="E33" i="12"/>
  <c r="K32" i="12"/>
  <c r="H32" i="12"/>
  <c r="E32" i="12"/>
  <c r="K31" i="12"/>
  <c r="H31" i="12"/>
  <c r="E31" i="12"/>
  <c r="K30" i="12"/>
  <c r="H30" i="12"/>
  <c r="E30" i="12"/>
  <c r="K29" i="12"/>
  <c r="H29" i="12"/>
  <c r="E29" i="12"/>
  <c r="K28" i="12"/>
  <c r="H28" i="12"/>
  <c r="E28" i="12"/>
  <c r="K27" i="12"/>
  <c r="H27" i="12"/>
  <c r="E27" i="12"/>
  <c r="K26" i="12"/>
  <c r="H26" i="12"/>
  <c r="E26" i="12"/>
  <c r="K25" i="12"/>
  <c r="H25" i="12"/>
  <c r="E25" i="12"/>
  <c r="K24" i="12"/>
  <c r="H24" i="12"/>
  <c r="E24" i="12"/>
  <c r="K23" i="12"/>
  <c r="H23" i="12"/>
  <c r="E23" i="12"/>
  <c r="K22" i="12"/>
  <c r="H22" i="12"/>
  <c r="E22" i="12"/>
  <c r="K21" i="12"/>
  <c r="H21" i="12"/>
  <c r="E21" i="12"/>
  <c r="K20" i="12"/>
  <c r="H20" i="12"/>
  <c r="E20" i="12"/>
  <c r="K19" i="12"/>
  <c r="H19" i="12"/>
  <c r="E19" i="12"/>
  <c r="K18" i="12"/>
  <c r="H18" i="12"/>
  <c r="E18" i="12"/>
  <c r="K17" i="12"/>
  <c r="H17" i="12"/>
  <c r="E17" i="12"/>
  <c r="K16" i="12"/>
  <c r="H16" i="12"/>
  <c r="E16" i="12"/>
  <c r="K15" i="12"/>
  <c r="H15" i="12"/>
  <c r="E15" i="12"/>
  <c r="K14" i="12"/>
  <c r="H14" i="12"/>
  <c r="E14" i="12"/>
  <c r="K13" i="12"/>
  <c r="H13" i="12"/>
  <c r="E13" i="12"/>
  <c r="K12" i="12"/>
  <c r="H12" i="12"/>
  <c r="E12" i="12"/>
  <c r="K11" i="12"/>
  <c r="H11" i="12"/>
  <c r="E11" i="12"/>
  <c r="K10" i="12"/>
  <c r="H10" i="12"/>
  <c r="E10" i="12"/>
  <c r="K9" i="12"/>
  <c r="H9" i="12"/>
  <c r="E9" i="12"/>
  <c r="K8" i="12"/>
  <c r="H8" i="12"/>
  <c r="E8" i="12"/>
  <c r="K7" i="12"/>
  <c r="H7" i="12"/>
  <c r="E7" i="12"/>
  <c r="K16" i="10"/>
  <c r="G16" i="10"/>
  <c r="C16" i="10"/>
  <c r="M8" i="40"/>
  <c r="M26" i="40"/>
  <c r="M24" i="40"/>
  <c r="M23" i="40"/>
  <c r="M22" i="40"/>
  <c r="M21" i="40"/>
  <c r="M20" i="40"/>
  <c r="M19" i="40"/>
  <c r="M18" i="40"/>
  <c r="M17" i="40"/>
  <c r="M16" i="40"/>
  <c r="M15" i="40"/>
  <c r="M14" i="40"/>
  <c r="M13" i="40"/>
  <c r="M12" i="40"/>
  <c r="M11" i="40"/>
  <c r="M10" i="40"/>
  <c r="M9" i="40"/>
  <c r="T28" i="7"/>
  <c r="Q28" i="7"/>
  <c r="M23" i="7"/>
  <c r="G28" i="7"/>
  <c r="C28" i="7"/>
  <c r="K10" i="7"/>
  <c r="G10" i="7"/>
  <c r="I7" i="7" s="1"/>
  <c r="C10" i="7"/>
  <c r="E7" i="7" s="1"/>
  <c r="K21" i="14"/>
  <c r="M20" i="14" s="1"/>
  <c r="G21" i="14"/>
  <c r="I19" i="14" s="1"/>
  <c r="C21" i="14"/>
  <c r="E20" i="14" s="1"/>
  <c r="K9" i="14"/>
  <c r="M8" i="14" s="1"/>
  <c r="G9" i="14"/>
  <c r="I7" i="14" s="1"/>
  <c r="C9" i="14"/>
  <c r="E8" i="14" s="1"/>
  <c r="U36" i="3"/>
  <c r="T36" i="3"/>
  <c r="S36" i="3"/>
  <c r="K16" i="3"/>
  <c r="G16" i="3"/>
  <c r="C16" i="3"/>
  <c r="M21" i="15" l="1"/>
  <c r="I24" i="7"/>
  <c r="I25" i="7"/>
  <c r="E26" i="7"/>
  <c r="E25" i="7"/>
  <c r="G21" i="15"/>
  <c r="D16" i="15" s="1"/>
  <c r="M12" i="10"/>
  <c r="M13" i="10"/>
  <c r="M14" i="10"/>
  <c r="I10" i="10"/>
  <c r="I14" i="10"/>
  <c r="E14" i="10"/>
  <c r="M10" i="3"/>
  <c r="M9" i="3"/>
  <c r="M8" i="3"/>
  <c r="I14" i="3"/>
  <c r="I9" i="3"/>
  <c r="I10" i="3"/>
  <c r="I8" i="3"/>
  <c r="I7" i="3"/>
  <c r="E9" i="3"/>
  <c r="E8" i="3"/>
  <c r="E7" i="3"/>
  <c r="E11" i="3"/>
  <c r="E10" i="3"/>
  <c r="M9" i="7"/>
  <c r="M7" i="7"/>
  <c r="M7" i="10"/>
  <c r="M8" i="10"/>
  <c r="E9" i="7"/>
  <c r="E8" i="7"/>
  <c r="M9" i="10"/>
  <c r="M26" i="7"/>
  <c r="E23" i="7"/>
  <c r="I13" i="3"/>
  <c r="E12" i="3"/>
  <c r="E14" i="3"/>
  <c r="M7" i="3"/>
  <c r="M13" i="3"/>
  <c r="M14" i="3"/>
  <c r="I20" i="14"/>
  <c r="I21" i="14" s="1"/>
  <c r="E24" i="7"/>
  <c r="M10" i="10"/>
  <c r="M8" i="7"/>
  <c r="M7" i="14"/>
  <c r="M9" i="14" s="1"/>
  <c r="I26" i="7"/>
  <c r="I8" i="10"/>
  <c r="E19" i="14"/>
  <c r="E21" i="14" s="1"/>
  <c r="M12" i="3"/>
  <c r="E7" i="14"/>
  <c r="E9" i="14" s="1"/>
  <c r="M19" i="14"/>
  <c r="M21" i="14" s="1"/>
  <c r="I23" i="7"/>
  <c r="I8" i="14"/>
  <c r="I9" i="14" s="1"/>
  <c r="E12" i="10"/>
  <c r="I9" i="7"/>
  <c r="T21" i="15"/>
  <c r="N9" i="13"/>
  <c r="G10" i="13"/>
  <c r="V10" i="13"/>
  <c r="N11" i="13"/>
  <c r="V12" i="13"/>
  <c r="G14" i="13"/>
  <c r="V14" i="13"/>
  <c r="N15" i="13"/>
  <c r="V16" i="13"/>
  <c r="N17" i="13"/>
  <c r="G18" i="13"/>
  <c r="V18" i="13"/>
  <c r="N19" i="13"/>
  <c r="G20" i="13"/>
  <c r="V20" i="13"/>
  <c r="G12" i="13"/>
  <c r="N13" i="13"/>
  <c r="V9" i="13"/>
  <c r="N12" i="13"/>
  <c r="V13" i="13"/>
  <c r="G15" i="13"/>
  <c r="G17" i="13"/>
  <c r="N20" i="13"/>
  <c r="G9" i="13"/>
  <c r="N10" i="13"/>
  <c r="G11" i="13"/>
  <c r="V11" i="13"/>
  <c r="G13" i="13"/>
  <c r="N14" i="13"/>
  <c r="V15" i="13"/>
  <c r="N16" i="13"/>
  <c r="V17" i="13"/>
  <c r="N18" i="13"/>
  <c r="V19" i="13"/>
  <c r="E8" i="10"/>
  <c r="E9" i="10"/>
  <c r="E11" i="10"/>
  <c r="E13" i="10"/>
  <c r="E7" i="10"/>
  <c r="I7" i="10"/>
  <c r="I13" i="10"/>
  <c r="E10" i="10"/>
  <c r="I11" i="10"/>
  <c r="I12" i="10"/>
  <c r="I9" i="10"/>
  <c r="M11" i="10"/>
  <c r="I8" i="7"/>
  <c r="M24" i="7"/>
  <c r="I12" i="3"/>
  <c r="I11" i="3"/>
  <c r="M11" i="3"/>
  <c r="E13" i="3"/>
  <c r="J14" i="15" l="1"/>
  <c r="J16" i="15"/>
  <c r="S15" i="15"/>
  <c r="P16" i="15"/>
  <c r="P14" i="15"/>
  <c r="E28" i="7"/>
  <c r="G22" i="13"/>
  <c r="V22" i="13"/>
  <c r="N22" i="13"/>
  <c r="F13" i="15"/>
  <c r="F16" i="15"/>
  <c r="D19" i="15"/>
  <c r="F19" i="15"/>
  <c r="E10" i="7"/>
  <c r="M10" i="7"/>
  <c r="P13" i="15"/>
  <c r="S9" i="15"/>
  <c r="S20" i="15"/>
  <c r="S14" i="15"/>
  <c r="P15" i="15"/>
  <c r="U15" i="15" s="1"/>
  <c r="S10" i="15"/>
  <c r="S16" i="15"/>
  <c r="P10" i="15"/>
  <c r="P17" i="15"/>
  <c r="S11" i="15"/>
  <c r="S18" i="15"/>
  <c r="P18" i="15"/>
  <c r="S13" i="15"/>
  <c r="S19" i="15"/>
  <c r="D10" i="15"/>
  <c r="D11" i="15"/>
  <c r="D20" i="15"/>
  <c r="D12" i="15"/>
  <c r="F14" i="15"/>
  <c r="D18" i="15"/>
  <c r="F15" i="15"/>
  <c r="M28" i="7"/>
  <c r="M16" i="3"/>
  <c r="M16" i="10"/>
  <c r="P20" i="15"/>
  <c r="S17" i="15"/>
  <c r="D13" i="15"/>
  <c r="F9" i="15"/>
  <c r="F17" i="15"/>
  <c r="E16" i="3"/>
  <c r="D14" i="15"/>
  <c r="F10" i="15"/>
  <c r="F18" i="15"/>
  <c r="D15" i="15"/>
  <c r="I16" i="3"/>
  <c r="F12" i="15"/>
  <c r="F20" i="15"/>
  <c r="F11" i="15"/>
  <c r="I10" i="7"/>
  <c r="S12" i="15"/>
  <c r="D9" i="15"/>
  <c r="D17" i="15"/>
  <c r="E16" i="10"/>
  <c r="I28" i="7"/>
  <c r="M10" i="2"/>
  <c r="M9" i="2" s="1"/>
  <c r="P19" i="15"/>
  <c r="I16" i="10"/>
  <c r="D21" i="15" l="1"/>
  <c r="H13" i="15"/>
  <c r="F19" i="13"/>
  <c r="D19" i="13"/>
  <c r="F16" i="13"/>
  <c r="D16" i="13"/>
  <c r="U9" i="15"/>
  <c r="U10" i="15"/>
  <c r="K10" i="13"/>
  <c r="K9" i="13"/>
  <c r="U16" i="15"/>
  <c r="U17" i="15"/>
  <c r="H15" i="15"/>
  <c r="I10" i="2"/>
  <c r="I9" i="2" s="1"/>
  <c r="U11" i="15"/>
  <c r="H20" i="15"/>
  <c r="U13" i="15"/>
  <c r="U12" i="15"/>
  <c r="U18" i="15"/>
  <c r="H16" i="15"/>
  <c r="E12" i="2"/>
  <c r="E11" i="2" s="1"/>
  <c r="U14" i="15"/>
  <c r="P21" i="15"/>
  <c r="U19" i="15"/>
  <c r="U20" i="15"/>
  <c r="H12" i="15"/>
  <c r="H10" i="15"/>
  <c r="H19" i="15"/>
  <c r="H18" i="15"/>
  <c r="H11" i="15"/>
  <c r="H14" i="15"/>
  <c r="H9" i="15"/>
  <c r="M12" i="2"/>
  <c r="M11" i="2" s="1"/>
  <c r="I12" i="2"/>
  <c r="I11" i="2" s="1"/>
  <c r="I8" i="2"/>
  <c r="I7" i="2" s="1"/>
  <c r="M8" i="2"/>
  <c r="M7" i="2" s="1"/>
  <c r="M13" i="2" s="1"/>
  <c r="F21" i="15"/>
  <c r="H17" i="15"/>
  <c r="S21" i="15"/>
  <c r="E7" i="2"/>
  <c r="E9" i="2"/>
  <c r="U9" i="13"/>
  <c r="U17" i="13"/>
  <c r="R16" i="13"/>
  <c r="U12" i="13"/>
  <c r="U20" i="13"/>
  <c r="R13" i="13"/>
  <c r="U15" i="13"/>
  <c r="R14" i="13"/>
  <c r="U10" i="13"/>
  <c r="U18" i="13"/>
  <c r="R11" i="13"/>
  <c r="R19" i="13"/>
  <c r="U13" i="13"/>
  <c r="R12" i="13"/>
  <c r="R20" i="13"/>
  <c r="U16" i="13"/>
  <c r="R9" i="13"/>
  <c r="R17" i="13"/>
  <c r="U11" i="13"/>
  <c r="U19" i="13"/>
  <c r="R10" i="13"/>
  <c r="R18" i="13"/>
  <c r="U14" i="13"/>
  <c r="R15" i="13"/>
  <c r="M12" i="13"/>
  <c r="M20" i="13"/>
  <c r="K11" i="13"/>
  <c r="K19" i="13"/>
  <c r="M15" i="13"/>
  <c r="M10" i="13"/>
  <c r="M18" i="13"/>
  <c r="K17" i="13"/>
  <c r="M13" i="13"/>
  <c r="K14" i="13"/>
  <c r="M16" i="13"/>
  <c r="K15" i="13"/>
  <c r="M11" i="13"/>
  <c r="M19" i="13"/>
  <c r="K12" i="13"/>
  <c r="K20" i="13"/>
  <c r="M14" i="13"/>
  <c r="K13" i="13"/>
  <c r="M9" i="13"/>
  <c r="M17" i="13"/>
  <c r="K18" i="13"/>
  <c r="K16" i="13"/>
  <c r="F12" i="13"/>
  <c r="F15" i="13"/>
  <c r="D14" i="13"/>
  <c r="F10" i="13"/>
  <c r="F18" i="13"/>
  <c r="D11" i="13"/>
  <c r="F13" i="13"/>
  <c r="D12" i="13"/>
  <c r="D20" i="13"/>
  <c r="D9" i="13"/>
  <c r="D17" i="13"/>
  <c r="F11" i="13"/>
  <c r="D10" i="13"/>
  <c r="D18" i="13"/>
  <c r="F14" i="13"/>
  <c r="D15" i="13"/>
  <c r="F9" i="13"/>
  <c r="F17" i="13"/>
  <c r="F20" i="13"/>
  <c r="D13" i="13"/>
  <c r="I13" i="2" l="1"/>
  <c r="K22" i="13"/>
  <c r="H16" i="13"/>
  <c r="H13" i="13"/>
  <c r="O15" i="13"/>
  <c r="O18" i="13"/>
  <c r="O16" i="13"/>
  <c r="H10" i="13"/>
  <c r="U21" i="15"/>
  <c r="H21" i="15"/>
  <c r="W17" i="13"/>
  <c r="H12" i="13"/>
  <c r="H18" i="13"/>
  <c r="W20" i="13"/>
  <c r="W18" i="13"/>
  <c r="O10" i="13"/>
  <c r="W10" i="13"/>
  <c r="H15" i="13"/>
  <c r="O13" i="13"/>
  <c r="W12" i="13"/>
  <c r="W13" i="13"/>
  <c r="H14" i="13"/>
  <c r="O14" i="13"/>
  <c r="O11" i="13"/>
  <c r="W16" i="13"/>
  <c r="H19" i="13"/>
  <c r="W11" i="13"/>
  <c r="H20" i="13"/>
  <c r="H11" i="13"/>
  <c r="H17" i="13"/>
  <c r="O20" i="13"/>
  <c r="O17" i="13"/>
  <c r="R22" i="13"/>
  <c r="W9" i="13"/>
  <c r="U22" i="13"/>
  <c r="F22" i="13"/>
  <c r="D22" i="13"/>
  <c r="H9" i="13"/>
  <c r="M22" i="13"/>
  <c r="O12" i="13"/>
  <c r="O9" i="13"/>
  <c r="O19" i="13"/>
  <c r="W15" i="13"/>
  <c r="W19" i="13"/>
  <c r="W14" i="13"/>
  <c r="H22" i="13" l="1"/>
  <c r="O22" i="13"/>
  <c r="W22" i="13"/>
  <c r="L16" i="15" l="1"/>
  <c r="J10" i="15"/>
  <c r="L14" i="15"/>
  <c r="L12" i="15"/>
  <c r="L19" i="15"/>
  <c r="J15" i="15"/>
  <c r="J17" i="15"/>
  <c r="L15" i="15"/>
  <c r="J13" i="15"/>
  <c r="J18" i="15"/>
  <c r="L13" i="15"/>
  <c r="L11" i="15"/>
  <c r="L9" i="15"/>
  <c r="L10" i="15"/>
  <c r="N10" i="15" s="1"/>
  <c r="L17" i="15"/>
  <c r="L20" i="15"/>
  <c r="J19" i="15"/>
  <c r="J20" i="15"/>
  <c r="N16" i="15"/>
  <c r="L18" i="15"/>
  <c r="N12" i="15" l="1"/>
  <c r="N14" i="15"/>
  <c r="N20" i="15"/>
  <c r="N17" i="15"/>
  <c r="N9" i="15"/>
  <c r="J21" i="15"/>
  <c r="N15" i="15"/>
  <c r="N19" i="15"/>
  <c r="L21" i="15"/>
  <c r="N11" i="15"/>
  <c r="N18" i="15"/>
  <c r="N13" i="15"/>
  <c r="N21"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Marlene Echegaray Escate</author>
  </authors>
  <commentList>
    <comment ref="G6" authorId="0" shapeId="0" xr:uid="{0DF3025B-F0E8-4CF1-8334-E4C0B839DE56}">
      <text>
        <r>
          <rPr>
            <b/>
            <sz val="9"/>
            <color indexed="81"/>
            <rFont val="Tahoma"/>
            <family val="2"/>
          </rPr>
          <t>Marlene Echegaray Escate:</t>
        </r>
        <r>
          <rPr>
            <sz val="9"/>
            <color indexed="81"/>
            <rFont val="Tahoma"/>
            <family val="2"/>
          </rPr>
          <t xml:space="preserve">
</t>
        </r>
      </text>
    </comment>
  </commentList>
</comments>
</file>

<file path=xl/sharedStrings.xml><?xml version="1.0" encoding="utf-8"?>
<sst xmlns="http://schemas.openxmlformats.org/spreadsheetml/2006/main" count="1531" uniqueCount="358">
  <si>
    <t>ANEXO N° 01</t>
  </si>
  <si>
    <t>AÑOS</t>
  </si>
  <si>
    <t>HUELGAS</t>
  </si>
  <si>
    <t>ANEXO N° 02</t>
  </si>
  <si>
    <t>CAUSAS</t>
  </si>
  <si>
    <t>%</t>
  </si>
  <si>
    <t>TOTAL</t>
  </si>
  <si>
    <t>ANEXO N° 03</t>
  </si>
  <si>
    <t>-</t>
  </si>
  <si>
    <t>ANEXO N° 04</t>
  </si>
  <si>
    <t>PLAZOS</t>
  </si>
  <si>
    <t>TRABAJADORES  COMPRENDIDOS</t>
  </si>
  <si>
    <t>HORAS - HOMBRE PERDIDAS</t>
  </si>
  <si>
    <t>INDEFINIDO</t>
  </si>
  <si>
    <t>DETERMINADO</t>
  </si>
  <si>
    <t>TRABAJADORES COMPRENDIDOS</t>
  </si>
  <si>
    <t>HORAS-HOMBRE PERDIDAS</t>
  </si>
  <si>
    <t>ANEXO N° 05</t>
  </si>
  <si>
    <t>PESCA</t>
  </si>
  <si>
    <t>ENSEÑANZA</t>
  </si>
  <si>
    <t>ANEXO N° 06</t>
  </si>
  <si>
    <t>ANEXO N° 07</t>
  </si>
  <si>
    <t>ANEXO N° 08</t>
  </si>
  <si>
    <t>ANEXO N° 09</t>
  </si>
  <si>
    <t>MESES</t>
  </si>
  <si>
    <t>ENERO</t>
  </si>
  <si>
    <t>FEBRERO</t>
  </si>
  <si>
    <t>MARZO</t>
  </si>
  <si>
    <t>ABRIL</t>
  </si>
  <si>
    <t>MAYO</t>
  </si>
  <si>
    <t>JUNIO</t>
  </si>
  <si>
    <t>JULIO</t>
  </si>
  <si>
    <t>AGOSTO</t>
  </si>
  <si>
    <t>SETIEMBRE</t>
  </si>
  <si>
    <t>OCTUBRE</t>
  </si>
  <si>
    <t>NOVIEMBRE</t>
  </si>
  <si>
    <t>DICIEMBRE</t>
  </si>
  <si>
    <t>ANEXO N° 11</t>
  </si>
  <si>
    <t>ANEXO N° 12</t>
  </si>
  <si>
    <t xml:space="preserve"> ENERO</t>
  </si>
  <si>
    <t xml:space="preserve"> FEBRERO</t>
  </si>
  <si>
    <t xml:space="preserve"> MARZO</t>
  </si>
  <si>
    <t xml:space="preserve"> ABRIL</t>
  </si>
  <si>
    <t xml:space="preserve"> JUNIO</t>
  </si>
  <si>
    <t>ANEXO N° 13</t>
  </si>
  <si>
    <t>ANEXO N° 14</t>
  </si>
  <si>
    <t>SERVICIOS SOCIALES Y DE SALUD</t>
  </si>
  <si>
    <t>ANEXO N° 16</t>
  </si>
  <si>
    <t>ANEXO N° 17</t>
  </si>
  <si>
    <t>ANEXO N° 18</t>
  </si>
  <si>
    <t>ANEXO N° 20</t>
  </si>
  <si>
    <t xml:space="preserve"> DICIEMBRE</t>
  </si>
  <si>
    <t xml:space="preserve"> NOVIEMBRE</t>
  </si>
  <si>
    <t xml:space="preserve"> OCTUBRE</t>
  </si>
  <si>
    <t xml:space="preserve"> SETIEMBRE</t>
  </si>
  <si>
    <t xml:space="preserve"> AGOSTO</t>
  </si>
  <si>
    <t xml:space="preserve"> JULIO</t>
  </si>
  <si>
    <t xml:space="preserve">  INDEFINIDO</t>
  </si>
  <si>
    <t xml:space="preserve">  DETERMINADO</t>
  </si>
  <si>
    <t xml:space="preserve">  BIENES DE CONSUMO</t>
  </si>
  <si>
    <t xml:space="preserve">  BIENES DE CAPITAL</t>
  </si>
  <si>
    <t>HORAS - HOMBRE  PERDIDAS</t>
  </si>
  <si>
    <t>*</t>
  </si>
  <si>
    <t>ABSOLUTO</t>
  </si>
  <si>
    <t>PLIEGO RECLAMOS</t>
  </si>
  <si>
    <t>ANEXO N° 19</t>
  </si>
  <si>
    <t xml:space="preserve">HORAS -  HOMBRE PERDIDAS </t>
  </si>
  <si>
    <t>FECHA</t>
  </si>
  <si>
    <t>TRABAJADORES ASISTENTES</t>
  </si>
  <si>
    <t xml:space="preserve">HORA - HOMBRE PERDIDAS </t>
  </si>
  <si>
    <t>Nº DE CIUDADES EVALUADAS</t>
  </si>
  <si>
    <t>CGTP -  CTP</t>
  </si>
  <si>
    <t xml:space="preserve">        1 (LM)</t>
  </si>
  <si>
    <t>CGTP</t>
  </si>
  <si>
    <t>UNITARIO</t>
  </si>
  <si>
    <t xml:space="preserve">          1 (LM)</t>
  </si>
  <si>
    <t>CGTP - CTP - CNT - CATP</t>
  </si>
  <si>
    <t xml:space="preserve"> MAYO  </t>
  </si>
  <si>
    <t xml:space="preserve"> MARZO  </t>
  </si>
  <si>
    <t xml:space="preserve"> MAYO </t>
  </si>
  <si>
    <t xml:space="preserve">TRABAJADORES  COMPRENDIDOS                                                   </t>
  </si>
  <si>
    <t>TRABAJADORES   COMPRENDIDOS</t>
  </si>
  <si>
    <t xml:space="preserve">          ABSOLUTO</t>
  </si>
  <si>
    <t xml:space="preserve">                  ABSOLUTO</t>
  </si>
  <si>
    <t>Continúa…</t>
  </si>
  <si>
    <t>TRABAJADORES                           COMPRENDIDOS</t>
  </si>
  <si>
    <t xml:space="preserve">TOTAL                                                    </t>
  </si>
  <si>
    <t>ANEXO N° 15</t>
  </si>
  <si>
    <t>AGRICULTURA, GANADERIA, CAZA Y SILVICULTURA</t>
  </si>
  <si>
    <t>SUMINISTRO DE ELECTRICIDAD, GAS Y AGUA</t>
  </si>
  <si>
    <t>HOTELES  Y  RESTAURANTES</t>
  </si>
  <si>
    <t>ACTIVIDAD INMOBILIARIA, EMPRESARIAL Y DE ALQUILER</t>
  </si>
  <si>
    <t>PAROS</t>
  </si>
  <si>
    <t>RESTAURANTES Y HOTELES</t>
  </si>
  <si>
    <t xml:space="preserve">TOTAL  </t>
  </si>
  <si>
    <t>ANEXO N° 21</t>
  </si>
  <si>
    <t xml:space="preserve">HORAS - HOMBRE PERDIDAS </t>
  </si>
  <si>
    <t>UN DÍA    (24 HORAS)</t>
  </si>
  <si>
    <t>DOS DÍAS   (48 HORAS)</t>
  </si>
  <si>
    <t>TRES DÍAS  (72 HORAS)</t>
  </si>
  <si>
    <t>CUATRO A SIETE DÍAS</t>
  </si>
  <si>
    <t>OCHO A QUINCE DÍAS</t>
  </si>
  <si>
    <t>USO   O   DESTINO                     ECONÓMICO</t>
  </si>
  <si>
    <t>ORGANIZACIÓN SINDICAL</t>
  </si>
  <si>
    <t>NÚMERO DE TRABAJADORES</t>
  </si>
  <si>
    <t>HUELGAS, TRABAJADORES COMPRENDIDOS Y HORAS - HOMBRE PERDIDAS EN EL SECTOR PRIVADO POR AÑOS, SEGÚN MESES</t>
  </si>
  <si>
    <t>HUELGAS, TRABAJADORES COMPRENDIDOS Y HORAS - HOMBRE PERDIDAS EN EL SECTOR PRIVADO POR CAUSAS, SEGÚN MESES</t>
  </si>
  <si>
    <t>HUELGAS, TRABAJADORES COMPRENDIDOS Y HORAS - HOMBRE PERDIDAS EN EL SECTOR PRIVADO POR AÑOS, SEGÚN ACTIVIDAD ECONÓMICA</t>
  </si>
  <si>
    <t>EXPLOT. DE  MINAS Y CANTERAS, EXTRAC. DE PETRÓLEO</t>
  </si>
  <si>
    <t>CONSTRUCCIÓN</t>
  </si>
  <si>
    <t>INTERMEDIACIÓN FINANCIERA</t>
  </si>
  <si>
    <t>ADMINISTRACIÓN PÚBLICA Y DEFENSA</t>
  </si>
  <si>
    <t>HUELGAS, TRABAJADORES COMPRENDIDOS Y HORAS - HOMBRE PERDIDAS EN EL SECTOR PRIVADO POR ACTIVIDAD ECONÓMICA, SEGÚN MESES</t>
  </si>
  <si>
    <t>ANEXO N° 23</t>
  </si>
  <si>
    <t xml:space="preserve">SINDICATO DE      EMPLEADOS  </t>
  </si>
  <si>
    <t xml:space="preserve">SINDICATO DE OBREROS  </t>
  </si>
  <si>
    <t>ANEXO N° 24</t>
  </si>
  <si>
    <t>NEGOCIACIÓN COLECTIVA</t>
  </si>
  <si>
    <t>INCUMPLIMIENTO DE NORMAS LEGALES Y/O CONVENCIONALES</t>
  </si>
  <si>
    <t>OTROS MOTIVOS</t>
  </si>
  <si>
    <t xml:space="preserve">ABSOLUTO </t>
  </si>
  <si>
    <t>ANEXO N° 22</t>
  </si>
  <si>
    <t>LIMA METROPOLITANA</t>
  </si>
  <si>
    <t xml:space="preserve">ACTIVIDAD ECONÓMICA </t>
  </si>
  <si>
    <t>SINDICATO ÚNICO</t>
  </si>
  <si>
    <t>FEDERACIÓN</t>
  </si>
  <si>
    <t>PARO CÍVICO NACIONAL</t>
  </si>
  <si>
    <t xml:space="preserve">MOVILIZACIÓN DE ORGANISMOS SINDICALES </t>
  </si>
  <si>
    <t>JORNADA CÍVICO NACIONAL</t>
  </si>
  <si>
    <t>MOVIMIENTO CÍVICO NACIONAL</t>
  </si>
  <si>
    <t>CIVÍCO - CGTP</t>
  </si>
  <si>
    <t>INDUSTRIAS MANUFACTURERAS</t>
  </si>
  <si>
    <t>ANEXO N° 10</t>
  </si>
  <si>
    <t>CONFEDERACIÓN</t>
  </si>
  <si>
    <t>SINDICATO DE EMPLEADOS</t>
  </si>
  <si>
    <t>SINDICATO DE OBREROS</t>
  </si>
  <si>
    <t>...Conclusión</t>
  </si>
  <si>
    <t xml:space="preserve">HORAS -  HOMBRE PERDIDAS  </t>
  </si>
  <si>
    <t xml:space="preserve">RESTO NACIONAL     </t>
  </si>
  <si>
    <t>ANEXO N° 25</t>
  </si>
  <si>
    <t xml:space="preserve">  BIENES INTERMEDIOS</t>
  </si>
  <si>
    <t>COMERCIO AL POR MAYOR Y AL POR MENOR</t>
  </si>
  <si>
    <t>OTRAS ACTIV. DE SER. COMUNITARIOS, SOC. Y PERS.</t>
  </si>
  <si>
    <t>DURACIÓN  DE                                  LAS HUELGAS</t>
  </si>
  <si>
    <t>TRANSPORTE,  ALMACENAMIENTO Y COMUNICACIONES</t>
  </si>
  <si>
    <t>PERÚ</t>
  </si>
  <si>
    <t xml:space="preserve">DICIEMBRE </t>
  </si>
  <si>
    <t>EVOLUCIÓN ANUAL POR PLAZOS DE HUELGAS, SEGÚN AÑOS</t>
  </si>
  <si>
    <t>PLAZO</t>
  </si>
  <si>
    <t>PARALIZACIÓN</t>
  </si>
  <si>
    <t>INTEMPESTIVA</t>
  </si>
  <si>
    <t>CON AVISO</t>
  </si>
  <si>
    <t>DE  PLAZO</t>
  </si>
  <si>
    <t>CALIFICACIÓN DE LA HUELGA</t>
  </si>
  <si>
    <t xml:space="preserve"> HUELGAS, TRABAJADORES COMPRENDIDOS Y HORAS - HOMBRE PERDIDAS EN EL SECTOR DE ENERGÍA Y MINAS,  SEGÚN AÑOS</t>
  </si>
  <si>
    <t>MINAS  Y  CANTERAS</t>
  </si>
  <si>
    <t>EXTRACCIÓN  DE  PETRÓLEO</t>
  </si>
  <si>
    <t>TOTALES</t>
  </si>
  <si>
    <t>HUELGAS, TRABAJADORES COMPRENDIDOS Y HORAS - HOMBRE   PERDIDAS EN EL SECTOR PRIVADO, SEGÚN AÑOS</t>
  </si>
  <si>
    <t>OTRAS CAUSAS *</t>
  </si>
  <si>
    <t>HUELGAS, TRABAJADORES COMPRENDIDOS Y HORAS - HOMBRE PERDIDAS EN EL SECTOR PRIVADO POR ACTIVIDAD ECONÓMICA, CAUSAS, SEGÚN MESES</t>
  </si>
  <si>
    <t>EXPLOTACIÓN                                                                                                       DE MINAS Y CANTERAS</t>
  </si>
  <si>
    <t>PLIEGO DE RECLAMOS</t>
  </si>
  <si>
    <t>OTRAS CAUSAS</t>
  </si>
  <si>
    <t xml:space="preserve">JULIO </t>
  </si>
  <si>
    <t xml:space="preserve"> DICIEMBRE </t>
  </si>
  <si>
    <t xml:space="preserve">DIESISEIS A VEINTIÚN DÍAS </t>
  </si>
  <si>
    <t>VEINTIDOS A TRENTICINCO DÍAS</t>
  </si>
  <si>
    <t>TRENTISEIS  A MÁS  DÍAS</t>
  </si>
  <si>
    <t>ANEXO N° 28</t>
  </si>
  <si>
    <t>ANEXO  N° 26</t>
  </si>
  <si>
    <t>ANEXO N° 27</t>
  </si>
  <si>
    <t>DÍAS DE DURACIÓN</t>
  </si>
  <si>
    <t>PROCEDENTE</t>
  </si>
  <si>
    <t>IMPROCEDENTE - ILEGALIDAD</t>
  </si>
  <si>
    <t>IMPROCEDENTE -  ILEGALIDAD</t>
  </si>
  <si>
    <t xml:space="preserve">TRABAJADORES  COMPRENDIDOS   </t>
  </si>
  <si>
    <t>Var. %</t>
  </si>
  <si>
    <t>Fuente : Anexo Nº 01</t>
  </si>
  <si>
    <t>H</t>
  </si>
  <si>
    <t>TC</t>
  </si>
  <si>
    <t>HHP</t>
  </si>
  <si>
    <t>A</t>
  </si>
  <si>
    <t>S</t>
  </si>
  <si>
    <t>D</t>
  </si>
  <si>
    <t xml:space="preserve">HUELGAS, TRABAJADORES COMPRENDIDOS Y HORAS - HOMBRE PERDIDAS EN EL SECTOR PRIVADO
POR   CALIFICACIÓN DE LA HUELGA, SEGÚN AÑOS  </t>
  </si>
  <si>
    <t xml:space="preserve"> MAYO</t>
  </si>
  <si>
    <t xml:space="preserve"> JULIO  </t>
  </si>
  <si>
    <t xml:space="preserve"> HUELGAS, TRABAJADORES COMPRENDIDOS Y HORAS - HOMBRE PERDIDAS EN EL SECTOR PRIVADO, SEGÚN DÍAS DE DURACIÓN</t>
  </si>
  <si>
    <t>HUELGAS, TRABAJADORES COMPRENDIDOS Y HORAS - HOMBRE PERDIDAS EN EL SECTOR PRIVADO POR PLAZO DETERMINADO E INDEFINIDO, SEGÚN MESES</t>
  </si>
  <si>
    <t>HUELGAS, TRABAJADORES COMPRENDIDOS Y HORAS - HOMBRE PERDIDAS EN EL SECTOR PRIVADO,  SEGÚN  CAUSAS</t>
  </si>
  <si>
    <t>HUELGAS, TRABAJADORES COMPRENDIDOS Y HORAS - HOMBRE PERDIDAS EN EL SECTOR PRIVADO, SEGÚN PLAZOS</t>
  </si>
  <si>
    <t>HUELGAS, TRABAJADORES COMPRENDIDOS Y HORAS - HOMBRE PERDIDAS EN EL SECTOR PRIVADO, SEGÚN ACTIVIDAD ECONÓMICA</t>
  </si>
  <si>
    <t>HUELGAS, TRABAJADORES COMPRENDIDOS Y HORAS -  HOMBRE PERDIDAS EN EL SECTOR PRIVADO DE LAS INDUSTRIAS MANUFACTURERAS, SEGÚN USO O DESTINO ECONÓMICO DE LOS BIENES PRODUCIDOS</t>
  </si>
  <si>
    <t>EVOLUCIÓN ANUAL DE HORAS - HOMBRE PERDIDAS POR ORGANIZACIÓN SINDICAL, SEGÚN AÑOS</t>
  </si>
  <si>
    <t>HUELGAS, TRABAJADORES COMPRENDIDOS Y HORAS - HOMBRE PERDIDAS EN EL SECTOR PRIVADO POR CAUSAS, SEGÚN AÑOS</t>
  </si>
  <si>
    <t>EXPLOTACIÓN DE MINAS Y CANTERAS</t>
  </si>
  <si>
    <t xml:space="preserve">ADMINISTRACIÓN PÚBLICA Y DEFENSA </t>
  </si>
  <si>
    <t>HUELGAS, TRABAJADORES COMPRENDIDOS Y HORAS - HOMBRE PERDIDAS  EN EL SECTOR PRIVADO, POR ÁMBITO GEOGRÁFICO, SEGÚN DÍAS DE DURACIÓN</t>
  </si>
  <si>
    <t>…Conclusión</t>
  </si>
  <si>
    <t>ACTIV. ECONÓMICA</t>
  </si>
  <si>
    <t>ACTIVIDAD ECONÓMICA</t>
  </si>
  <si>
    <t>HUELGAS, TRABAJADORES COMPRENDIDOS Y HORAS - HOMBRE PERDIDAS EN EL SECTOR                                                                                                                                                                                PRIVADO, SEGÚN ORGANIZACIÓN SINDICAL</t>
  </si>
  <si>
    <t>DISTRIBUCIÓN DE LAS HUELGAS, TRABAJADORES COMPRENDIDOS Y HORAS - HOMBRE                                                                                                                                                          PERDIDAS EN EL SECTOR PRIVADO, SEGÚN NÚMERO DE TRABAJADORES</t>
  </si>
  <si>
    <t>20 - 49</t>
  </si>
  <si>
    <t>50 - 99</t>
  </si>
  <si>
    <t>100 - 199</t>
  </si>
  <si>
    <t>200 - 299</t>
  </si>
  <si>
    <t>300 - 499</t>
  </si>
  <si>
    <t>500 - 799</t>
  </si>
  <si>
    <t>800 - 999</t>
  </si>
  <si>
    <t>1000 -  A MÁS TRABAJADORES</t>
  </si>
  <si>
    <t xml:space="preserve">SINDICATO ÚNICO </t>
  </si>
  <si>
    <t>Fuente : Anexo Nº 03</t>
  </si>
  <si>
    <t>Fuente : Anexo Nº 04</t>
  </si>
  <si>
    <t>Fuente : Anexo Nº 05</t>
  </si>
  <si>
    <t>Fuente : Anexo Nº 08</t>
  </si>
  <si>
    <t>Fuente : Anexo Nº 06, 07</t>
  </si>
  <si>
    <t>Fuente : Anexo Nº 10</t>
  </si>
  <si>
    <t>Fuente : Anexo Nº 02</t>
  </si>
  <si>
    <t xml:space="preserve">                                                                                                                                                  </t>
  </si>
  <si>
    <t>1981  -  2008</t>
  </si>
  <si>
    <t>* COMPRENDE    : INCUMPLIMIENTO DE NORMAS LEGALES Y / O CONVENCIONALES, DESPEDIDO O AMENAZA DE DESPIDO Y OTROS MOTIVOS</t>
  </si>
  <si>
    <t xml:space="preserve">PAROS NACIONALES, SEGÚN ORGANIZACIONES SINDICALES CONVOCANTES </t>
  </si>
  <si>
    <t>ORGANIZACIONES SINDICALES
CONVOCANTES</t>
  </si>
  <si>
    <t>PLAZOS DE HUELGA</t>
  </si>
  <si>
    <t>T/C</t>
  </si>
  <si>
    <t>H/HP</t>
  </si>
  <si>
    <t>T/C        : TRABAJADORES COMPRENDIDOS</t>
  </si>
  <si>
    <t>H/HP    : HORAS/HOMBRE PERDIDAS</t>
  </si>
  <si>
    <t>H           : HUELGAS</t>
  </si>
  <si>
    <t>Fuente : Anexo Nº 09</t>
  </si>
  <si>
    <t>Fuente : Anexo Nº 11</t>
  </si>
  <si>
    <t xml:space="preserve">                                                                                                                                                                                                   </t>
  </si>
  <si>
    <t>HORAS - HOMBRE  PERDIDAS EN EL SECTOR PRIVADO, 
SEGÚN CALIFICACIÓN DE LA HUELGA</t>
  </si>
  <si>
    <t>HUELGAS EN EL SECTOR PRIVADO, 
SEGÚN PLAZOS</t>
  </si>
  <si>
    <t xml:space="preserve">HUELGAS EN EL SECTOR PRIVADO, 
SEGÚN CALIFICACIÓN </t>
  </si>
  <si>
    <t xml:space="preserve">TRABAJADORES   COMPRENDIDOS EN EL SECTOR PRIVADO, 
SEGÚN CALIFICACIÓN </t>
  </si>
  <si>
    <t>TRABAJADORES   COMPRENDIDOS EN EL SECTOR PRIVADO, 
SEGÚN PLAZOS</t>
  </si>
  <si>
    <t>HORAS - HOMBRE  PERDIDAS EN EL SECTOR PRIVADO, 
SEGÚN PLAZOS</t>
  </si>
  <si>
    <t>FEDERACIONES</t>
  </si>
  <si>
    <t>NO SE REGISTRÓ HUELGAS</t>
  </si>
  <si>
    <t>NEGOCIACIONES COLECTIVAS</t>
  </si>
  <si>
    <t>NOTA: A partir del 16/03/2020 hasta el 31/08/2020 no se registra ninguna huelga y/ o paralización debido a que el gobierno decretó el Estado de Emergencia Nacional Sanitaria a partir del 16/03/2020, más ampliaciones (D.S. N°044, N°051, N°064 – 2020 P.C.M. y D.S. N°008-2020 S.A. y demás normas dictadas a la fecha).</t>
  </si>
  <si>
    <t xml:space="preserve">  FUENTE          : MINISTERIO DE TRABAJO Y PROMOCIÓN DEL EMPLEO </t>
  </si>
  <si>
    <t xml:space="preserve">  FUENTE         : MINISTERIO DE TRABAJO Y PROMOCIÓN DEL EMPLEO </t>
  </si>
  <si>
    <t xml:space="preserve">  H           : HUELGAS</t>
  </si>
  <si>
    <t xml:space="preserve">  T/C        : TRABAJADORES COMPRENDIDOS</t>
  </si>
  <si>
    <t xml:space="preserve">   H/HP    : HORAS/HOMBRE PERDIDAS</t>
  </si>
  <si>
    <t>Solución integral del Pliego de Reclamos</t>
  </si>
  <si>
    <t>ICA</t>
  </si>
  <si>
    <t>HUACHO</t>
  </si>
  <si>
    <t>OTROS</t>
  </si>
  <si>
    <t>MES</t>
  </si>
  <si>
    <t>INTERMEDIACIÓN FINANCIERA,  AFP</t>
  </si>
  <si>
    <t xml:space="preserve">  FUENTE        : MINISTERIO DE TRABAJO Y PROMOCIÓN DEL EMPLEO </t>
  </si>
  <si>
    <t>ANCASH</t>
  </si>
  <si>
    <t xml:space="preserve">  *</t>
  </si>
  <si>
    <t>AÑO</t>
  </si>
  <si>
    <t xml:space="preserve">  FUENTE          :  MINISTERIO DE TRABAJO Y PROMOCIÓN DEL EMPLEO </t>
  </si>
  <si>
    <t>AGRICULTURA, GANADERÍA, CAZA Y SILVICULTURA</t>
  </si>
  <si>
    <t>SUMINISTRO DE ELECTRICIDAD,                                 GAS Y AGUA</t>
  </si>
  <si>
    <t>COMERCIO AL POR MAYOR                                                                                                                                              Y AL POR MENOR</t>
  </si>
  <si>
    <t>AGRICULTURA, GANADERÍA, CAZA 
Y SILVICULTURA</t>
  </si>
  <si>
    <t>COMERCIO AL
 POR MAYOR                                                                                                                                              Y AL
POR MENOR</t>
  </si>
  <si>
    <t>SERVICIOS SOCIALES
 Y DE
 SALUD</t>
  </si>
  <si>
    <t>HUELGAS, TRABAJADORES COMPRENDIDOS Y HORAS - HOMBRE PERDIDAS EN EL SECTOR PRIVADO 
POR PLAZO DETERMINADO E INDEFINIDO, SEGÚN AÑOS</t>
  </si>
  <si>
    <t xml:space="preserve"> HUELGAS, TRABAJADORES COMPRENDIDOS Y HORAS - HOMBRE PERDIDAS EN EL SECTOR PRIVADO
 CON AVISO DE PLAZO Y PARALIZACIÓN INTEMPESTIVA, SEGÚN AÑOS</t>
  </si>
  <si>
    <t>SERVICIOS SOCIALES
 Y DE SALUD</t>
  </si>
  <si>
    <t xml:space="preserve">ADMINISTRACIÓN
PÚBLICA Y DEFENSA </t>
  </si>
  <si>
    <t>GERENCIA/DIRECCIÓN REGIONAL 
Y  ZONAS DE TRABAJO</t>
  </si>
  <si>
    <t>GERENCIA/DIRECCIÓN REGIONAL
 Y ZONA DE TRABAJO</t>
  </si>
  <si>
    <t>INDUSTRIA MANUFACTURERA</t>
  </si>
  <si>
    <t>HUARAZ</t>
  </si>
  <si>
    <t>APURÍMAC</t>
  </si>
  <si>
    <t>ABANCAY</t>
  </si>
  <si>
    <t>AREQUIPA</t>
  </si>
  <si>
    <t>CAJAMARCA</t>
  </si>
  <si>
    <t>LIMA PROVINCIA</t>
  </si>
  <si>
    <r>
      <t xml:space="preserve">  ELABORADO :</t>
    </r>
    <r>
      <rPr>
        <sz val="9"/>
        <rFont val="Arial"/>
        <family val="2"/>
      </rPr>
      <t xml:space="preserve"> OGETIC - OFICINA DE ESTADÍSTICA</t>
    </r>
  </si>
  <si>
    <t>HUELGAS, TRABAJADORES COMPRENDIDOS Y HORAS -  HOMBRE PERDIDAS EN EL SECTOR
 PRIVADO, SEGÚN CALIFICACIÓN DE LA HUELGA</t>
  </si>
  <si>
    <r>
      <t xml:space="preserve">  ELABORADO :</t>
    </r>
    <r>
      <rPr>
        <sz val="10"/>
        <rFont val="Arial"/>
        <family val="2"/>
      </rPr>
      <t xml:space="preserve"> OGETIC - OFICINA DE ESTADÍSTICA</t>
    </r>
  </si>
  <si>
    <t>HUELGAS, TRABAJADORES COMPRENDIDOS Y HORAS - HOMBRE PERDIDAS EN EL SECTOR PRIVADO, 
SEGÚN GERENCIA/DIRECCIÓN REGIONAL Y ZONA DE TRABAJO</t>
  </si>
  <si>
    <r>
      <t xml:space="preserve">    </t>
    </r>
    <r>
      <rPr>
        <sz val="16"/>
        <rFont val="Arial"/>
        <family val="2"/>
      </rPr>
      <t xml:space="preserve">          *  </t>
    </r>
    <r>
      <rPr>
        <sz val="9"/>
        <rFont val="Arial"/>
        <family val="2"/>
      </rPr>
      <t xml:space="preserve">          </t>
    </r>
    <r>
      <rPr>
        <sz val="10"/>
        <rFont val="Arial"/>
        <family val="2"/>
      </rPr>
      <t xml:space="preserve"> :  HORAS - HOMBRE PERDIDAS GENERADAS POR HUELGAS PROVENIENTES DEL MES ANTERIOR</t>
    </r>
  </si>
  <si>
    <t xml:space="preserve">        H               : HUELGAS</t>
  </si>
  <si>
    <t xml:space="preserve">       T/C            : TRABAJADORES COMPRENDIDOS</t>
  </si>
  <si>
    <t xml:space="preserve">       H/HP         : HORAS/HOMBRE PERDIDAS</t>
  </si>
  <si>
    <t xml:space="preserve">       *   *                 :  HORAS - HOMBRE PERDIDAS GENERADAS POR HUELGAS PROVENIENTES DEL  MES ANTERIOR.</t>
  </si>
  <si>
    <r>
      <t xml:space="preserve">    </t>
    </r>
    <r>
      <rPr>
        <sz val="12"/>
        <rFont val="Arial"/>
        <family val="2"/>
      </rPr>
      <t xml:space="preserve">   *     </t>
    </r>
    <r>
      <rPr>
        <sz val="8"/>
        <rFont val="Arial"/>
        <family val="2"/>
      </rPr>
      <t xml:space="preserve">           </t>
    </r>
    <r>
      <rPr>
        <sz val="9"/>
        <rFont val="Arial"/>
        <family val="2"/>
      </rPr>
      <t xml:space="preserve"> :  HORAS - HOMBRE PERDIDAS GENERADAS POR HUELGAS PROVENIENTES DEL  MES ANTERIOR.</t>
    </r>
  </si>
  <si>
    <r>
      <t xml:space="preserve">  ELABORADO :</t>
    </r>
    <r>
      <rPr>
        <sz val="9"/>
        <rFont val="Arial"/>
        <family val="2"/>
      </rPr>
      <t xml:space="preserve">   OGETIC - OFICINA DE ESTADÍSTICA</t>
    </r>
  </si>
  <si>
    <r>
      <rPr>
        <sz val="16"/>
        <rFont val="Arial"/>
        <family val="2"/>
      </rPr>
      <t xml:space="preserve">        *   </t>
    </r>
    <r>
      <rPr>
        <sz val="10"/>
        <rFont val="Arial"/>
        <family val="2"/>
      </rPr>
      <t xml:space="preserve">     :  HORAS - HOMBRE PERDIDAS GENERADAS POR HUELGAS PROVENIENTES DEL MES ANTERIOR</t>
    </r>
  </si>
  <si>
    <r>
      <t xml:space="preserve">         </t>
    </r>
    <r>
      <rPr>
        <b/>
        <sz val="18"/>
        <rFont val="Arial"/>
        <family val="2"/>
      </rPr>
      <t xml:space="preserve">*    </t>
    </r>
    <r>
      <rPr>
        <b/>
        <sz val="9"/>
        <rFont val="Arial"/>
        <family val="2"/>
      </rPr>
      <t xml:space="preserve">      :  INCLUYE HORAS - HOMBRE PERDIDAS GENERADAS POR HUELGAS PROVENIENTES DEL MES ANTERIOR</t>
    </r>
  </si>
  <si>
    <r>
      <t xml:space="preserve">       </t>
    </r>
    <r>
      <rPr>
        <b/>
        <sz val="18"/>
        <rFont val="Arial"/>
        <family val="2"/>
      </rPr>
      <t xml:space="preserve">*  </t>
    </r>
    <r>
      <rPr>
        <b/>
        <sz val="9"/>
        <rFont val="Arial"/>
        <family val="2"/>
      </rPr>
      <t xml:space="preserve">      :  INCLUYE HORAS - HOMBRE PERDIDAS GENERADAS POR HUELGAS PROVENIENTES DEL MES ANTERIOR</t>
    </r>
  </si>
  <si>
    <t>LIMA METROPOLITANA *</t>
  </si>
  <si>
    <t xml:space="preserve">                           DGT - DIRECCIÓN DE PREVENCIÓN Y SOLUCIÓN DE CONFLICTOS LABORALES Y RESPONSABILIDAD SOCIAL EMPRESARIAL </t>
  </si>
  <si>
    <t xml:space="preserve">                             DGT - DIRECCIÓN DE PREVENCIÓN Y SOLUCIÓN DE CONFLICTOS LABORALES Y RESPONSABILIDAD SOCIAL EMPRESARIAL </t>
  </si>
  <si>
    <t xml:space="preserve">                            DGT - DIRECCIÓN DE PREVENCIÓN Y SOLUCIÓN DE CONFLICTOS LABORALES Y RESPONSABILIDAD SOCIAL EMPRESARIAL </t>
  </si>
  <si>
    <t xml:space="preserve">                                DGT - DIRECCIÓN DE PREVENCIÓN Y SOLUCIÓN DE CONFLICTOS LABORALES Y RESPONSABILIDAD SOCIAL EMPRESARIAL </t>
  </si>
  <si>
    <r>
      <rPr>
        <sz val="14"/>
        <rFont val="Arial"/>
        <family val="2"/>
      </rPr>
      <t xml:space="preserve">   *</t>
    </r>
    <r>
      <rPr>
        <sz val="9"/>
        <rFont val="Arial"/>
        <family val="2"/>
      </rPr>
      <t xml:space="preserve"> EL PARO DE LA CONFEDERACIÓN NACIONAL DE TRABAJADORES DE CONSTRUCCIÓN CIVIL LOS DÍAS 29 Y 30 DE AGOSTO, NO SE DISPONE  EL NÚMERO DE TRABAJADORES COMPRENDIDOS,  NI HORAS-HOMBRE PERDIDAS POR NO CONTAR CON LA INFORMACIÓN, SE COORDINÓ CON EL ÁREA RESPONSABLE (DIRECCIÓN DE PREVENCIÓN Y SOLUCIÓN DE CONFLICTOS LABORALES Y  RESPONSABILIDAD SOCIAL EMPRESARIAL -  DIRECCIÓN GENERAL DE TRABAJO).</t>
    </r>
  </si>
  <si>
    <t xml:space="preserve">                           se coordino con el Área responsable (Dirección de Prevención y Solución de Conflictos Laborales y Responsabilidad Social Empresarial - Dirección General de Trabajo).   
                                  </t>
  </si>
  <si>
    <t xml:space="preserve">                            DGT - DIRECCIÓN DE PREVENcIÓN Y SOLUCIÓN DE CONFLICTOS LABORALES Y RESPONSABILIDAD SOCIAL EMPRESARIAL </t>
  </si>
  <si>
    <t xml:space="preserve">                            DGT - DIRECCIÓN DE PREVENCIÓN Y SOLUCIÓN DE CONFLICTOS LABORALES Y </t>
  </si>
  <si>
    <t xml:space="preserve">                            RESPONSABILIDAD SOCIAL EMPRESARIAL </t>
  </si>
  <si>
    <t>…Continuación</t>
  </si>
  <si>
    <t>COMERCIO AL POR MAYOR   Y AL POR MENOR</t>
  </si>
  <si>
    <t xml:space="preserve">INDUSTRIA  MANUFACTURERA </t>
  </si>
  <si>
    <r>
      <rPr>
        <b/>
        <sz val="11"/>
        <color rgb="FF333333"/>
        <rFont val="Arial"/>
        <family val="2"/>
      </rPr>
      <t>NOTA</t>
    </r>
    <r>
      <rPr>
        <sz val="11"/>
        <color rgb="FF333333"/>
        <rFont val="Arial"/>
        <family val="2"/>
      </rPr>
      <t>: A partir del 16/03/2020 hasta el 31/08/2020 no se registra ninguna huelga y/ o paralización debido a que el gobierno decretó el Estado de Emergencia Nacional Sanitaria a partir del 16/03/2020, más ampliaciones (D.S. N°044, N°051, N°064 – 2020 P.C.M. y D.S. N°008-2020 S.A. y demás normas dictadas a la fecha).</t>
    </r>
  </si>
  <si>
    <t>2000  -  24</t>
  </si>
  <si>
    <t>1990  -  2024</t>
  </si>
  <si>
    <t>1987 -  2024</t>
  </si>
  <si>
    <t>1990   -  2024</t>
  </si>
  <si>
    <t>1992  -  2024</t>
  </si>
  <si>
    <t>2000  - 24</t>
  </si>
  <si>
    <t>2010  -  24</t>
  </si>
  <si>
    <t>1965  -  2024</t>
  </si>
  <si>
    <t>HUELGAS, TRABAJADORES COMPRENDIDOS Y HORAS - HOMBRE PERDIDAS EN EL SECTOR PRIVADO, SEGÚN AÑOS
2023 - 24</t>
  </si>
  <si>
    <t>24/23</t>
  </si>
  <si>
    <t>2024</t>
  </si>
  <si>
    <t>Respeto a la libertad sindical, reconocimiento económico por el ejercicio 2022, dotación de internet de Fibra Óptica y la dotación de la señal 4G, dotación de refrigerio y el tarro de leche, cambio de la clínica Santa Cruz, cambio del Médico Ocupacional, cobertura del SCTR, cambio del Jefe de Campamentos, devolución de incentivos, reducción de remuneraciones, incumplimiento de capacitaciones,  apoyo legal, hostigamiento laboral, canastas navideñas, otros.</t>
  </si>
  <si>
    <t>Derogatoria del Decreto Legislativo N° 1602-2023, eliminación de la Ley N° 30057,  respaldo a la modificatoria del artículo 6° del Decreto Legislativo N° 1057,  reincorporación de los dirigentes sindicales que han sido despedidos arbitrariamente sin respetar el fuero sindical como lo establece la Constitución Política del Perú y la OIT, incumplimiento del segundo tramo de la escala salarial para el 2024, otros.</t>
  </si>
  <si>
    <t>|</t>
  </si>
  <si>
    <t xml:space="preserve"> COMERCIO AL POR MAYOR Y AL POR MENOR, REP. VEHÍC. AUTOM.</t>
  </si>
  <si>
    <t xml:space="preserve">OTRAS ACTIVIDADES DE SERVICIOS COMUNITARIOS, SOCIALES Y PERSONALES </t>
  </si>
  <si>
    <t>CHIMBOTE</t>
  </si>
  <si>
    <t xml:space="preserve">APURIMAC </t>
  </si>
  <si>
    <t>PISCO</t>
  </si>
  <si>
    <t>JUNÍN</t>
  </si>
  <si>
    <t>LA OROYA</t>
  </si>
  <si>
    <r>
      <t>LIMA METROPOLITANA</t>
    </r>
    <r>
      <rPr>
        <b/>
        <sz val="16"/>
        <color rgb="FF000000"/>
        <rFont val="Arial"/>
        <family val="2"/>
      </rPr>
      <t>*</t>
    </r>
  </si>
  <si>
    <t>CAÑETE</t>
  </si>
  <si>
    <t>PASCO</t>
  </si>
  <si>
    <t>CERRO DE PASCO</t>
  </si>
  <si>
    <t>TUMBES</t>
  </si>
  <si>
    <t xml:space="preserve"> DGT - DIRECCIÓN DE PREVENCIÓN Y SOLUCIÓN DE CONFLICTOS Y RESPONSABILIDAD SOCIAL EMPRESARIAL LABORAL</t>
  </si>
  <si>
    <r>
      <rPr>
        <b/>
        <sz val="18"/>
        <rFont val="Arial"/>
        <family val="2"/>
      </rPr>
      <t xml:space="preserve">       * </t>
    </r>
    <r>
      <rPr>
        <b/>
        <sz val="9"/>
        <rFont val="Arial"/>
        <family val="2"/>
      </rPr>
      <t xml:space="preserve">       </t>
    </r>
    <r>
      <rPr>
        <sz val="9"/>
        <rFont val="Arial"/>
        <family val="2"/>
      </rPr>
      <t xml:space="preserve">: </t>
    </r>
    <r>
      <rPr>
        <sz val="11"/>
        <rFont val="Arial"/>
        <family val="2"/>
      </rPr>
      <t>LA HUELGA Y/O PARALIZACIÓN QUE  FUE REGISTRADA EN LIMA METROPOLITANA</t>
    </r>
    <r>
      <rPr>
        <b/>
        <sz val="11"/>
        <rFont val="Arial"/>
        <family val="2"/>
      </rPr>
      <t>:</t>
    </r>
  </si>
  <si>
    <t xml:space="preserve">
 (Huelga Indefinida Nivel Nacional de la Federación Nacional de Trabajadores del Servicio de Agua Potable y Alcantarillado-SEDAPAL (febrero) Sindicato de Trabajadores del Servicio Nacional de Sanidad Agraria (junio),  Federación Nacional de Sindicatos del Poder Judicial-FENASIPOJ-Perú (agosto) Sindicato Nacional de  Trabajadores Penitenciarios  del Perú-SINTRAP (agosto), Sindicato de Docentes de Educación Superior Pedagógico del Perú-SIDESUP (agosto), Federación Nacional de Trabajadores del Ministerio Público, Federación Nacional de Trabajadores Administrativos del Sector Salud, Sindicato Unitario de Trabajadores de la Educación del Perú (octubre) , Sindicato Nacional de Trabajadores del Banco de la Nación- SINATBAN, Sindicato Nacional de Médico del Seguro Social de Salud,  Federación de Enfermeros del Perú, Federación Nacional de Obstetras del Ministerio de Salud - FOMINSAP (noviembre)) .
</t>
  </si>
  <si>
    <t>JUNÏN</t>
  </si>
  <si>
    <t xml:space="preserve">       *</t>
  </si>
  <si>
    <r>
      <t xml:space="preserve">     *     : </t>
    </r>
    <r>
      <rPr>
        <sz val="12"/>
        <rFont val="Arial"/>
        <family val="2"/>
      </rPr>
      <t xml:space="preserve">El </t>
    </r>
    <r>
      <rPr>
        <sz val="10"/>
        <rFont val="Arial"/>
        <family val="2"/>
      </rPr>
      <t xml:space="preserve"> paro de la  Confederación Nacional de Trabajadores de Construcción Civil los días 29 y 30 de agosto 2022, no se dispone el número de Trabajadores Comprendidos, ni Horas - Hombre Perdidas por no contar con la información;</t>
    </r>
  </si>
  <si>
    <t>OTRAS ACTIV. DE SERV. COMUNI., SOCIALES Y PERSONALES</t>
  </si>
  <si>
    <t>INTERMEDIACIÓN FINANCIERA, AFP</t>
  </si>
  <si>
    <t>OTRAS ACTIVIDADES DE SEVICIOS COMUNITARIOS, SOCIALES Y PERSONALES</t>
  </si>
  <si>
    <t>HUELGA</t>
  </si>
  <si>
    <t xml:space="preserve">                            DGT - DIRECCIÓN DE PREVENCIÓN Y SOLUCIÓN DE CONFLICTOS Y RESPONSABILIDAD SOCIAL EMPRESARIAL LABORAL</t>
  </si>
  <si>
    <t xml:space="preserve"> (Huelga Indefinida Nivel Nacional de la Federación Nacional de Trabajadores del Servicio de Agua Potable y Alcantarillado-SEDAPAL (febrero) Sindicato de Trabajadores del Servicio Nacional de Sanidad Agraria (junio),  Federación Nacional de Sindicatos del Poder Judicial-FENASIPOJ-Perú (agosto) Sindicato Nacional de  Trabajadores Penitenciarios  del Perú-SINTRAP (agosto), Sindicato de Docentes de Educación Superior Pedagógico del Perú-SIDESUP (agosto), Federación Nacional de Trabajadores del Ministerio Público, Federación Nacional de Trabajadores Administrativos del Sector Salud, Sindicato Unitario de Trabajadores de la Educación del Perú (octubre) , Sindicato Nacional de Trabajadores del Banco de la Nación- SINATBAN, Sindicato Nacional de Médico del Seguro Social de Salud,  Federación de Enfermeros del Perú, Federación Nacional de Obstetras del Ministerio de Salud - FOMINSAP (noviembre)) .
</t>
  </si>
  <si>
    <r>
      <t xml:space="preserve">  ELABORADO :</t>
    </r>
    <r>
      <rPr>
        <sz val="14"/>
        <rFont val="Arial"/>
        <family val="2"/>
      </rPr>
      <t xml:space="preserve"> OGETIC - OFICINA DE ESTADÍSTICA</t>
    </r>
  </si>
  <si>
    <r>
      <t xml:space="preserve">         </t>
    </r>
    <r>
      <rPr>
        <b/>
        <sz val="22"/>
        <rFont val="Arial"/>
        <family val="2"/>
      </rPr>
      <t xml:space="preserve"> *</t>
    </r>
    <r>
      <rPr>
        <b/>
        <sz val="14"/>
        <rFont val="Arial"/>
        <family val="2"/>
      </rPr>
      <t xml:space="preserve">           : </t>
    </r>
    <r>
      <rPr>
        <sz val="14"/>
        <rFont val="Arial"/>
        <family val="2"/>
      </rPr>
      <t xml:space="preserve"> HORAS - HOMBRE PERDIDAS GENERADAS POR HUELGAS PROVENIENTES DEL  AÑO Y/O MES ANTERIOR.</t>
    </r>
  </si>
  <si>
    <r>
      <t xml:space="preserve">    </t>
    </r>
    <r>
      <rPr>
        <b/>
        <sz val="18"/>
        <rFont val="Arial"/>
        <family val="2"/>
      </rPr>
      <t xml:space="preserve"> </t>
    </r>
    <r>
      <rPr>
        <b/>
        <sz val="22"/>
        <rFont val="Arial"/>
        <family val="2"/>
      </rPr>
      <t>*  *</t>
    </r>
    <r>
      <rPr>
        <b/>
        <sz val="18"/>
        <rFont val="Arial"/>
        <family val="2"/>
      </rPr>
      <t xml:space="preserve"> </t>
    </r>
    <r>
      <rPr>
        <b/>
        <sz val="14"/>
        <rFont val="Arial"/>
        <family val="2"/>
      </rPr>
      <t xml:space="preserve">         </t>
    </r>
    <r>
      <rPr>
        <sz val="14"/>
        <rFont val="Arial"/>
        <family val="2"/>
      </rPr>
      <t>: LA HUELGA Y/O PARALIZACIÓN QUE  FUE REGISTRADA EN LIMA METROPOLITANA</t>
    </r>
  </si>
  <si>
    <r>
      <t xml:space="preserve">       (LM)          :  </t>
    </r>
    <r>
      <rPr>
        <sz val="9"/>
        <rFont val="Arial"/>
        <family val="2"/>
      </rPr>
      <t xml:space="preserve">LIMA METROPOLITANA  </t>
    </r>
  </si>
  <si>
    <t>OTRAS ACTIV. DE SERVICIOS COMUNITARIOS, SOCIALES Y PERS.</t>
  </si>
  <si>
    <t xml:space="preserve">  FUENTE             : MINISTERIO DE TRABAJO Y PROMOCIÓN DEL EMPLEO - MTPE</t>
  </si>
  <si>
    <t xml:space="preserve">                                DGT - DIRECCIÓN DE PREVENCIÓN Y SOLUCIÓN DE CONFLICTOS Y RESPONSABILIDAD SOCIAL EMPRESARIAL LABORAL</t>
  </si>
  <si>
    <r>
      <t xml:space="preserve">  ELABORACIÓN :</t>
    </r>
    <r>
      <rPr>
        <sz val="9"/>
        <rFont val="Arial"/>
        <family val="2"/>
      </rPr>
      <t xml:space="preserve"> MTPE - OGETIC - OFICINA DE ESTADÍSTICA</t>
    </r>
  </si>
  <si>
    <r>
      <rPr>
        <sz val="20"/>
        <rFont val="Arial"/>
        <family val="2"/>
      </rPr>
      <t xml:space="preserve">   *    </t>
    </r>
    <r>
      <rPr>
        <sz val="9"/>
        <rFont val="Arial"/>
        <family val="2"/>
      </rPr>
      <t xml:space="preserve">        : HORAS - HOMBRE PERDIDAS GENERADAS POR HUELGAS PROVENIENTES DEL MES ANTERIOR</t>
    </r>
  </si>
  <si>
    <t>UN DÍA                            (24 HORAS)</t>
  </si>
  <si>
    <t>HUELGAS, TRABAJADORES COMPRENDIDOS Y HORAS - HOMBRE PERDIDAS EN EL SECTOR PRIVADO  POR ACTIVIDAD ECONÓMICA,                                                                                                                                                                                                                                                                                          SEGÚN GERENCIA / DIRECCIÓN REGIONAL Y ZONA DE TRABAJO</t>
  </si>
  <si>
    <t>HUELGAS, TRABAJADORES COMPRENDIDOS Y HORAS - HOMBRE PERDIDAS EN EL SECTOR PRIVADO POR AÑOS,  SEGÚN MESES</t>
  </si>
  <si>
    <t>HUELGAS, TRABAJADORES COMPRENDIDOS Y HORAS HOMBRE - PERDIDAS EN EL SECTOR PRIVADO, SEGÚN MESES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</si>
</sst>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 * #,##0_ ;_ * \-#,##0_ ;_ * &quot;-&quot;_ ;_ @_ "/>
    <numFmt numFmtId="165" formatCode="_ * #,##0.00_ ;_ * \-#,##0.00_ ;_ * &quot;-&quot;??_ ;_ @_ "/>
    <numFmt numFmtId="166" formatCode="_(* #,##0_);_(* \(#,##0\);_(* &quot;-&quot;_);_(@_)"/>
    <numFmt numFmtId="167" formatCode="_(* #,##0.00_);_(* \(#,##0.00\);_(* &quot;-&quot;??_);_(@_)"/>
    <numFmt numFmtId="168" formatCode="_-* #,##0\ _P_t_s_-;\-* #,##0\ _P_t_s_-;_-* &quot;-&quot;\ _P_t_s_-;_-@_-"/>
    <numFmt numFmtId="169" formatCode="_-* #,##0.00\ _P_t_s_-;\-* #,##0.00\ _P_t_s_-;_-* &quot;-&quot;??\ _P_t_s_-;_-@_-"/>
    <numFmt numFmtId="170" formatCode="_ * #,##0_ ;_ * \-#,##0_ ;_ * &quot;-&quot;??_ ;_ @_ "/>
    <numFmt numFmtId="171" formatCode="#,##0_ ;\-#,##0\ "/>
    <numFmt numFmtId="172" formatCode="_(* #,##0.00_);_(* \(#,##0.00\);_(* &quot;-&quot;_);_(@_)"/>
    <numFmt numFmtId="173" formatCode="_ * #,##0.00_ ;_ * \-#,##0.00_ ;_ * &quot;-&quot;_ ;_ @_ "/>
    <numFmt numFmtId="174" formatCode="0.0%"/>
    <numFmt numFmtId="175" formatCode="_-* #,##0.00_-;\-* #,##0.00_-;_-* &quot;-&quot;_-;_-@_-"/>
    <numFmt numFmtId="176" formatCode="_-* #\ ##0_-;\-* #\ ##0_-;_-* &quot;-&quot;_-;_-@_-"/>
    <numFmt numFmtId="177" formatCode="_-* .\ ##_-;\-* .\ ##_-;_-* &quot;-&quot;_-;_-@_ⴆ"/>
  </numFmts>
  <fonts count="90" x14ac:knownFonts="1">
    <font>
      <sz val="10"/>
      <name val="Arial"/>
    </font>
    <font>
      <sz val="10"/>
      <name val="Arial"/>
      <family val="2"/>
    </font>
    <font>
      <sz val="8"/>
      <name val="Arial"/>
      <family val="2"/>
    </font>
    <font>
      <b/>
      <sz val="8"/>
      <name val="Arial"/>
      <family val="2"/>
    </font>
    <font>
      <sz val="14"/>
      <name val="Arial"/>
      <family val="2"/>
    </font>
    <font>
      <sz val="10"/>
      <color indexed="8"/>
      <name val="MS Sans Serif"/>
      <family val="2"/>
    </font>
    <font>
      <sz val="10"/>
      <name val="Calibri"/>
      <family val="2"/>
      <scheme val="minor"/>
    </font>
    <font>
      <sz val="9"/>
      <name val="Calibri"/>
      <family val="2"/>
      <scheme val="minor"/>
    </font>
    <font>
      <b/>
      <sz val="8"/>
      <name val="Calibri"/>
      <family val="2"/>
      <scheme val="minor"/>
    </font>
    <font>
      <b/>
      <sz val="9"/>
      <color rgb="FF000000"/>
      <name val="Calibri"/>
      <family val="2"/>
      <scheme val="minor"/>
    </font>
    <font>
      <sz val="10"/>
      <color theme="1"/>
      <name val="Arial"/>
      <family val="2"/>
    </font>
    <font>
      <b/>
      <sz val="11"/>
      <name val="Arial"/>
      <family val="2"/>
    </font>
    <font>
      <sz val="11"/>
      <name val="Arial"/>
      <family val="2"/>
    </font>
    <font>
      <b/>
      <sz val="16"/>
      <name val="Arial"/>
      <family val="2"/>
    </font>
    <font>
      <sz val="16"/>
      <name val="Arial"/>
      <family val="2"/>
    </font>
    <font>
      <b/>
      <sz val="9"/>
      <name val="Arial"/>
      <family val="2"/>
    </font>
    <font>
      <sz val="7"/>
      <name val="Arial"/>
      <family val="2"/>
    </font>
    <font>
      <sz val="9"/>
      <name val="Arial"/>
      <family val="2"/>
    </font>
    <font>
      <sz val="10"/>
      <color theme="0"/>
      <name val="Arial"/>
      <family val="2"/>
    </font>
    <font>
      <sz val="9"/>
      <color theme="0"/>
      <name val="Arial"/>
      <family val="2"/>
    </font>
    <font>
      <sz val="12"/>
      <name val="Arial"/>
      <family val="2"/>
    </font>
    <font>
      <b/>
      <sz val="18"/>
      <name val="Arial"/>
      <family val="2"/>
    </font>
    <font>
      <b/>
      <sz val="10"/>
      <name val="Arial"/>
      <family val="2"/>
    </font>
    <font>
      <b/>
      <sz val="12"/>
      <name val="Arial"/>
      <family val="2"/>
    </font>
    <font>
      <b/>
      <sz val="10"/>
      <color theme="0"/>
      <name val="Arial"/>
      <family val="2"/>
    </font>
    <font>
      <b/>
      <sz val="14"/>
      <name val="Arial"/>
      <family val="2"/>
    </font>
    <font>
      <b/>
      <sz val="14"/>
      <color theme="0"/>
      <name val="Arial"/>
      <family val="2"/>
    </font>
    <font>
      <b/>
      <u/>
      <sz val="12"/>
      <name val="Arial"/>
      <family val="2"/>
    </font>
    <font>
      <b/>
      <sz val="12"/>
      <color theme="0"/>
      <name val="Arial"/>
      <family val="2"/>
    </font>
    <font>
      <sz val="12"/>
      <color theme="0"/>
      <name val="Arial"/>
      <family val="2"/>
    </font>
    <font>
      <sz val="10"/>
      <color rgb="FF333333"/>
      <name val="Arial"/>
      <family val="2"/>
    </font>
    <font>
      <sz val="10"/>
      <color rgb="FFFF0000"/>
      <name val="Arial"/>
      <family val="2"/>
    </font>
    <font>
      <b/>
      <sz val="11"/>
      <color theme="0"/>
      <name val="Arial"/>
      <family val="2"/>
    </font>
    <font>
      <b/>
      <sz val="6"/>
      <name val="Arial"/>
      <family val="2"/>
    </font>
    <font>
      <sz val="12"/>
      <color theme="1"/>
      <name val="Arial"/>
      <family val="2"/>
    </font>
    <font>
      <b/>
      <sz val="9"/>
      <color theme="0"/>
      <name val="Arial"/>
      <family val="2"/>
    </font>
    <font>
      <sz val="9"/>
      <color rgb="FF333333"/>
      <name val="Arial"/>
      <family val="2"/>
    </font>
    <font>
      <b/>
      <sz val="12"/>
      <color rgb="FFFF0000"/>
      <name val="Arial"/>
      <family val="2"/>
    </font>
    <font>
      <b/>
      <sz val="9"/>
      <color rgb="FFFF0000"/>
      <name val="Arial"/>
      <family val="2"/>
    </font>
    <font>
      <sz val="9"/>
      <color indexed="8"/>
      <name val="Arial"/>
      <family val="2"/>
    </font>
    <font>
      <sz val="18"/>
      <name val="Arial"/>
      <family val="2"/>
    </font>
    <font>
      <b/>
      <sz val="8"/>
      <color theme="0"/>
      <name val="Arial"/>
      <family val="2"/>
    </font>
    <font>
      <sz val="11"/>
      <color theme="0"/>
      <name val="Arial"/>
      <family val="2"/>
    </font>
    <font>
      <b/>
      <sz val="6"/>
      <color theme="0"/>
      <name val="Arial"/>
      <family val="2"/>
    </font>
    <font>
      <b/>
      <sz val="20"/>
      <name val="Arial"/>
      <family val="2"/>
    </font>
    <font>
      <sz val="20"/>
      <name val="Arial"/>
      <family val="2"/>
    </font>
    <font>
      <sz val="6"/>
      <name val="Arial"/>
      <family val="2"/>
    </font>
    <font>
      <b/>
      <sz val="20"/>
      <color theme="0"/>
      <name val="Arial"/>
      <family val="2"/>
    </font>
    <font>
      <b/>
      <sz val="22"/>
      <color theme="0"/>
      <name val="Arial"/>
      <family val="2"/>
    </font>
    <font>
      <b/>
      <sz val="16"/>
      <color theme="0"/>
      <name val="Arial"/>
      <family val="2"/>
    </font>
    <font>
      <sz val="14"/>
      <color theme="0"/>
      <name val="Arial"/>
      <family val="2"/>
    </font>
    <font>
      <sz val="16"/>
      <color theme="0"/>
      <name val="Arial"/>
      <family val="2"/>
    </font>
    <font>
      <b/>
      <sz val="22"/>
      <name val="Arial"/>
      <family val="2"/>
    </font>
    <font>
      <sz val="22"/>
      <name val="Arial"/>
      <family val="2"/>
    </font>
    <font>
      <b/>
      <sz val="14"/>
      <color indexed="8"/>
      <name val="Arial"/>
      <family val="2"/>
    </font>
    <font>
      <sz val="10"/>
      <color theme="0" tint="-0.499984740745262"/>
      <name val="Arial"/>
      <family val="2"/>
    </font>
    <font>
      <sz val="10"/>
      <color theme="0" tint="-0.34998626667073579"/>
      <name val="Arial"/>
      <family val="2"/>
    </font>
    <font>
      <b/>
      <sz val="14"/>
      <color theme="0" tint="-0.34998626667073579"/>
      <name val="Arial"/>
      <family val="2"/>
    </font>
    <font>
      <b/>
      <sz val="12"/>
      <color theme="0" tint="-0.34998626667073579"/>
      <name val="Arial"/>
      <family val="2"/>
    </font>
    <font>
      <sz val="11"/>
      <color theme="0" tint="-0.34998626667073579"/>
      <name val="Arial"/>
      <family val="2"/>
    </font>
    <font>
      <sz val="11"/>
      <color rgb="FF333333"/>
      <name val="Arial"/>
      <family val="2"/>
    </font>
    <font>
      <b/>
      <sz val="11"/>
      <color rgb="FF333333"/>
      <name val="Arial"/>
      <family val="2"/>
    </font>
    <font>
      <sz val="9"/>
      <color indexed="81"/>
      <name val="Tahoma"/>
      <family val="2"/>
    </font>
    <font>
      <b/>
      <sz val="9"/>
      <color indexed="81"/>
      <name val="Tahoma"/>
      <family val="2"/>
    </font>
    <font>
      <b/>
      <sz val="14"/>
      <color rgb="FFFF0000"/>
      <name val="Arial"/>
      <family val="2"/>
    </font>
    <font>
      <b/>
      <sz val="10"/>
      <color rgb="FFFF0000"/>
      <name val="Arial"/>
      <family val="2"/>
    </font>
    <font>
      <b/>
      <sz val="11"/>
      <color rgb="FFFF0000"/>
      <name val="Arial"/>
      <family val="2"/>
    </font>
    <font>
      <b/>
      <sz val="16"/>
      <color theme="1"/>
      <name val="Arial"/>
      <family val="2"/>
    </font>
    <font>
      <b/>
      <sz val="12"/>
      <color indexed="8"/>
      <name val="Arial"/>
      <family val="2"/>
    </font>
    <font>
      <b/>
      <sz val="16"/>
      <color rgb="FF000000"/>
      <name val="Arial"/>
      <family val="2"/>
    </font>
    <font>
      <sz val="9"/>
      <color rgb="FFFF0000"/>
      <name val="Arial"/>
      <family val="2"/>
    </font>
    <font>
      <sz val="11"/>
      <color rgb="FFFF0000"/>
      <name val="Arial"/>
      <family val="2"/>
    </font>
    <font>
      <sz val="18"/>
      <color theme="0"/>
      <name val="Arial"/>
      <family val="2"/>
    </font>
    <font>
      <b/>
      <sz val="18"/>
      <color theme="0"/>
      <name val="Arial"/>
      <family val="2"/>
    </font>
    <font>
      <b/>
      <sz val="24"/>
      <name val="Arial"/>
      <family val="2"/>
    </font>
    <font>
      <sz val="24"/>
      <name val="Arial"/>
      <family val="2"/>
    </font>
    <font>
      <sz val="22"/>
      <color theme="0"/>
      <name val="Arial"/>
      <family val="2"/>
    </font>
    <font>
      <sz val="10"/>
      <color rgb="FFC00000"/>
      <name val="Calibri"/>
      <family val="2"/>
      <scheme val="minor"/>
    </font>
    <font>
      <sz val="10"/>
      <color rgb="FFC00000"/>
      <name val="Arial"/>
      <family val="2"/>
    </font>
    <font>
      <b/>
      <sz val="10"/>
      <color theme="0" tint="-0.34998626667073579"/>
      <name val="Arial"/>
      <family val="2"/>
    </font>
    <font>
      <b/>
      <sz val="10"/>
      <name val="Calibri"/>
      <family val="2"/>
      <scheme val="minor"/>
    </font>
    <font>
      <b/>
      <sz val="9"/>
      <name val="Calibri"/>
      <family val="2"/>
      <scheme val="minor"/>
    </font>
    <font>
      <b/>
      <sz val="16"/>
      <color rgb="FFC00000"/>
      <name val="Arial"/>
      <family val="2"/>
    </font>
    <font>
      <b/>
      <sz val="12"/>
      <color rgb="FFC00000"/>
      <name val="Arial"/>
      <family val="2"/>
    </font>
    <font>
      <sz val="12"/>
      <color rgb="FFC00000"/>
      <name val="Arial"/>
      <family val="2"/>
    </font>
    <font>
      <sz val="16"/>
      <color rgb="FFC00000"/>
      <name val="Arial"/>
      <family val="2"/>
    </font>
    <font>
      <b/>
      <sz val="11"/>
      <color theme="0" tint="-0.34998626667073579"/>
      <name val="Arial"/>
      <family val="2"/>
    </font>
    <font>
      <sz val="12"/>
      <color theme="0" tint="-0.34998626667073579"/>
      <name val="Arial"/>
      <family val="2"/>
    </font>
    <font>
      <sz val="9"/>
      <color theme="0" tint="-0.34998626667073579"/>
      <name val="Arial"/>
      <family val="2"/>
    </font>
    <font>
      <b/>
      <sz val="9"/>
      <color theme="0" tint="-0.34998626667073579"/>
      <name val="Arial"/>
      <family val="2"/>
    </font>
  </fonts>
  <fills count="11">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indexed="9"/>
        <bgColor indexed="8"/>
      </patternFill>
    </fill>
    <fill>
      <patternFill patternType="solid">
        <fgColor theme="0"/>
        <bgColor indexed="8"/>
      </patternFill>
    </fill>
    <fill>
      <patternFill patternType="solid">
        <fgColor theme="0" tint="-4.9989318521683403E-2"/>
        <bgColor indexed="64"/>
      </patternFill>
    </fill>
    <fill>
      <patternFill patternType="solid">
        <fgColor rgb="FFFFFF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0" tint="-4.9989318521683403E-2"/>
        <bgColor indexed="8"/>
      </patternFill>
    </fill>
  </fills>
  <borders count="36">
    <border>
      <left/>
      <right/>
      <top/>
      <bottom/>
      <diagonal/>
    </border>
    <border>
      <left/>
      <right/>
      <top style="medium">
        <color rgb="FFC00000"/>
      </top>
      <bottom style="medium">
        <color rgb="FFC00000"/>
      </bottom>
      <diagonal/>
    </border>
    <border>
      <left/>
      <right/>
      <top/>
      <bottom style="medium">
        <color rgb="FFC00000"/>
      </bottom>
      <diagonal/>
    </border>
    <border>
      <left style="thin">
        <color theme="0"/>
      </left>
      <right style="thin">
        <color theme="0"/>
      </right>
      <top/>
      <bottom/>
      <diagonal/>
    </border>
    <border>
      <left style="thin">
        <color theme="0"/>
      </left>
      <right style="thin">
        <color theme="0"/>
      </right>
      <top style="thin">
        <color theme="0"/>
      </top>
      <bottom/>
      <diagonal/>
    </border>
    <border>
      <left/>
      <right style="thin">
        <color theme="0"/>
      </right>
      <top/>
      <bottom/>
      <diagonal/>
    </border>
    <border>
      <left/>
      <right style="thin">
        <color theme="0"/>
      </right>
      <top style="thin">
        <color theme="0"/>
      </top>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indexed="64"/>
      </top>
      <bottom style="thin">
        <color theme="0"/>
      </bottom>
      <diagonal/>
    </border>
    <border>
      <left style="thin">
        <color theme="0"/>
      </left>
      <right/>
      <top style="thin">
        <color indexed="64"/>
      </top>
      <bottom style="thin">
        <color theme="0"/>
      </bottom>
      <diagonal/>
    </border>
    <border>
      <left style="thin">
        <color theme="0"/>
      </left>
      <right style="thin">
        <color theme="0"/>
      </right>
      <top style="thin">
        <color indexed="64"/>
      </top>
      <bottom/>
      <diagonal/>
    </border>
    <border>
      <left style="medium">
        <color theme="0"/>
      </left>
      <right style="medium">
        <color theme="0"/>
      </right>
      <top style="medium">
        <color theme="0"/>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theme="0"/>
      </left>
      <right style="medium">
        <color theme="0"/>
      </right>
      <top/>
      <bottom/>
      <diagonal/>
    </border>
    <border>
      <left style="medium">
        <color theme="0"/>
      </left>
      <right/>
      <top style="medium">
        <color theme="0"/>
      </top>
      <bottom/>
      <diagonal/>
    </border>
    <border>
      <left/>
      <right style="medium">
        <color theme="0"/>
      </right>
      <top style="medium">
        <color theme="0"/>
      </top>
      <bottom style="medium">
        <color theme="0"/>
      </bottom>
      <diagonal/>
    </border>
    <border>
      <left style="thin">
        <color theme="0"/>
      </left>
      <right/>
      <top style="thin">
        <color theme="0"/>
      </top>
      <bottom style="medium">
        <color theme="0"/>
      </bottom>
      <diagonal/>
    </border>
    <border>
      <left/>
      <right/>
      <top style="thin">
        <color theme="0"/>
      </top>
      <bottom style="medium">
        <color theme="0"/>
      </bottom>
      <diagonal/>
    </border>
    <border>
      <left/>
      <right style="thin">
        <color theme="0"/>
      </right>
      <top style="thin">
        <color theme="0"/>
      </top>
      <bottom style="medium">
        <color theme="0"/>
      </bottom>
      <diagonal/>
    </border>
    <border>
      <left style="thin">
        <color theme="0"/>
      </left>
      <right style="medium">
        <color theme="0"/>
      </right>
      <top style="medium">
        <color theme="0"/>
      </top>
      <bottom style="medium">
        <color theme="0"/>
      </bottom>
      <diagonal/>
    </border>
    <border>
      <left style="medium">
        <color theme="0"/>
      </left>
      <right style="thin">
        <color theme="0"/>
      </right>
      <top style="medium">
        <color theme="0"/>
      </top>
      <bottom style="medium">
        <color theme="0"/>
      </bottom>
      <diagonal/>
    </border>
    <border>
      <left style="thin">
        <color theme="0"/>
      </left>
      <right style="medium">
        <color theme="0"/>
      </right>
      <top style="medium">
        <color theme="0"/>
      </top>
      <bottom/>
      <diagonal/>
    </border>
    <border>
      <left style="medium">
        <color theme="0"/>
      </left>
      <right style="thin">
        <color theme="0"/>
      </right>
      <top style="medium">
        <color theme="0"/>
      </top>
      <bottom/>
      <diagonal/>
    </border>
    <border>
      <left/>
      <right/>
      <top style="medium">
        <color theme="0"/>
      </top>
      <bottom/>
      <diagonal/>
    </border>
    <border>
      <left/>
      <right style="medium">
        <color theme="0"/>
      </right>
      <top style="medium">
        <color theme="0"/>
      </top>
      <bottom/>
      <diagonal/>
    </border>
  </borders>
  <cellStyleXfs count="3">
    <xf numFmtId="0" fontId="0" fillId="0" borderId="0"/>
    <xf numFmtId="165" fontId="1" fillId="0" borderId="0" applyFont="0" applyFill="0" applyBorder="0" applyAlignment="0" applyProtection="0"/>
    <xf numFmtId="0" fontId="5" fillId="0" borderId="0"/>
  </cellStyleXfs>
  <cellXfs count="1014">
    <xf numFmtId="0" fontId="0" fillId="0" borderId="0" xfId="0"/>
    <xf numFmtId="0" fontId="1"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6" fillId="0" borderId="0" xfId="0" applyFont="1" applyAlignment="1">
      <alignment vertical="center"/>
    </xf>
    <xf numFmtId="0" fontId="8" fillId="0" borderId="0" xfId="0" applyFont="1" applyAlignment="1">
      <alignment vertical="center"/>
    </xf>
    <xf numFmtId="0" fontId="6" fillId="0" borderId="0" xfId="0" applyFont="1"/>
    <xf numFmtId="0" fontId="6" fillId="0" borderId="0" xfId="0" applyFont="1" applyAlignment="1">
      <alignment wrapText="1"/>
    </xf>
    <xf numFmtId="0" fontId="9" fillId="0" borderId="0" xfId="0" applyFont="1" applyAlignment="1">
      <alignment horizontal="center" vertical="center" readingOrder="1"/>
    </xf>
    <xf numFmtId="0" fontId="7" fillId="0" borderId="0" xfId="0" applyFont="1"/>
    <xf numFmtId="166" fontId="1" fillId="0" borderId="0" xfId="0" applyNumberFormat="1" applyFont="1" applyAlignment="1">
      <alignment horizontal="center" vertical="center"/>
    </xf>
    <xf numFmtId="0" fontId="15" fillId="0" borderId="0" xfId="0" applyFont="1"/>
    <xf numFmtId="0" fontId="16" fillId="0" borderId="0" xfId="0" applyFont="1" applyAlignment="1">
      <alignment vertical="center"/>
    </xf>
    <xf numFmtId="0" fontId="14" fillId="0" borderId="0" xfId="0" applyFont="1" applyAlignment="1">
      <alignment vertical="center"/>
    </xf>
    <xf numFmtId="0" fontId="1" fillId="0" borderId="0" xfId="0" applyFont="1" applyAlignment="1">
      <alignment horizontal="left" vertical="center" wrapText="1" indent="1"/>
    </xf>
    <xf numFmtId="166" fontId="1" fillId="0" borderId="0" xfId="0" applyNumberFormat="1" applyFont="1" applyAlignment="1">
      <alignment horizontal="right" vertical="center"/>
    </xf>
    <xf numFmtId="0" fontId="17" fillId="0" borderId="0" xfId="0" applyFont="1" applyAlignment="1">
      <alignment horizontal="left" vertical="center"/>
    </xf>
    <xf numFmtId="0" fontId="17" fillId="0" borderId="0" xfId="0" applyFont="1" applyAlignment="1">
      <alignment vertical="center" shrinkToFit="1"/>
    </xf>
    <xf numFmtId="0" fontId="17" fillId="0" borderId="0" xfId="0" applyFont="1" applyAlignment="1">
      <alignment horizontal="left"/>
    </xf>
    <xf numFmtId="168" fontId="18" fillId="0" borderId="0" xfId="0" quotePrefix="1" applyNumberFormat="1" applyFont="1" applyAlignment="1">
      <alignment vertical="center"/>
    </xf>
    <xf numFmtId="0" fontId="19" fillId="0" borderId="0" xfId="0" applyFont="1" applyAlignment="1">
      <alignment horizontal="left" vertical="center" indent="1"/>
    </xf>
    <xf numFmtId="166" fontId="18" fillId="0" borderId="0" xfId="0" applyNumberFormat="1" applyFont="1" applyAlignment="1">
      <alignment horizontal="right" vertical="center"/>
    </xf>
    <xf numFmtId="0" fontId="15" fillId="0" borderId="0" xfId="0" applyFont="1" applyAlignment="1">
      <alignment vertical="center"/>
    </xf>
    <xf numFmtId="164" fontId="1" fillId="0" borderId="0" xfId="0" applyNumberFormat="1" applyFont="1" applyAlignment="1">
      <alignment vertical="center"/>
    </xf>
    <xf numFmtId="164" fontId="20" fillId="0" borderId="0" xfId="0" applyNumberFormat="1" applyFont="1" applyAlignment="1">
      <alignment vertical="center"/>
    </xf>
    <xf numFmtId="164" fontId="14" fillId="0" borderId="0" xfId="0" applyNumberFormat="1" applyFont="1" applyAlignment="1">
      <alignment vertical="center"/>
    </xf>
    <xf numFmtId="0" fontId="1" fillId="0" borderId="0" xfId="0" applyFont="1" applyAlignment="1">
      <alignment vertical="center" wrapText="1"/>
    </xf>
    <xf numFmtId="0" fontId="1" fillId="0" borderId="0" xfId="0" applyFont="1" applyAlignment="1">
      <alignment horizontal="center" vertical="center"/>
    </xf>
    <xf numFmtId="0" fontId="15" fillId="0" borderId="0" xfId="0" applyFont="1" applyAlignment="1">
      <alignment horizontal="left" vertical="center"/>
    </xf>
    <xf numFmtId="0" fontId="22" fillId="0" borderId="0" xfId="0" applyFont="1" applyAlignment="1">
      <alignment vertical="center"/>
    </xf>
    <xf numFmtId="164" fontId="22" fillId="0" borderId="0" xfId="0" applyNumberFormat="1" applyFont="1" applyAlignment="1">
      <alignment vertical="center"/>
    </xf>
    <xf numFmtId="0" fontId="23" fillId="0" borderId="0" xfId="0" applyFont="1" applyAlignment="1">
      <alignment horizontal="center" vertical="center"/>
    </xf>
    <xf numFmtId="0" fontId="23" fillId="0" borderId="0" xfId="0" applyFont="1" applyAlignment="1">
      <alignment horizontal="left" vertical="center"/>
    </xf>
    <xf numFmtId="164" fontId="1" fillId="0" borderId="0" xfId="0" applyNumberFormat="1" applyFont="1" applyAlignment="1">
      <alignment horizontal="right" vertical="center"/>
    </xf>
    <xf numFmtId="0" fontId="1" fillId="2" borderId="0" xfId="0" applyFont="1" applyFill="1" applyAlignment="1">
      <alignment horizontal="center" vertical="center"/>
    </xf>
    <xf numFmtId="0" fontId="1" fillId="2" borderId="0" xfId="0" applyFont="1" applyFill="1" applyAlignment="1">
      <alignment vertical="center"/>
    </xf>
    <xf numFmtId="1" fontId="1" fillId="0" borderId="0" xfId="0" applyNumberFormat="1" applyFont="1" applyAlignment="1">
      <alignment horizontal="center" vertical="center"/>
    </xf>
    <xf numFmtId="0" fontId="25" fillId="0" borderId="0" xfId="0" applyFont="1" applyAlignment="1">
      <alignment vertical="center"/>
    </xf>
    <xf numFmtId="0" fontId="4" fillId="0" borderId="0" xfId="0" applyFont="1"/>
    <xf numFmtId="0" fontId="25" fillId="0" borderId="0" xfId="0" applyFont="1" applyAlignment="1">
      <alignment vertical="top"/>
    </xf>
    <xf numFmtId="0" fontId="25" fillId="0" borderId="0" xfId="0" applyFont="1"/>
    <xf numFmtId="0" fontId="4" fillId="6" borderId="0" xfId="0" applyFont="1" applyFill="1"/>
    <xf numFmtId="0" fontId="25" fillId="6" borderId="0" xfId="0" applyFont="1" applyFill="1"/>
    <xf numFmtId="0" fontId="25" fillId="6" borderId="0" xfId="0" applyFont="1" applyFill="1" applyAlignment="1">
      <alignment vertical="center" wrapText="1"/>
    </xf>
    <xf numFmtId="0" fontId="25" fillId="0" borderId="0" xfId="0" applyFont="1" applyAlignment="1">
      <alignment vertical="center" wrapText="1"/>
    </xf>
    <xf numFmtId="0" fontId="22" fillId="0" borderId="0" xfId="0" applyFont="1" applyAlignment="1">
      <alignment vertical="center" wrapText="1"/>
    </xf>
    <xf numFmtId="0" fontId="22" fillId="6" borderId="0" xfId="0" applyFont="1" applyFill="1" applyAlignment="1">
      <alignment vertical="center" wrapText="1"/>
    </xf>
    <xf numFmtId="0" fontId="1" fillId="6" borderId="0" xfId="0" applyFont="1" applyFill="1" applyAlignment="1">
      <alignment vertical="center" wrapText="1"/>
    </xf>
    <xf numFmtId="0" fontId="1" fillId="6" borderId="0" xfId="0" applyFont="1" applyFill="1"/>
    <xf numFmtId="0" fontId="1" fillId="0" borderId="0" xfId="0" applyFont="1"/>
    <xf numFmtId="0" fontId="22" fillId="6" borderId="0" xfId="0" applyFont="1" applyFill="1" applyAlignment="1">
      <alignment horizontal="left" wrapText="1"/>
    </xf>
    <xf numFmtId="0" fontId="1" fillId="6" borderId="0" xfId="0" applyFont="1" applyFill="1" applyAlignment="1">
      <alignment vertical="center"/>
    </xf>
    <xf numFmtId="0" fontId="3" fillId="0" borderId="0" xfId="0" applyFont="1"/>
    <xf numFmtId="0" fontId="1" fillId="2" borderId="0" xfId="0" applyFont="1" applyFill="1"/>
    <xf numFmtId="41" fontId="1" fillId="0" borderId="0" xfId="0" applyNumberFormat="1" applyFont="1" applyAlignment="1">
      <alignment horizontal="center" vertical="center"/>
    </xf>
    <xf numFmtId="41" fontId="1" fillId="0" borderId="0" xfId="0" quotePrefix="1" applyNumberFormat="1" applyFont="1" applyAlignment="1">
      <alignment horizontal="center" vertical="center"/>
    </xf>
    <xf numFmtId="0" fontId="10" fillId="0" borderId="0" xfId="0" applyFont="1"/>
    <xf numFmtId="0" fontId="31" fillId="0" borderId="0" xfId="0" applyFont="1"/>
    <xf numFmtId="0" fontId="10" fillId="2" borderId="0" xfId="0" applyFont="1" applyFill="1"/>
    <xf numFmtId="0" fontId="31" fillId="2" borderId="0" xfId="0" applyFont="1" applyFill="1"/>
    <xf numFmtId="0" fontId="1" fillId="0" borderId="0" xfId="0" applyFont="1" applyAlignment="1">
      <alignment horizontal="left" vertical="center" indent="1"/>
    </xf>
    <xf numFmtId="0" fontId="18" fillId="0" borderId="0" xfId="0" applyFont="1"/>
    <xf numFmtId="0" fontId="23" fillId="0" borderId="0" xfId="0" applyFont="1"/>
    <xf numFmtId="166" fontId="20" fillId="0" borderId="0" xfId="0" applyNumberFormat="1" applyFont="1" applyAlignment="1">
      <alignment horizontal="center" vertical="center"/>
    </xf>
    <xf numFmtId="0" fontId="20" fillId="0" borderId="0" xfId="0" applyFont="1" applyAlignment="1">
      <alignment horizontal="center" vertical="center"/>
    </xf>
    <xf numFmtId="0" fontId="24" fillId="0" borderId="0" xfId="0" applyFont="1"/>
    <xf numFmtId="0" fontId="22" fillId="0" borderId="0" xfId="0" applyFont="1"/>
    <xf numFmtId="0" fontId="20" fillId="0" borderId="0" xfId="0" applyFont="1" applyAlignment="1">
      <alignment vertical="center"/>
    </xf>
    <xf numFmtId="0" fontId="33" fillId="0" borderId="0" xfId="0" applyFont="1" applyAlignment="1">
      <alignment vertical="center"/>
    </xf>
    <xf numFmtId="0" fontId="34" fillId="0" borderId="0" xfId="0" applyFont="1" applyAlignment="1">
      <alignment vertical="center"/>
    </xf>
    <xf numFmtId="0" fontId="29" fillId="0" borderId="0" xfId="0" applyFont="1" applyAlignment="1">
      <alignment vertical="center"/>
    </xf>
    <xf numFmtId="0" fontId="20" fillId="0" borderId="0" xfId="0" applyFont="1" applyAlignment="1">
      <alignment horizontal="left" vertical="center" wrapText="1" indent="1"/>
    </xf>
    <xf numFmtId="166" fontId="20" fillId="0" borderId="0" xfId="0" applyNumberFormat="1" applyFont="1" applyAlignment="1">
      <alignment horizontal="right" vertical="center"/>
    </xf>
    <xf numFmtId="0" fontId="1" fillId="0" borderId="0" xfId="0" applyFont="1" applyAlignment="1">
      <alignment horizontal="left" vertical="center"/>
    </xf>
    <xf numFmtId="0" fontId="20" fillId="0" borderId="0" xfId="0" applyFont="1" applyAlignment="1">
      <alignment vertical="center" shrinkToFit="1"/>
    </xf>
    <xf numFmtId="0" fontId="20" fillId="0" borderId="0" xfId="0" applyFont="1" applyAlignment="1">
      <alignment horizontal="left"/>
    </xf>
    <xf numFmtId="168" fontId="29" fillId="0" borderId="0" xfId="0" quotePrefix="1" applyNumberFormat="1" applyFont="1" applyAlignment="1">
      <alignment vertical="center"/>
    </xf>
    <xf numFmtId="0" fontId="29" fillId="0" borderId="0" xfId="0" applyFont="1" applyAlignment="1">
      <alignment horizontal="left" vertical="center" indent="1"/>
    </xf>
    <xf numFmtId="166" fontId="29" fillId="0" borderId="0" xfId="0" applyNumberFormat="1" applyFont="1" applyAlignment="1">
      <alignment horizontal="right" vertical="center"/>
    </xf>
    <xf numFmtId="0" fontId="20" fillId="0" borderId="0" xfId="0" applyFont="1" applyAlignment="1">
      <alignment vertical="center" wrapText="1"/>
    </xf>
    <xf numFmtId="0" fontId="17" fillId="2" borderId="0" xfId="0" applyFont="1" applyFill="1" applyAlignment="1">
      <alignment vertical="justify" wrapText="1"/>
    </xf>
    <xf numFmtId="166" fontId="1" fillId="0" borderId="0" xfId="0" applyNumberFormat="1" applyFont="1" applyAlignment="1">
      <alignment vertical="center"/>
    </xf>
    <xf numFmtId="168" fontId="1" fillId="0" borderId="0" xfId="0" quotePrefix="1" applyNumberFormat="1" applyFont="1" applyAlignment="1">
      <alignment vertical="center"/>
    </xf>
    <xf numFmtId="0" fontId="17" fillId="0" borderId="0" xfId="0" applyFont="1" applyAlignment="1">
      <alignment horizontal="left" vertical="center" indent="1"/>
    </xf>
    <xf numFmtId="164" fontId="1" fillId="0" borderId="0" xfId="0" applyNumberFormat="1" applyFont="1" applyAlignment="1">
      <alignment horizontal="center" vertical="center"/>
    </xf>
    <xf numFmtId="0" fontId="12" fillId="0" borderId="0" xfId="0" applyFont="1" applyAlignment="1">
      <alignment horizontal="center" vertical="center"/>
    </xf>
    <xf numFmtId="0" fontId="36" fillId="0" borderId="0" xfId="0" applyFont="1" applyAlignment="1">
      <alignment vertical="top" wrapText="1"/>
    </xf>
    <xf numFmtId="0" fontId="23" fillId="0" borderId="0" xfId="0" applyFont="1" applyAlignment="1">
      <alignment vertical="center"/>
    </xf>
    <xf numFmtId="0" fontId="23" fillId="0" borderId="0" xfId="0" applyFont="1" applyAlignment="1">
      <alignment vertical="center" wrapText="1"/>
    </xf>
    <xf numFmtId="0" fontId="37" fillId="0" borderId="0" xfId="0" applyFont="1" applyAlignment="1">
      <alignment vertical="center" wrapText="1"/>
    </xf>
    <xf numFmtId="0" fontId="31" fillId="0" borderId="0" xfId="0" applyFont="1" applyAlignment="1">
      <alignment vertical="center"/>
    </xf>
    <xf numFmtId="17" fontId="23" fillId="0" borderId="0" xfId="0" quotePrefix="1" applyNumberFormat="1" applyFont="1" applyAlignment="1">
      <alignment vertical="center"/>
    </xf>
    <xf numFmtId="17" fontId="37" fillId="0" borderId="0" xfId="0" quotePrefix="1" applyNumberFormat="1" applyFont="1" applyAlignment="1">
      <alignment vertical="center"/>
    </xf>
    <xf numFmtId="0" fontId="38" fillId="0" borderId="0" xfId="0" applyFont="1" applyAlignment="1">
      <alignment vertical="center"/>
    </xf>
    <xf numFmtId="0" fontId="39" fillId="5" borderId="0" xfId="2" applyFont="1" applyFill="1" applyAlignment="1">
      <alignment horizontal="left" vertical="center" wrapText="1" indent="1"/>
    </xf>
    <xf numFmtId="164" fontId="17" fillId="2" borderId="0" xfId="0" quotePrefix="1" applyNumberFormat="1" applyFont="1" applyFill="1" applyAlignment="1">
      <alignment horizontal="right" vertical="center"/>
    </xf>
    <xf numFmtId="0" fontId="12" fillId="0" borderId="0" xfId="0" applyFont="1" applyAlignment="1">
      <alignment vertical="center"/>
    </xf>
    <xf numFmtId="3" fontId="1" fillId="0" borderId="0" xfId="0" applyNumberFormat="1" applyFont="1" applyAlignment="1">
      <alignment vertical="center"/>
    </xf>
    <xf numFmtId="0" fontId="17" fillId="0" borderId="0" xfId="0" applyFont="1" applyAlignment="1">
      <alignment vertical="center"/>
    </xf>
    <xf numFmtId="0" fontId="31" fillId="0" borderId="0" xfId="0" applyFont="1" applyAlignment="1">
      <alignment horizontal="left" vertical="center" wrapText="1" indent="1"/>
    </xf>
    <xf numFmtId="166" fontId="31" fillId="0" borderId="0" xfId="0" applyNumberFormat="1" applyFont="1" applyAlignment="1">
      <alignment horizontal="center" vertical="center"/>
    </xf>
    <xf numFmtId="166" fontId="31" fillId="0" borderId="0" xfId="0" applyNumberFormat="1" applyFont="1" applyAlignment="1">
      <alignment horizontal="right" vertical="center"/>
    </xf>
    <xf numFmtId="168" fontId="31" fillId="0" borderId="0" xfId="0" quotePrefix="1" applyNumberFormat="1" applyFont="1" applyAlignment="1">
      <alignment vertical="center"/>
    </xf>
    <xf numFmtId="0" fontId="31" fillId="0" borderId="0" xfId="0" applyFont="1" applyAlignment="1">
      <alignment horizontal="left" vertical="center" indent="1"/>
    </xf>
    <xf numFmtId="164" fontId="17" fillId="0" borderId="0" xfId="0" applyNumberFormat="1" applyFont="1" applyAlignment="1">
      <alignment vertical="center"/>
    </xf>
    <xf numFmtId="0" fontId="17" fillId="0" borderId="0" xfId="0" applyFont="1" applyAlignment="1">
      <alignment vertical="center" wrapText="1"/>
    </xf>
    <xf numFmtId="0" fontId="17" fillId="0" borderId="0" xfId="0" applyFont="1" applyAlignment="1">
      <alignment horizontal="center" vertical="center"/>
    </xf>
    <xf numFmtId="0" fontId="25" fillId="0" borderId="0" xfId="0" applyFont="1" applyAlignment="1">
      <alignment horizontal="center" vertical="center"/>
    </xf>
    <xf numFmtId="0" fontId="11" fillId="0" borderId="0" xfId="0" applyFont="1" applyAlignment="1">
      <alignment vertical="center"/>
    </xf>
    <xf numFmtId="0" fontId="24" fillId="3" borderId="1" xfId="0" applyFont="1" applyFill="1" applyBorder="1" applyAlignment="1">
      <alignment horizontal="center" vertical="center" wrapText="1"/>
    </xf>
    <xf numFmtId="3" fontId="1" fillId="0" borderId="0" xfId="0" applyNumberFormat="1" applyFont="1" applyAlignment="1">
      <alignment horizontal="center" vertical="center"/>
    </xf>
    <xf numFmtId="3" fontId="1" fillId="0" borderId="0" xfId="0" applyNumberFormat="1" applyFont="1" applyAlignment="1">
      <alignment horizontal="right" vertical="center" indent="4"/>
    </xf>
    <xf numFmtId="174" fontId="1" fillId="0" borderId="0" xfId="0" applyNumberFormat="1" applyFont="1" applyAlignment="1">
      <alignment horizontal="right" vertical="center" indent="3"/>
    </xf>
    <xf numFmtId="174" fontId="1" fillId="0" borderId="0" xfId="0" applyNumberFormat="1" applyFont="1" applyAlignment="1">
      <alignment horizontal="right" vertical="center" indent="4"/>
    </xf>
    <xf numFmtId="49" fontId="17" fillId="0" borderId="2" xfId="0" applyNumberFormat="1" applyFont="1" applyBorder="1" applyAlignment="1">
      <alignment horizontal="center" vertical="center"/>
    </xf>
    <xf numFmtId="0" fontId="1" fillId="0" borderId="2" xfId="0" applyFont="1" applyBorder="1" applyAlignment="1">
      <alignment vertical="center"/>
    </xf>
    <xf numFmtId="3" fontId="1" fillId="0" borderId="0" xfId="0" quotePrefix="1" applyNumberFormat="1" applyFont="1" applyAlignment="1">
      <alignment horizontal="center" vertical="center"/>
    </xf>
    <xf numFmtId="0" fontId="21" fillId="0" borderId="0" xfId="0" applyFont="1" applyAlignment="1">
      <alignment horizontal="center" vertical="center"/>
    </xf>
    <xf numFmtId="0" fontId="21" fillId="0" borderId="0" xfId="0" applyFont="1" applyAlignment="1">
      <alignment vertical="center"/>
    </xf>
    <xf numFmtId="3" fontId="21" fillId="0" borderId="0" xfId="0" applyNumberFormat="1" applyFont="1" applyAlignment="1">
      <alignment vertical="center"/>
    </xf>
    <xf numFmtId="3" fontId="21" fillId="0" borderId="0" xfId="0" applyNumberFormat="1" applyFont="1" applyAlignment="1">
      <alignment horizontal="centerContinuous" vertical="center"/>
    </xf>
    <xf numFmtId="3" fontId="40" fillId="0" borderId="0" xfId="0" applyNumberFormat="1" applyFont="1" applyAlignment="1">
      <alignment vertical="center"/>
    </xf>
    <xf numFmtId="3" fontId="21" fillId="0" borderId="0" xfId="0" applyNumberFormat="1" applyFont="1" applyAlignment="1">
      <alignment vertical="center" wrapText="1"/>
    </xf>
    <xf numFmtId="3" fontId="21" fillId="0" borderId="0" xfId="0" applyNumberFormat="1" applyFont="1" applyAlignment="1">
      <alignment horizontal="center" vertical="center"/>
    </xf>
    <xf numFmtId="3" fontId="11" fillId="2" borderId="0" xfId="0" applyNumberFormat="1" applyFont="1" applyFill="1"/>
    <xf numFmtId="3" fontId="12" fillId="2" borderId="0" xfId="0" applyNumberFormat="1" applyFont="1" applyFill="1" applyAlignment="1">
      <alignment horizontal="center" vertical="center"/>
    </xf>
    <xf numFmtId="1" fontId="11" fillId="2" borderId="0" xfId="0" applyNumberFormat="1" applyFont="1" applyFill="1" applyAlignment="1">
      <alignment horizontal="center" vertical="center"/>
    </xf>
    <xf numFmtId="3" fontId="1" fillId="2" borderId="0" xfId="0" applyNumberFormat="1" applyFont="1" applyFill="1" applyAlignment="1">
      <alignment horizontal="center" vertical="center"/>
    </xf>
    <xf numFmtId="3" fontId="1" fillId="2" borderId="0" xfId="0" quotePrefix="1" applyNumberFormat="1" applyFont="1" applyFill="1" applyAlignment="1">
      <alignment horizontal="center" vertical="center"/>
    </xf>
    <xf numFmtId="3" fontId="11" fillId="2" borderId="0" xfId="0" applyNumberFormat="1" applyFont="1" applyFill="1" applyAlignment="1">
      <alignment horizontal="center" vertical="center"/>
    </xf>
    <xf numFmtId="3" fontId="11" fillId="2" borderId="0" xfId="0" applyNumberFormat="1" applyFont="1" applyFill="1" applyAlignment="1">
      <alignment horizontal="left" vertical="center" indent="1"/>
    </xf>
    <xf numFmtId="3" fontId="22" fillId="2" borderId="0" xfId="0" applyNumberFormat="1" applyFont="1" applyFill="1" applyAlignment="1">
      <alignment horizontal="center" vertical="center"/>
    </xf>
    <xf numFmtId="3" fontId="11" fillId="2" borderId="0" xfId="0" applyNumberFormat="1" applyFont="1" applyFill="1" applyAlignment="1">
      <alignment horizontal="center"/>
    </xf>
    <xf numFmtId="3" fontId="11" fillId="2" borderId="0" xfId="0" applyNumberFormat="1" applyFont="1" applyFill="1" applyAlignment="1">
      <alignment vertical="center"/>
    </xf>
    <xf numFmtId="3" fontId="32" fillId="2" borderId="0" xfId="0" applyNumberFormat="1" applyFont="1" applyFill="1" applyAlignment="1">
      <alignment horizontal="left" vertical="center" indent="1"/>
    </xf>
    <xf numFmtId="3" fontId="24" fillId="2" borderId="0" xfId="0" applyNumberFormat="1" applyFont="1" applyFill="1" applyAlignment="1">
      <alignment horizontal="center" vertical="center"/>
    </xf>
    <xf numFmtId="3" fontId="12" fillId="0" borderId="0" xfId="0" applyNumberFormat="1" applyFont="1" applyAlignment="1">
      <alignment vertical="center"/>
    </xf>
    <xf numFmtId="3" fontId="22" fillId="0" borderId="0" xfId="0" applyNumberFormat="1" applyFont="1" applyAlignment="1">
      <alignment vertical="center"/>
    </xf>
    <xf numFmtId="3" fontId="40" fillId="2" borderId="0" xfId="0" applyNumberFormat="1" applyFont="1" applyFill="1" applyAlignment="1">
      <alignment horizontal="right" vertical="center"/>
    </xf>
    <xf numFmtId="3" fontId="32" fillId="2" borderId="0" xfId="0" applyNumberFormat="1" applyFont="1" applyFill="1" applyAlignment="1">
      <alignment horizontal="center" vertical="center"/>
    </xf>
    <xf numFmtId="3" fontId="32" fillId="2" borderId="0" xfId="0" applyNumberFormat="1" applyFont="1" applyFill="1" applyAlignment="1">
      <alignment vertical="center"/>
    </xf>
    <xf numFmtId="3" fontId="42" fillId="2" borderId="0" xfId="0" applyNumberFormat="1" applyFont="1" applyFill="1" applyAlignment="1">
      <alignment horizontal="center" vertical="center"/>
    </xf>
    <xf numFmtId="164" fontId="32" fillId="2" borderId="0" xfId="0" applyNumberFormat="1" applyFont="1" applyFill="1" applyAlignment="1">
      <alignment horizontal="center" vertical="center"/>
    </xf>
    <xf numFmtId="164" fontId="32" fillId="2" borderId="0" xfId="0" applyNumberFormat="1" applyFont="1" applyFill="1" applyAlignment="1">
      <alignment vertical="center"/>
    </xf>
    <xf numFmtId="3" fontId="1" fillId="2" borderId="0" xfId="0" quotePrefix="1" applyNumberFormat="1" applyFont="1" applyFill="1" applyAlignment="1">
      <alignment vertical="center"/>
    </xf>
    <xf numFmtId="3" fontId="1" fillId="2" borderId="0" xfId="0" applyNumberFormat="1" applyFont="1" applyFill="1" applyAlignment="1">
      <alignment vertical="center"/>
    </xf>
    <xf numFmtId="3" fontId="40" fillId="2" borderId="0" xfId="0" applyNumberFormat="1" applyFont="1" applyFill="1" applyAlignment="1">
      <alignment horizontal="left" vertical="center"/>
    </xf>
    <xf numFmtId="164" fontId="1" fillId="2" borderId="0" xfId="0" applyNumberFormat="1" applyFont="1" applyFill="1" applyAlignment="1">
      <alignment horizontal="center" vertical="center"/>
    </xf>
    <xf numFmtId="164" fontId="1" fillId="2" borderId="0" xfId="0" applyNumberFormat="1" applyFont="1" applyFill="1" applyAlignment="1">
      <alignment vertical="center"/>
    </xf>
    <xf numFmtId="164" fontId="40" fillId="2" borderId="0" xfId="0" applyNumberFormat="1" applyFont="1" applyFill="1" applyAlignment="1">
      <alignment horizontal="left" vertical="center"/>
    </xf>
    <xf numFmtId="0" fontId="22" fillId="0" borderId="0" xfId="0" applyFont="1" applyAlignment="1">
      <alignment horizontal="left" indent="1"/>
    </xf>
    <xf numFmtId="0" fontId="1" fillId="0" borderId="0" xfId="0" applyFont="1" applyAlignment="1">
      <alignment vertical="center" shrinkToFit="1"/>
    </xf>
    <xf numFmtId="0" fontId="1" fillId="0" borderId="0" xfId="0" applyFont="1" applyAlignment="1">
      <alignment horizontal="left"/>
    </xf>
    <xf numFmtId="0" fontId="22" fillId="0" borderId="0" xfId="0" applyFont="1" applyAlignment="1">
      <alignment horizontal="left" vertical="center" indent="1"/>
    </xf>
    <xf numFmtId="3" fontId="22" fillId="0" borderId="0" xfId="0" applyNumberFormat="1" applyFont="1" applyAlignment="1">
      <alignment horizontal="left" vertical="center" indent="1"/>
    </xf>
    <xf numFmtId="0" fontId="10" fillId="0" borderId="0" xfId="0" applyFont="1" applyAlignment="1">
      <alignment vertical="center"/>
    </xf>
    <xf numFmtId="0" fontId="18" fillId="0" borderId="0" xfId="0" applyFont="1" applyAlignment="1">
      <alignment vertical="center"/>
    </xf>
    <xf numFmtId="0" fontId="30" fillId="0" borderId="0" xfId="0" applyFont="1" applyAlignment="1">
      <alignment vertical="center" wrapText="1"/>
    </xf>
    <xf numFmtId="0" fontId="3" fillId="0" borderId="0" xfId="0" applyFont="1" applyAlignment="1">
      <alignment horizontal="left" vertical="center"/>
    </xf>
    <xf numFmtId="171" fontId="1" fillId="0" borderId="0" xfId="0" applyNumberFormat="1" applyFont="1"/>
    <xf numFmtId="165" fontId="1" fillId="0" borderId="0" xfId="0" applyNumberFormat="1" applyFont="1"/>
    <xf numFmtId="0" fontId="22" fillId="0" borderId="0" xfId="0" applyFont="1" applyAlignment="1">
      <alignment horizontal="center" vertical="center"/>
    </xf>
    <xf numFmtId="0" fontId="18" fillId="0" borderId="0" xfId="0" applyFont="1" applyAlignment="1">
      <alignment horizontal="left" vertical="center" indent="1"/>
    </xf>
    <xf numFmtId="0" fontId="2" fillId="0" borderId="0" xfId="0" applyFont="1" applyAlignment="1">
      <alignment vertical="center"/>
    </xf>
    <xf numFmtId="164" fontId="20" fillId="0" borderId="0" xfId="1" applyNumberFormat="1" applyFont="1" applyBorder="1" applyAlignment="1">
      <alignment horizontal="center" vertical="center"/>
    </xf>
    <xf numFmtId="0" fontId="40" fillId="0" borderId="0" xfId="0" applyFont="1" applyAlignment="1">
      <alignment horizontal="center" vertical="center"/>
    </xf>
    <xf numFmtId="0" fontId="28" fillId="2" borderId="0" xfId="0" applyFont="1" applyFill="1" applyAlignment="1">
      <alignment vertical="center"/>
    </xf>
    <xf numFmtId="164" fontId="17" fillId="0" borderId="0" xfId="0" applyNumberFormat="1" applyFont="1" applyAlignment="1">
      <alignment horizontal="center" vertical="center"/>
    </xf>
    <xf numFmtId="164" fontId="15" fillId="0" borderId="0" xfId="0" applyNumberFormat="1" applyFont="1" applyAlignment="1">
      <alignment horizontal="center" vertical="center"/>
    </xf>
    <xf numFmtId="164" fontId="17" fillId="2" borderId="0" xfId="0" applyNumberFormat="1" applyFont="1" applyFill="1" applyAlignment="1">
      <alignment horizontal="center" vertical="center"/>
    </xf>
    <xf numFmtId="0" fontId="17" fillId="2" borderId="0" xfId="0" applyFont="1" applyFill="1" applyAlignment="1">
      <alignment vertical="center"/>
    </xf>
    <xf numFmtId="164" fontId="2" fillId="2" borderId="0" xfId="0" applyNumberFormat="1" applyFont="1" applyFill="1" applyAlignment="1">
      <alignment horizontal="center" vertical="center"/>
    </xf>
    <xf numFmtId="0" fontId="2" fillId="2" borderId="0" xfId="0" applyFont="1" applyFill="1" applyAlignment="1">
      <alignment vertical="center"/>
    </xf>
    <xf numFmtId="164" fontId="17" fillId="2" borderId="0" xfId="0" quotePrefix="1" applyNumberFormat="1" applyFont="1" applyFill="1" applyAlignment="1">
      <alignment horizontal="center" vertical="center"/>
    </xf>
    <xf numFmtId="164" fontId="24" fillId="2" borderId="0" xfId="0" applyNumberFormat="1" applyFont="1" applyFill="1" applyAlignment="1">
      <alignment horizontal="center" vertical="center"/>
    </xf>
    <xf numFmtId="164" fontId="18" fillId="2" borderId="0" xfId="0" applyNumberFormat="1" applyFont="1" applyFill="1" applyAlignment="1">
      <alignment horizontal="center" vertical="center"/>
    </xf>
    <xf numFmtId="0" fontId="18" fillId="2" borderId="0" xfId="0" applyFont="1" applyFill="1" applyAlignment="1">
      <alignment vertical="center"/>
    </xf>
    <xf numFmtId="0" fontId="28" fillId="2" borderId="0" xfId="0" applyFont="1" applyFill="1" applyAlignment="1">
      <alignment horizontal="center" vertical="center"/>
    </xf>
    <xf numFmtId="3" fontId="17" fillId="0" borderId="0" xfId="0" applyNumberFormat="1" applyFont="1" applyAlignment="1">
      <alignment vertical="center"/>
    </xf>
    <xf numFmtId="3" fontId="17" fillId="0" borderId="0" xfId="0" quotePrefix="1" applyNumberFormat="1" applyFont="1" applyAlignment="1">
      <alignment horizontal="right" vertical="center"/>
    </xf>
    <xf numFmtId="3" fontId="15" fillId="0" borderId="0" xfId="0" quotePrefix="1" applyNumberFormat="1" applyFont="1" applyAlignment="1">
      <alignment horizontal="right" vertical="center"/>
    </xf>
    <xf numFmtId="3" fontId="17" fillId="2" borderId="0" xfId="0" applyNumberFormat="1" applyFont="1" applyFill="1" applyAlignment="1">
      <alignment vertical="center"/>
    </xf>
    <xf numFmtId="3" fontId="17" fillId="2" borderId="0" xfId="0" quotePrefix="1" applyNumberFormat="1" applyFont="1" applyFill="1" applyAlignment="1">
      <alignment horizontal="right" vertical="center"/>
    </xf>
    <xf numFmtId="3" fontId="15" fillId="2" borderId="0" xfId="0" quotePrefix="1" applyNumberFormat="1" applyFont="1" applyFill="1" applyAlignment="1">
      <alignment horizontal="right" vertical="center"/>
    </xf>
    <xf numFmtId="3" fontId="24" fillId="2" borderId="0" xfId="0" applyNumberFormat="1" applyFont="1" applyFill="1" applyAlignment="1">
      <alignment vertical="center"/>
    </xf>
    <xf numFmtId="164" fontId="24" fillId="2" borderId="0" xfId="0" applyNumberFormat="1" applyFont="1" applyFill="1" applyAlignment="1">
      <alignment vertical="center"/>
    </xf>
    <xf numFmtId="41" fontId="1" fillId="0" borderId="0" xfId="0" applyNumberFormat="1" applyFont="1" applyAlignment="1">
      <alignment vertical="center"/>
    </xf>
    <xf numFmtId="41" fontId="22" fillId="0" borderId="0" xfId="0" applyNumberFormat="1" applyFont="1" applyAlignment="1">
      <alignment vertical="center"/>
    </xf>
    <xf numFmtId="41" fontId="40" fillId="0" borderId="0" xfId="0" quotePrefix="1" applyNumberFormat="1" applyFont="1" applyAlignment="1">
      <alignment horizontal="right" vertical="center"/>
    </xf>
    <xf numFmtId="164" fontId="17" fillId="2" borderId="0" xfId="0" applyNumberFormat="1" applyFont="1" applyFill="1" applyAlignment="1">
      <alignment vertical="center"/>
    </xf>
    <xf numFmtId="41" fontId="24" fillId="2" borderId="0" xfId="0" applyNumberFormat="1" applyFont="1" applyFill="1" applyAlignment="1">
      <alignment horizontal="center" vertical="center"/>
    </xf>
    <xf numFmtId="41" fontId="18" fillId="2" borderId="0" xfId="0" applyNumberFormat="1" applyFont="1" applyFill="1" applyAlignment="1">
      <alignment vertical="center"/>
    </xf>
    <xf numFmtId="41" fontId="24" fillId="2" borderId="0" xfId="0" applyNumberFormat="1" applyFont="1" applyFill="1" applyAlignment="1">
      <alignment vertical="center"/>
    </xf>
    <xf numFmtId="41" fontId="18" fillId="2" borderId="0" xfId="0" applyNumberFormat="1" applyFont="1" applyFill="1" applyAlignment="1">
      <alignment horizontal="left" vertical="center"/>
    </xf>
    <xf numFmtId="41" fontId="22" fillId="2" borderId="0" xfId="0" applyNumberFormat="1" applyFont="1" applyFill="1" applyAlignment="1">
      <alignment vertical="center"/>
    </xf>
    <xf numFmtId="3" fontId="22" fillId="2" borderId="0" xfId="0" applyNumberFormat="1" applyFont="1" applyFill="1" applyAlignment="1">
      <alignment vertical="center"/>
    </xf>
    <xf numFmtId="164" fontId="22" fillId="2" borderId="0" xfId="0" applyNumberFormat="1" applyFont="1" applyFill="1" applyAlignment="1">
      <alignment vertical="center"/>
    </xf>
    <xf numFmtId="0" fontId="28" fillId="2" borderId="0" xfId="0" applyFont="1" applyFill="1" applyAlignment="1">
      <alignment vertical="center" wrapText="1"/>
    </xf>
    <xf numFmtId="41" fontId="1" fillId="2" borderId="0" xfId="0" applyNumberFormat="1" applyFont="1" applyFill="1" applyAlignment="1">
      <alignment vertical="center"/>
    </xf>
    <xf numFmtId="166" fontId="1" fillId="2" borderId="0" xfId="0" applyNumberFormat="1" applyFont="1" applyFill="1" applyAlignment="1">
      <alignment horizontal="center" vertical="center"/>
    </xf>
    <xf numFmtId="41" fontId="1" fillId="2" borderId="0" xfId="0" applyNumberFormat="1" applyFont="1" applyFill="1" applyAlignment="1">
      <alignment horizontal="center" vertical="center"/>
    </xf>
    <xf numFmtId="41" fontId="17" fillId="2" borderId="0" xfId="0" applyNumberFormat="1" applyFont="1" applyFill="1" applyAlignment="1">
      <alignment vertical="center"/>
    </xf>
    <xf numFmtId="41" fontId="40" fillId="2" borderId="0" xfId="0" applyNumberFormat="1" applyFont="1" applyFill="1" applyAlignment="1">
      <alignment horizontal="right" vertical="center"/>
    </xf>
    <xf numFmtId="41" fontId="1" fillId="2" borderId="0" xfId="0" quotePrefix="1" applyNumberFormat="1" applyFont="1" applyFill="1" applyAlignment="1">
      <alignment horizontal="center" vertical="center"/>
    </xf>
    <xf numFmtId="166" fontId="1" fillId="2" borderId="0" xfId="0" applyNumberFormat="1" applyFont="1" applyFill="1" applyAlignment="1">
      <alignment horizontal="right" vertical="center"/>
    </xf>
    <xf numFmtId="41" fontId="40" fillId="2" borderId="0" xfId="0" quotePrefix="1" applyNumberFormat="1" applyFont="1" applyFill="1" applyAlignment="1">
      <alignment horizontal="right" vertical="center"/>
    </xf>
    <xf numFmtId="166" fontId="1" fillId="2" borderId="0" xfId="0" quotePrefix="1" applyNumberFormat="1" applyFont="1" applyFill="1" applyAlignment="1">
      <alignment horizontal="center" vertical="center" wrapText="1"/>
    </xf>
    <xf numFmtId="166" fontId="1" fillId="2" borderId="0" xfId="0" quotePrefix="1" applyNumberFormat="1" applyFont="1" applyFill="1" applyAlignment="1">
      <alignment vertical="center" wrapText="1"/>
    </xf>
    <xf numFmtId="166" fontId="1" fillId="2" borderId="0" xfId="0" applyNumberFormat="1" applyFont="1" applyFill="1" applyAlignment="1">
      <alignment horizontal="center" vertical="center" wrapText="1"/>
    </xf>
    <xf numFmtId="41" fontId="1" fillId="2" borderId="0" xfId="0" quotePrefix="1" applyNumberFormat="1" applyFont="1" applyFill="1" applyAlignment="1">
      <alignment horizontal="left" vertical="center"/>
    </xf>
    <xf numFmtId="0" fontId="40" fillId="0" borderId="0" xfId="0" applyFont="1" applyAlignment="1">
      <alignment vertical="center"/>
    </xf>
    <xf numFmtId="0" fontId="45" fillId="0" borderId="0" xfId="0" applyFont="1" applyAlignment="1">
      <alignment vertical="center"/>
    </xf>
    <xf numFmtId="0" fontId="1" fillId="0" borderId="0" xfId="0" applyFont="1" applyAlignment="1">
      <alignment vertical="top"/>
    </xf>
    <xf numFmtId="0" fontId="46" fillId="0" borderId="0" xfId="0" applyFont="1" applyAlignment="1">
      <alignment vertical="center"/>
    </xf>
    <xf numFmtId="3" fontId="13" fillId="0" borderId="0" xfId="0" applyNumberFormat="1" applyFont="1" applyAlignment="1">
      <alignment vertical="center"/>
    </xf>
    <xf numFmtId="3" fontId="23" fillId="0" borderId="0" xfId="0" applyNumberFormat="1" applyFont="1" applyAlignment="1">
      <alignment vertical="center"/>
    </xf>
    <xf numFmtId="0" fontId="22" fillId="0" borderId="0" xfId="0" applyFont="1" applyAlignment="1">
      <alignment horizontal="centerContinuous" vertical="center"/>
    </xf>
    <xf numFmtId="166" fontId="22" fillId="0" borderId="0" xfId="0" applyNumberFormat="1" applyFont="1" applyAlignment="1">
      <alignment vertical="center"/>
    </xf>
    <xf numFmtId="166" fontId="22" fillId="0" borderId="0" xfId="0" applyNumberFormat="1" applyFont="1" applyAlignment="1">
      <alignment horizontal="center" vertical="center"/>
    </xf>
    <xf numFmtId="0" fontId="40" fillId="0" borderId="0" xfId="0" applyFont="1"/>
    <xf numFmtId="165" fontId="25" fillId="0" borderId="0" xfId="0" applyNumberFormat="1" applyFont="1" applyAlignment="1">
      <alignment horizontal="right" vertical="center"/>
    </xf>
    <xf numFmtId="0" fontId="13" fillId="0" borderId="0" xfId="0" applyFont="1" applyAlignment="1">
      <alignment vertical="center"/>
    </xf>
    <xf numFmtId="164" fontId="13" fillId="0" borderId="0" xfId="0" applyNumberFormat="1" applyFont="1" applyAlignment="1">
      <alignment vertical="center"/>
    </xf>
    <xf numFmtId="166" fontId="13" fillId="0" borderId="0" xfId="0" applyNumberFormat="1" applyFont="1" applyAlignment="1">
      <alignment vertical="center"/>
    </xf>
    <xf numFmtId="0" fontId="13" fillId="0" borderId="0" xfId="0" applyFont="1" applyAlignment="1">
      <alignment vertical="top"/>
    </xf>
    <xf numFmtId="0" fontId="13" fillId="0" borderId="0" xfId="0" applyFont="1"/>
    <xf numFmtId="0" fontId="14" fillId="0" borderId="0" xfId="0" applyFont="1"/>
    <xf numFmtId="0" fontId="20" fillId="0" borderId="0" xfId="0" applyFont="1"/>
    <xf numFmtId="0" fontId="12" fillId="0" borderId="0" xfId="0" applyFont="1"/>
    <xf numFmtId="166" fontId="32" fillId="2" borderId="0" xfId="0" applyNumberFormat="1" applyFont="1" applyFill="1" applyAlignment="1">
      <alignment horizontal="center" vertical="center"/>
    </xf>
    <xf numFmtId="0" fontId="12" fillId="2" borderId="0" xfId="0" applyFont="1" applyFill="1"/>
    <xf numFmtId="3" fontId="49" fillId="2" borderId="0" xfId="0" applyNumberFormat="1" applyFont="1" applyFill="1" applyAlignment="1">
      <alignment vertical="center"/>
    </xf>
    <xf numFmtId="166" fontId="40" fillId="2" borderId="0" xfId="0" applyNumberFormat="1" applyFont="1" applyFill="1" applyAlignment="1">
      <alignment horizontal="right" vertical="center"/>
    </xf>
    <xf numFmtId="166" fontId="40" fillId="2" borderId="0" xfId="0" applyNumberFormat="1" applyFont="1" applyFill="1" applyAlignment="1">
      <alignment horizontal="left" vertical="center"/>
    </xf>
    <xf numFmtId="166" fontId="21" fillId="2" borderId="0" xfId="0" applyNumberFormat="1" applyFont="1" applyFill="1" applyAlignment="1">
      <alignment horizontal="left" vertical="center"/>
    </xf>
    <xf numFmtId="0" fontId="15" fillId="0" borderId="0" xfId="0" applyFont="1" applyAlignment="1">
      <alignment horizontal="left" vertical="top"/>
    </xf>
    <xf numFmtId="0" fontId="15" fillId="0" borderId="0" xfId="0" applyFont="1" applyAlignment="1">
      <alignment horizontal="left" indent="1"/>
    </xf>
    <xf numFmtId="0" fontId="53" fillId="0" borderId="0" xfId="0" applyFont="1" applyAlignment="1">
      <alignment vertical="center"/>
    </xf>
    <xf numFmtId="0" fontId="52" fillId="0" borderId="0" xfId="0" applyFont="1" applyAlignment="1">
      <alignment horizontal="center" vertical="center" wrapText="1"/>
    </xf>
    <xf numFmtId="164" fontId="4" fillId="0" borderId="0" xfId="1" applyNumberFormat="1" applyFont="1" applyBorder="1" applyAlignment="1">
      <alignment horizontal="center" vertical="center"/>
    </xf>
    <xf numFmtId="164" fontId="4" fillId="0" borderId="0" xfId="1" applyNumberFormat="1" applyFont="1" applyBorder="1" applyAlignment="1">
      <alignment horizontal="right" vertical="center"/>
    </xf>
    <xf numFmtId="0" fontId="4" fillId="0" borderId="0" xfId="0" applyFont="1" applyAlignment="1">
      <alignment horizontal="left" vertical="center"/>
    </xf>
    <xf numFmtId="164" fontId="25" fillId="0" borderId="0" xfId="0" quotePrefix="1" applyNumberFormat="1" applyFont="1" applyAlignment="1">
      <alignment horizontal="center" vertical="center"/>
    </xf>
    <xf numFmtId="164" fontId="4" fillId="0" borderId="0" xfId="0" applyNumberFormat="1" applyFont="1" applyAlignment="1">
      <alignment vertical="center"/>
    </xf>
    <xf numFmtId="0" fontId="55" fillId="8" borderId="0" xfId="0" applyFont="1" applyFill="1" applyAlignment="1">
      <alignment vertical="center"/>
    </xf>
    <xf numFmtId="0" fontId="56" fillId="8" borderId="0" xfId="0" applyFont="1" applyFill="1" applyAlignment="1">
      <alignment vertical="center"/>
    </xf>
    <xf numFmtId="0" fontId="57" fillId="6" borderId="0" xfId="0" applyFont="1" applyFill="1"/>
    <xf numFmtId="0" fontId="56" fillId="0" borderId="0" xfId="0" applyFont="1" applyAlignment="1">
      <alignment horizontal="left" vertical="center" indent="1"/>
    </xf>
    <xf numFmtId="0" fontId="58" fillId="0" borderId="0" xfId="0" applyFont="1"/>
    <xf numFmtId="0" fontId="56" fillId="0" borderId="0" xfId="0" applyFont="1" applyAlignment="1">
      <alignment vertical="center"/>
    </xf>
    <xf numFmtId="164" fontId="59" fillId="0" borderId="0" xfId="0" applyNumberFormat="1" applyFont="1" applyAlignment="1">
      <alignment horizontal="right" vertical="center" wrapText="1"/>
    </xf>
    <xf numFmtId="164" fontId="20" fillId="0" borderId="0" xfId="0" quotePrefix="1" applyNumberFormat="1" applyFont="1" applyAlignment="1">
      <alignment horizontal="right" vertical="center"/>
    </xf>
    <xf numFmtId="170" fontId="4" fillId="0" borderId="0" xfId="1" quotePrefix="1" applyNumberFormat="1" applyFont="1" applyBorder="1" applyAlignment="1">
      <alignment horizontal="center" vertical="center"/>
    </xf>
    <xf numFmtId="164" fontId="25" fillId="0" borderId="0" xfId="0" applyNumberFormat="1" applyFont="1" applyAlignment="1">
      <alignment vertical="center"/>
    </xf>
    <xf numFmtId="0" fontId="20" fillId="0" borderId="0" xfId="0" applyFont="1" applyAlignment="1">
      <alignment horizontal="left" vertical="center" wrapText="1"/>
    </xf>
    <xf numFmtId="0" fontId="24" fillId="3" borderId="0" xfId="0" applyFont="1" applyFill="1" applyAlignment="1">
      <alignment horizontal="center" vertical="center"/>
    </xf>
    <xf numFmtId="0" fontId="22" fillId="0" borderId="0" xfId="0" applyFont="1" applyAlignment="1">
      <alignment horizontal="center" vertical="center" wrapText="1"/>
    </xf>
    <xf numFmtId="0" fontId="24" fillId="2" borderId="0" xfId="0" applyFont="1" applyFill="1" applyAlignment="1">
      <alignment horizontal="center" vertical="center"/>
    </xf>
    <xf numFmtId="0" fontId="24" fillId="2" borderId="0" xfId="0" applyFont="1" applyFill="1" applyAlignment="1">
      <alignment horizontal="center" vertical="center" wrapText="1"/>
    </xf>
    <xf numFmtId="0" fontId="22" fillId="2" borderId="0" xfId="0" applyFont="1" applyFill="1" applyAlignment="1">
      <alignment horizontal="center" vertical="center" wrapText="1"/>
    </xf>
    <xf numFmtId="0" fontId="1" fillId="2" borderId="0" xfId="0" applyFont="1" applyFill="1" applyAlignment="1">
      <alignment horizontal="center" vertical="center" wrapText="1"/>
    </xf>
    <xf numFmtId="4" fontId="1" fillId="0" borderId="0" xfId="0" applyNumberFormat="1" applyFont="1" applyAlignment="1">
      <alignment horizontal="right" vertical="center"/>
    </xf>
    <xf numFmtId="166" fontId="23" fillId="0" borderId="0" xfId="0" applyNumberFormat="1" applyFont="1" applyAlignment="1">
      <alignment horizontal="right" vertical="center" wrapText="1"/>
    </xf>
    <xf numFmtId="166" fontId="23" fillId="0" borderId="0" xfId="0" applyNumberFormat="1" applyFont="1" applyAlignment="1">
      <alignment horizontal="center" vertical="center" wrapText="1"/>
    </xf>
    <xf numFmtId="172" fontId="23" fillId="0" borderId="0" xfId="0" applyNumberFormat="1" applyFont="1" applyAlignment="1">
      <alignment horizontal="center" vertical="center" wrapText="1"/>
    </xf>
    <xf numFmtId="166" fontId="20" fillId="0" borderId="0" xfId="0" applyNumberFormat="1" applyFont="1" applyAlignment="1">
      <alignment horizontal="right" vertical="center" wrapText="1"/>
    </xf>
    <xf numFmtId="172" fontId="20" fillId="0" borderId="0" xfId="0" applyNumberFormat="1" applyFont="1" applyAlignment="1">
      <alignment horizontal="right" vertical="center" wrapText="1"/>
    </xf>
    <xf numFmtId="2" fontId="20" fillId="0" borderId="0" xfId="0" applyNumberFormat="1" applyFont="1" applyAlignment="1">
      <alignment horizontal="right" vertical="center" wrapText="1"/>
    </xf>
    <xf numFmtId="0" fontId="1" fillId="0" borderId="0" xfId="0" applyFont="1" applyAlignment="1">
      <alignment horizontal="center" vertical="center" wrapText="1"/>
    </xf>
    <xf numFmtId="166" fontId="23" fillId="0" borderId="0" xfId="0" applyNumberFormat="1" applyFont="1" applyAlignment="1">
      <alignment vertical="center" wrapText="1"/>
    </xf>
    <xf numFmtId="166" fontId="23" fillId="0" borderId="0" xfId="0" quotePrefix="1" applyNumberFormat="1" applyFont="1" applyAlignment="1">
      <alignment horizontal="right" vertical="center" wrapText="1"/>
    </xf>
    <xf numFmtId="172" fontId="23" fillId="0" borderId="0" xfId="0" quotePrefix="1" applyNumberFormat="1" applyFont="1" applyAlignment="1">
      <alignment horizontal="right" vertical="center" wrapText="1"/>
    </xf>
    <xf numFmtId="166" fontId="20" fillId="0" borderId="0" xfId="0" applyNumberFormat="1" applyFont="1" applyAlignment="1">
      <alignment vertical="center" wrapText="1"/>
    </xf>
    <xf numFmtId="41" fontId="20" fillId="0" borderId="0" xfId="0" quotePrefix="1" applyNumberFormat="1" applyFont="1" applyAlignment="1">
      <alignment horizontal="center" vertical="center"/>
    </xf>
    <xf numFmtId="175" fontId="1" fillId="0" borderId="0" xfId="0" applyNumberFormat="1" applyFont="1" applyAlignment="1">
      <alignment horizontal="right" vertical="center"/>
    </xf>
    <xf numFmtId="41" fontId="1" fillId="0" borderId="0" xfId="0" applyNumberFormat="1" applyFont="1" applyAlignment="1">
      <alignment horizontal="right" vertical="center"/>
    </xf>
    <xf numFmtId="172" fontId="20" fillId="0" borderId="0" xfId="0" applyNumberFormat="1" applyFont="1" applyAlignment="1">
      <alignment horizontal="center" vertical="center"/>
    </xf>
    <xf numFmtId="166" fontId="20" fillId="0" borderId="0" xfId="0" applyNumberFormat="1" applyFont="1" applyAlignment="1">
      <alignment vertical="center"/>
    </xf>
    <xf numFmtId="170" fontId="20" fillId="0" borderId="0" xfId="0" applyNumberFormat="1" applyFont="1" applyAlignment="1">
      <alignment horizontal="center" vertical="center"/>
    </xf>
    <xf numFmtId="165" fontId="20" fillId="0" borderId="0" xfId="0" quotePrefix="1" applyNumberFormat="1" applyFont="1" applyAlignment="1">
      <alignment vertical="center"/>
    </xf>
    <xf numFmtId="165" fontId="20" fillId="0" borderId="0" xfId="0" applyNumberFormat="1" applyFont="1" applyAlignment="1">
      <alignment vertical="center"/>
    </xf>
    <xf numFmtId="170" fontId="20" fillId="0" borderId="0" xfId="0" quotePrefix="1" applyNumberFormat="1" applyFont="1" applyAlignment="1">
      <alignment vertical="center"/>
    </xf>
    <xf numFmtId="170" fontId="20" fillId="0" borderId="0" xfId="0" applyNumberFormat="1" applyFont="1" applyAlignment="1">
      <alignment horizontal="right" vertical="center"/>
    </xf>
    <xf numFmtId="165" fontId="20" fillId="0" borderId="0" xfId="0" applyNumberFormat="1" applyFont="1" applyAlignment="1">
      <alignment horizontal="right" vertical="center"/>
    </xf>
    <xf numFmtId="166" fontId="1" fillId="0" borderId="0" xfId="0" quotePrefix="1" applyNumberFormat="1" applyFont="1" applyAlignment="1">
      <alignment horizontal="center" vertical="center" wrapText="1"/>
    </xf>
    <xf numFmtId="164" fontId="1" fillId="0" borderId="0" xfId="0" quotePrefix="1" applyNumberFormat="1" applyFont="1" applyAlignment="1">
      <alignment horizontal="center" vertical="center"/>
    </xf>
    <xf numFmtId="166" fontId="1" fillId="0" borderId="0" xfId="0" quotePrefix="1" applyNumberFormat="1" applyFont="1" applyAlignment="1">
      <alignment vertical="center" wrapText="1"/>
    </xf>
    <xf numFmtId="166" fontId="1" fillId="0" borderId="0" xfId="0" applyNumberFormat="1" applyFont="1" applyAlignment="1">
      <alignment horizontal="center" vertical="center" wrapText="1"/>
    </xf>
    <xf numFmtId="165" fontId="20" fillId="0" borderId="0" xfId="0" applyNumberFormat="1" applyFont="1" applyAlignment="1">
      <alignment horizontal="center" vertical="center"/>
    </xf>
    <xf numFmtId="172" fontId="1" fillId="0" borderId="0" xfId="0" applyNumberFormat="1" applyFont="1" applyAlignment="1">
      <alignment vertical="center"/>
    </xf>
    <xf numFmtId="164" fontId="20" fillId="0" borderId="0" xfId="0" applyNumberFormat="1" applyFont="1" applyAlignment="1">
      <alignment horizontal="right" vertical="center"/>
    </xf>
    <xf numFmtId="164" fontId="20" fillId="0" borderId="0" xfId="0" applyNumberFormat="1" applyFont="1" applyAlignment="1">
      <alignment horizontal="center" vertical="center"/>
    </xf>
    <xf numFmtId="164" fontId="20" fillId="0" borderId="0" xfId="0" applyNumberFormat="1" applyFont="1" applyAlignment="1">
      <alignment horizontal="right" vertical="center" wrapText="1"/>
    </xf>
    <xf numFmtId="164" fontId="11" fillId="0" borderId="0" xfId="0" applyNumberFormat="1" applyFont="1" applyAlignment="1">
      <alignment horizontal="center" vertical="center"/>
    </xf>
    <xf numFmtId="164" fontId="11" fillId="0" borderId="0" xfId="0" applyNumberFormat="1" applyFont="1" applyAlignment="1">
      <alignment horizontal="right" vertical="center" wrapText="1"/>
    </xf>
    <xf numFmtId="164" fontId="12" fillId="0" borderId="0" xfId="0" applyNumberFormat="1" applyFont="1" applyAlignment="1">
      <alignment horizontal="center" vertical="center"/>
    </xf>
    <xf numFmtId="164" fontId="12" fillId="0" borderId="0" xfId="0" applyNumberFormat="1" applyFont="1" applyAlignment="1">
      <alignment horizontal="right" vertical="center" wrapText="1"/>
    </xf>
    <xf numFmtId="164" fontId="13" fillId="0" borderId="0" xfId="0" applyNumberFormat="1" applyFont="1" applyAlignment="1">
      <alignment horizontal="left" vertical="center"/>
    </xf>
    <xf numFmtId="0" fontId="28" fillId="3" borderId="5" xfId="0" applyFont="1" applyFill="1" applyBorder="1" applyAlignment="1">
      <alignment horizontal="center" vertical="center" wrapText="1"/>
    </xf>
    <xf numFmtId="3" fontId="22" fillId="0" borderId="0" xfId="0" applyNumberFormat="1" applyFont="1" applyAlignment="1">
      <alignment horizontal="right" vertical="center"/>
    </xf>
    <xf numFmtId="3" fontId="1" fillId="0" borderId="0" xfId="0" applyNumberFormat="1" applyFont="1" applyAlignment="1">
      <alignment horizontal="right" vertical="center"/>
    </xf>
    <xf numFmtId="166" fontId="40" fillId="0" borderId="0" xfId="0" applyNumberFormat="1" applyFont="1" applyAlignment="1">
      <alignment horizontal="right" vertical="center"/>
    </xf>
    <xf numFmtId="0" fontId="41" fillId="3" borderId="0" xfId="0" applyFont="1" applyFill="1" applyAlignment="1">
      <alignment horizontal="center" vertical="center"/>
    </xf>
    <xf numFmtId="172" fontId="1" fillId="0" borderId="0" xfId="0" applyNumberFormat="1" applyFont="1" applyAlignment="1">
      <alignment horizontal="center" vertical="center"/>
    </xf>
    <xf numFmtId="166" fontId="1" fillId="0" borderId="0" xfId="0" quotePrefix="1" applyNumberFormat="1" applyFont="1" applyAlignment="1">
      <alignment horizontal="center" vertical="center"/>
    </xf>
    <xf numFmtId="0" fontId="41" fillId="3" borderId="11" xfId="0" applyFont="1" applyFill="1" applyBorder="1" applyAlignment="1">
      <alignment horizontal="center" vertical="center"/>
    </xf>
    <xf numFmtId="0" fontId="41" fillId="3" borderId="12" xfId="0" applyFont="1" applyFill="1" applyBorder="1" applyAlignment="1">
      <alignment horizontal="center" vertical="center"/>
    </xf>
    <xf numFmtId="3" fontId="1" fillId="0" borderId="0" xfId="0" quotePrefix="1" applyNumberFormat="1" applyFont="1" applyAlignment="1">
      <alignment horizontal="right" vertical="center"/>
    </xf>
    <xf numFmtId="3" fontId="1" fillId="0" borderId="0" xfId="0" quotePrefix="1" applyNumberFormat="1" applyFont="1" applyAlignment="1">
      <alignment vertical="center"/>
    </xf>
    <xf numFmtId="3" fontId="40" fillId="0" borderId="0" xfId="0" applyNumberFormat="1" applyFont="1" applyAlignment="1">
      <alignment horizontal="left" vertical="center"/>
    </xf>
    <xf numFmtId="164" fontId="40" fillId="0" borderId="0" xfId="0" applyNumberFormat="1" applyFont="1" applyAlignment="1">
      <alignment horizontal="left" vertical="center"/>
    </xf>
    <xf numFmtId="3" fontId="1" fillId="0" borderId="0" xfId="0" applyNumberFormat="1" applyFont="1" applyAlignment="1">
      <alignment horizontal="right"/>
    </xf>
    <xf numFmtId="0" fontId="2" fillId="0" borderId="0" xfId="0" quotePrefix="1" applyFont="1" applyAlignment="1">
      <alignment horizontal="center" vertical="center" wrapText="1"/>
    </xf>
    <xf numFmtId="3" fontId="4" fillId="0" borderId="0" xfId="0" applyNumberFormat="1" applyFont="1" applyAlignment="1">
      <alignment horizontal="left" vertical="top"/>
    </xf>
    <xf numFmtId="168" fontId="1" fillId="0" borderId="0" xfId="0" applyNumberFormat="1" applyFont="1" applyAlignment="1">
      <alignment horizontal="center" vertical="center"/>
    </xf>
    <xf numFmtId="168" fontId="22" fillId="0" borderId="0" xfId="0" applyNumberFormat="1" applyFont="1" applyAlignment="1">
      <alignment horizontal="center" vertical="center"/>
    </xf>
    <xf numFmtId="168" fontId="1" fillId="0" borderId="0" xfId="0" quotePrefix="1" applyNumberFormat="1" applyFont="1" applyAlignment="1">
      <alignment horizontal="center" vertical="center"/>
    </xf>
    <xf numFmtId="0" fontId="35" fillId="3" borderId="4" xfId="0" applyFont="1" applyFill="1" applyBorder="1" applyAlignment="1">
      <alignment horizontal="center" vertical="center" wrapText="1"/>
    </xf>
    <xf numFmtId="0" fontId="35" fillId="3" borderId="4" xfId="0" applyFont="1" applyFill="1" applyBorder="1" applyAlignment="1">
      <alignment horizontal="center" vertical="center"/>
    </xf>
    <xf numFmtId="0" fontId="35" fillId="3" borderId="11" xfId="0" applyFont="1" applyFill="1" applyBorder="1" applyAlignment="1">
      <alignment horizontal="center" vertical="center"/>
    </xf>
    <xf numFmtId="171" fontId="35" fillId="3" borderId="0" xfId="0" applyNumberFormat="1" applyFont="1" applyFill="1" applyAlignment="1">
      <alignment horizontal="center" vertical="center"/>
    </xf>
    <xf numFmtId="165" fontId="35" fillId="3" borderId="0" xfId="0" applyNumberFormat="1" applyFont="1" applyFill="1" applyAlignment="1">
      <alignment horizontal="center" vertical="center"/>
    </xf>
    <xf numFmtId="171" fontId="43" fillId="2" borderId="0" xfId="0" applyNumberFormat="1" applyFont="1" applyFill="1" applyAlignment="1">
      <alignment horizontal="center" vertical="center"/>
    </xf>
    <xf numFmtId="165" fontId="35" fillId="2" borderId="0" xfId="0" applyNumberFormat="1" applyFont="1" applyFill="1" applyAlignment="1">
      <alignment horizontal="center" vertical="center"/>
    </xf>
    <xf numFmtId="167" fontId="1" fillId="0" borderId="0" xfId="0" applyNumberFormat="1" applyFont="1" applyAlignment="1">
      <alignment horizontal="center" vertical="center" readingOrder="1"/>
    </xf>
    <xf numFmtId="167" fontId="22" fillId="0" borderId="0" xfId="0" applyNumberFormat="1" applyFont="1" applyAlignment="1">
      <alignment horizontal="center" vertical="center" readingOrder="1"/>
    </xf>
    <xf numFmtId="168" fontId="4" fillId="0" borderId="0" xfId="0" quotePrefix="1" applyNumberFormat="1" applyFont="1" applyAlignment="1">
      <alignment horizontal="center" vertical="center"/>
    </xf>
    <xf numFmtId="168" fontId="25" fillId="0" borderId="0" xfId="0" quotePrefix="1" applyNumberFormat="1" applyFont="1" applyAlignment="1">
      <alignment horizontal="left" vertical="center"/>
    </xf>
    <xf numFmtId="168" fontId="25" fillId="0" borderId="0" xfId="0" applyNumberFormat="1" applyFont="1" applyAlignment="1">
      <alignment horizontal="left" vertical="center"/>
    </xf>
    <xf numFmtId="167" fontId="1" fillId="0" borderId="0" xfId="0" quotePrefix="1" applyNumberFormat="1" applyFont="1" applyAlignment="1">
      <alignment horizontal="center" vertical="center" readingOrder="1"/>
    </xf>
    <xf numFmtId="167" fontId="22" fillId="0" borderId="0" xfId="0" quotePrefix="1" applyNumberFormat="1" applyFont="1" applyAlignment="1">
      <alignment horizontal="center" vertical="center" readingOrder="1"/>
    </xf>
    <xf numFmtId="171" fontId="1" fillId="0" borderId="0" xfId="0" quotePrefix="1" applyNumberFormat="1" applyFont="1" applyAlignment="1">
      <alignment horizontal="center" vertical="center"/>
    </xf>
    <xf numFmtId="168" fontId="21" fillId="0" borderId="0" xfId="0" quotePrefix="1" applyNumberFormat="1" applyFont="1" applyAlignment="1">
      <alignment horizontal="right" vertical="center"/>
    </xf>
    <xf numFmtId="168" fontId="14" fillId="0" borderId="0" xfId="0" quotePrefix="1" applyNumberFormat="1" applyFont="1" applyAlignment="1">
      <alignment horizontal="center" vertical="center"/>
    </xf>
    <xf numFmtId="168" fontId="1" fillId="0" borderId="0" xfId="0" applyNumberFormat="1" applyFont="1" applyAlignment="1">
      <alignment vertical="center"/>
    </xf>
    <xf numFmtId="168" fontId="20" fillId="0" borderId="0" xfId="0" quotePrefix="1" applyNumberFormat="1" applyFont="1" applyAlignment="1">
      <alignment horizontal="right" vertical="center"/>
    </xf>
    <xf numFmtId="168" fontId="22" fillId="0" borderId="0" xfId="0" quotePrefix="1" applyNumberFormat="1" applyFont="1" applyAlignment="1">
      <alignment horizontal="center" vertical="center"/>
    </xf>
    <xf numFmtId="168" fontId="4" fillId="0" borderId="0" xfId="0" applyNumberFormat="1" applyFont="1" applyAlignment="1">
      <alignment horizontal="left" vertical="center"/>
    </xf>
    <xf numFmtId="165" fontId="35" fillId="3" borderId="5" xfId="0" applyNumberFormat="1" applyFont="1" applyFill="1" applyBorder="1" applyAlignment="1">
      <alignment horizontal="center" vertical="center"/>
    </xf>
    <xf numFmtId="171" fontId="35" fillId="3" borderId="13" xfId="0" applyNumberFormat="1" applyFont="1" applyFill="1" applyBorder="1" applyAlignment="1">
      <alignment horizontal="center" vertical="center"/>
    </xf>
    <xf numFmtId="171" fontId="35" fillId="2" borderId="0" xfId="0" applyNumberFormat="1" applyFont="1" applyFill="1" applyAlignment="1">
      <alignment horizontal="center" vertical="center"/>
    </xf>
    <xf numFmtId="167" fontId="1" fillId="0" borderId="0" xfId="0" applyNumberFormat="1" applyFont="1" applyAlignment="1">
      <alignment vertical="center"/>
    </xf>
    <xf numFmtId="167" fontId="1" fillId="0" borderId="0" xfId="0" applyNumberFormat="1" applyFont="1" applyAlignment="1">
      <alignment horizontal="center" vertical="center"/>
    </xf>
    <xf numFmtId="167" fontId="22" fillId="0" borderId="0" xfId="0" applyNumberFormat="1" applyFont="1" applyAlignment="1">
      <alignment horizontal="center" vertical="center"/>
    </xf>
    <xf numFmtId="166" fontId="1" fillId="0" borderId="0" xfId="0" quotePrefix="1" applyNumberFormat="1" applyFont="1" applyAlignment="1">
      <alignment horizontal="right" vertical="center"/>
    </xf>
    <xf numFmtId="167" fontId="1" fillId="0" borderId="0" xfId="0" quotePrefix="1" applyNumberFormat="1" applyFont="1" applyAlignment="1">
      <alignment vertical="center"/>
    </xf>
    <xf numFmtId="167" fontId="22" fillId="0" borderId="0" xfId="0" quotePrefix="1" applyNumberFormat="1" applyFont="1" applyAlignment="1">
      <alignment horizontal="center" vertical="center"/>
    </xf>
    <xf numFmtId="166" fontId="20" fillId="0" borderId="0" xfId="0" applyNumberFormat="1" applyFont="1" applyAlignment="1">
      <alignment horizontal="left" vertical="center"/>
    </xf>
    <xf numFmtId="0" fontId="26" fillId="3" borderId="18" xfId="0" applyFont="1" applyFill="1" applyBorder="1" applyAlignment="1">
      <alignment horizontal="centerContinuous" vertical="center"/>
    </xf>
    <xf numFmtId="171" fontId="35" fillId="3" borderId="11" xfId="0" applyNumberFormat="1" applyFont="1" applyFill="1" applyBorder="1" applyAlignment="1">
      <alignment horizontal="center" vertical="center"/>
    </xf>
    <xf numFmtId="165" fontId="35" fillId="3" borderId="6" xfId="0" applyNumberFormat="1" applyFont="1" applyFill="1" applyBorder="1" applyAlignment="1">
      <alignment horizontal="center" vertical="center"/>
    </xf>
    <xf numFmtId="164" fontId="17" fillId="0" borderId="0" xfId="0" applyNumberFormat="1" applyFont="1" applyAlignment="1">
      <alignment horizontal="right" vertical="center"/>
    </xf>
    <xf numFmtId="164" fontId="17" fillId="0" borderId="0" xfId="0" quotePrefix="1" applyNumberFormat="1" applyFont="1" applyAlignment="1">
      <alignment horizontal="center" vertical="center"/>
    </xf>
    <xf numFmtId="0" fontId="15" fillId="0" borderId="0" xfId="0" quotePrefix="1" applyFont="1" applyAlignment="1">
      <alignment horizontal="right" vertical="center"/>
    </xf>
    <xf numFmtId="0" fontId="17" fillId="0" borderId="0" xfId="0" quotePrefix="1" applyFont="1" applyAlignment="1">
      <alignment horizontal="right" vertical="center"/>
    </xf>
    <xf numFmtId="0" fontId="24" fillId="3" borderId="0" xfId="0" applyFont="1" applyFill="1" applyAlignment="1">
      <alignment vertical="center"/>
    </xf>
    <xf numFmtId="0" fontId="24" fillId="3" borderId="11" xfId="0" applyFont="1" applyFill="1" applyBorder="1" applyAlignment="1">
      <alignment horizontal="center" vertical="center"/>
    </xf>
    <xf numFmtId="0" fontId="24" fillId="3" borderId="12" xfId="0" applyFont="1" applyFill="1" applyBorder="1" applyAlignment="1">
      <alignment horizontal="center" vertical="center"/>
    </xf>
    <xf numFmtId="164" fontId="2" fillId="0" borderId="0" xfId="0" applyNumberFormat="1" applyFont="1" applyAlignment="1">
      <alignment horizontal="center" vertical="center"/>
    </xf>
    <xf numFmtId="0" fontId="28" fillId="3" borderId="9" xfId="0" applyFont="1" applyFill="1" applyBorder="1" applyAlignment="1">
      <alignment vertical="center"/>
    </xf>
    <xf numFmtId="0" fontId="24" fillId="3" borderId="12" xfId="0" applyFont="1" applyFill="1" applyBorder="1" applyAlignment="1">
      <alignment vertical="center"/>
    </xf>
    <xf numFmtId="0" fontId="24" fillId="3" borderId="6" xfId="0" applyFont="1" applyFill="1" applyBorder="1" applyAlignment="1">
      <alignment vertical="center"/>
    </xf>
    <xf numFmtId="41" fontId="17" fillId="0" borderId="0" xfId="0" applyNumberFormat="1" applyFont="1" applyAlignment="1">
      <alignment vertical="center"/>
    </xf>
    <xf numFmtId="41" fontId="40" fillId="0" borderId="0" xfId="0" applyNumberFormat="1" applyFont="1" applyAlignment="1">
      <alignment horizontal="right" vertical="center"/>
    </xf>
    <xf numFmtId="41" fontId="1" fillId="0" borderId="0" xfId="0" quotePrefix="1" applyNumberFormat="1" applyFont="1" applyAlignment="1">
      <alignment horizontal="right" vertical="center"/>
    </xf>
    <xf numFmtId="41" fontId="1" fillId="0" borderId="0" xfId="0" quotePrefix="1" applyNumberFormat="1" applyFont="1" applyAlignment="1">
      <alignment horizontal="left" vertical="center"/>
    </xf>
    <xf numFmtId="41" fontId="40" fillId="0" borderId="0" xfId="0" applyNumberFormat="1" applyFont="1" applyAlignment="1">
      <alignment vertical="center"/>
    </xf>
    <xf numFmtId="164" fontId="23" fillId="0" borderId="0" xfId="0" applyNumberFormat="1" applyFont="1" applyAlignment="1">
      <alignment horizontal="center" vertical="center"/>
    </xf>
    <xf numFmtId="165" fontId="23" fillId="0" borderId="0" xfId="0" applyNumberFormat="1" applyFont="1" applyAlignment="1">
      <alignment horizontal="right" vertical="center"/>
    </xf>
    <xf numFmtId="165" fontId="23" fillId="0" borderId="0" xfId="0" applyNumberFormat="1" applyFont="1" applyAlignment="1">
      <alignment vertical="center"/>
    </xf>
    <xf numFmtId="164" fontId="23" fillId="0" borderId="0" xfId="0" quotePrefix="1" applyNumberFormat="1" applyFont="1" applyAlignment="1">
      <alignment horizontal="center" vertical="center"/>
    </xf>
    <xf numFmtId="164" fontId="14" fillId="0" borderId="0" xfId="1" applyNumberFormat="1" applyFont="1" applyBorder="1" applyAlignment="1">
      <alignment horizontal="left" vertical="center"/>
    </xf>
    <xf numFmtId="165" fontId="23" fillId="0" borderId="0" xfId="0" quotePrefix="1" applyNumberFormat="1" applyFont="1" applyAlignment="1">
      <alignment horizontal="right" vertical="center"/>
    </xf>
    <xf numFmtId="164" fontId="20" fillId="0" borderId="0" xfId="0" quotePrefix="1" applyNumberFormat="1" applyFont="1" applyAlignment="1">
      <alignment horizontal="center" vertical="center"/>
    </xf>
    <xf numFmtId="165" fontId="23" fillId="0" borderId="0" xfId="0" applyNumberFormat="1" applyFont="1" applyAlignment="1">
      <alignment horizontal="center" vertical="center"/>
    </xf>
    <xf numFmtId="164" fontId="14" fillId="0" borderId="0" xfId="1" applyNumberFormat="1" applyFont="1" applyBorder="1" applyAlignment="1">
      <alignment horizontal="center" vertical="center"/>
    </xf>
    <xf numFmtId="0" fontId="28" fillId="2" borderId="0" xfId="0" applyFont="1" applyFill="1" applyAlignment="1">
      <alignment horizontal="center" vertical="center" wrapText="1"/>
    </xf>
    <xf numFmtId="0" fontId="40" fillId="0" borderId="0" xfId="0" applyFont="1" applyAlignment="1">
      <alignment horizontal="left" vertical="center"/>
    </xf>
    <xf numFmtId="164" fontId="22" fillId="0" borderId="0" xfId="0" applyNumberFormat="1" applyFont="1" applyAlignment="1">
      <alignment horizontal="center" vertical="center"/>
    </xf>
    <xf numFmtId="164" fontId="1" fillId="0" borderId="0" xfId="0" applyNumberFormat="1" applyFont="1"/>
    <xf numFmtId="164" fontId="22" fillId="6" borderId="0" xfId="0" applyNumberFormat="1" applyFont="1" applyFill="1" applyAlignment="1">
      <alignment horizontal="center" vertical="center"/>
    </xf>
    <xf numFmtId="164" fontId="22" fillId="2" borderId="0" xfId="0" applyNumberFormat="1" applyFont="1" applyFill="1" applyAlignment="1">
      <alignment horizontal="center" vertical="center"/>
    </xf>
    <xf numFmtId="164" fontId="1" fillId="6" borderId="0" xfId="0" applyNumberFormat="1" applyFont="1" applyFill="1"/>
    <xf numFmtId="2" fontId="1" fillId="0" borderId="0" xfId="0" applyNumberFormat="1" applyFont="1" applyAlignment="1">
      <alignment horizontal="center" vertical="center"/>
    </xf>
    <xf numFmtId="3" fontId="24" fillId="3" borderId="4" xfId="0" applyNumberFormat="1" applyFont="1" applyFill="1" applyBorder="1" applyAlignment="1">
      <alignment horizontal="center" vertical="center" wrapText="1"/>
    </xf>
    <xf numFmtId="3" fontId="24" fillId="3" borderId="4" xfId="0" applyNumberFormat="1" applyFont="1" applyFill="1" applyBorder="1" applyAlignment="1">
      <alignment horizontal="center" vertical="center"/>
    </xf>
    <xf numFmtId="14" fontId="1" fillId="6" borderId="0" xfId="0" applyNumberFormat="1" applyFont="1" applyFill="1" applyAlignment="1">
      <alignment horizontal="center" vertical="center"/>
    </xf>
    <xf numFmtId="166" fontId="12" fillId="0" borderId="0" xfId="0" quotePrefix="1" applyNumberFormat="1" applyFont="1" applyAlignment="1">
      <alignment horizontal="center" vertical="center"/>
    </xf>
    <xf numFmtId="166" fontId="20" fillId="0" borderId="0" xfId="0" quotePrefix="1" applyNumberFormat="1" applyFont="1" applyAlignment="1">
      <alignment horizontal="center" vertical="center"/>
    </xf>
    <xf numFmtId="166" fontId="12" fillId="0" borderId="0" xfId="0" applyNumberFormat="1" applyFont="1" applyAlignment="1">
      <alignment horizontal="center" vertical="center"/>
    </xf>
    <xf numFmtId="166" fontId="11" fillId="0" borderId="0" xfId="0" applyNumberFormat="1" applyFont="1" applyAlignment="1">
      <alignment horizontal="center" vertical="center"/>
    </xf>
    <xf numFmtId="166" fontId="14" fillId="0" borderId="0" xfId="0" applyNumberFormat="1" applyFont="1" applyAlignment="1">
      <alignment horizontal="left" vertical="center"/>
    </xf>
    <xf numFmtId="166" fontId="20" fillId="0" borderId="0" xfId="0" quotePrefix="1" applyNumberFormat="1" applyFont="1" applyAlignment="1">
      <alignment horizontal="left" vertical="center"/>
    </xf>
    <xf numFmtId="166" fontId="25" fillId="0" borderId="0" xfId="0" applyNumberFormat="1" applyFont="1" applyAlignment="1">
      <alignment horizontal="left" vertical="center"/>
    </xf>
    <xf numFmtId="168" fontId="22" fillId="6" borderId="0" xfId="0" quotePrefix="1" applyNumberFormat="1" applyFont="1" applyFill="1" applyAlignment="1">
      <alignment horizontal="center" vertical="center"/>
    </xf>
    <xf numFmtId="167" fontId="22" fillId="6" borderId="0" xfId="0" applyNumberFormat="1" applyFont="1" applyFill="1" applyAlignment="1">
      <alignment vertical="center"/>
    </xf>
    <xf numFmtId="167" fontId="22" fillId="6" borderId="0" xfId="0" applyNumberFormat="1" applyFont="1" applyFill="1" applyAlignment="1">
      <alignment horizontal="center" vertical="center"/>
    </xf>
    <xf numFmtId="167" fontId="22" fillId="6" borderId="0" xfId="0" quotePrefix="1" applyNumberFormat="1" applyFont="1" applyFill="1" applyAlignment="1">
      <alignment vertical="center"/>
    </xf>
    <xf numFmtId="167" fontId="1" fillId="0" borderId="0" xfId="0" quotePrefix="1" applyNumberFormat="1" applyFont="1" applyAlignment="1">
      <alignment horizontal="center" vertical="center"/>
    </xf>
    <xf numFmtId="167" fontId="22" fillId="6" borderId="0" xfId="0" quotePrefix="1" applyNumberFormat="1" applyFont="1" applyFill="1" applyAlignment="1">
      <alignment horizontal="center" vertical="center"/>
    </xf>
    <xf numFmtId="0" fontId="26" fillId="3" borderId="7" xfId="0" applyFont="1" applyFill="1" applyBorder="1" applyAlignment="1">
      <alignment horizontal="centerContinuous" vertical="center"/>
    </xf>
    <xf numFmtId="0" fontId="3" fillId="0" borderId="0" xfId="0" applyFont="1" applyAlignment="1">
      <alignment horizontal="center" vertical="center" wrapText="1"/>
    </xf>
    <xf numFmtId="0" fontId="3" fillId="6" borderId="0" xfId="0" applyFont="1" applyFill="1" applyAlignment="1">
      <alignment horizontal="center" vertical="center"/>
    </xf>
    <xf numFmtId="168" fontId="22" fillId="6" borderId="0" xfId="0" applyNumberFormat="1" applyFont="1" applyFill="1" applyAlignment="1">
      <alignment horizontal="center" vertical="center"/>
    </xf>
    <xf numFmtId="164" fontId="4" fillId="0" borderId="0" xfId="0" applyNumberFormat="1" applyFont="1" applyAlignment="1">
      <alignment horizontal="center" vertical="center"/>
    </xf>
    <xf numFmtId="0" fontId="13" fillId="0" borderId="0" xfId="0" applyFont="1" applyAlignment="1">
      <alignment horizontal="center" vertical="center"/>
    </xf>
    <xf numFmtId="41" fontId="14" fillId="0" borderId="0" xfId="1" applyNumberFormat="1" applyFont="1" applyBorder="1" applyAlignment="1">
      <alignment horizontal="center" vertical="center"/>
    </xf>
    <xf numFmtId="41" fontId="14" fillId="0" borderId="0" xfId="0" applyNumberFormat="1" applyFont="1" applyAlignment="1">
      <alignment horizontal="center" vertical="center"/>
    </xf>
    <xf numFmtId="41" fontId="14" fillId="0" borderId="0" xfId="0" quotePrefix="1" applyNumberFormat="1" applyFont="1" applyAlignment="1">
      <alignment horizontal="center" vertical="center"/>
    </xf>
    <xf numFmtId="166" fontId="32" fillId="2" borderId="0" xfId="0" applyNumberFormat="1" applyFont="1" applyFill="1" applyAlignment="1">
      <alignment horizontal="left" vertical="center" indent="1"/>
    </xf>
    <xf numFmtId="166" fontId="40" fillId="0" borderId="0" xfId="0" applyNumberFormat="1" applyFont="1" applyAlignment="1">
      <alignment horizontal="left" vertical="center"/>
    </xf>
    <xf numFmtId="166" fontId="21" fillId="0" borderId="0" xfId="0" applyNumberFormat="1" applyFont="1" applyAlignment="1">
      <alignment horizontal="left" vertical="center"/>
    </xf>
    <xf numFmtId="0" fontId="24" fillId="6" borderId="0" xfId="0" applyFont="1" applyFill="1" applyAlignment="1">
      <alignment horizontal="center" vertical="center"/>
    </xf>
    <xf numFmtId="0" fontId="1" fillId="6" borderId="0" xfId="0" applyFont="1" applyFill="1" applyAlignment="1">
      <alignment horizontal="center" vertical="center"/>
    </xf>
    <xf numFmtId="1" fontId="1" fillId="6" borderId="0" xfId="0" applyNumberFormat="1" applyFont="1" applyFill="1" applyAlignment="1">
      <alignment horizontal="center" vertical="center"/>
    </xf>
    <xf numFmtId="0" fontId="27" fillId="6" borderId="0" xfId="0" applyFont="1" applyFill="1" applyAlignment="1">
      <alignment horizontal="left" vertical="center" wrapText="1" indent="1"/>
    </xf>
    <xf numFmtId="0" fontId="20" fillId="6" borderId="0" xfId="0" applyFont="1" applyFill="1" applyAlignment="1">
      <alignment horizontal="left" vertical="center" indent="1"/>
    </xf>
    <xf numFmtId="0" fontId="27" fillId="6" borderId="0" xfId="0" applyFont="1" applyFill="1" applyAlignment="1">
      <alignment horizontal="left" vertical="center" indent="1"/>
    </xf>
    <xf numFmtId="0" fontId="28" fillId="9" borderId="5" xfId="0" applyFont="1" applyFill="1" applyBorder="1" applyAlignment="1">
      <alignment horizontal="center" vertical="center"/>
    </xf>
    <xf numFmtId="164" fontId="28" fillId="9" borderId="0" xfId="0" applyNumberFormat="1" applyFont="1" applyFill="1" applyAlignment="1">
      <alignment horizontal="center" vertical="center"/>
    </xf>
    <xf numFmtId="173" fontId="28" fillId="9" borderId="5" xfId="0" applyNumberFormat="1" applyFont="1" applyFill="1" applyBorder="1" applyAlignment="1">
      <alignment horizontal="center" vertical="center"/>
    </xf>
    <xf numFmtId="0" fontId="29" fillId="9" borderId="0" xfId="0" applyFont="1" applyFill="1" applyAlignment="1">
      <alignment vertical="center"/>
    </xf>
    <xf numFmtId="41" fontId="28" fillId="9" borderId="0" xfId="0" applyNumberFormat="1" applyFont="1" applyFill="1" applyAlignment="1">
      <alignment horizontal="center" vertical="center"/>
    </xf>
    <xf numFmtId="41" fontId="28" fillId="9" borderId="0" xfId="0" applyNumberFormat="1" applyFont="1" applyFill="1" applyAlignment="1">
      <alignment horizontal="right" vertical="center"/>
    </xf>
    <xf numFmtId="41" fontId="29" fillId="9" borderId="5" xfId="0" applyNumberFormat="1" applyFont="1" applyFill="1" applyBorder="1" applyAlignment="1">
      <alignment horizontal="center" vertical="center"/>
    </xf>
    <xf numFmtId="41" fontId="28" fillId="9" borderId="5" xfId="0" applyNumberFormat="1" applyFont="1" applyFill="1" applyBorder="1" applyAlignment="1">
      <alignment horizontal="center" vertical="center"/>
    </xf>
    <xf numFmtId="0" fontId="29" fillId="9" borderId="0" xfId="0" applyFont="1" applyFill="1" applyAlignment="1">
      <alignment horizontal="center" vertical="center"/>
    </xf>
    <xf numFmtId="0" fontId="1" fillId="6" borderId="0" xfId="0" applyFont="1" applyFill="1" applyAlignment="1">
      <alignment horizontal="left" vertical="center" indent="1"/>
    </xf>
    <xf numFmtId="0" fontId="20" fillId="6" borderId="0" xfId="0" applyFont="1" applyFill="1" applyAlignment="1">
      <alignment horizontal="left" vertical="center"/>
    </xf>
    <xf numFmtId="166" fontId="28" fillId="9" borderId="0" xfId="0" applyNumberFormat="1" applyFont="1" applyFill="1" applyAlignment="1">
      <alignment horizontal="center" vertical="center"/>
    </xf>
    <xf numFmtId="172" fontId="28" fillId="9" borderId="0" xfId="0" applyNumberFormat="1" applyFont="1" applyFill="1" applyAlignment="1">
      <alignment horizontal="center" vertical="center"/>
    </xf>
    <xf numFmtId="166" fontId="28" fillId="9" borderId="5" xfId="0" applyNumberFormat="1" applyFont="1" applyFill="1" applyBorder="1" applyAlignment="1">
      <alignment horizontal="center" vertical="center"/>
    </xf>
    <xf numFmtId="0" fontId="24" fillId="9" borderId="0" xfId="0" applyFont="1" applyFill="1"/>
    <xf numFmtId="166" fontId="29" fillId="9" borderId="5" xfId="0" applyNumberFormat="1" applyFont="1" applyFill="1" applyBorder="1" applyAlignment="1">
      <alignment vertical="center"/>
    </xf>
    <xf numFmtId="0" fontId="20" fillId="6" borderId="0" xfId="0" applyFont="1" applyFill="1" applyAlignment="1">
      <alignment horizontal="left" vertical="center" wrapText="1" indent="1"/>
    </xf>
    <xf numFmtId="0" fontId="1" fillId="6" borderId="0" xfId="0" applyFont="1" applyFill="1" applyAlignment="1">
      <alignment horizontal="left" vertical="center" wrapText="1" indent="1"/>
    </xf>
    <xf numFmtId="170" fontId="28" fillId="9" borderId="0" xfId="0" applyNumberFormat="1" applyFont="1" applyFill="1" applyAlignment="1">
      <alignment vertical="center"/>
    </xf>
    <xf numFmtId="165" fontId="28" fillId="9" borderId="0" xfId="0" applyNumberFormat="1" applyFont="1" applyFill="1" applyAlignment="1">
      <alignment vertical="center"/>
    </xf>
    <xf numFmtId="165" fontId="28" fillId="9" borderId="5" xfId="0" applyNumberFormat="1" applyFont="1" applyFill="1" applyBorder="1" applyAlignment="1">
      <alignment vertical="center"/>
    </xf>
    <xf numFmtId="0" fontId="1" fillId="6" borderId="0" xfId="0" applyFont="1" applyFill="1" applyAlignment="1">
      <alignment horizontal="left" vertical="center"/>
    </xf>
    <xf numFmtId="0" fontId="26" fillId="9" borderId="5" xfId="0" applyFont="1" applyFill="1" applyBorder="1" applyAlignment="1">
      <alignment horizontal="center" vertical="center"/>
    </xf>
    <xf numFmtId="166" fontId="26" fillId="9" borderId="0" xfId="0" applyNumberFormat="1" applyFont="1" applyFill="1" applyAlignment="1">
      <alignment vertical="center"/>
    </xf>
    <xf numFmtId="172" fontId="26" fillId="9" borderId="0" xfId="0" applyNumberFormat="1" applyFont="1" applyFill="1" applyAlignment="1">
      <alignment vertical="center"/>
    </xf>
    <xf numFmtId="166" fontId="26" fillId="9" borderId="5" xfId="0" applyNumberFormat="1" applyFont="1" applyFill="1" applyBorder="1" applyAlignment="1">
      <alignment vertical="center"/>
    </xf>
    <xf numFmtId="164" fontId="28" fillId="9" borderId="0" xfId="0" applyNumberFormat="1" applyFont="1" applyFill="1" applyAlignment="1">
      <alignment horizontal="right" vertical="center"/>
    </xf>
    <xf numFmtId="164" fontId="29" fillId="9" borderId="5" xfId="0" applyNumberFormat="1" applyFont="1" applyFill="1" applyBorder="1" applyAlignment="1">
      <alignment horizontal="right" vertical="center"/>
    </xf>
    <xf numFmtId="164" fontId="28" fillId="9" borderId="5" xfId="0" applyNumberFormat="1" applyFont="1" applyFill="1" applyBorder="1" applyAlignment="1">
      <alignment horizontal="right" vertical="center"/>
    </xf>
    <xf numFmtId="1" fontId="1" fillId="6" borderId="0" xfId="0" applyNumberFormat="1" applyFont="1" applyFill="1" applyAlignment="1">
      <alignment horizontal="left" vertical="center" indent="2"/>
    </xf>
    <xf numFmtId="1" fontId="22" fillId="6" borderId="0" xfId="0" applyNumberFormat="1" applyFont="1" applyFill="1" applyAlignment="1">
      <alignment horizontal="center" vertical="center"/>
    </xf>
    <xf numFmtId="0" fontId="24" fillId="9" borderId="5" xfId="0" applyFont="1" applyFill="1" applyBorder="1" applyAlignment="1">
      <alignment horizontal="center" vertical="center"/>
    </xf>
    <xf numFmtId="166" fontId="24" fillId="9" borderId="0" xfId="0" applyNumberFormat="1" applyFont="1" applyFill="1" applyAlignment="1">
      <alignment horizontal="center" vertical="center"/>
    </xf>
    <xf numFmtId="172" fontId="24" fillId="9" borderId="0" xfId="0" applyNumberFormat="1" applyFont="1" applyFill="1" applyAlignment="1">
      <alignment horizontal="center" vertical="center"/>
    </xf>
    <xf numFmtId="166" fontId="24" fillId="9" borderId="5" xfId="0" applyNumberFormat="1" applyFont="1" applyFill="1" applyBorder="1" applyAlignment="1">
      <alignment horizontal="center" vertical="center"/>
    </xf>
    <xf numFmtId="0" fontId="18" fillId="9" borderId="0" xfId="0" applyFont="1" applyFill="1"/>
    <xf numFmtId="3" fontId="32" fillId="9" borderId="5" xfId="0" applyNumberFormat="1" applyFont="1" applyFill="1" applyBorder="1" applyAlignment="1">
      <alignment horizontal="left" vertical="center" indent="1"/>
    </xf>
    <xf numFmtId="3" fontId="32" fillId="9" borderId="0" xfId="0" applyNumberFormat="1" applyFont="1" applyFill="1" applyAlignment="1">
      <alignment horizontal="center" vertical="center"/>
    </xf>
    <xf numFmtId="3" fontId="32" fillId="9" borderId="5" xfId="0" applyNumberFormat="1" applyFont="1" applyFill="1" applyBorder="1" applyAlignment="1">
      <alignment horizontal="center" vertical="center"/>
    </xf>
    <xf numFmtId="3" fontId="42" fillId="9" borderId="0" xfId="0" applyNumberFormat="1" applyFont="1" applyFill="1" applyAlignment="1">
      <alignment horizontal="center" vertical="center"/>
    </xf>
    <xf numFmtId="3" fontId="32" fillId="9" borderId="0" xfId="0" applyNumberFormat="1" applyFont="1" applyFill="1" applyAlignment="1">
      <alignment vertical="center"/>
    </xf>
    <xf numFmtId="3" fontId="42" fillId="9" borderId="5" xfId="0" applyNumberFormat="1" applyFont="1" applyFill="1" applyBorder="1" applyAlignment="1">
      <alignment horizontal="center" vertical="center"/>
    </xf>
    <xf numFmtId="164" fontId="32" fillId="9" borderId="0" xfId="0" applyNumberFormat="1" applyFont="1" applyFill="1" applyAlignment="1">
      <alignment horizontal="center" vertical="center"/>
    </xf>
    <xf numFmtId="164" fontId="32" fillId="9" borderId="0" xfId="0" applyNumberFormat="1" applyFont="1" applyFill="1" applyAlignment="1">
      <alignment vertical="center"/>
    </xf>
    <xf numFmtId="164" fontId="32" fillId="9" borderId="5" xfId="0" applyNumberFormat="1" applyFont="1" applyFill="1" applyBorder="1" applyAlignment="1">
      <alignment horizontal="center" vertical="center"/>
    </xf>
    <xf numFmtId="3" fontId="12" fillId="6" borderId="0" xfId="0" applyNumberFormat="1" applyFont="1" applyFill="1" applyAlignment="1">
      <alignment horizontal="left" vertical="center" indent="1"/>
    </xf>
    <xf numFmtId="171" fontId="24" fillId="9" borderId="0" xfId="0" applyNumberFormat="1" applyFont="1" applyFill="1" applyAlignment="1">
      <alignment horizontal="center" vertical="center"/>
    </xf>
    <xf numFmtId="167" fontId="24" fillId="9" borderId="0" xfId="0" applyNumberFormat="1" applyFont="1" applyFill="1" applyAlignment="1">
      <alignment horizontal="center" vertical="center" readingOrder="1"/>
    </xf>
    <xf numFmtId="168" fontId="24" fillId="9" borderId="0" xfId="0" applyNumberFormat="1" applyFont="1" applyFill="1" applyAlignment="1">
      <alignment horizontal="center" vertical="center"/>
    </xf>
    <xf numFmtId="167" fontId="24" fillId="9" borderId="5" xfId="0" applyNumberFormat="1" applyFont="1" applyFill="1" applyBorder="1" applyAlignment="1">
      <alignment horizontal="center" vertical="center" readingOrder="1"/>
    </xf>
    <xf numFmtId="0" fontId="26" fillId="6" borderId="0" xfId="0" applyFont="1" applyFill="1" applyAlignment="1">
      <alignment horizontal="center" vertical="center"/>
    </xf>
    <xf numFmtId="166" fontId="24" fillId="9" borderId="0" xfId="0" quotePrefix="1" applyNumberFormat="1" applyFont="1" applyFill="1" applyAlignment="1">
      <alignment horizontal="center" vertical="center"/>
    </xf>
    <xf numFmtId="167" fontId="24" fillId="9" borderId="0" xfId="0" applyNumberFormat="1" applyFont="1" applyFill="1" applyAlignment="1">
      <alignment vertical="center"/>
    </xf>
    <xf numFmtId="168" fontId="24" fillId="9" borderId="0" xfId="0" quotePrefix="1" applyNumberFormat="1" applyFont="1" applyFill="1" applyAlignment="1">
      <alignment horizontal="center" vertical="center"/>
    </xf>
    <xf numFmtId="167" fontId="24" fillId="9" borderId="5" xfId="0" applyNumberFormat="1" applyFont="1" applyFill="1" applyBorder="1" applyAlignment="1">
      <alignment vertical="center"/>
    </xf>
    <xf numFmtId="167" fontId="24" fillId="9" borderId="0" xfId="0" quotePrefix="1" applyNumberFormat="1" applyFont="1" applyFill="1" applyAlignment="1">
      <alignment horizontal="center" vertical="center"/>
    </xf>
    <xf numFmtId="167" fontId="24" fillId="9" borderId="5" xfId="0" applyNumberFormat="1" applyFont="1" applyFill="1" applyBorder="1" applyAlignment="1">
      <alignment horizontal="center" vertical="center"/>
    </xf>
    <xf numFmtId="167" fontId="24" fillId="9" borderId="0" xfId="0" applyNumberFormat="1" applyFont="1" applyFill="1" applyAlignment="1">
      <alignment horizontal="center" vertical="center"/>
    </xf>
    <xf numFmtId="0" fontId="2" fillId="6" borderId="0" xfId="0" applyFont="1" applyFill="1" applyAlignment="1">
      <alignment vertical="center"/>
    </xf>
    <xf numFmtId="0" fontId="17" fillId="6" borderId="0" xfId="0" applyFont="1" applyFill="1" applyAlignment="1">
      <alignment vertical="center"/>
    </xf>
    <xf numFmtId="0" fontId="17" fillId="6" borderId="0" xfId="0" applyFont="1" applyFill="1" applyAlignment="1">
      <alignment horizontal="left" vertical="center"/>
    </xf>
    <xf numFmtId="41" fontId="24" fillId="9" borderId="0" xfId="0" applyNumberFormat="1" applyFont="1" applyFill="1" applyAlignment="1">
      <alignment horizontal="center" vertical="center"/>
    </xf>
    <xf numFmtId="41" fontId="18" fillId="9" borderId="0" xfId="0" applyNumberFormat="1" applyFont="1" applyFill="1" applyAlignment="1">
      <alignment vertical="center"/>
    </xf>
    <xf numFmtId="41" fontId="24" fillId="9" borderId="0" xfId="0" applyNumberFormat="1" applyFont="1" applyFill="1" applyAlignment="1">
      <alignment vertical="center"/>
    </xf>
    <xf numFmtId="0" fontId="18" fillId="9" borderId="0" xfId="0" applyFont="1" applyFill="1" applyAlignment="1">
      <alignment vertical="center"/>
    </xf>
    <xf numFmtId="41" fontId="18" fillId="9" borderId="0" xfId="0" applyNumberFormat="1" applyFont="1" applyFill="1" applyAlignment="1">
      <alignment horizontal="left" vertical="center"/>
    </xf>
    <xf numFmtId="41" fontId="22" fillId="9" borderId="0" xfId="0" applyNumberFormat="1" applyFont="1" applyFill="1" applyAlignment="1">
      <alignment vertical="center"/>
    </xf>
    <xf numFmtId="41" fontId="24" fillId="9" borderId="5" xfId="0" applyNumberFormat="1" applyFont="1" applyFill="1" applyBorder="1" applyAlignment="1">
      <alignment vertical="center"/>
    </xf>
    <xf numFmtId="41" fontId="24" fillId="9" borderId="16" xfId="0" applyNumberFormat="1" applyFont="1" applyFill="1" applyBorder="1" applyAlignment="1">
      <alignment horizontal="center" vertical="center"/>
    </xf>
    <xf numFmtId="41" fontId="24" fillId="9" borderId="15" xfId="0" applyNumberFormat="1" applyFont="1" applyFill="1" applyBorder="1" applyAlignment="1">
      <alignment horizontal="center" vertical="center"/>
    </xf>
    <xf numFmtId="164" fontId="24" fillId="9" borderId="15" xfId="0" applyNumberFormat="1" applyFont="1" applyFill="1" applyBorder="1" applyAlignment="1">
      <alignment horizontal="center" vertical="center"/>
    </xf>
    <xf numFmtId="164" fontId="24" fillId="9" borderId="0" xfId="0" applyNumberFormat="1" applyFont="1" applyFill="1" applyAlignment="1">
      <alignment vertical="center"/>
    </xf>
    <xf numFmtId="0" fontId="24" fillId="9" borderId="0" xfId="0" applyFont="1" applyFill="1" applyAlignment="1">
      <alignment vertical="center"/>
    </xf>
    <xf numFmtId="166" fontId="18" fillId="9" borderId="0" xfId="0" applyNumberFormat="1" applyFont="1" applyFill="1" applyAlignment="1">
      <alignment horizontal="center" vertical="center"/>
    </xf>
    <xf numFmtId="0" fontId="24" fillId="9" borderId="0" xfId="0" applyFont="1" applyFill="1" applyAlignment="1">
      <alignment horizontal="center" vertical="center"/>
    </xf>
    <xf numFmtId="0" fontId="1" fillId="9" borderId="0" xfId="0" applyFont="1" applyFill="1" applyAlignment="1">
      <alignment vertical="center"/>
    </xf>
    <xf numFmtId="166" fontId="24" fillId="9" borderId="0" xfId="0" applyNumberFormat="1" applyFont="1" applyFill="1" applyAlignment="1">
      <alignment horizontal="left" vertical="center"/>
    </xf>
    <xf numFmtId="166" fontId="18" fillId="9" borderId="0" xfId="0" applyNumberFormat="1" applyFont="1" applyFill="1" applyAlignment="1">
      <alignment vertical="center"/>
    </xf>
    <xf numFmtId="166" fontId="24" fillId="9" borderId="0" xfId="0" applyNumberFormat="1" applyFont="1" applyFill="1" applyAlignment="1">
      <alignment vertical="center"/>
    </xf>
    <xf numFmtId="164" fontId="24" fillId="9" borderId="0" xfId="0" applyNumberFormat="1" applyFont="1" applyFill="1" applyAlignment="1">
      <alignment horizontal="center" vertical="center"/>
    </xf>
    <xf numFmtId="164" fontId="18" fillId="9" borderId="0" xfId="0" applyNumberFormat="1" applyFont="1" applyFill="1" applyAlignment="1">
      <alignment horizontal="center" vertical="center"/>
    </xf>
    <xf numFmtId="0" fontId="18" fillId="9" borderId="5" xfId="0" applyFont="1" applyFill="1" applyBorder="1" applyAlignment="1">
      <alignment vertical="center"/>
    </xf>
    <xf numFmtId="3" fontId="24" fillId="9" borderId="0" xfId="0" applyNumberFormat="1" applyFont="1" applyFill="1" applyAlignment="1">
      <alignment vertical="center"/>
    </xf>
    <xf numFmtId="164" fontId="24" fillId="9" borderId="5" xfId="0" applyNumberFormat="1" applyFont="1" applyFill="1" applyBorder="1" applyAlignment="1">
      <alignment horizontal="center" vertical="center"/>
    </xf>
    <xf numFmtId="0" fontId="20" fillId="6" borderId="0" xfId="0" applyFont="1" applyFill="1" applyAlignment="1">
      <alignment vertical="center"/>
    </xf>
    <xf numFmtId="0" fontId="23" fillId="6" borderId="0" xfId="0" applyFont="1" applyFill="1" applyAlignment="1">
      <alignment vertical="center"/>
    </xf>
    <xf numFmtId="170" fontId="20" fillId="6" borderId="0" xfId="0" applyNumberFormat="1" applyFont="1" applyFill="1" applyAlignment="1">
      <alignment horizontal="center" vertical="center"/>
    </xf>
    <xf numFmtId="170" fontId="20" fillId="6" borderId="0" xfId="1" quotePrefix="1" applyNumberFormat="1" applyFont="1" applyFill="1" applyBorder="1" applyAlignment="1">
      <alignment horizontal="center" vertical="center"/>
    </xf>
    <xf numFmtId="170" fontId="20" fillId="6" borderId="0" xfId="1" applyNumberFormat="1" applyFont="1" applyFill="1" applyBorder="1" applyAlignment="1">
      <alignment horizontal="center" vertical="center"/>
    </xf>
    <xf numFmtId="170" fontId="20" fillId="6" borderId="0" xfId="0" quotePrefix="1" applyNumberFormat="1" applyFont="1" applyFill="1" applyAlignment="1">
      <alignment horizontal="center" vertical="center"/>
    </xf>
    <xf numFmtId="0" fontId="28" fillId="9" borderId="0" xfId="0" applyFont="1" applyFill="1" applyAlignment="1">
      <alignment vertical="center"/>
    </xf>
    <xf numFmtId="170" fontId="26" fillId="9" borderId="0" xfId="1" applyNumberFormat="1" applyFont="1" applyFill="1" applyBorder="1" applyAlignment="1">
      <alignment vertical="center"/>
    </xf>
    <xf numFmtId="170" fontId="28" fillId="9" borderId="5" xfId="1" applyNumberFormat="1" applyFont="1" applyFill="1" applyBorder="1" applyAlignment="1">
      <alignment horizontal="center" vertical="center"/>
    </xf>
    <xf numFmtId="164" fontId="29" fillId="9" borderId="0" xfId="1" applyNumberFormat="1" applyFont="1" applyFill="1" applyBorder="1" applyAlignment="1">
      <alignment horizontal="center" vertical="center"/>
    </xf>
    <xf numFmtId="164" fontId="28" fillId="9" borderId="0" xfId="1" applyNumberFormat="1" applyFont="1" applyFill="1" applyBorder="1" applyAlignment="1">
      <alignment horizontal="center" vertical="center"/>
    </xf>
    <xf numFmtId="0" fontId="28" fillId="9" borderId="0" xfId="1" applyNumberFormat="1" applyFont="1" applyFill="1" applyBorder="1" applyAlignment="1">
      <alignment horizontal="center" vertical="center"/>
    </xf>
    <xf numFmtId="0" fontId="29" fillId="9" borderId="0" xfId="0" applyFont="1" applyFill="1" applyAlignment="1">
      <alignment horizontal="left" vertical="center"/>
    </xf>
    <xf numFmtId="170" fontId="28" fillId="9" borderId="5" xfId="0" quotePrefix="1" applyNumberFormat="1" applyFont="1" applyFill="1" applyBorder="1" applyAlignment="1">
      <alignment horizontal="center" vertical="center"/>
    </xf>
    <xf numFmtId="164" fontId="28" fillId="9" borderId="0" xfId="0" quotePrefix="1" applyNumberFormat="1" applyFont="1" applyFill="1" applyAlignment="1">
      <alignment horizontal="center" vertical="center"/>
    </xf>
    <xf numFmtId="165" fontId="28" fillId="9" borderId="0" xfId="1" applyFont="1" applyFill="1" applyBorder="1" applyAlignment="1">
      <alignment horizontal="center" vertical="center"/>
    </xf>
    <xf numFmtId="170" fontId="28" fillId="9" borderId="10" xfId="0" quotePrefix="1" applyNumberFormat="1" applyFont="1" applyFill="1" applyBorder="1" applyAlignment="1">
      <alignment horizontal="center" vertical="center"/>
    </xf>
    <xf numFmtId="0" fontId="4" fillId="6" borderId="0" xfId="0" applyFont="1" applyFill="1" applyAlignment="1">
      <alignment vertical="center"/>
    </xf>
    <xf numFmtId="0" fontId="4" fillId="6" borderId="0" xfId="0" applyFont="1" applyFill="1" applyAlignment="1">
      <alignment horizontal="left" vertical="center"/>
    </xf>
    <xf numFmtId="170" fontId="4" fillId="6" borderId="0" xfId="1" quotePrefix="1" applyNumberFormat="1" applyFont="1" applyFill="1" applyBorder="1" applyAlignment="1">
      <alignment horizontal="center" vertical="center"/>
    </xf>
    <xf numFmtId="0" fontId="28" fillId="6" borderId="0" xfId="0" applyFont="1" applyFill="1" applyAlignment="1">
      <alignment horizontal="center" vertical="center"/>
    </xf>
    <xf numFmtId="0" fontId="18" fillId="9" borderId="0" xfId="0" applyFont="1" applyFill="1" applyAlignment="1">
      <alignment horizontal="center" vertical="center"/>
    </xf>
    <xf numFmtId="166" fontId="32" fillId="9" borderId="5" xfId="0" applyNumberFormat="1" applyFont="1" applyFill="1" applyBorder="1" applyAlignment="1">
      <alignment horizontal="center" vertical="center"/>
    </xf>
    <xf numFmtId="166" fontId="32" fillId="9" borderId="0" xfId="0" applyNumberFormat="1" applyFont="1" applyFill="1" applyAlignment="1">
      <alignment horizontal="center" vertical="center"/>
    </xf>
    <xf numFmtId="1" fontId="1" fillId="6" borderId="0" xfId="0" applyNumberFormat="1" applyFont="1" applyFill="1" applyAlignment="1">
      <alignment horizontal="left" vertical="center" indent="1"/>
    </xf>
    <xf numFmtId="1" fontId="1" fillId="6" borderId="0" xfId="0" applyNumberFormat="1" applyFont="1" applyFill="1" applyAlignment="1">
      <alignment horizontal="left" vertical="center" indent="3"/>
    </xf>
    <xf numFmtId="0" fontId="50" fillId="9" borderId="0" xfId="0" applyFont="1" applyFill="1" applyAlignment="1">
      <alignment vertical="center"/>
    </xf>
    <xf numFmtId="41" fontId="51" fillId="9" borderId="0" xfId="1" applyNumberFormat="1" applyFont="1" applyFill="1" applyBorder="1" applyAlignment="1">
      <alignment horizontal="center" vertical="center"/>
    </xf>
    <xf numFmtId="41" fontId="49" fillId="9" borderId="0" xfId="1" applyNumberFormat="1" applyFont="1" applyFill="1" applyBorder="1" applyAlignment="1">
      <alignment horizontal="center" vertical="center"/>
    </xf>
    <xf numFmtId="41" fontId="49" fillId="9" borderId="0" xfId="0" applyNumberFormat="1" applyFont="1" applyFill="1" applyAlignment="1">
      <alignment vertical="center"/>
    </xf>
    <xf numFmtId="41" fontId="49" fillId="9" borderId="0" xfId="0" quotePrefix="1" applyNumberFormat="1" applyFont="1" applyFill="1" applyAlignment="1">
      <alignment horizontal="center" vertical="center"/>
    </xf>
    <xf numFmtId="164" fontId="26" fillId="9" borderId="0" xfId="0" applyNumberFormat="1" applyFont="1" applyFill="1" applyAlignment="1">
      <alignment horizontal="center" vertical="center"/>
    </xf>
    <xf numFmtId="165" fontId="26" fillId="9" borderId="0" xfId="0" applyNumberFormat="1" applyFont="1" applyFill="1" applyAlignment="1">
      <alignment horizontal="right" vertical="center"/>
    </xf>
    <xf numFmtId="0" fontId="26" fillId="9" borderId="0" xfId="0" applyFont="1" applyFill="1" applyAlignment="1">
      <alignment vertical="center"/>
    </xf>
    <xf numFmtId="41" fontId="49" fillId="9" borderId="0" xfId="0" applyNumberFormat="1" applyFont="1" applyFill="1" applyAlignment="1">
      <alignment horizontal="right" vertical="center"/>
    </xf>
    <xf numFmtId="41" fontId="49" fillId="9" borderId="0" xfId="0" applyNumberFormat="1" applyFont="1" applyFill="1" applyAlignment="1">
      <alignment horizontal="center" vertical="center"/>
    </xf>
    <xf numFmtId="41" fontId="49" fillId="9" borderId="0" xfId="0" quotePrefix="1" applyNumberFormat="1" applyFont="1" applyFill="1" applyAlignment="1">
      <alignment horizontal="right" vertical="center"/>
    </xf>
    <xf numFmtId="41" fontId="51" fillId="9" borderId="0" xfId="1" applyNumberFormat="1" applyFont="1" applyFill="1" applyBorder="1" applyAlignment="1">
      <alignment horizontal="left" vertical="center"/>
    </xf>
    <xf numFmtId="41" fontId="51" fillId="9" borderId="0" xfId="0" applyNumberFormat="1" applyFont="1" applyFill="1" applyAlignment="1">
      <alignment horizontal="center" vertical="center"/>
    </xf>
    <xf numFmtId="166" fontId="32" fillId="9" borderId="0" xfId="0" applyNumberFormat="1" applyFont="1" applyFill="1" applyAlignment="1">
      <alignment horizontal="left" vertical="center" indent="1"/>
    </xf>
    <xf numFmtId="166" fontId="20" fillId="6" borderId="0" xfId="0" applyNumberFormat="1" applyFont="1" applyFill="1" applyAlignment="1">
      <alignment horizontal="left" vertical="center" indent="1"/>
    </xf>
    <xf numFmtId="0" fontId="41" fillId="9" borderId="0" xfId="0" applyFont="1" applyFill="1" applyAlignment="1">
      <alignment horizontal="center" vertical="center" wrapText="1"/>
    </xf>
    <xf numFmtId="0" fontId="41" fillId="9" borderId="0" xfId="0" applyFont="1" applyFill="1" applyAlignment="1">
      <alignment horizontal="center" vertical="center"/>
    </xf>
    <xf numFmtId="41" fontId="24" fillId="9" borderId="9" xfId="0" applyNumberFormat="1" applyFont="1" applyFill="1" applyBorder="1" applyAlignment="1">
      <alignment vertical="center"/>
    </xf>
    <xf numFmtId="164" fontId="1" fillId="0" borderId="0" xfId="0" quotePrefix="1" applyNumberFormat="1" applyFont="1" applyAlignment="1">
      <alignment horizontal="left" vertical="center"/>
    </xf>
    <xf numFmtId="0" fontId="13" fillId="6" borderId="0" xfId="0" applyFont="1" applyFill="1" applyAlignment="1">
      <alignment horizontal="left" vertical="center" indent="1"/>
    </xf>
    <xf numFmtId="164" fontId="14" fillId="0" borderId="0" xfId="0" applyNumberFormat="1" applyFont="1" applyAlignment="1">
      <alignment horizontal="center" vertical="center"/>
    </xf>
    <xf numFmtId="0" fontId="14" fillId="6" borderId="0" xfId="0" applyFont="1" applyFill="1" applyAlignment="1">
      <alignment horizontal="left" vertical="center" indent="1"/>
    </xf>
    <xf numFmtId="0" fontId="14" fillId="0" borderId="0" xfId="0" applyFont="1" applyAlignment="1">
      <alignment vertical="center" wrapText="1"/>
    </xf>
    <xf numFmtId="164" fontId="14" fillId="0" borderId="0" xfId="0" quotePrefix="1" applyNumberFormat="1" applyFont="1" applyAlignment="1">
      <alignment horizontal="center" vertical="center"/>
    </xf>
    <xf numFmtId="41" fontId="32" fillId="9" borderId="0" xfId="0" applyNumberFormat="1" applyFont="1" applyFill="1" applyAlignment="1">
      <alignment horizontal="center" vertical="center"/>
    </xf>
    <xf numFmtId="41" fontId="32" fillId="9" borderId="0" xfId="0" applyNumberFormat="1" applyFont="1" applyFill="1" applyAlignment="1">
      <alignment vertical="center"/>
    </xf>
    <xf numFmtId="41" fontId="1" fillId="0" borderId="0" xfId="0" quotePrefix="1" applyNumberFormat="1" applyFont="1" applyAlignment="1">
      <alignment vertical="center"/>
    </xf>
    <xf numFmtId="41" fontId="40" fillId="0" borderId="0" xfId="0" quotePrefix="1" applyNumberFormat="1" applyFont="1" applyAlignment="1">
      <alignment vertical="center"/>
    </xf>
    <xf numFmtId="164" fontId="1" fillId="2" borderId="0" xfId="0" applyNumberFormat="1" applyFont="1" applyFill="1" applyAlignment="1">
      <alignment horizontal="center" vertical="center" wrapText="1"/>
    </xf>
    <xf numFmtId="0" fontId="64" fillId="6" borderId="0" xfId="0" applyFont="1" applyFill="1" applyAlignment="1">
      <alignment vertical="center" wrapText="1"/>
    </xf>
    <xf numFmtId="41" fontId="65" fillId="6" borderId="0" xfId="0" applyNumberFormat="1" applyFont="1" applyFill="1" applyAlignment="1">
      <alignment vertical="center" wrapText="1"/>
    </xf>
    <xf numFmtId="0" fontId="65" fillId="6" borderId="0" xfId="0" applyFont="1" applyFill="1" applyAlignment="1">
      <alignment vertical="center" wrapText="1"/>
    </xf>
    <xf numFmtId="0" fontId="64" fillId="6" borderId="0" xfId="0" applyFont="1" applyFill="1"/>
    <xf numFmtId="0" fontId="20" fillId="6" borderId="0" xfId="0" applyFont="1" applyFill="1" applyAlignment="1">
      <alignment horizontal="justify" vertical="justify" wrapText="1"/>
    </xf>
    <xf numFmtId="0" fontId="31" fillId="7" borderId="0" xfId="0" applyFont="1" applyFill="1"/>
    <xf numFmtId="0" fontId="31" fillId="0" borderId="0" xfId="0" applyFont="1" applyAlignment="1">
      <alignment vertical="center" wrapText="1"/>
    </xf>
    <xf numFmtId="0" fontId="15" fillId="0" borderId="0" xfId="0" applyFont="1" applyAlignment="1">
      <alignment horizontal="left"/>
    </xf>
    <xf numFmtId="166" fontId="20" fillId="0" borderId="0" xfId="0" quotePrefix="1" applyNumberFormat="1" applyFont="1" applyAlignment="1">
      <alignment horizontal="center" vertical="center" wrapText="1"/>
    </xf>
    <xf numFmtId="176" fontId="20" fillId="0" borderId="0" xfId="0" quotePrefix="1" applyNumberFormat="1" applyFont="1" applyAlignment="1">
      <alignment vertical="center" wrapText="1"/>
    </xf>
    <xf numFmtId="176" fontId="20" fillId="0" borderId="0" xfId="0" applyNumberFormat="1" applyFont="1" applyAlignment="1">
      <alignment horizontal="center" vertical="center" wrapText="1"/>
    </xf>
    <xf numFmtId="166" fontId="23" fillId="0" borderId="0" xfId="0" applyNumberFormat="1" applyFont="1" applyAlignment="1">
      <alignment horizontal="left" vertical="center" wrapText="1"/>
    </xf>
    <xf numFmtId="166" fontId="20" fillId="0" borderId="0" xfId="0" applyNumberFormat="1" applyFont="1" applyAlignment="1">
      <alignment horizontal="left" vertical="center" wrapText="1"/>
    </xf>
    <xf numFmtId="41" fontId="20" fillId="0" borderId="0" xfId="0" applyNumberFormat="1" applyFont="1" applyAlignment="1">
      <alignment vertical="center"/>
    </xf>
    <xf numFmtId="0" fontId="13" fillId="0" borderId="0" xfId="0" applyFont="1" applyAlignment="1">
      <alignment horizontal="left" vertical="center"/>
    </xf>
    <xf numFmtId="0" fontId="14" fillId="0" borderId="0" xfId="0" applyFont="1" applyAlignment="1">
      <alignment horizontal="center" vertical="center"/>
    </xf>
    <xf numFmtId="0" fontId="68" fillId="10" borderId="0" xfId="2" applyFont="1" applyFill="1" applyAlignment="1">
      <alignment horizontal="left" vertical="center" wrapText="1" indent="1"/>
    </xf>
    <xf numFmtId="176" fontId="23" fillId="0" borderId="0" xfId="0" applyNumberFormat="1" applyFont="1" applyAlignment="1">
      <alignment horizontal="right" vertical="center" wrapText="1"/>
    </xf>
    <xf numFmtId="176" fontId="20" fillId="0" borderId="0" xfId="0" applyNumberFormat="1" applyFont="1" applyAlignment="1">
      <alignment horizontal="right" vertical="center" wrapText="1"/>
    </xf>
    <xf numFmtId="164" fontId="23" fillId="0" borderId="0" xfId="0" quotePrefix="1" applyNumberFormat="1" applyFont="1" applyAlignment="1">
      <alignment horizontal="right" vertical="center"/>
    </xf>
    <xf numFmtId="164" fontId="20" fillId="2" borderId="0" xfId="0" quotePrefix="1" applyNumberFormat="1" applyFont="1" applyFill="1" applyAlignment="1">
      <alignment horizontal="right" vertical="center"/>
    </xf>
    <xf numFmtId="164" fontId="23" fillId="0" borderId="0" xfId="0" applyNumberFormat="1" applyFont="1" applyAlignment="1">
      <alignment horizontal="right" vertical="center"/>
    </xf>
    <xf numFmtId="0" fontId="0" fillId="0" borderId="0" xfId="0" applyAlignment="1">
      <alignment horizontal="left" vertical="center" wrapText="1" indent="1"/>
    </xf>
    <xf numFmtId="0" fontId="65" fillId="4" borderId="0" xfId="2" applyFont="1" applyFill="1" applyAlignment="1">
      <alignment horizontal="left" vertical="center" wrapText="1" indent="1"/>
    </xf>
    <xf numFmtId="164" fontId="66" fillId="0" borderId="0" xfId="0" quotePrefix="1" applyNumberFormat="1" applyFont="1" applyAlignment="1">
      <alignment horizontal="right" vertical="center"/>
    </xf>
    <xf numFmtId="164" fontId="66" fillId="0" borderId="0" xfId="0" applyNumberFormat="1" applyFont="1" applyAlignment="1">
      <alignment horizontal="right" vertical="center" wrapText="1"/>
    </xf>
    <xf numFmtId="164" fontId="71" fillId="0" borderId="0" xfId="0" applyNumberFormat="1" applyFont="1" applyAlignment="1">
      <alignment horizontal="right" vertical="center"/>
    </xf>
    <xf numFmtId="164" fontId="71" fillId="0" borderId="0" xfId="0" applyNumberFormat="1" applyFont="1" applyAlignment="1">
      <alignment horizontal="right" vertical="center" wrapText="1"/>
    </xf>
    <xf numFmtId="0" fontId="31" fillId="0" borderId="0" xfId="0" applyFont="1" applyAlignment="1">
      <alignment horizontal="center" vertical="center"/>
    </xf>
    <xf numFmtId="0" fontId="71" fillId="0" borderId="0" xfId="0" applyFont="1" applyAlignment="1">
      <alignment horizontal="center" vertical="center"/>
    </xf>
    <xf numFmtId="0" fontId="70" fillId="0" borderId="0" xfId="0" applyFont="1" applyAlignment="1">
      <alignment vertical="center" shrinkToFit="1"/>
    </xf>
    <xf numFmtId="0" fontId="70" fillId="0" borderId="0" xfId="0" applyFont="1" applyAlignment="1">
      <alignment vertical="top" wrapText="1"/>
    </xf>
    <xf numFmtId="176" fontId="1" fillId="0" borderId="0" xfId="0" applyNumberFormat="1" applyFont="1" applyAlignment="1">
      <alignment vertical="center"/>
    </xf>
    <xf numFmtId="176" fontId="1" fillId="0" borderId="0" xfId="0" applyNumberFormat="1" applyFont="1" applyAlignment="1">
      <alignment horizontal="center" vertical="center"/>
    </xf>
    <xf numFmtId="176" fontId="1" fillId="0" borderId="0" xfId="0" quotePrefix="1" applyNumberFormat="1" applyFont="1" applyAlignment="1">
      <alignment vertical="center"/>
    </xf>
    <xf numFmtId="167" fontId="22" fillId="0" borderId="0" xfId="0" applyNumberFormat="1" applyFont="1" applyAlignment="1">
      <alignment vertical="center"/>
    </xf>
    <xf numFmtId="176" fontId="1" fillId="0" borderId="0" xfId="0" quotePrefix="1" applyNumberFormat="1" applyFont="1" applyAlignment="1">
      <alignment horizontal="center" vertical="center"/>
    </xf>
    <xf numFmtId="176" fontId="20" fillId="0" borderId="0" xfId="0" applyNumberFormat="1" applyFont="1" applyAlignment="1">
      <alignment vertical="center"/>
    </xf>
    <xf numFmtId="176" fontId="1" fillId="0" borderId="0" xfId="0" quotePrefix="1" applyNumberFormat="1" applyFont="1" applyAlignment="1">
      <alignment horizontal="right" vertical="center"/>
    </xf>
    <xf numFmtId="167" fontId="22" fillId="0" borderId="0" xfId="0" quotePrefix="1" applyNumberFormat="1" applyFont="1" applyAlignment="1">
      <alignment vertical="center"/>
    </xf>
    <xf numFmtId="176" fontId="20" fillId="0" borderId="0" xfId="0" applyNumberFormat="1" applyFont="1" applyAlignment="1">
      <alignment horizontal="left" vertical="center"/>
    </xf>
    <xf numFmtId="2" fontId="1" fillId="0" borderId="0" xfId="0" quotePrefix="1" applyNumberFormat="1" applyFont="1" applyAlignment="1">
      <alignment vertical="center"/>
    </xf>
    <xf numFmtId="176" fontId="1" fillId="0" borderId="0" xfId="0" applyNumberFormat="1" applyFont="1" applyAlignment="1">
      <alignment horizontal="right" vertical="center"/>
    </xf>
    <xf numFmtId="168" fontId="4" fillId="0" borderId="0" xfId="0" quotePrefix="1" applyNumberFormat="1" applyFont="1" applyAlignment="1">
      <alignment horizontal="left" vertical="center"/>
    </xf>
    <xf numFmtId="41" fontId="40" fillId="0" borderId="0" xfId="0" quotePrefix="1" applyNumberFormat="1" applyFont="1" applyAlignment="1">
      <alignment horizontal="center" vertical="center"/>
    </xf>
    <xf numFmtId="176" fontId="20" fillId="0" borderId="0" xfId="1" applyNumberFormat="1" applyFont="1" applyAlignment="1">
      <alignment horizontal="center" vertical="center"/>
    </xf>
    <xf numFmtId="176" fontId="20" fillId="0" borderId="0" xfId="0" applyNumberFormat="1" applyFont="1" applyAlignment="1">
      <alignment horizontal="center" vertical="center"/>
    </xf>
    <xf numFmtId="176" fontId="20" fillId="0" borderId="0" xfId="0" quotePrefix="1" applyNumberFormat="1" applyFont="1" applyAlignment="1">
      <alignment horizontal="center" vertical="center"/>
    </xf>
    <xf numFmtId="176" fontId="40" fillId="0" borderId="0" xfId="1" applyNumberFormat="1" applyFont="1" applyAlignment="1">
      <alignment horizontal="center" vertical="center"/>
    </xf>
    <xf numFmtId="176" fontId="40" fillId="0" borderId="0" xfId="0" applyNumberFormat="1" applyFont="1" applyAlignment="1">
      <alignment horizontal="center" vertical="center"/>
    </xf>
    <xf numFmtId="176" fontId="40" fillId="0" borderId="0" xfId="0" quotePrefix="1" applyNumberFormat="1" applyFont="1" applyAlignment="1">
      <alignment horizontal="center" vertical="center"/>
    </xf>
    <xf numFmtId="164" fontId="40" fillId="0" borderId="0" xfId="1" applyNumberFormat="1" applyFont="1" applyBorder="1" applyAlignment="1">
      <alignment horizontal="center" vertical="center"/>
    </xf>
    <xf numFmtId="164" fontId="40" fillId="0" borderId="0" xfId="0" applyNumberFormat="1" applyFont="1" applyAlignment="1">
      <alignment horizontal="center" vertical="center"/>
    </xf>
    <xf numFmtId="164" fontId="40" fillId="0" borderId="0" xfId="1" applyNumberFormat="1" applyFont="1" applyBorder="1" applyAlignment="1">
      <alignment horizontal="left" vertical="center"/>
    </xf>
    <xf numFmtId="164" fontId="40" fillId="0" borderId="0" xfId="0" quotePrefix="1" applyNumberFormat="1" applyFont="1" applyAlignment="1">
      <alignment horizontal="center" vertical="center"/>
    </xf>
    <xf numFmtId="164" fontId="72" fillId="9" borderId="0" xfId="1" applyNumberFormat="1" applyFont="1" applyFill="1" applyBorder="1" applyAlignment="1">
      <alignment horizontal="center" vertical="center"/>
    </xf>
    <xf numFmtId="164" fontId="73" fillId="9" borderId="0" xfId="0" quotePrefix="1" applyNumberFormat="1" applyFont="1" applyFill="1" applyAlignment="1">
      <alignment horizontal="center" vertical="center"/>
    </xf>
    <xf numFmtId="0" fontId="40" fillId="0" borderId="0" xfId="0" applyFont="1" applyAlignment="1">
      <alignment horizontal="left"/>
    </xf>
    <xf numFmtId="0" fontId="40" fillId="0" borderId="0" xfId="0" applyFont="1" applyAlignment="1">
      <alignment vertical="center" wrapText="1"/>
    </xf>
    <xf numFmtId="164" fontId="21" fillId="0" borderId="0" xfId="0" applyNumberFormat="1" applyFont="1" applyAlignment="1">
      <alignment horizontal="right" vertical="center"/>
    </xf>
    <xf numFmtId="164" fontId="21" fillId="0" borderId="0" xfId="0" quotePrefix="1" applyNumberFormat="1" applyFont="1" applyAlignment="1">
      <alignment horizontal="right" vertical="center"/>
    </xf>
    <xf numFmtId="164" fontId="40" fillId="0" borderId="0" xfId="1" applyNumberFormat="1" applyFont="1" applyBorder="1" applyAlignment="1">
      <alignment horizontal="right" vertical="center"/>
    </xf>
    <xf numFmtId="164" fontId="73" fillId="9" borderId="0" xfId="1" applyNumberFormat="1" applyFont="1" applyFill="1" applyBorder="1" applyAlignment="1">
      <alignment horizontal="right" vertical="center"/>
    </xf>
    <xf numFmtId="164" fontId="73" fillId="9" borderId="0" xfId="0" quotePrefix="1" applyNumberFormat="1" applyFont="1" applyFill="1" applyAlignment="1">
      <alignment horizontal="right" vertical="center"/>
    </xf>
    <xf numFmtId="0" fontId="40" fillId="0" borderId="0" xfId="0" applyFont="1" applyAlignment="1">
      <alignment horizontal="right" vertical="center"/>
    </xf>
    <xf numFmtId="0" fontId="40" fillId="0" borderId="0" xfId="0" applyFont="1" applyAlignment="1">
      <alignment horizontal="right" vertical="center" wrapText="1"/>
    </xf>
    <xf numFmtId="0" fontId="40" fillId="0" borderId="0" xfId="0" applyFont="1" applyAlignment="1">
      <alignment horizontal="right"/>
    </xf>
    <xf numFmtId="176" fontId="40" fillId="0" borderId="0" xfId="1" applyNumberFormat="1" applyFont="1" applyAlignment="1">
      <alignment horizontal="left" vertical="center"/>
    </xf>
    <xf numFmtId="176" fontId="40" fillId="0" borderId="0" xfId="1" applyNumberFormat="1" applyFont="1" applyAlignment="1">
      <alignment horizontal="right" vertical="center"/>
    </xf>
    <xf numFmtId="176" fontId="4" fillId="0" borderId="0" xfId="1" applyNumberFormat="1" applyFont="1" applyBorder="1" applyAlignment="1">
      <alignment horizontal="center" vertical="center"/>
    </xf>
    <xf numFmtId="176" fontId="4" fillId="0" borderId="0" xfId="1" applyNumberFormat="1" applyFont="1" applyBorder="1" applyAlignment="1">
      <alignment horizontal="right" vertical="center"/>
    </xf>
    <xf numFmtId="176" fontId="4" fillId="0" borderId="0" xfId="0" applyNumberFormat="1" applyFont="1" applyAlignment="1">
      <alignment vertical="center"/>
    </xf>
    <xf numFmtId="176" fontId="4" fillId="0" borderId="0" xfId="1" applyNumberFormat="1" applyFont="1" applyBorder="1" applyAlignment="1">
      <alignment horizontal="left" vertical="center"/>
    </xf>
    <xf numFmtId="164" fontId="23" fillId="0" borderId="0" xfId="0" applyNumberFormat="1" applyFont="1" applyAlignment="1">
      <alignment vertical="center"/>
    </xf>
    <xf numFmtId="164" fontId="4" fillId="0" borderId="0" xfId="0" quotePrefix="1" applyNumberFormat="1" applyFont="1" applyAlignment="1">
      <alignment horizontal="right" vertical="center"/>
    </xf>
    <xf numFmtId="164" fontId="4" fillId="0" borderId="0" xfId="0" applyNumberFormat="1" applyFont="1" applyAlignment="1">
      <alignment horizontal="right" vertical="center"/>
    </xf>
    <xf numFmtId="164" fontId="25" fillId="0" borderId="0" xfId="0" applyNumberFormat="1" applyFont="1" applyAlignment="1">
      <alignment horizontal="center" vertical="center"/>
    </xf>
    <xf numFmtId="176" fontId="4" fillId="0" borderId="0" xfId="0" quotePrefix="1" applyNumberFormat="1" applyFont="1" applyAlignment="1">
      <alignment horizontal="right" vertical="center"/>
    </xf>
    <xf numFmtId="176" fontId="4" fillId="0" borderId="0" xfId="0" applyNumberFormat="1" applyFont="1" applyAlignment="1">
      <alignment horizontal="right" vertical="center"/>
    </xf>
    <xf numFmtId="176" fontId="25" fillId="0" borderId="0" xfId="0" applyNumberFormat="1" applyFont="1" applyAlignment="1">
      <alignment horizontal="center" vertical="center"/>
    </xf>
    <xf numFmtId="176" fontId="25" fillId="0" borderId="0" xfId="0" applyNumberFormat="1" applyFont="1" applyAlignment="1">
      <alignment horizontal="right" vertical="center"/>
    </xf>
    <xf numFmtId="176" fontId="25" fillId="0" borderId="0" xfId="0" quotePrefix="1" applyNumberFormat="1" applyFont="1" applyAlignment="1">
      <alignment horizontal="center" vertical="center"/>
    </xf>
    <xf numFmtId="177" fontId="25" fillId="0" borderId="0" xfId="0" applyNumberFormat="1" applyFont="1" applyAlignment="1">
      <alignment horizontal="right" vertical="center"/>
    </xf>
    <xf numFmtId="177" fontId="25" fillId="0" borderId="0" xfId="0" applyNumberFormat="1" applyFont="1" applyAlignment="1">
      <alignment horizontal="center" vertical="center"/>
    </xf>
    <xf numFmtId="176" fontId="4" fillId="0" borderId="0" xfId="0" quotePrefix="1" applyNumberFormat="1" applyFont="1" applyAlignment="1">
      <alignment horizontal="center" vertical="center"/>
    </xf>
    <xf numFmtId="177" fontId="4" fillId="0" borderId="0" xfId="0" applyNumberFormat="1" applyFont="1" applyAlignment="1">
      <alignment vertical="center"/>
    </xf>
    <xf numFmtId="176" fontId="25" fillId="0" borderId="0" xfId="0" applyNumberFormat="1" applyFont="1" applyAlignment="1">
      <alignment vertical="center"/>
    </xf>
    <xf numFmtId="0" fontId="54" fillId="10" borderId="0" xfId="2" applyFont="1" applyFill="1" applyAlignment="1">
      <alignment horizontal="center" vertical="center" wrapText="1"/>
    </xf>
    <xf numFmtId="0" fontId="54" fillId="10" borderId="0" xfId="2" applyFont="1" applyFill="1" applyAlignment="1">
      <alignment horizontal="left" vertical="center" wrapText="1" indent="1"/>
    </xf>
    <xf numFmtId="0" fontId="25" fillId="6" borderId="0" xfId="0" applyFont="1" applyFill="1" applyAlignment="1">
      <alignment horizontal="left" vertical="center" indent="1"/>
    </xf>
    <xf numFmtId="0" fontId="4" fillId="6" borderId="0" xfId="0" applyFont="1" applyFill="1" applyAlignment="1">
      <alignment horizontal="left" vertical="center" indent="1"/>
    </xf>
    <xf numFmtId="176" fontId="12" fillId="0" borderId="0" xfId="0" applyNumberFormat="1" applyFont="1" applyAlignment="1">
      <alignment vertical="center"/>
    </xf>
    <xf numFmtId="0" fontId="4" fillId="2" borderId="0" xfId="0" applyFont="1" applyFill="1" applyAlignment="1">
      <alignment vertical="center"/>
    </xf>
    <xf numFmtId="176" fontId="4" fillId="2" borderId="0" xfId="0" applyNumberFormat="1" applyFont="1" applyFill="1" applyAlignment="1">
      <alignment vertical="center"/>
    </xf>
    <xf numFmtId="0" fontId="45" fillId="2" borderId="0" xfId="0" applyFont="1" applyFill="1" applyAlignment="1">
      <alignment vertical="center"/>
    </xf>
    <xf numFmtId="164" fontId="45" fillId="2" borderId="0" xfId="0" applyNumberFormat="1" applyFont="1" applyFill="1" applyAlignment="1">
      <alignment vertical="center"/>
    </xf>
    <xf numFmtId="164" fontId="4" fillId="2" borderId="0" xfId="0" applyNumberFormat="1" applyFont="1" applyFill="1" applyAlignment="1">
      <alignment vertical="center"/>
    </xf>
    <xf numFmtId="176" fontId="23" fillId="0" borderId="0" xfId="0" applyNumberFormat="1" applyFont="1" applyAlignment="1">
      <alignment vertical="center"/>
    </xf>
    <xf numFmtId="166" fontId="13" fillId="2" borderId="0" xfId="0" applyNumberFormat="1" applyFont="1" applyFill="1" applyAlignment="1">
      <alignment horizontal="center" vertical="center"/>
    </xf>
    <xf numFmtId="176" fontId="51" fillId="9" borderId="0" xfId="1" applyNumberFormat="1" applyFont="1" applyFill="1" applyBorder="1" applyAlignment="1">
      <alignment horizontal="right" vertical="center"/>
    </xf>
    <xf numFmtId="176" fontId="51" fillId="9" borderId="0" xfId="1" applyNumberFormat="1" applyFont="1" applyFill="1" applyBorder="1" applyAlignment="1">
      <alignment horizontal="center" vertical="center"/>
    </xf>
    <xf numFmtId="176" fontId="49" fillId="9" borderId="0" xfId="0" quotePrefix="1" applyNumberFormat="1" applyFont="1" applyFill="1" applyAlignment="1">
      <alignment horizontal="center" vertical="center"/>
    </xf>
    <xf numFmtId="177" fontId="49" fillId="9" borderId="0" xfId="0" quotePrefix="1" applyNumberFormat="1" applyFont="1" applyFill="1" applyAlignment="1">
      <alignment horizontal="center" vertical="center"/>
    </xf>
    <xf numFmtId="176" fontId="51" fillId="9" borderId="0" xfId="0" applyNumberFormat="1" applyFont="1" applyFill="1" applyAlignment="1">
      <alignment vertical="center"/>
    </xf>
    <xf numFmtId="0" fontId="18" fillId="0" borderId="0" xfId="0" applyFont="1" applyAlignment="1">
      <alignment horizontal="left" vertical="center" wrapText="1" indent="1"/>
    </xf>
    <xf numFmtId="166" fontId="18" fillId="0" borderId="0" xfId="0" applyNumberFormat="1" applyFont="1" applyAlignment="1">
      <alignment horizontal="center" vertical="center"/>
    </xf>
    <xf numFmtId="176" fontId="49" fillId="9" borderId="13" xfId="0" quotePrefix="1" applyNumberFormat="1" applyFont="1" applyFill="1" applyBorder="1" applyAlignment="1">
      <alignment horizontal="center" vertical="center"/>
    </xf>
    <xf numFmtId="0" fontId="50" fillId="0" borderId="0" xfId="0" applyFont="1" applyAlignment="1">
      <alignment vertical="center"/>
    </xf>
    <xf numFmtId="0" fontId="4" fillId="0" borderId="0" xfId="0" applyFont="1" applyAlignment="1">
      <alignment vertical="center" shrinkToFit="1"/>
    </xf>
    <xf numFmtId="0" fontId="4" fillId="0" borderId="0" xfId="0" applyFont="1" applyAlignment="1">
      <alignment horizontal="left"/>
    </xf>
    <xf numFmtId="0" fontId="4" fillId="0" borderId="0" xfId="0" applyFont="1" applyAlignment="1">
      <alignment vertical="center" wrapText="1"/>
    </xf>
    <xf numFmtId="0" fontId="4" fillId="0" borderId="0" xfId="0" applyFont="1" applyAlignment="1">
      <alignment horizontal="center" vertical="center"/>
    </xf>
    <xf numFmtId="176" fontId="47" fillId="9" borderId="0" xfId="0" quotePrefix="1" applyNumberFormat="1" applyFont="1" applyFill="1" applyAlignment="1">
      <alignment horizontal="left" vertical="center"/>
    </xf>
    <xf numFmtId="176" fontId="45" fillId="0" borderId="0" xfId="1" applyNumberFormat="1" applyFont="1" applyBorder="1" applyAlignment="1">
      <alignment horizontal="left" vertical="center"/>
    </xf>
    <xf numFmtId="43" fontId="49" fillId="9" borderId="0" xfId="0" quotePrefix="1" applyNumberFormat="1" applyFont="1" applyFill="1" applyAlignment="1">
      <alignment horizontal="center" vertical="center"/>
    </xf>
    <xf numFmtId="176" fontId="44" fillId="0" borderId="0" xfId="0" quotePrefix="1" applyNumberFormat="1" applyFont="1" applyAlignment="1">
      <alignment horizontal="center" vertical="center"/>
    </xf>
    <xf numFmtId="0" fontId="74" fillId="0" borderId="0" xfId="0" applyFont="1" applyAlignment="1">
      <alignment vertical="center"/>
    </xf>
    <xf numFmtId="0" fontId="75" fillId="0" borderId="0" xfId="0" applyFont="1" applyAlignment="1">
      <alignment horizontal="left" vertical="center"/>
    </xf>
    <xf numFmtId="164" fontId="74" fillId="0" borderId="0" xfId="0" applyNumberFormat="1" applyFont="1" applyAlignment="1">
      <alignment vertical="center"/>
    </xf>
    <xf numFmtId="164" fontId="75" fillId="0" borderId="0" xfId="0" applyNumberFormat="1" applyFont="1" applyAlignment="1">
      <alignment vertical="center"/>
    </xf>
    <xf numFmtId="0" fontId="75" fillId="0" borderId="0" xfId="0" applyFont="1" applyAlignment="1">
      <alignment vertical="center"/>
    </xf>
    <xf numFmtId="0" fontId="15" fillId="0" borderId="0" xfId="0" quotePrefix="1" applyFont="1" applyAlignment="1">
      <alignment horizontal="left" vertical="center"/>
    </xf>
    <xf numFmtId="170" fontId="49" fillId="9" borderId="5" xfId="1" applyNumberFormat="1" applyFont="1" applyFill="1" applyBorder="1" applyAlignment="1">
      <alignment horizontal="left" vertical="center" indent="1"/>
    </xf>
    <xf numFmtId="176" fontId="13" fillId="9" borderId="0" xfId="0" quotePrefix="1" applyNumberFormat="1" applyFont="1" applyFill="1" applyAlignment="1">
      <alignment horizontal="center" vertical="center"/>
    </xf>
    <xf numFmtId="164" fontId="53" fillId="0" borderId="0" xfId="1" applyNumberFormat="1" applyFont="1" applyBorder="1" applyAlignment="1">
      <alignment horizontal="center" vertical="center"/>
    </xf>
    <xf numFmtId="164" fontId="53" fillId="0" borderId="0" xfId="0" applyNumberFormat="1" applyFont="1" applyAlignment="1">
      <alignment horizontal="center" vertical="center"/>
    </xf>
    <xf numFmtId="164" fontId="76" fillId="9" borderId="0" xfId="1" applyNumberFormat="1" applyFont="1" applyFill="1" applyBorder="1" applyAlignment="1">
      <alignment horizontal="center" vertical="center"/>
    </xf>
    <xf numFmtId="176" fontId="14" fillId="0" borderId="0" xfId="1" applyNumberFormat="1" applyFont="1" applyBorder="1" applyAlignment="1">
      <alignment horizontal="center" vertical="center"/>
    </xf>
    <xf numFmtId="176" fontId="14" fillId="0" borderId="0" xfId="1" applyNumberFormat="1" applyFont="1" applyAlignment="1">
      <alignment horizontal="center" vertical="center"/>
    </xf>
    <xf numFmtId="176" fontId="14" fillId="0" borderId="0" xfId="1" applyNumberFormat="1" applyFont="1" applyBorder="1" applyAlignment="1">
      <alignment horizontal="left" vertical="center"/>
    </xf>
    <xf numFmtId="176" fontId="14" fillId="0" borderId="0" xfId="0" applyNumberFormat="1" applyFont="1" applyAlignment="1">
      <alignment horizontal="center" vertical="center"/>
    </xf>
    <xf numFmtId="176" fontId="14" fillId="0" borderId="0" xfId="0" quotePrefix="1" applyNumberFormat="1" applyFont="1" applyAlignment="1">
      <alignment horizontal="center" vertical="center"/>
    </xf>
    <xf numFmtId="176" fontId="14" fillId="9" borderId="0" xfId="1" applyNumberFormat="1" applyFont="1" applyFill="1" applyBorder="1" applyAlignment="1">
      <alignment horizontal="center" vertical="center"/>
    </xf>
    <xf numFmtId="41" fontId="49" fillId="9" borderId="13" xfId="1" applyNumberFormat="1" applyFont="1" applyFill="1" applyBorder="1" applyAlignment="1">
      <alignment horizontal="center" vertical="center"/>
    </xf>
    <xf numFmtId="41" fontId="49" fillId="9" borderId="13" xfId="0" quotePrefix="1" applyNumberFormat="1" applyFont="1" applyFill="1" applyBorder="1" applyAlignment="1">
      <alignment horizontal="center" vertical="center"/>
    </xf>
    <xf numFmtId="0" fontId="26" fillId="9" borderId="5" xfId="0" applyFont="1" applyFill="1" applyBorder="1" applyAlignment="1">
      <alignment horizontal="left" vertical="center" indent="1"/>
    </xf>
    <xf numFmtId="164" fontId="53" fillId="0" borderId="0" xfId="0" quotePrefix="1" applyNumberFormat="1" applyFont="1" applyAlignment="1">
      <alignment horizontal="center" vertical="center"/>
    </xf>
    <xf numFmtId="41" fontId="76" fillId="9" borderId="0" xfId="1" applyNumberFormat="1" applyFont="1" applyFill="1" applyBorder="1" applyAlignment="1">
      <alignment horizontal="center" vertical="center"/>
    </xf>
    <xf numFmtId="41" fontId="48" fillId="9" borderId="0" xfId="0" quotePrefix="1" applyNumberFormat="1" applyFont="1" applyFill="1" applyAlignment="1">
      <alignment horizontal="center" vertical="center"/>
    </xf>
    <xf numFmtId="0" fontId="53" fillId="0" borderId="0" xfId="0" applyFont="1"/>
    <xf numFmtId="176" fontId="16" fillId="0" borderId="0" xfId="0" applyNumberFormat="1" applyFont="1" applyAlignment="1">
      <alignment vertical="center"/>
    </xf>
    <xf numFmtId="176" fontId="1" fillId="0" borderId="0" xfId="0" applyNumberFormat="1" applyFont="1" applyAlignment="1">
      <alignment horizontal="left" vertical="center" wrapText="1" indent="1"/>
    </xf>
    <xf numFmtId="176" fontId="0" fillId="0" borderId="0" xfId="0" applyNumberFormat="1" applyAlignment="1">
      <alignment horizontal="left" vertical="center" wrapText="1" indent="1"/>
    </xf>
    <xf numFmtId="176" fontId="17" fillId="0" borderId="0" xfId="0" applyNumberFormat="1" applyFont="1" applyAlignment="1">
      <alignment vertical="center" shrinkToFit="1"/>
    </xf>
    <xf numFmtId="176" fontId="23" fillId="0" borderId="0" xfId="0" applyNumberFormat="1" applyFont="1" applyAlignment="1">
      <alignment horizontal="left"/>
    </xf>
    <xf numFmtId="176" fontId="28" fillId="0" borderId="0" xfId="0" quotePrefix="1" applyNumberFormat="1" applyFont="1" applyAlignment="1">
      <alignment vertical="center"/>
    </xf>
    <xf numFmtId="176" fontId="28" fillId="0" borderId="0" xfId="0" applyNumberFormat="1" applyFont="1" applyAlignment="1">
      <alignment horizontal="left" vertical="center" indent="1"/>
    </xf>
    <xf numFmtId="176" fontId="28" fillId="0" borderId="0" xfId="0" applyNumberFormat="1" applyFont="1" applyAlignment="1">
      <alignment horizontal="right" vertical="center"/>
    </xf>
    <xf numFmtId="0" fontId="17" fillId="0" borderId="0" xfId="0" applyFont="1" applyAlignment="1">
      <alignment vertical="top"/>
    </xf>
    <xf numFmtId="3" fontId="1" fillId="6" borderId="0" xfId="0" applyNumberFormat="1" applyFont="1" applyFill="1" applyAlignment="1">
      <alignment vertical="center"/>
    </xf>
    <xf numFmtId="3" fontId="1" fillId="6" borderId="0" xfId="0" applyNumberFormat="1" applyFont="1" applyFill="1" applyAlignment="1">
      <alignment horizontal="right" vertical="center"/>
    </xf>
    <xf numFmtId="3" fontId="22" fillId="6" borderId="0" xfId="0" applyNumberFormat="1" applyFont="1" applyFill="1" applyAlignment="1">
      <alignment vertical="center"/>
    </xf>
    <xf numFmtId="0" fontId="22" fillId="6" borderId="0" xfId="0" applyFont="1" applyFill="1" applyAlignment="1">
      <alignment vertical="center"/>
    </xf>
    <xf numFmtId="3" fontId="22" fillId="6" borderId="0" xfId="0" applyNumberFormat="1" applyFont="1" applyFill="1" applyAlignment="1">
      <alignment horizontal="right" vertical="center"/>
    </xf>
    <xf numFmtId="0" fontId="77" fillId="0" borderId="0" xfId="0" applyFont="1"/>
    <xf numFmtId="0" fontId="77" fillId="0" borderId="0" xfId="0" applyFont="1" applyAlignment="1">
      <alignment wrapText="1"/>
    </xf>
    <xf numFmtId="0" fontId="79" fillId="0" borderId="0" xfId="0" applyFont="1"/>
    <xf numFmtId="0" fontId="65" fillId="0" borderId="0" xfId="0" applyFont="1"/>
    <xf numFmtId="166" fontId="22" fillId="0" borderId="0" xfId="0" applyNumberFormat="1" applyFont="1"/>
    <xf numFmtId="166" fontId="25" fillId="0" borderId="0" xfId="0" applyNumberFormat="1" applyFont="1"/>
    <xf numFmtId="0" fontId="80" fillId="0" borderId="0" xfId="0" applyFont="1" applyAlignment="1">
      <alignment vertical="center"/>
    </xf>
    <xf numFmtId="0" fontId="81" fillId="0" borderId="0" xfId="0" applyFont="1" applyAlignment="1">
      <alignment vertical="center"/>
    </xf>
    <xf numFmtId="0" fontId="82" fillId="0" borderId="0" xfId="0" applyFont="1" applyAlignment="1">
      <alignment vertical="center"/>
    </xf>
    <xf numFmtId="0" fontId="83" fillId="0" borderId="0" xfId="0" applyFont="1" applyAlignment="1">
      <alignment horizontal="centerContinuous" vertical="center"/>
    </xf>
    <xf numFmtId="0" fontId="83" fillId="0" borderId="0" xfId="0" applyFont="1" applyAlignment="1">
      <alignment horizontal="center" vertical="center"/>
    </xf>
    <xf numFmtId="0" fontId="84" fillId="0" borderId="0" xfId="0" applyFont="1" applyAlignment="1">
      <alignment vertical="center"/>
    </xf>
    <xf numFmtId="0" fontId="85" fillId="0" borderId="0" xfId="0" applyFont="1" applyAlignment="1">
      <alignment horizontal="center" vertical="center"/>
    </xf>
    <xf numFmtId="0" fontId="84" fillId="0" borderId="0" xfId="0" applyFont="1" applyAlignment="1">
      <alignment horizontal="right" vertical="center"/>
    </xf>
    <xf numFmtId="166" fontId="78" fillId="0" borderId="0" xfId="0" quotePrefix="1" applyNumberFormat="1" applyFont="1" applyAlignment="1">
      <alignment horizontal="center" vertical="center" wrapText="1"/>
    </xf>
    <xf numFmtId="0" fontId="78" fillId="0" borderId="0" xfId="0" applyFont="1" applyAlignment="1">
      <alignment horizontal="left" vertical="center" wrapText="1" indent="1"/>
    </xf>
    <xf numFmtId="166" fontId="78" fillId="0" borderId="0" xfId="0" quotePrefix="1" applyNumberFormat="1" applyFont="1" applyAlignment="1">
      <alignment vertical="center" wrapText="1"/>
    </xf>
    <xf numFmtId="166" fontId="78" fillId="0" borderId="0" xfId="0" applyNumberFormat="1" applyFont="1" applyAlignment="1">
      <alignment horizontal="center" vertical="center" wrapText="1"/>
    </xf>
    <xf numFmtId="0" fontId="84" fillId="0" borderId="0" xfId="0" applyFont="1" applyAlignment="1">
      <alignment horizontal="center" vertical="center"/>
    </xf>
    <xf numFmtId="168" fontId="84" fillId="0" borderId="0" xfId="0" quotePrefix="1" applyNumberFormat="1" applyFont="1" applyAlignment="1">
      <alignment vertical="center"/>
    </xf>
    <xf numFmtId="168" fontId="84" fillId="0" borderId="0" xfId="0" applyNumberFormat="1" applyFont="1" applyAlignment="1">
      <alignment vertical="center"/>
    </xf>
    <xf numFmtId="164" fontId="78" fillId="0" borderId="0" xfId="0" quotePrefix="1" applyNumberFormat="1" applyFont="1" applyAlignment="1">
      <alignment horizontal="center" vertical="center"/>
    </xf>
    <xf numFmtId="0" fontId="84" fillId="0" borderId="0" xfId="0" applyFont="1" applyAlignment="1">
      <alignment horizontal="left" vertical="center" wrapText="1" indent="1"/>
    </xf>
    <xf numFmtId="170" fontId="84" fillId="0" borderId="0" xfId="0" quotePrefix="1" applyNumberFormat="1" applyFont="1" applyAlignment="1">
      <alignment horizontal="center" vertical="center" wrapText="1"/>
    </xf>
    <xf numFmtId="170" fontId="84" fillId="0" borderId="0" xfId="0" applyNumberFormat="1" applyFont="1" applyAlignment="1">
      <alignment horizontal="center" vertical="center" wrapText="1"/>
    </xf>
    <xf numFmtId="166" fontId="84" fillId="0" borderId="0" xfId="0" applyNumberFormat="1" applyFont="1" applyAlignment="1">
      <alignment horizontal="center" vertical="center"/>
    </xf>
    <xf numFmtId="166" fontId="84" fillId="0" borderId="0" xfId="0" applyNumberFormat="1" applyFont="1" applyAlignment="1">
      <alignment horizontal="right" vertical="center"/>
    </xf>
    <xf numFmtId="0" fontId="84" fillId="0" borderId="0" xfId="0" applyFont="1" applyAlignment="1">
      <alignment horizontal="left" vertical="center" indent="1"/>
    </xf>
    <xf numFmtId="166" fontId="20" fillId="0" borderId="0" xfId="0" quotePrefix="1" applyNumberFormat="1" applyFont="1" applyAlignment="1">
      <alignment horizontal="right" vertical="center"/>
    </xf>
    <xf numFmtId="166" fontId="20" fillId="2" borderId="0" xfId="0" applyNumberFormat="1" applyFont="1" applyFill="1" applyAlignment="1">
      <alignment horizontal="center" vertical="center"/>
    </xf>
    <xf numFmtId="166" fontId="20" fillId="0" borderId="0" xfId="0" quotePrefix="1" applyNumberFormat="1" applyFont="1" applyAlignment="1">
      <alignment vertical="center" wrapText="1"/>
    </xf>
    <xf numFmtId="166" fontId="23" fillId="2" borderId="0" xfId="0" applyNumberFormat="1" applyFont="1" applyFill="1" applyAlignment="1">
      <alignment horizontal="center" vertical="center"/>
    </xf>
    <xf numFmtId="0" fontId="56" fillId="2" borderId="0" xfId="0" applyFont="1" applyFill="1" applyAlignment="1">
      <alignment vertical="center"/>
    </xf>
    <xf numFmtId="1" fontId="56" fillId="8" borderId="0" xfId="0" applyNumberFormat="1" applyFont="1" applyFill="1" applyAlignment="1">
      <alignment horizontal="center" vertical="center"/>
    </xf>
    <xf numFmtId="164" fontId="56" fillId="8" borderId="0" xfId="0" applyNumberFormat="1" applyFont="1" applyFill="1" applyAlignment="1">
      <alignment horizontal="right" vertical="center"/>
    </xf>
    <xf numFmtId="1" fontId="56" fillId="8" borderId="0" xfId="0" applyNumberFormat="1" applyFont="1" applyFill="1" applyAlignment="1">
      <alignment horizontal="right" vertical="center"/>
    </xf>
    <xf numFmtId="164" fontId="56" fillId="8" borderId="0" xfId="0" applyNumberFormat="1" applyFont="1" applyFill="1" applyAlignment="1">
      <alignment vertical="center"/>
    </xf>
    <xf numFmtId="41" fontId="57" fillId="6" borderId="0" xfId="0" applyNumberFormat="1" applyFont="1" applyFill="1"/>
    <xf numFmtId="41" fontId="79" fillId="6" borderId="0" xfId="0" applyNumberFormat="1" applyFont="1" applyFill="1" applyAlignment="1">
      <alignment vertical="center" wrapText="1"/>
    </xf>
    <xf numFmtId="0" fontId="56" fillId="0" borderId="0" xfId="0" applyFont="1" applyAlignment="1">
      <alignment vertical="center" wrapText="1"/>
    </xf>
    <xf numFmtId="0" fontId="56" fillId="0" borderId="0" xfId="0" applyFont="1"/>
    <xf numFmtId="0" fontId="56" fillId="2" borderId="0" xfId="0" applyFont="1" applyFill="1"/>
    <xf numFmtId="0" fontId="79" fillId="0" borderId="0" xfId="0" applyFont="1" applyAlignment="1">
      <alignment horizontal="left" vertical="center" indent="1"/>
    </xf>
    <xf numFmtId="41" fontId="58" fillId="0" borderId="0" xfId="0" quotePrefix="1" applyNumberFormat="1" applyFont="1" applyAlignment="1">
      <alignment horizontal="center" vertical="center"/>
    </xf>
    <xf numFmtId="0" fontId="79" fillId="2" borderId="0" xfId="0" applyFont="1" applyFill="1"/>
    <xf numFmtId="41" fontId="79" fillId="2" borderId="0" xfId="0" applyNumberFormat="1" applyFont="1" applyFill="1"/>
    <xf numFmtId="168" fontId="56" fillId="2" borderId="0" xfId="0" applyNumberFormat="1" applyFont="1" applyFill="1"/>
    <xf numFmtId="166" fontId="58" fillId="0" borderId="0" xfId="0" applyNumberFormat="1" applyFont="1"/>
    <xf numFmtId="0" fontId="86" fillId="3" borderId="0" xfId="0" applyFont="1" applyFill="1" applyAlignment="1">
      <alignment vertical="center" wrapText="1"/>
    </xf>
    <xf numFmtId="0" fontId="58" fillId="3" borderId="0" xfId="0" applyFont="1" applyFill="1" applyAlignment="1">
      <alignment vertical="center"/>
    </xf>
    <xf numFmtId="0" fontId="58" fillId="3" borderId="0" xfId="0" applyFont="1" applyFill="1" applyAlignment="1">
      <alignment vertical="center" wrapText="1"/>
    </xf>
    <xf numFmtId="0" fontId="58" fillId="0" borderId="0" xfId="0" applyFont="1" applyAlignment="1">
      <alignment horizontal="left" vertical="center" indent="1"/>
    </xf>
    <xf numFmtId="166" fontId="58" fillId="0" borderId="0" xfId="0" applyNumberFormat="1" applyFont="1" applyAlignment="1">
      <alignment horizontal="center" vertical="center"/>
    </xf>
    <xf numFmtId="0" fontId="58"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horizontal="centerContinuous" vertical="center"/>
    </xf>
    <xf numFmtId="0" fontId="87" fillId="0" borderId="0" xfId="0" applyFont="1" applyAlignment="1">
      <alignment vertical="center"/>
    </xf>
    <xf numFmtId="0" fontId="58" fillId="0" borderId="0" xfId="0" applyFont="1" applyAlignment="1">
      <alignment horizontal="center" vertical="center" wrapText="1"/>
    </xf>
    <xf numFmtId="168" fontId="58" fillId="0" borderId="0" xfId="0" applyNumberFormat="1" applyFont="1" applyAlignment="1">
      <alignment vertical="center"/>
    </xf>
    <xf numFmtId="166" fontId="56" fillId="0" borderId="0" xfId="0" quotePrefix="1" applyNumberFormat="1" applyFont="1" applyAlignment="1">
      <alignment horizontal="center" vertical="center" wrapText="1"/>
    </xf>
    <xf numFmtId="166" fontId="56" fillId="0" borderId="0" xfId="0" quotePrefix="1" applyNumberFormat="1" applyFont="1" applyAlignment="1">
      <alignment vertical="center" wrapText="1"/>
    </xf>
    <xf numFmtId="166" fontId="56" fillId="0" borderId="0" xfId="0" applyNumberFormat="1" applyFont="1" applyAlignment="1">
      <alignment horizontal="center" vertical="center" wrapText="1"/>
    </xf>
    <xf numFmtId="0" fontId="56" fillId="0" borderId="0" xfId="0" applyFont="1" applyAlignment="1">
      <alignment horizontal="left" vertical="center" wrapText="1" indent="1"/>
    </xf>
    <xf numFmtId="164" fontId="56" fillId="0" borderId="0" xfId="0" quotePrefix="1" applyNumberFormat="1" applyFont="1" applyAlignment="1">
      <alignment horizontal="center" vertical="center" wrapText="1"/>
    </xf>
    <xf numFmtId="164" fontId="87" fillId="0" borderId="0" xfId="0" applyNumberFormat="1" applyFont="1" applyAlignment="1">
      <alignment vertical="center"/>
    </xf>
    <xf numFmtId="166" fontId="87" fillId="0" borderId="0" xfId="0" applyNumberFormat="1" applyFont="1" applyAlignment="1">
      <alignment vertical="center"/>
    </xf>
    <xf numFmtId="0" fontId="56" fillId="0" borderId="0" xfId="0" applyFont="1" applyAlignment="1">
      <alignment horizontal="center" vertical="center"/>
    </xf>
    <xf numFmtId="168" fontId="56" fillId="0" borderId="0" xfId="0" quotePrefix="1" applyNumberFormat="1" applyFont="1" applyAlignment="1">
      <alignment vertical="center"/>
    </xf>
    <xf numFmtId="0" fontId="56" fillId="6" borderId="0" xfId="0" applyFont="1" applyFill="1" applyAlignment="1">
      <alignment horizontal="left" vertical="center" indent="1"/>
    </xf>
    <xf numFmtId="164" fontId="56" fillId="0" borderId="0" xfId="0" applyNumberFormat="1" applyFont="1" applyAlignment="1">
      <alignment horizontal="center" vertical="center"/>
    </xf>
    <xf numFmtId="0" fontId="59" fillId="0" borderId="0" xfId="0" applyFont="1" applyAlignment="1">
      <alignment horizontal="center" vertical="center"/>
    </xf>
    <xf numFmtId="168" fontId="59" fillId="0" borderId="0" xfId="0" applyNumberFormat="1" applyFont="1" applyAlignment="1">
      <alignment horizontal="center" vertical="center"/>
    </xf>
    <xf numFmtId="0" fontId="88" fillId="0" borderId="0" xfId="0" applyFont="1" applyAlignment="1">
      <alignment vertical="center" shrinkToFit="1"/>
    </xf>
    <xf numFmtId="0" fontId="89" fillId="0" borderId="0" xfId="0" applyFont="1" applyAlignment="1">
      <alignment vertical="center"/>
    </xf>
    <xf numFmtId="0" fontId="88" fillId="0" borderId="0" xfId="0" applyFont="1" applyAlignment="1">
      <alignment vertical="top" wrapText="1"/>
    </xf>
    <xf numFmtId="0" fontId="58" fillId="0" borderId="0" xfId="0" applyFont="1" applyAlignment="1">
      <alignment vertical="center" wrapText="1"/>
    </xf>
    <xf numFmtId="17" fontId="58" fillId="0" borderId="0" xfId="0" quotePrefix="1" applyNumberFormat="1" applyFont="1" applyAlignment="1">
      <alignment vertical="center"/>
    </xf>
    <xf numFmtId="0" fontId="89" fillId="2" borderId="0" xfId="0" applyFont="1" applyFill="1" applyAlignment="1">
      <alignment vertical="center"/>
    </xf>
    <xf numFmtId="0" fontId="87" fillId="2" borderId="0" xfId="0" applyFont="1" applyFill="1" applyAlignment="1">
      <alignment vertical="center"/>
    </xf>
    <xf numFmtId="166" fontId="58" fillId="2" borderId="0" xfId="0" quotePrefix="1" applyNumberFormat="1" applyFont="1" applyFill="1" applyAlignment="1">
      <alignment horizontal="right" vertical="center"/>
    </xf>
    <xf numFmtId="164" fontId="56" fillId="0" borderId="0" xfId="0" applyNumberFormat="1" applyFont="1" applyAlignment="1">
      <alignment vertical="center"/>
    </xf>
    <xf numFmtId="164" fontId="58" fillId="5" borderId="0" xfId="2" applyNumberFormat="1" applyFont="1" applyFill="1" applyAlignment="1">
      <alignment horizontal="left" vertical="center" wrapText="1" indent="1"/>
    </xf>
    <xf numFmtId="0" fontId="58" fillId="10" borderId="0" xfId="2" applyFont="1" applyFill="1" applyAlignment="1">
      <alignment horizontal="left" vertical="center" wrapText="1" indent="1"/>
    </xf>
    <xf numFmtId="164" fontId="86" fillId="0" borderId="0" xfId="0" quotePrefix="1" applyNumberFormat="1" applyFont="1" applyAlignment="1">
      <alignment horizontal="right" vertical="center"/>
    </xf>
    <xf numFmtId="0" fontId="88" fillId="2" borderId="0" xfId="0" applyFont="1" applyFill="1" applyAlignment="1">
      <alignment vertical="center"/>
    </xf>
    <xf numFmtId="164" fontId="86" fillId="0" borderId="0" xfId="0" applyNumberFormat="1" applyFont="1" applyAlignment="1">
      <alignment horizontal="right" vertical="center" wrapText="1"/>
    </xf>
    <xf numFmtId="0" fontId="87" fillId="6" borderId="0" xfId="0" applyFont="1" applyFill="1" applyAlignment="1">
      <alignment horizontal="left" vertical="center" indent="1"/>
    </xf>
    <xf numFmtId="0" fontId="79" fillId="0" borderId="0" xfId="0" applyFont="1" applyAlignment="1">
      <alignment vertical="center"/>
    </xf>
    <xf numFmtId="164" fontId="79" fillId="0" borderId="0" xfId="0" applyNumberFormat="1" applyFont="1" applyAlignment="1">
      <alignment vertical="center"/>
    </xf>
    <xf numFmtId="0" fontId="79" fillId="4" borderId="0" xfId="2" applyFont="1" applyFill="1" applyAlignment="1">
      <alignment horizontal="left" vertical="center" wrapText="1" indent="1"/>
    </xf>
    <xf numFmtId="0" fontId="22" fillId="0" borderId="0" xfId="0" applyFont="1" applyAlignment="1">
      <alignment horizontal="center" vertical="center" wrapText="1"/>
    </xf>
    <xf numFmtId="0" fontId="17" fillId="0" borderId="0" xfId="0" applyFont="1" applyAlignment="1">
      <alignment horizontal="left" vertical="center" shrinkToFit="1"/>
    </xf>
    <xf numFmtId="0" fontId="23" fillId="0" borderId="0" xfId="0" applyFont="1" applyAlignment="1">
      <alignment horizontal="center" vertical="center"/>
    </xf>
    <xf numFmtId="0" fontId="23" fillId="0" borderId="0" xfId="0" applyFont="1" applyAlignment="1">
      <alignment horizontal="center" vertical="center" wrapText="1"/>
    </xf>
    <xf numFmtId="0" fontId="23" fillId="0" borderId="0" xfId="0" applyFont="1" applyAlignment="1">
      <alignment horizontal="left" vertical="center"/>
    </xf>
    <xf numFmtId="0" fontId="24" fillId="3" borderId="3" xfId="0" applyFont="1" applyFill="1" applyBorder="1" applyAlignment="1">
      <alignment horizontal="center" vertical="center"/>
    </xf>
    <xf numFmtId="0" fontId="24" fillId="3" borderId="3" xfId="0" applyFont="1" applyFill="1" applyBorder="1" applyAlignment="1">
      <alignment horizontal="center" vertical="center" wrapText="1"/>
    </xf>
    <xf numFmtId="0" fontId="24" fillId="3" borderId="0" xfId="0" applyFont="1" applyFill="1" applyAlignment="1">
      <alignment horizontal="center" vertical="center" wrapText="1"/>
    </xf>
    <xf numFmtId="0" fontId="57" fillId="6" borderId="0" xfId="0" applyFont="1" applyFill="1" applyAlignment="1">
      <alignment horizontal="center" vertical="center" wrapText="1"/>
    </xf>
    <xf numFmtId="0" fontId="30" fillId="0" borderId="0" xfId="0" applyFont="1" applyAlignment="1">
      <alignment horizontal="left" vertical="center" wrapText="1"/>
    </xf>
    <xf numFmtId="0" fontId="25" fillId="0" borderId="0" xfId="0" applyFont="1" applyAlignment="1">
      <alignment horizontal="center" vertical="center"/>
    </xf>
    <xf numFmtId="0" fontId="26" fillId="3" borderId="9" xfId="0" applyFont="1" applyFill="1" applyBorder="1" applyAlignment="1">
      <alignment horizontal="center" vertical="center" wrapText="1"/>
    </xf>
    <xf numFmtId="0" fontId="26" fillId="3" borderId="10" xfId="0" applyFont="1" applyFill="1" applyBorder="1" applyAlignment="1">
      <alignment horizontal="center" vertical="center" wrapText="1"/>
    </xf>
    <xf numFmtId="0" fontId="26" fillId="3" borderId="5" xfId="0" applyFont="1" applyFill="1" applyBorder="1" applyAlignment="1">
      <alignment horizontal="center" vertical="center"/>
    </xf>
    <xf numFmtId="0" fontId="26" fillId="3" borderId="8" xfId="0" applyFont="1" applyFill="1" applyBorder="1" applyAlignment="1">
      <alignment horizontal="center" vertical="center" wrapText="1"/>
    </xf>
    <xf numFmtId="0" fontId="26" fillId="3" borderId="0" xfId="0" applyFont="1" applyFill="1" applyAlignment="1">
      <alignment horizontal="center" vertical="center" wrapText="1"/>
    </xf>
    <xf numFmtId="0" fontId="25" fillId="0" borderId="0" xfId="0" applyFont="1" applyAlignment="1">
      <alignment horizontal="center" vertical="center" wrapText="1"/>
    </xf>
    <xf numFmtId="17" fontId="25" fillId="0" borderId="0" xfId="0" quotePrefix="1" applyNumberFormat="1" applyFont="1" applyAlignment="1">
      <alignment horizontal="center" vertical="center"/>
    </xf>
    <xf numFmtId="0" fontId="26" fillId="3" borderId="12" xfId="0" applyFont="1" applyFill="1" applyBorder="1" applyAlignment="1">
      <alignment horizontal="center" vertical="center" wrapText="1"/>
    </xf>
    <xf numFmtId="0" fontId="26" fillId="3" borderId="6" xfId="0" applyFont="1" applyFill="1" applyBorder="1" applyAlignment="1">
      <alignment horizontal="center" vertical="center" wrapText="1"/>
    </xf>
    <xf numFmtId="0" fontId="28" fillId="3" borderId="0" xfId="0" applyFont="1" applyFill="1" applyAlignment="1">
      <alignment horizontal="center" vertical="center"/>
    </xf>
    <xf numFmtId="0" fontId="28" fillId="3" borderId="5" xfId="0" applyFont="1" applyFill="1" applyBorder="1" applyAlignment="1">
      <alignment horizontal="center" vertical="center" wrapText="1"/>
    </xf>
    <xf numFmtId="0" fontId="28" fillId="3" borderId="8" xfId="0" applyFont="1" applyFill="1" applyBorder="1" applyAlignment="1">
      <alignment horizontal="center" vertical="center"/>
    </xf>
    <xf numFmtId="0" fontId="28" fillId="3" borderId="9" xfId="0" applyFont="1" applyFill="1" applyBorder="1" applyAlignment="1">
      <alignment horizontal="center" vertical="center"/>
    </xf>
    <xf numFmtId="0" fontId="28" fillId="3" borderId="10" xfId="0" applyFont="1" applyFill="1" applyBorder="1" applyAlignment="1">
      <alignment horizontal="center" vertical="center"/>
    </xf>
    <xf numFmtId="0" fontId="28" fillId="3" borderId="12" xfId="0" applyFont="1" applyFill="1" applyBorder="1" applyAlignment="1">
      <alignment horizontal="center" vertical="center"/>
    </xf>
    <xf numFmtId="0" fontId="28" fillId="3" borderId="6" xfId="0" applyFont="1" applyFill="1" applyBorder="1" applyAlignment="1">
      <alignment horizontal="center" vertical="center"/>
    </xf>
    <xf numFmtId="0" fontId="25" fillId="0" borderId="0" xfId="0" applyFont="1" applyAlignment="1">
      <alignment horizontal="left" vertical="center"/>
    </xf>
    <xf numFmtId="0" fontId="28" fillId="3" borderId="5" xfId="0" applyFont="1" applyFill="1" applyBorder="1" applyAlignment="1">
      <alignment horizontal="center" vertical="center"/>
    </xf>
    <xf numFmtId="0" fontId="29" fillId="3" borderId="5" xfId="0" applyFont="1" applyFill="1" applyBorder="1" applyAlignment="1">
      <alignment horizontal="center" vertical="center"/>
    </xf>
    <xf numFmtId="0" fontId="24" fillId="3" borderId="0" xfId="0" applyFont="1" applyFill="1" applyAlignment="1">
      <alignment horizontal="center" vertical="center"/>
    </xf>
    <xf numFmtId="0" fontId="28" fillId="3" borderId="7" xfId="0" applyFont="1" applyFill="1" applyBorder="1" applyAlignment="1">
      <alignment horizontal="center" vertical="center"/>
    </xf>
    <xf numFmtId="0" fontId="28" fillId="3" borderId="7" xfId="0" applyFont="1" applyFill="1" applyBorder="1" applyAlignment="1">
      <alignment horizontal="center" vertical="center" wrapText="1"/>
    </xf>
    <xf numFmtId="0" fontId="24" fillId="3" borderId="11" xfId="0" applyFont="1" applyFill="1" applyBorder="1" applyAlignment="1">
      <alignment horizontal="center" vertical="center"/>
    </xf>
    <xf numFmtId="0" fontId="24" fillId="3" borderId="12" xfId="0" applyFont="1" applyFill="1" applyBorder="1" applyAlignment="1">
      <alignment horizontal="center" vertical="center"/>
    </xf>
    <xf numFmtId="0" fontId="28" fillId="3" borderId="8" xfId="0" applyFont="1" applyFill="1" applyBorder="1" applyAlignment="1">
      <alignment horizontal="center" vertical="center" wrapText="1"/>
    </xf>
    <xf numFmtId="0" fontId="13" fillId="0" borderId="0" xfId="0" applyFont="1" applyAlignment="1">
      <alignment horizontal="center" vertical="center"/>
    </xf>
    <xf numFmtId="0" fontId="67" fillId="0" borderId="0" xfId="0" applyFont="1" applyAlignment="1">
      <alignment horizontal="center" vertical="center" wrapText="1"/>
    </xf>
    <xf numFmtId="169" fontId="1" fillId="0" borderId="0" xfId="0" applyNumberFormat="1" applyFont="1" applyAlignment="1">
      <alignment horizontal="center" vertical="center"/>
    </xf>
    <xf numFmtId="169" fontId="1" fillId="0" borderId="0" xfId="0" quotePrefix="1" applyNumberFormat="1" applyFont="1" applyAlignment="1">
      <alignment horizontal="center" vertical="center"/>
    </xf>
    <xf numFmtId="0" fontId="15" fillId="0" borderId="0" xfId="0" applyFont="1" applyAlignment="1">
      <alignment horizontal="left" vertical="center"/>
    </xf>
    <xf numFmtId="169" fontId="28" fillId="9" borderId="0" xfId="0" applyNumberFormat="1" applyFont="1" applyFill="1" applyAlignment="1">
      <alignment horizontal="center" vertical="center"/>
    </xf>
    <xf numFmtId="168" fontId="28" fillId="9" borderId="0" xfId="0" quotePrefix="1" applyNumberFormat="1" applyFont="1" applyFill="1" applyAlignment="1">
      <alignment horizontal="center" vertical="center"/>
    </xf>
    <xf numFmtId="169" fontId="28" fillId="9" borderId="0" xfId="0" quotePrefix="1" applyNumberFormat="1" applyFont="1" applyFill="1" applyAlignment="1">
      <alignment horizontal="center" vertical="center"/>
    </xf>
    <xf numFmtId="169" fontId="28" fillId="9" borderId="5" xfId="0" quotePrefix="1" applyNumberFormat="1" applyFont="1" applyFill="1" applyBorder="1" applyAlignment="1">
      <alignment horizontal="center" vertical="center"/>
    </xf>
    <xf numFmtId="169" fontId="28" fillId="9" borderId="5" xfId="0" applyNumberFormat="1" applyFont="1" applyFill="1" applyBorder="1" applyAlignment="1">
      <alignment horizontal="center" vertical="center"/>
    </xf>
    <xf numFmtId="168" fontId="1" fillId="0" borderId="0" xfId="0" applyNumberFormat="1" applyFont="1" applyAlignment="1">
      <alignment horizontal="center" vertical="center"/>
    </xf>
    <xf numFmtId="168" fontId="1" fillId="0" borderId="0" xfId="0" quotePrefix="1" applyNumberFormat="1" applyFont="1" applyAlignment="1">
      <alignment horizontal="center" vertical="center"/>
    </xf>
    <xf numFmtId="0" fontId="24" fillId="3" borderId="6" xfId="0" applyFont="1" applyFill="1" applyBorder="1" applyAlignment="1">
      <alignment horizontal="center" vertical="center"/>
    </xf>
    <xf numFmtId="0" fontId="28" fillId="3" borderId="9" xfId="0" applyFont="1" applyFill="1" applyBorder="1" applyAlignment="1">
      <alignment horizontal="center" vertical="center" wrapText="1"/>
    </xf>
    <xf numFmtId="0" fontId="28" fillId="3" borderId="10" xfId="0" applyFont="1" applyFill="1" applyBorder="1" applyAlignment="1">
      <alignment horizontal="center" vertical="center" wrapText="1"/>
    </xf>
    <xf numFmtId="0" fontId="28" fillId="3" borderId="3" xfId="0" applyFont="1" applyFill="1" applyBorder="1" applyAlignment="1">
      <alignment horizontal="center" vertical="center" wrapText="1"/>
    </xf>
    <xf numFmtId="0" fontId="28" fillId="3" borderId="3" xfId="0" applyFont="1" applyFill="1" applyBorder="1" applyAlignment="1">
      <alignment horizontal="center" vertical="center"/>
    </xf>
    <xf numFmtId="0" fontId="28" fillId="3" borderId="13" xfId="0" applyFont="1" applyFill="1" applyBorder="1" applyAlignment="1">
      <alignment horizontal="center" vertical="center"/>
    </xf>
    <xf numFmtId="0" fontId="35" fillId="3" borderId="12" xfId="0" applyFont="1" applyFill="1" applyBorder="1" applyAlignment="1">
      <alignment horizontal="center" vertical="center"/>
    </xf>
    <xf numFmtId="0" fontId="35" fillId="3" borderId="6" xfId="0" applyFont="1" applyFill="1" applyBorder="1" applyAlignment="1">
      <alignment horizontal="center" vertical="center"/>
    </xf>
    <xf numFmtId="0" fontId="12" fillId="0" borderId="0" xfId="0" applyFont="1" applyAlignment="1">
      <alignment horizontal="justify" wrapText="1"/>
    </xf>
    <xf numFmtId="37" fontId="25" fillId="0" borderId="0" xfId="0" quotePrefix="1" applyNumberFormat="1" applyFont="1" applyAlignment="1">
      <alignment horizontal="center" vertical="center" wrapText="1"/>
    </xf>
    <xf numFmtId="37" fontId="23" fillId="0" borderId="0" xfId="0" quotePrefix="1" applyNumberFormat="1" applyFont="1" applyAlignment="1">
      <alignment horizontal="center" vertical="center" wrapText="1"/>
    </xf>
    <xf numFmtId="0" fontId="28" fillId="3" borderId="13" xfId="0" applyFont="1" applyFill="1" applyBorder="1" applyAlignment="1">
      <alignment horizontal="center" vertical="center" wrapText="1"/>
    </xf>
    <xf numFmtId="0" fontId="29" fillId="3" borderId="5" xfId="0" applyFont="1" applyFill="1" applyBorder="1" applyAlignment="1">
      <alignment horizontal="center" vertical="center" wrapText="1"/>
    </xf>
    <xf numFmtId="0" fontId="28" fillId="3" borderId="0" xfId="0" applyFont="1" applyFill="1" applyAlignment="1">
      <alignment horizontal="center" vertical="center" wrapText="1"/>
    </xf>
    <xf numFmtId="0" fontId="29" fillId="3" borderId="0" xfId="0" applyFont="1" applyFill="1" applyAlignment="1">
      <alignment horizontal="center" vertical="center" wrapText="1"/>
    </xf>
    <xf numFmtId="0" fontId="17" fillId="2" borderId="0" xfId="0" applyFont="1" applyFill="1" applyAlignment="1">
      <alignment horizontal="left" vertical="justify" wrapText="1"/>
    </xf>
    <xf numFmtId="0" fontId="24" fillId="3" borderId="4" xfId="0" applyFont="1" applyFill="1" applyBorder="1" applyAlignment="1">
      <alignment horizontal="center" vertical="center" wrapText="1"/>
    </xf>
    <xf numFmtId="0" fontId="24" fillId="3" borderId="8" xfId="0" applyFont="1" applyFill="1" applyBorder="1" applyAlignment="1">
      <alignment horizontal="center" vertical="center"/>
    </xf>
    <xf numFmtId="0" fontId="24" fillId="3" borderId="9" xfId="0" applyFont="1" applyFill="1" applyBorder="1" applyAlignment="1">
      <alignment horizontal="center" vertical="center"/>
    </xf>
    <xf numFmtId="0" fontId="24" fillId="3" borderId="10" xfId="0" applyFont="1" applyFill="1" applyBorder="1" applyAlignment="1">
      <alignment horizontal="center" vertical="center"/>
    </xf>
    <xf numFmtId="0" fontId="24" fillId="3" borderId="8" xfId="0" applyFont="1" applyFill="1" applyBorder="1" applyAlignment="1">
      <alignment horizontal="center" vertical="center" wrapText="1"/>
    </xf>
    <xf numFmtId="0" fontId="24" fillId="3" borderId="9" xfId="0" applyFont="1" applyFill="1" applyBorder="1" applyAlignment="1">
      <alignment horizontal="center" vertical="center" wrapText="1"/>
    </xf>
    <xf numFmtId="0" fontId="24" fillId="3" borderId="10" xfId="0" applyFont="1" applyFill="1" applyBorder="1" applyAlignment="1">
      <alignment horizontal="center" vertical="center" wrapText="1"/>
    </xf>
    <xf numFmtId="0" fontId="41" fillId="3" borderId="11" xfId="0" applyFont="1" applyFill="1" applyBorder="1" applyAlignment="1">
      <alignment horizontal="center" vertical="center"/>
    </xf>
    <xf numFmtId="0" fontId="41" fillId="3" borderId="12" xfId="0" applyFont="1" applyFill="1" applyBorder="1" applyAlignment="1">
      <alignment horizontal="center" vertical="center"/>
    </xf>
    <xf numFmtId="3" fontId="32" fillId="3" borderId="8" xfId="0" applyNumberFormat="1" applyFont="1" applyFill="1" applyBorder="1" applyAlignment="1">
      <alignment horizontal="center" vertical="center"/>
    </xf>
    <xf numFmtId="3" fontId="32" fillId="3" borderId="9" xfId="0" applyNumberFormat="1" applyFont="1" applyFill="1" applyBorder="1" applyAlignment="1">
      <alignment horizontal="center" vertical="center"/>
    </xf>
    <xf numFmtId="3" fontId="32" fillId="3" borderId="7" xfId="0" applyNumberFormat="1" applyFont="1" applyFill="1" applyBorder="1" applyAlignment="1">
      <alignment horizontal="center" vertical="center"/>
    </xf>
    <xf numFmtId="3" fontId="32" fillId="3" borderId="14" xfId="0" applyNumberFormat="1" applyFont="1" applyFill="1" applyBorder="1" applyAlignment="1">
      <alignment horizontal="center" vertical="center"/>
    </xf>
    <xf numFmtId="3" fontId="32" fillId="3" borderId="4" xfId="0" applyNumberFormat="1" applyFont="1" applyFill="1" applyBorder="1" applyAlignment="1">
      <alignment horizontal="center" vertical="center"/>
    </xf>
    <xf numFmtId="3" fontId="1" fillId="0" borderId="0" xfId="0" applyNumberFormat="1" applyFont="1" applyAlignment="1">
      <alignment horizontal="center" vertical="center"/>
    </xf>
    <xf numFmtId="1" fontId="32" fillId="3" borderId="6" xfId="0" applyNumberFormat="1" applyFont="1" applyFill="1" applyBorder="1" applyAlignment="1">
      <alignment horizontal="center" vertical="center"/>
    </xf>
    <xf numFmtId="1" fontId="32" fillId="3" borderId="11" xfId="0" applyNumberFormat="1" applyFont="1" applyFill="1" applyBorder="1" applyAlignment="1">
      <alignment horizontal="center" vertical="center"/>
    </xf>
    <xf numFmtId="1" fontId="32" fillId="3" borderId="4" xfId="0" applyNumberFormat="1" applyFont="1" applyFill="1" applyBorder="1" applyAlignment="1">
      <alignment horizontal="center" vertical="center"/>
    </xf>
    <xf numFmtId="1" fontId="32" fillId="2" borderId="0" xfId="0" applyNumberFormat="1" applyFont="1" applyFill="1" applyAlignment="1">
      <alignment horizontal="center" vertical="center"/>
    </xf>
    <xf numFmtId="3" fontId="32" fillId="3" borderId="0" xfId="0" applyNumberFormat="1" applyFont="1" applyFill="1" applyAlignment="1">
      <alignment horizontal="center" vertical="center"/>
    </xf>
    <xf numFmtId="3" fontId="21" fillId="0" borderId="0" xfId="0" applyNumberFormat="1" applyFont="1" applyAlignment="1">
      <alignment horizontal="center" vertical="center"/>
    </xf>
    <xf numFmtId="1" fontId="32" fillId="3" borderId="17" xfId="0" applyNumberFormat="1" applyFont="1" applyFill="1" applyBorder="1" applyAlignment="1">
      <alignment horizontal="center" vertical="center"/>
    </xf>
    <xf numFmtId="1" fontId="32" fillId="3" borderId="14" xfId="0" applyNumberFormat="1" applyFont="1" applyFill="1" applyBorder="1" applyAlignment="1">
      <alignment horizontal="center" vertical="center"/>
    </xf>
    <xf numFmtId="1" fontId="32" fillId="3" borderId="16" xfId="0" applyNumberFormat="1" applyFont="1" applyFill="1" applyBorder="1" applyAlignment="1">
      <alignment horizontal="center" vertical="center"/>
    </xf>
    <xf numFmtId="3" fontId="21" fillId="0" borderId="0" xfId="0" applyNumberFormat="1" applyFont="1" applyAlignment="1">
      <alignment horizontal="center" vertical="center" wrapText="1"/>
    </xf>
    <xf numFmtId="3" fontId="11" fillId="2" borderId="0" xfId="0" applyNumberFormat="1" applyFont="1" applyFill="1" applyAlignment="1">
      <alignment horizontal="center"/>
    </xf>
    <xf numFmtId="0" fontId="21" fillId="0" borderId="0" xfId="0" applyFont="1" applyAlignment="1">
      <alignment horizontal="center" vertical="center"/>
    </xf>
    <xf numFmtId="3" fontId="1" fillId="2" borderId="0" xfId="0" applyNumberFormat="1" applyFont="1" applyFill="1" applyAlignment="1">
      <alignment horizontal="center" vertical="center"/>
    </xf>
    <xf numFmtId="3" fontId="32" fillId="2" borderId="0" xfId="0" applyNumberFormat="1" applyFont="1" applyFill="1" applyAlignment="1">
      <alignment horizontal="center" vertical="center"/>
    </xf>
    <xf numFmtId="0" fontId="24" fillId="3" borderId="7" xfId="0" applyFont="1" applyFill="1" applyBorder="1" applyAlignment="1">
      <alignment horizontal="center" vertical="center"/>
    </xf>
    <xf numFmtId="0" fontId="35" fillId="3" borderId="4" xfId="0" applyFont="1" applyFill="1" applyBorder="1" applyAlignment="1">
      <alignment horizontal="center" vertical="center"/>
    </xf>
    <xf numFmtId="171" fontId="35" fillId="3" borderId="4" xfId="0" applyNumberFormat="1" applyFont="1" applyFill="1" applyBorder="1" applyAlignment="1">
      <alignment horizontal="center" vertical="center"/>
    </xf>
    <xf numFmtId="171" fontId="28" fillId="3" borderId="0" xfId="0" applyNumberFormat="1" applyFont="1" applyFill="1" applyAlignment="1">
      <alignment horizontal="center" vertical="center"/>
    </xf>
    <xf numFmtId="171" fontId="35" fillId="3" borderId="6" xfId="0" applyNumberFormat="1" applyFont="1" applyFill="1" applyBorder="1" applyAlignment="1">
      <alignment horizontal="center" vertical="center"/>
    </xf>
    <xf numFmtId="0" fontId="35" fillId="3" borderId="11" xfId="0" applyFont="1" applyFill="1" applyBorder="1" applyAlignment="1">
      <alignment horizontal="center" vertical="center"/>
    </xf>
    <xf numFmtId="0" fontId="26" fillId="3" borderId="20" xfId="0" applyFont="1" applyFill="1" applyBorder="1" applyAlignment="1">
      <alignment horizontal="center" vertical="center"/>
    </xf>
    <xf numFmtId="0" fontId="26" fillId="3" borderId="18" xfId="0" applyFont="1" applyFill="1" applyBorder="1" applyAlignment="1">
      <alignment horizontal="center" vertical="center"/>
    </xf>
    <xf numFmtId="0" fontId="26" fillId="3" borderId="19" xfId="0" applyFont="1" applyFill="1" applyBorder="1" applyAlignment="1">
      <alignment horizontal="center" vertical="center"/>
    </xf>
    <xf numFmtId="0" fontId="26" fillId="3" borderId="0" xfId="0" applyFont="1" applyFill="1" applyAlignment="1">
      <alignment horizontal="center" vertical="center"/>
    </xf>
    <xf numFmtId="0" fontId="35" fillId="3" borderId="16" xfId="0" applyFont="1" applyFill="1" applyBorder="1" applyAlignment="1">
      <alignment horizontal="center" vertical="center"/>
    </xf>
    <xf numFmtId="0" fontId="35" fillId="3" borderId="17" xfId="0" applyFont="1" applyFill="1" applyBorder="1" applyAlignment="1">
      <alignment horizontal="center" vertical="center"/>
    </xf>
    <xf numFmtId="0" fontId="35" fillId="3" borderId="14" xfId="0" applyFont="1" applyFill="1" applyBorder="1" applyAlignment="1">
      <alignment horizontal="center" vertical="center"/>
    </xf>
    <xf numFmtId="0" fontId="26" fillId="3" borderId="14" xfId="0" applyFont="1" applyFill="1" applyBorder="1" applyAlignment="1">
      <alignment horizontal="center" vertical="center"/>
    </xf>
    <xf numFmtId="0" fontId="26" fillId="3" borderId="16" xfId="0" applyFont="1" applyFill="1" applyBorder="1" applyAlignment="1">
      <alignment horizontal="center" vertical="center"/>
    </xf>
    <xf numFmtId="171" fontId="35" fillId="3" borderId="0" xfId="0" applyNumberFormat="1" applyFont="1" applyFill="1" applyAlignment="1">
      <alignment horizontal="center" vertical="center"/>
    </xf>
    <xf numFmtId="41" fontId="24" fillId="9" borderId="0" xfId="0" applyNumberFormat="1" applyFont="1" applyFill="1" applyAlignment="1">
      <alignment horizontal="center" vertical="center"/>
    </xf>
    <xf numFmtId="0" fontId="1" fillId="2" borderId="0" xfId="0" applyFont="1" applyFill="1" applyAlignment="1">
      <alignment horizontal="left" vertical="justify" wrapText="1"/>
    </xf>
    <xf numFmtId="41" fontId="24" fillId="9" borderId="5" xfId="0" applyNumberFormat="1" applyFont="1" applyFill="1" applyBorder="1" applyAlignment="1">
      <alignment horizontal="center" vertical="center"/>
    </xf>
    <xf numFmtId="0" fontId="24" fillId="2" borderId="0" xfId="0" applyFont="1" applyFill="1" applyAlignment="1">
      <alignment horizontal="center" vertical="center"/>
    </xf>
    <xf numFmtId="0" fontId="20" fillId="0" borderId="0" xfId="0" applyFont="1" applyAlignment="1">
      <alignment horizontal="left" vertical="center"/>
    </xf>
    <xf numFmtId="164" fontId="28" fillId="3" borderId="8" xfId="0" applyNumberFormat="1" applyFont="1" applyFill="1" applyBorder="1" applyAlignment="1">
      <alignment horizontal="center" vertical="center"/>
    </xf>
    <xf numFmtId="164" fontId="28" fillId="3" borderId="9" xfId="0" applyNumberFormat="1" applyFont="1" applyFill="1" applyBorder="1" applyAlignment="1">
      <alignment horizontal="center" vertical="center"/>
    </xf>
    <xf numFmtId="164" fontId="28" fillId="3" borderId="10" xfId="0" applyNumberFormat="1" applyFont="1" applyFill="1" applyBorder="1" applyAlignment="1">
      <alignment horizontal="center" vertical="center"/>
    </xf>
    <xf numFmtId="0" fontId="21" fillId="0" borderId="0" xfId="0" applyFont="1" applyAlignment="1">
      <alignment horizontal="left" vertical="center"/>
    </xf>
    <xf numFmtId="0" fontId="28" fillId="2" borderId="0" xfId="0" applyFont="1" applyFill="1" applyAlignment="1">
      <alignment horizontal="center" vertical="center" wrapText="1"/>
    </xf>
    <xf numFmtId="164" fontId="28" fillId="3" borderId="7" xfId="0" applyNumberFormat="1" applyFont="1" applyFill="1" applyBorder="1" applyAlignment="1">
      <alignment horizontal="center" vertical="center"/>
    </xf>
    <xf numFmtId="41" fontId="24" fillId="2" borderId="0" xfId="0" applyNumberFormat="1" applyFont="1" applyFill="1" applyAlignment="1">
      <alignment horizontal="center" vertical="center"/>
    </xf>
    <xf numFmtId="41" fontId="24" fillId="9" borderId="9" xfId="0" applyNumberFormat="1" applyFont="1" applyFill="1" applyBorder="1" applyAlignment="1">
      <alignment horizontal="center" vertical="center"/>
    </xf>
    <xf numFmtId="41" fontId="24" fillId="9" borderId="10" xfId="0" applyNumberFormat="1" applyFont="1" applyFill="1" applyBorder="1" applyAlignment="1">
      <alignment horizontal="center" vertical="center"/>
    </xf>
    <xf numFmtId="0" fontId="44" fillId="0" borderId="0" xfId="0" applyFont="1" applyAlignment="1">
      <alignment horizontal="center" vertical="center"/>
    </xf>
    <xf numFmtId="0" fontId="28" fillId="3" borderId="4" xfId="0" applyFont="1" applyFill="1" applyBorder="1" applyAlignment="1">
      <alignment horizontal="center" vertical="center" wrapText="1"/>
    </xf>
    <xf numFmtId="0" fontId="44" fillId="0" borderId="0" xfId="0" applyFont="1" applyAlignment="1">
      <alignment horizontal="left" vertical="center"/>
    </xf>
    <xf numFmtId="0" fontId="28" fillId="3" borderId="11" xfId="0" applyFont="1" applyFill="1" applyBorder="1" applyAlignment="1">
      <alignment horizontal="center" vertical="center" wrapText="1"/>
    </xf>
    <xf numFmtId="0" fontId="28" fillId="3" borderId="12" xfId="0" applyFont="1" applyFill="1" applyBorder="1" applyAlignment="1">
      <alignment horizontal="center" vertical="center" wrapText="1"/>
    </xf>
    <xf numFmtId="0" fontId="28" fillId="3" borderId="6" xfId="0" applyFont="1" applyFill="1" applyBorder="1" applyAlignment="1">
      <alignment horizontal="center" vertical="center" wrapText="1"/>
    </xf>
    <xf numFmtId="0" fontId="74" fillId="0" borderId="0" xfId="0" applyFont="1" applyAlignment="1">
      <alignment horizontal="center" vertical="center"/>
    </xf>
    <xf numFmtId="0" fontId="48" fillId="3" borderId="0" xfId="0" applyFont="1" applyFill="1" applyAlignment="1">
      <alignment horizontal="center" vertical="center" wrapText="1"/>
    </xf>
    <xf numFmtId="0" fontId="48" fillId="3" borderId="8" xfId="0" applyFont="1" applyFill="1" applyBorder="1" applyAlignment="1">
      <alignment horizontal="center" vertical="center" wrapText="1"/>
    </xf>
    <xf numFmtId="0" fontId="48" fillId="3" borderId="9" xfId="0" applyFont="1" applyFill="1" applyBorder="1" applyAlignment="1">
      <alignment horizontal="center" vertical="center" wrapText="1"/>
    </xf>
    <xf numFmtId="0" fontId="48" fillId="3" borderId="10" xfId="0" applyFont="1" applyFill="1" applyBorder="1" applyAlignment="1">
      <alignment horizontal="center" vertical="center" wrapText="1"/>
    </xf>
    <xf numFmtId="0" fontId="49" fillId="3" borderId="0" xfId="0" applyFont="1" applyFill="1" applyAlignment="1">
      <alignment horizontal="center" vertical="center" wrapText="1"/>
    </xf>
    <xf numFmtId="0" fontId="74" fillId="0" borderId="0" xfId="0" applyFont="1" applyAlignment="1">
      <alignment horizontal="center" vertical="center" wrapText="1"/>
    </xf>
    <xf numFmtId="164" fontId="48" fillId="3" borderId="8" xfId="0" applyNumberFormat="1" applyFont="1" applyFill="1" applyBorder="1" applyAlignment="1">
      <alignment horizontal="center" vertical="center" wrapText="1"/>
    </xf>
    <xf numFmtId="164" fontId="48" fillId="3" borderId="9" xfId="0" applyNumberFormat="1" applyFont="1" applyFill="1" applyBorder="1" applyAlignment="1">
      <alignment horizontal="center" vertical="center" wrapText="1"/>
    </xf>
    <xf numFmtId="0" fontId="49" fillId="3" borderId="12" xfId="0" applyFont="1" applyFill="1" applyBorder="1" applyAlignment="1">
      <alignment horizontal="center" vertical="center" wrapText="1"/>
    </xf>
    <xf numFmtId="0" fontId="49" fillId="3" borderId="6" xfId="0" applyFont="1" applyFill="1" applyBorder="1" applyAlignment="1">
      <alignment horizontal="center" vertical="center" wrapText="1"/>
    </xf>
    <xf numFmtId="0" fontId="49" fillId="3" borderId="4" xfId="0" applyFont="1" applyFill="1" applyBorder="1" applyAlignment="1">
      <alignment horizontal="center" vertical="center" wrapText="1"/>
    </xf>
    <xf numFmtId="0" fontId="49" fillId="3" borderId="11" xfId="0" applyFont="1" applyFill="1" applyBorder="1" applyAlignment="1">
      <alignment horizontal="center" vertical="center" wrapText="1"/>
    </xf>
    <xf numFmtId="0" fontId="25" fillId="6" borderId="0" xfId="0" applyFont="1" applyFill="1" applyAlignment="1">
      <alignment horizontal="left" vertical="center"/>
    </xf>
    <xf numFmtId="0" fontId="25" fillId="6" borderId="0" xfId="0" applyFont="1" applyFill="1" applyAlignment="1">
      <alignment horizontal="center" vertical="center"/>
    </xf>
    <xf numFmtId="0" fontId="4" fillId="0" borderId="0" xfId="0" applyFont="1" applyAlignment="1">
      <alignment horizontal="left" vertical="center" wrapText="1"/>
    </xf>
    <xf numFmtId="0" fontId="25" fillId="0" borderId="0" xfId="0" applyFont="1" applyAlignment="1">
      <alignment horizontal="left"/>
    </xf>
    <xf numFmtId="0" fontId="49" fillId="9" borderId="0" xfId="0" applyFont="1" applyFill="1" applyAlignment="1">
      <alignment horizontal="center" vertical="center"/>
    </xf>
    <xf numFmtId="0" fontId="49" fillId="9" borderId="5" xfId="0" applyFont="1" applyFill="1" applyBorder="1" applyAlignment="1">
      <alignment horizontal="center" vertical="center"/>
    </xf>
    <xf numFmtId="170" fontId="49" fillId="9" borderId="0" xfId="1" applyNumberFormat="1" applyFont="1" applyFill="1" applyBorder="1" applyAlignment="1">
      <alignment horizontal="left" vertical="center" indent="1"/>
    </xf>
    <xf numFmtId="170" fontId="49" fillId="9" borderId="5" xfId="1" applyNumberFormat="1" applyFont="1" applyFill="1" applyBorder="1" applyAlignment="1">
      <alignment horizontal="left" vertical="center" indent="1"/>
    </xf>
    <xf numFmtId="170" fontId="41" fillId="3" borderId="21" xfId="0" applyNumberFormat="1" applyFont="1" applyFill="1" applyBorder="1" applyAlignment="1">
      <alignment horizontal="center" vertical="center" wrapText="1"/>
    </xf>
    <xf numFmtId="0" fontId="24" fillId="3" borderId="22" xfId="0" applyFont="1" applyFill="1" applyBorder="1" applyAlignment="1">
      <alignment horizontal="center" vertical="center"/>
    </xf>
    <xf numFmtId="0" fontId="24" fillId="3" borderId="21" xfId="0" applyFont="1" applyFill="1" applyBorder="1" applyAlignment="1">
      <alignment horizontal="center" vertical="center"/>
    </xf>
    <xf numFmtId="0" fontId="41" fillId="3" borderId="21" xfId="0" applyFont="1" applyFill="1" applyBorder="1" applyAlignment="1">
      <alignment horizontal="center" vertical="center" wrapText="1"/>
    </xf>
    <xf numFmtId="3" fontId="28" fillId="3" borderId="7" xfId="0" applyNumberFormat="1" applyFont="1" applyFill="1" applyBorder="1" applyAlignment="1">
      <alignment horizontal="center" vertical="center" wrapText="1"/>
    </xf>
    <xf numFmtId="3" fontId="28" fillId="3" borderId="4" xfId="0" applyNumberFormat="1" applyFont="1" applyFill="1" applyBorder="1" applyAlignment="1">
      <alignment horizontal="center" vertical="center" wrapText="1"/>
    </xf>
    <xf numFmtId="3" fontId="28" fillId="3" borderId="0" xfId="0" applyNumberFormat="1" applyFont="1" applyFill="1" applyAlignment="1">
      <alignment horizontal="center" vertical="center" wrapText="1"/>
    </xf>
    <xf numFmtId="3" fontId="28" fillId="3" borderId="7" xfId="0" applyNumberFormat="1" applyFont="1" applyFill="1" applyBorder="1" applyAlignment="1">
      <alignment horizontal="center" vertical="center"/>
    </xf>
    <xf numFmtId="3" fontId="28" fillId="3" borderId="4" xfId="0" applyNumberFormat="1" applyFont="1" applyFill="1" applyBorder="1" applyAlignment="1">
      <alignment horizontal="center" vertical="center"/>
    </xf>
    <xf numFmtId="0" fontId="24" fillId="3" borderId="4" xfId="0" applyFont="1" applyFill="1" applyBorder="1" applyAlignment="1">
      <alignment horizontal="center" vertical="center"/>
    </xf>
    <xf numFmtId="0" fontId="24" fillId="3" borderId="11" xfId="0" applyFont="1" applyFill="1" applyBorder="1" applyAlignment="1">
      <alignment horizontal="center" vertical="center" wrapText="1"/>
    </xf>
    <xf numFmtId="0" fontId="22" fillId="0" borderId="0" xfId="0" applyFont="1" applyAlignment="1">
      <alignment horizontal="left" vertical="center" wrapText="1"/>
    </xf>
    <xf numFmtId="0" fontId="17" fillId="0" borderId="0" xfId="0" applyFont="1" applyAlignment="1">
      <alignment horizontal="left" vertical="top" wrapText="1"/>
    </xf>
    <xf numFmtId="0" fontId="17" fillId="0" borderId="0" xfId="0" applyFont="1" applyAlignment="1">
      <alignment horizontal="left" vertical="center" wrapText="1"/>
    </xf>
    <xf numFmtId="0" fontId="28" fillId="3" borderId="4" xfId="0" applyFont="1" applyFill="1" applyBorder="1" applyAlignment="1">
      <alignment horizontal="center" vertical="center"/>
    </xf>
    <xf numFmtId="0" fontId="26" fillId="3" borderId="7" xfId="0" applyFont="1" applyFill="1" applyBorder="1" applyAlignment="1">
      <alignment horizontal="center" vertical="center"/>
    </xf>
    <xf numFmtId="0" fontId="24" fillId="3" borderId="4" xfId="0" applyFont="1" applyFill="1" applyBorder="1" applyAlignment="1">
      <alignment horizontal="center"/>
    </xf>
    <xf numFmtId="0" fontId="26" fillId="3" borderId="4" xfId="0" applyFont="1" applyFill="1" applyBorder="1" applyAlignment="1">
      <alignment horizontal="center" vertical="center"/>
    </xf>
    <xf numFmtId="0" fontId="24" fillId="3" borderId="21" xfId="0" applyFont="1" applyFill="1" applyBorder="1" applyAlignment="1">
      <alignment horizontal="center"/>
    </xf>
    <xf numFmtId="0" fontId="24" fillId="3" borderId="23" xfId="0" applyFont="1" applyFill="1" applyBorder="1" applyAlignment="1">
      <alignment horizontal="center" vertical="center"/>
    </xf>
    <xf numFmtId="0" fontId="24" fillId="3" borderId="25" xfId="0" applyFont="1" applyFill="1" applyBorder="1" applyAlignment="1">
      <alignment horizontal="center" vertical="center"/>
    </xf>
    <xf numFmtId="0" fontId="24" fillId="3" borderId="24" xfId="0" applyFont="1" applyFill="1" applyBorder="1" applyAlignment="1">
      <alignment horizontal="center" vertical="center" wrapText="1"/>
    </xf>
    <xf numFmtId="0" fontId="3" fillId="0" borderId="0" xfId="0" applyFont="1" applyAlignment="1">
      <alignment horizontal="center" vertical="center" wrapText="1"/>
    </xf>
    <xf numFmtId="0" fontId="49" fillId="3" borderId="22" xfId="0" applyFont="1" applyFill="1" applyBorder="1" applyAlignment="1">
      <alignment horizontal="center" vertical="center" wrapText="1"/>
    </xf>
    <xf numFmtId="0" fontId="49" fillId="3" borderId="21" xfId="0" applyFont="1" applyFill="1" applyBorder="1" applyAlignment="1">
      <alignment horizontal="center" vertical="center" wrapText="1"/>
    </xf>
    <xf numFmtId="0" fontId="52" fillId="0" borderId="0" xfId="0" applyFont="1" applyAlignment="1">
      <alignment horizontal="center"/>
    </xf>
    <xf numFmtId="0" fontId="52" fillId="0" borderId="0" xfId="0" applyFont="1" applyAlignment="1">
      <alignment horizontal="center" vertical="center"/>
    </xf>
    <xf numFmtId="0" fontId="47" fillId="3" borderId="27" xfId="0" applyFont="1" applyFill="1" applyBorder="1" applyAlignment="1">
      <alignment horizontal="center" vertical="center" wrapText="1"/>
    </xf>
    <xf numFmtId="0" fontId="47" fillId="3" borderId="28" xfId="0" applyFont="1" applyFill="1" applyBorder="1" applyAlignment="1">
      <alignment horizontal="center" vertical="center" wrapText="1"/>
    </xf>
    <xf numFmtId="0" fontId="47" fillId="3" borderId="29" xfId="0" applyFont="1" applyFill="1" applyBorder="1" applyAlignment="1">
      <alignment horizontal="center" vertical="center" wrapText="1"/>
    </xf>
    <xf numFmtId="0" fontId="49" fillId="3" borderId="33" xfId="0" applyFont="1" applyFill="1" applyBorder="1" applyAlignment="1">
      <alignment horizontal="center" vertical="center" wrapText="1"/>
    </xf>
    <xf numFmtId="0" fontId="49" fillId="3" borderId="32" xfId="0" applyFont="1" applyFill="1" applyBorder="1" applyAlignment="1">
      <alignment horizontal="center" vertical="center" wrapText="1"/>
    </xf>
    <xf numFmtId="0" fontId="52" fillId="0" borderId="0" xfId="0" applyFont="1" applyAlignment="1">
      <alignment horizontal="left" vertical="center"/>
    </xf>
    <xf numFmtId="0" fontId="49" fillId="3" borderId="31" xfId="0" applyFont="1" applyFill="1" applyBorder="1" applyAlignment="1">
      <alignment horizontal="center" vertical="center" wrapText="1"/>
    </xf>
    <xf numFmtId="0" fontId="49" fillId="3" borderId="30" xfId="0" applyFont="1" applyFill="1" applyBorder="1" applyAlignment="1">
      <alignment horizontal="center" vertical="center" wrapText="1"/>
    </xf>
    <xf numFmtId="0" fontId="48" fillId="3" borderId="13" xfId="0" applyFont="1" applyFill="1" applyBorder="1" applyAlignment="1">
      <alignment horizontal="center" vertical="center" wrapText="1"/>
    </xf>
    <xf numFmtId="0" fontId="47" fillId="3" borderId="0" xfId="0" applyFont="1" applyFill="1" applyAlignment="1">
      <alignment horizontal="center" vertical="center"/>
    </xf>
    <xf numFmtId="0" fontId="15" fillId="0" borderId="0" xfId="0" applyFont="1" applyAlignment="1">
      <alignment horizontal="left" vertical="top"/>
    </xf>
    <xf numFmtId="1" fontId="24" fillId="3" borderId="11" xfId="0" applyNumberFormat="1" applyFont="1" applyFill="1" applyBorder="1" applyAlignment="1">
      <alignment horizontal="center" vertical="center"/>
    </xf>
    <xf numFmtId="1" fontId="24" fillId="3" borderId="12" xfId="0" applyNumberFormat="1" applyFont="1" applyFill="1" applyBorder="1" applyAlignment="1">
      <alignment horizontal="center" vertical="center"/>
    </xf>
    <xf numFmtId="1" fontId="24" fillId="3" borderId="6" xfId="0" applyNumberFormat="1" applyFont="1" applyFill="1" applyBorder="1" applyAlignment="1">
      <alignment horizontal="center" vertical="center"/>
    </xf>
    <xf numFmtId="3" fontId="28" fillId="3" borderId="0" xfId="0" applyNumberFormat="1" applyFont="1" applyFill="1" applyAlignment="1">
      <alignment horizontal="center" vertical="center"/>
    </xf>
    <xf numFmtId="166" fontId="20" fillId="0" borderId="0" xfId="0" quotePrefix="1" applyNumberFormat="1" applyFont="1" applyAlignment="1">
      <alignment horizontal="left" vertical="center" wrapText="1"/>
    </xf>
    <xf numFmtId="1" fontId="24" fillId="2" borderId="0" xfId="0" applyNumberFormat="1" applyFont="1" applyFill="1" applyAlignment="1">
      <alignment horizontal="center" vertical="center"/>
    </xf>
    <xf numFmtId="3" fontId="32" fillId="3" borderId="22" xfId="0" applyNumberFormat="1" applyFont="1" applyFill="1" applyBorder="1" applyAlignment="1">
      <alignment horizontal="center" vertical="center"/>
    </xf>
    <xf numFmtId="3" fontId="32" fillId="3" borderId="11" xfId="0" applyNumberFormat="1" applyFont="1" applyFill="1" applyBorder="1" applyAlignment="1">
      <alignment horizontal="center" vertical="center"/>
    </xf>
    <xf numFmtId="1" fontId="24" fillId="3" borderId="0" xfId="0" applyNumberFormat="1" applyFont="1" applyFill="1" applyAlignment="1">
      <alignment horizontal="center" vertical="center"/>
    </xf>
    <xf numFmtId="3" fontId="49" fillId="3" borderId="8" xfId="0" applyNumberFormat="1" applyFont="1" applyFill="1" applyBorder="1" applyAlignment="1">
      <alignment horizontal="center" vertical="center"/>
    </xf>
    <xf numFmtId="3" fontId="49" fillId="3" borderId="9" xfId="0" applyNumberFormat="1" applyFont="1" applyFill="1" applyBorder="1" applyAlignment="1">
      <alignment horizontal="center" vertical="center"/>
    </xf>
    <xf numFmtId="0" fontId="13" fillId="0" borderId="0" xfId="0" applyFont="1" applyAlignment="1">
      <alignment horizontal="center"/>
    </xf>
    <xf numFmtId="0" fontId="13" fillId="0" borderId="0" xfId="0" applyFont="1" applyAlignment="1">
      <alignment horizontal="center" vertical="center" wrapText="1"/>
    </xf>
    <xf numFmtId="1" fontId="24" fillId="3" borderId="34" xfId="0" applyNumberFormat="1" applyFont="1" applyFill="1" applyBorder="1" applyAlignment="1">
      <alignment horizontal="center" vertical="center"/>
    </xf>
    <xf numFmtId="1" fontId="24" fillId="3" borderId="35" xfId="0" applyNumberFormat="1" applyFont="1" applyFill="1" applyBorder="1" applyAlignment="1">
      <alignment horizontal="center" vertical="center"/>
    </xf>
    <xf numFmtId="3" fontId="28" fillId="3" borderId="5" xfId="0" applyNumberFormat="1" applyFont="1" applyFill="1" applyBorder="1" applyAlignment="1">
      <alignment horizontal="center" vertical="center"/>
    </xf>
    <xf numFmtId="1" fontId="24" fillId="3" borderId="25" xfId="0" applyNumberFormat="1" applyFont="1" applyFill="1" applyBorder="1" applyAlignment="1">
      <alignment horizontal="center" vertical="center"/>
    </xf>
    <xf numFmtId="3" fontId="32" fillId="3" borderId="26" xfId="0" applyNumberFormat="1" applyFont="1" applyFill="1" applyBorder="1" applyAlignment="1">
      <alignment horizontal="center" vertical="center"/>
    </xf>
    <xf numFmtId="3" fontId="49" fillId="3" borderId="26" xfId="0" applyNumberFormat="1" applyFont="1" applyFill="1" applyBorder="1" applyAlignment="1">
      <alignment horizontal="center" vertical="center"/>
    </xf>
    <xf numFmtId="3" fontId="49" fillId="3" borderId="22" xfId="0" applyNumberFormat="1" applyFont="1" applyFill="1" applyBorder="1" applyAlignment="1">
      <alignment horizontal="center" vertical="center"/>
    </xf>
    <xf numFmtId="0" fontId="60" fillId="0" borderId="0" xfId="0" applyFont="1" applyAlignment="1">
      <alignment horizontal="left" vertical="center" wrapText="1"/>
    </xf>
    <xf numFmtId="166" fontId="35" fillId="3" borderId="21" xfId="0" applyNumberFormat="1" applyFont="1" applyFill="1" applyBorder="1" applyAlignment="1">
      <alignment horizontal="center" vertical="center" wrapText="1"/>
    </xf>
    <xf numFmtId="0" fontId="28" fillId="3" borderId="22" xfId="0" applyFont="1" applyFill="1" applyBorder="1" applyAlignment="1">
      <alignment horizontal="center" vertical="center"/>
    </xf>
    <xf numFmtId="0" fontId="28" fillId="3" borderId="21" xfId="0" applyFont="1" applyFill="1" applyBorder="1" applyAlignment="1">
      <alignment horizontal="center" vertical="center"/>
    </xf>
    <xf numFmtId="0" fontId="28" fillId="3" borderId="22" xfId="0" applyFont="1" applyFill="1" applyBorder="1" applyAlignment="1">
      <alignment horizontal="center" vertical="center" wrapText="1"/>
    </xf>
  </cellXfs>
  <cellStyles count="3">
    <cellStyle name="Millares" xfId="1" builtinId="3"/>
    <cellStyle name="Normal" xfId="0" builtinId="0"/>
    <cellStyle name="Normal_ado99" xfId="2" xr:uid="{00000000-0005-0000-0000-000002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77591"/>
      <color rgb="FFFF5050"/>
      <color rgb="FFEB81AE"/>
      <color rgb="FFFF0000"/>
      <color rgb="FF2784D9"/>
      <color rgb="FF33CC33"/>
      <color rgb="FFCE8820"/>
      <color rgb="FF0F65F1"/>
      <color rgb="FFFF333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900">
                <a:latin typeface="Arial" pitchFamily="34" charset="0"/>
                <a:cs typeface="Arial" pitchFamily="34" charset="0"/>
              </a:defRPr>
            </a:pPr>
            <a:r>
              <a:rPr lang="en-US" sz="900">
                <a:latin typeface="Arial" pitchFamily="34" charset="0"/>
                <a:cs typeface="Arial" pitchFamily="34" charset="0"/>
              </a:rPr>
              <a:t>HUELGAS</a:t>
            </a:r>
            <a:r>
              <a:rPr lang="en-US" sz="900" baseline="0">
                <a:latin typeface="Arial" pitchFamily="34" charset="0"/>
                <a:cs typeface="Arial" pitchFamily="34" charset="0"/>
              </a:rPr>
              <a:t> EN EL SECTOR PRIVADO,  SEGÚN ACTIVIDAD ECONÓMICA</a:t>
            </a:r>
            <a:endParaRPr lang="en-US" sz="900">
              <a:latin typeface="Arial" pitchFamily="34" charset="0"/>
              <a:cs typeface="Arial" pitchFamily="34" charset="0"/>
            </a:endParaRPr>
          </a:p>
        </c:rich>
      </c:tx>
      <c:layout>
        <c:manualLayout>
          <c:xMode val="edge"/>
          <c:yMode val="edge"/>
          <c:x val="0.12075740873648204"/>
          <c:y val="3.8531008906030777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0.17631057619063747"/>
          <c:y val="0.30541805655966409"/>
          <c:w val="0.59629851003898504"/>
          <c:h val="0.48015838132459321"/>
        </c:manualLayout>
      </c:layout>
      <c:pie3DChart>
        <c:varyColors val="1"/>
        <c:ser>
          <c:idx val="0"/>
          <c:order val="0"/>
          <c:explosion val="25"/>
          <c:dPt>
            <c:idx val="3"/>
            <c:bubble3D val="0"/>
            <c:explosion val="30"/>
            <c:extLst>
              <c:ext xmlns:c16="http://schemas.microsoft.com/office/drawing/2014/chart" uri="{C3380CC4-5D6E-409C-BE32-E72D297353CC}">
                <c16:uniqueId val="{00000003-53A6-4CB2-A9D4-38997E496800}"/>
              </c:ext>
            </c:extLst>
          </c:dPt>
          <c:dLbls>
            <c:dLbl>
              <c:idx val="0"/>
              <c:layout>
                <c:manualLayout>
                  <c:x val="-5.7865187191983476E-2"/>
                  <c:y val="-4.0514648549511485E-2"/>
                </c:manualLayout>
              </c:layout>
              <c:tx>
                <c:rich>
                  <a:bodyPr wrap="square" lIns="38100" tIns="19050" rIns="38100" bIns="19050" anchor="ctr">
                    <a:noAutofit/>
                  </a:bodyPr>
                  <a:lstStyle/>
                  <a:p>
                    <a:pPr>
                      <a:defRPr sz="800" b="1"/>
                    </a:pPr>
                    <a:fld id="{53F9187C-4FA3-440C-846C-DE7124F5B780}" type="CATEGORYNAME">
                      <a:rPr lang="en-US"/>
                      <a:pPr>
                        <a:defRPr sz="800" b="1"/>
                      </a:pPr>
                      <a:t>[NOMBRE DE CATEGORÍA]</a:t>
                    </a:fld>
                    <a:r>
                      <a:rPr lang="en-US" baseline="0"/>
                      <a:t> </a:t>
                    </a:r>
                    <a:fld id="{5921D015-F544-4B83-884D-183C37E0B7EB}" type="VALUE">
                      <a:rPr lang="en-US" baseline="0"/>
                      <a:pPr>
                        <a:defRPr sz="800" b="1"/>
                      </a:pPr>
                      <a:t>[VALOR]</a:t>
                    </a:fld>
                    <a:endParaRPr lang="en-US" baseline="0"/>
                  </a:p>
                  <a:p>
                    <a:pPr>
                      <a:defRPr sz="800" b="1"/>
                    </a:pPr>
                    <a:r>
                      <a:rPr lang="en-US" baseline="0"/>
                      <a:t> </a:t>
                    </a:r>
                    <a:fld id="{B360B3E6-57B7-4D8B-9260-DE0FE2C164BB}" type="PERCENTAGE">
                      <a:rPr lang="en-US" baseline="0"/>
                      <a:pPr>
                        <a:defRPr sz="800" b="1"/>
                      </a:pPr>
                      <a:t>[PORCENTAJE]</a:t>
                    </a:fld>
                    <a:endParaRPr lang="en-US" baseline="0"/>
                  </a:p>
                </c:rich>
              </c:tx>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22687149680118024"/>
                      <c:h val="0.18696867191872332"/>
                    </c:manualLayout>
                  </c15:layout>
                  <c15:dlblFieldTable/>
                  <c15:showDataLabelsRange val="0"/>
                </c:ext>
                <c:ext xmlns:c16="http://schemas.microsoft.com/office/drawing/2014/chart" uri="{C3380CC4-5D6E-409C-BE32-E72D297353CC}">
                  <c16:uniqueId val="{00000000-53A6-4CB2-A9D4-38997E496800}"/>
                </c:ext>
              </c:extLst>
            </c:dLbl>
            <c:dLbl>
              <c:idx val="1"/>
              <c:layout>
                <c:manualLayout>
                  <c:x val="3.9498365702236339E-2"/>
                  <c:y val="-0.12739044724795887"/>
                </c:manualLayout>
              </c:layout>
              <c:tx>
                <c:rich>
                  <a:bodyPr wrap="square" lIns="38100" tIns="19050" rIns="38100" bIns="19050" anchor="ctr">
                    <a:noAutofit/>
                  </a:bodyPr>
                  <a:lstStyle/>
                  <a:p>
                    <a:pPr>
                      <a:defRPr sz="800" b="1"/>
                    </a:pPr>
                    <a:fld id="{35A55053-45B9-46A0-BDC0-1B73838BB1FE}" type="CATEGORYNAME">
                      <a:rPr lang="en-US"/>
                      <a:pPr>
                        <a:defRPr sz="800" b="1"/>
                      </a:pPr>
                      <a:t>[NOMBRE DE CATEGORÍA]</a:t>
                    </a:fld>
                    <a:r>
                      <a:rPr lang="en-US" baseline="0"/>
                      <a:t> </a:t>
                    </a:r>
                    <a:fld id="{256F8787-4081-4E36-B96A-DEBCC88AF665}" type="VALUE">
                      <a:rPr lang="en-US" baseline="0"/>
                      <a:pPr>
                        <a:defRPr sz="800" b="1"/>
                      </a:pPr>
                      <a:t>[VALOR]</a:t>
                    </a:fld>
                    <a:endParaRPr lang="en-US" baseline="0"/>
                  </a:p>
                  <a:p>
                    <a:pPr>
                      <a:defRPr sz="800" b="1"/>
                    </a:pPr>
                    <a:fld id="{8F23C43C-524F-46B5-9F26-B7309B6480C0}" type="PERCENTAGE">
                      <a:rPr lang="en-US" baseline="0"/>
                      <a:pPr>
                        <a:defRPr sz="800" b="1"/>
                      </a:pPr>
                      <a:t>[PORCENTAJE]</a:t>
                    </a:fld>
                    <a:endParaRPr lang="es-MX"/>
                  </a:p>
                </c:rich>
              </c:tx>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2059651701646131"/>
                      <c:h val="0.21950741868910892"/>
                    </c:manualLayout>
                  </c15:layout>
                  <c15:dlblFieldTable/>
                  <c15:showDataLabelsRange val="0"/>
                </c:ext>
                <c:ext xmlns:c16="http://schemas.microsoft.com/office/drawing/2014/chart" uri="{C3380CC4-5D6E-409C-BE32-E72D297353CC}">
                  <c16:uniqueId val="{00000001-53A6-4CB2-A9D4-38997E496800}"/>
                </c:ext>
              </c:extLst>
            </c:dLbl>
            <c:dLbl>
              <c:idx val="2"/>
              <c:layout>
                <c:manualLayout>
                  <c:x val="3.0540476146227201E-2"/>
                  <c:y val="-4.3198796695256642E-2"/>
                </c:manualLayout>
              </c:layout>
              <c:tx>
                <c:rich>
                  <a:bodyPr wrap="square" lIns="38100" tIns="19050" rIns="38100" bIns="19050" anchor="ctr">
                    <a:noAutofit/>
                  </a:bodyPr>
                  <a:lstStyle/>
                  <a:p>
                    <a:pPr>
                      <a:defRPr sz="800" b="1"/>
                    </a:pPr>
                    <a:fld id="{3FE03F04-C8BB-43E7-A6DE-45241D072223}" type="CATEGORYNAME">
                      <a:rPr lang="en-US"/>
                      <a:pPr>
                        <a:defRPr sz="800" b="1"/>
                      </a:pPr>
                      <a:t>[NOMBRE DE CATEGORÍA]</a:t>
                    </a:fld>
                    <a:fld id="{619F6EBC-7C68-487D-B1AE-804B0FC2AB7E}" type="VALUE">
                      <a:rPr lang="en-US" baseline="0"/>
                      <a:pPr>
                        <a:defRPr sz="800" b="1"/>
                      </a:pPr>
                      <a:t>[VALOR]</a:t>
                    </a:fld>
                    <a:endParaRPr lang="en-US" baseline="0"/>
                  </a:p>
                  <a:p>
                    <a:pPr>
                      <a:defRPr sz="800" b="1"/>
                    </a:pPr>
                    <a:r>
                      <a:rPr lang="en-US" baseline="0"/>
                      <a:t> </a:t>
                    </a:r>
                    <a:fld id="{8CAD7C74-6C34-4219-B835-7CF8891CC097}" type="PERCENTAGE">
                      <a:rPr lang="en-US" baseline="0"/>
                      <a:pPr>
                        <a:defRPr sz="800" b="1"/>
                      </a:pPr>
                      <a:t>[PORCENTAJE]</a:t>
                    </a:fld>
                    <a:endParaRPr lang="en-US" baseline="0"/>
                  </a:p>
                </c:rich>
              </c:tx>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20526040701980638"/>
                      <c:h val="0.18745213602232819"/>
                    </c:manualLayout>
                  </c15:layout>
                  <c15:dlblFieldTable/>
                  <c15:showDataLabelsRange val="0"/>
                </c:ext>
                <c:ext xmlns:c16="http://schemas.microsoft.com/office/drawing/2014/chart" uri="{C3380CC4-5D6E-409C-BE32-E72D297353CC}">
                  <c16:uniqueId val="{00000002-53A6-4CB2-A9D4-38997E496800}"/>
                </c:ext>
              </c:extLst>
            </c:dLbl>
            <c:dLbl>
              <c:idx val="3"/>
              <c:layout>
                <c:manualLayout>
                  <c:x val="-7.4299730606587261E-2"/>
                  <c:y val="4.3506545417049479E-2"/>
                </c:manualLayout>
              </c:layout>
              <c:tx>
                <c:rich>
                  <a:bodyPr wrap="square" lIns="38100" tIns="19050" rIns="38100" bIns="19050" anchor="ctr">
                    <a:noAutofit/>
                  </a:bodyPr>
                  <a:lstStyle/>
                  <a:p>
                    <a:pPr>
                      <a:defRPr sz="800" b="1"/>
                    </a:pPr>
                    <a:fld id="{BE555823-D210-4363-8641-5C7B05B80290}" type="CATEGORYNAME">
                      <a:rPr lang="en-US"/>
                      <a:pPr>
                        <a:defRPr sz="800" b="1"/>
                      </a:pPr>
                      <a:t>[NOMBRE DE CATEGORÍA]</a:t>
                    </a:fld>
                    <a:r>
                      <a:rPr lang="en-US" baseline="0"/>
                      <a:t>.</a:t>
                    </a:r>
                    <a:fld id="{AB7E82A3-7BF1-4CB5-A720-0BF5C7924106}" type="VALUE">
                      <a:rPr lang="en-US" baseline="0"/>
                      <a:pPr>
                        <a:defRPr sz="800" b="1"/>
                      </a:pPr>
                      <a:t>[VALOR]</a:t>
                    </a:fld>
                    <a:endParaRPr lang="en-US" baseline="0"/>
                  </a:p>
                  <a:p>
                    <a:pPr>
                      <a:defRPr sz="800" b="1"/>
                    </a:pPr>
                    <a:r>
                      <a:rPr lang="en-US" baseline="0"/>
                      <a:t> </a:t>
                    </a:r>
                    <a:fld id="{225D4AE4-3229-4B84-8110-EE5E0661D9E9}" type="PERCENTAGE">
                      <a:rPr lang="en-US" baseline="0"/>
                      <a:pPr>
                        <a:defRPr sz="800" b="1"/>
                      </a:pPr>
                      <a:t>[PORCENTAJE]</a:t>
                    </a:fld>
                    <a:endParaRPr lang="en-US" baseline="0"/>
                  </a:p>
                </c:rich>
              </c:tx>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25890103942298309"/>
                      <c:h val="0.13233021249578567"/>
                    </c:manualLayout>
                  </c15:layout>
                  <c15:dlblFieldTable/>
                  <c15:showDataLabelsRange val="0"/>
                </c:ext>
                <c:ext xmlns:c16="http://schemas.microsoft.com/office/drawing/2014/chart" uri="{C3380CC4-5D6E-409C-BE32-E72D297353CC}">
                  <c16:uniqueId val="{00000003-53A6-4CB2-A9D4-38997E496800}"/>
                </c:ext>
              </c:extLst>
            </c:dLbl>
            <c:dLbl>
              <c:idx val="4"/>
              <c:layout>
                <c:manualLayout>
                  <c:x val="-2.2166540298235067E-2"/>
                  <c:y val="-8.3989767391206158E-2"/>
                </c:manualLayout>
              </c:layout>
              <c:tx>
                <c:rich>
                  <a:bodyPr wrap="square" lIns="38100" tIns="19050" rIns="38100" bIns="19050" anchor="ctr">
                    <a:noAutofit/>
                  </a:bodyPr>
                  <a:lstStyle/>
                  <a:p>
                    <a:pPr>
                      <a:defRPr sz="800" b="1"/>
                    </a:pPr>
                    <a:fld id="{13EC6225-4C08-4BE2-8D38-A734D4320F5E}" type="CATEGORYNAME">
                      <a:rPr lang="en-US"/>
                      <a:pPr>
                        <a:defRPr sz="800" b="1"/>
                      </a:pPr>
                      <a:t>[NOMBRE DE CATEGORÍA]</a:t>
                    </a:fld>
                    <a:r>
                      <a:rPr lang="en-US" baseline="0"/>
                      <a:t> </a:t>
                    </a:r>
                    <a:fld id="{83F19702-B859-40F3-A8A2-8AC41A661B4D}" type="VALUE">
                      <a:rPr lang="en-US" baseline="0"/>
                      <a:pPr>
                        <a:defRPr sz="800" b="1"/>
                      </a:pPr>
                      <a:t>[VALOR]</a:t>
                    </a:fld>
                    <a:endParaRPr lang="en-US" baseline="0"/>
                  </a:p>
                  <a:p>
                    <a:pPr>
                      <a:defRPr sz="800" b="1"/>
                    </a:pPr>
                    <a:fld id="{80CA0FC6-DEC2-43A5-9F77-C479D728F350}" type="PERCENTAGE">
                      <a:rPr lang="en-US" baseline="0"/>
                      <a:pPr>
                        <a:defRPr sz="800" b="1"/>
                      </a:pPr>
                      <a:t>[PORCENTAJE]</a:t>
                    </a:fld>
                    <a:endParaRPr lang="es-MX"/>
                  </a:p>
                </c:rich>
              </c:tx>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20749236555128089"/>
                      <c:h val="0.16836516355863479"/>
                    </c:manualLayout>
                  </c15:layout>
                  <c15:dlblFieldTable/>
                  <c15:showDataLabelsRange val="0"/>
                </c:ext>
                <c:ext xmlns:c16="http://schemas.microsoft.com/office/drawing/2014/chart" uri="{C3380CC4-5D6E-409C-BE32-E72D297353CC}">
                  <c16:uniqueId val="{00000004-53A6-4CB2-A9D4-38997E496800}"/>
                </c:ext>
              </c:extLst>
            </c:dLbl>
            <c:dLbl>
              <c:idx val="5"/>
              <c:layout>
                <c:manualLayout>
                  <c:x val="5.0261155624863829E-2"/>
                  <c:y val="-4.0004147728655112E-2"/>
                </c:manualLayout>
              </c:layout>
              <c:tx>
                <c:rich>
                  <a:bodyPr wrap="square" lIns="38100" tIns="19050" rIns="38100" bIns="19050" anchor="ctr">
                    <a:noAutofit/>
                  </a:bodyPr>
                  <a:lstStyle/>
                  <a:p>
                    <a:pPr>
                      <a:defRPr sz="800" b="1"/>
                    </a:pPr>
                    <a:fld id="{B468D21F-5307-4FFA-B14C-894261DA4F7B}" type="CATEGORYNAME">
                      <a:rPr lang="en-US"/>
                      <a:pPr>
                        <a:defRPr sz="800" b="1"/>
                      </a:pPr>
                      <a:t>[NOMBRE DE CATEGORÍA]</a:t>
                    </a:fld>
                    <a:r>
                      <a:rPr lang="en-US"/>
                      <a:t> </a:t>
                    </a:r>
                    <a:fld id="{2DC1D338-63B6-4F0C-9495-3E155841E577}" type="VALUE">
                      <a:rPr lang="en-US" baseline="0"/>
                      <a:pPr>
                        <a:defRPr sz="800" b="1"/>
                      </a:pPr>
                      <a:t>[VALOR]</a:t>
                    </a:fld>
                    <a:endParaRPr lang="en-US" baseline="0"/>
                  </a:p>
                  <a:p>
                    <a:pPr>
                      <a:defRPr sz="800" b="1"/>
                    </a:pPr>
                    <a:r>
                      <a:rPr lang="en-US" baseline="0"/>
                      <a:t> </a:t>
                    </a:r>
                    <a:fld id="{C74F54AD-99A2-4C0A-B4D4-EB4E04C78A8C}" type="PERCENTAGE">
                      <a:rPr lang="en-US" baseline="0"/>
                      <a:pPr>
                        <a:defRPr sz="800" b="1"/>
                      </a:pPr>
                      <a:t>[PORCENTAJE]</a:t>
                    </a:fld>
                    <a:endParaRPr lang="en-US" baseline="0"/>
                  </a:p>
                </c:rich>
              </c:tx>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19084336957358344"/>
                      <c:h val="0.13888007371833297"/>
                    </c:manualLayout>
                  </c15:layout>
                  <c15:dlblFieldTable/>
                  <c15:showDataLabelsRange val="0"/>
                </c:ext>
                <c:ext xmlns:c16="http://schemas.microsoft.com/office/drawing/2014/chart" uri="{C3380CC4-5D6E-409C-BE32-E72D297353CC}">
                  <c16:uniqueId val="{00000005-53A6-4CB2-A9D4-38997E496800}"/>
                </c:ext>
              </c:extLst>
            </c:dLbl>
            <c:dLbl>
              <c:idx val="6"/>
              <c:layout>
                <c:manualLayout>
                  <c:x val="-7.1734088740069285E-2"/>
                  <c:y val="-2.9372738896080441E-2"/>
                </c:manualLayout>
              </c:layout>
              <c:tx>
                <c:rich>
                  <a:bodyPr wrap="square" lIns="38100" tIns="19050" rIns="38100" bIns="19050" anchor="ctr">
                    <a:noAutofit/>
                  </a:bodyPr>
                  <a:lstStyle/>
                  <a:p>
                    <a:pPr>
                      <a:defRPr sz="800" b="1"/>
                    </a:pPr>
                    <a:fld id="{267E4B0A-329A-4D6B-A16B-A1ECFCF9EE9D}" type="CATEGORYNAME">
                      <a:rPr lang="en-US"/>
                      <a:pPr>
                        <a:defRPr sz="800" b="1"/>
                      </a:pPr>
                      <a:t>[NOMBRE DE CATEGORÍA]</a:t>
                    </a:fld>
                    <a:r>
                      <a:rPr lang="en-US"/>
                      <a:t> </a:t>
                    </a:r>
                    <a:fld id="{08B78D9F-ED73-4505-96B4-64416E2A16BC}" type="VALUE">
                      <a:rPr lang="en-US" baseline="0"/>
                      <a:pPr>
                        <a:defRPr sz="800" b="1"/>
                      </a:pPr>
                      <a:t>[VALOR]</a:t>
                    </a:fld>
                    <a:endParaRPr lang="en-US" baseline="0"/>
                  </a:p>
                  <a:p>
                    <a:pPr>
                      <a:defRPr sz="800" b="1"/>
                    </a:pPr>
                    <a:r>
                      <a:rPr lang="en-US" baseline="0"/>
                      <a:t> </a:t>
                    </a:r>
                    <a:fld id="{B5B3EF87-1AD7-45D5-B8B7-40FB02DF8DC6}" type="PERCENTAGE">
                      <a:rPr lang="en-US" baseline="0"/>
                      <a:pPr>
                        <a:defRPr sz="800" b="1"/>
                      </a:pPr>
                      <a:t>[PORCENTAJE]</a:t>
                    </a:fld>
                    <a:endParaRPr lang="en-US" baseline="0"/>
                  </a:p>
                </c:rich>
              </c:tx>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1571625267066997"/>
                      <c:h val="0.11510060544270458"/>
                    </c:manualLayout>
                  </c15:layout>
                  <c15:dlblFieldTable/>
                  <c15:showDataLabelsRange val="0"/>
                </c:ext>
                <c:ext xmlns:c16="http://schemas.microsoft.com/office/drawing/2014/chart" uri="{C3380CC4-5D6E-409C-BE32-E72D297353CC}">
                  <c16:uniqueId val="{00000000-CF26-4668-879F-1B2E62B79459}"/>
                </c:ext>
              </c:extLst>
            </c:dLbl>
            <c:dLbl>
              <c:idx val="7"/>
              <c:layout>
                <c:manualLayout>
                  <c:x val="-0.13070622445717323"/>
                  <c:y val="5.7899288797357605E-3"/>
                </c:manualLayout>
              </c:layout>
              <c:tx>
                <c:rich>
                  <a:bodyPr wrap="square" lIns="38100" tIns="19050" rIns="38100" bIns="19050" anchor="ctr">
                    <a:noAutofit/>
                  </a:bodyPr>
                  <a:lstStyle/>
                  <a:p>
                    <a:pPr>
                      <a:defRPr sz="800" b="1"/>
                    </a:pPr>
                    <a:fld id="{CC669006-9975-4833-A282-0BD5AFE63A64}" type="CATEGORYNAME">
                      <a:rPr lang="en-US"/>
                      <a:pPr>
                        <a:defRPr sz="800" b="1"/>
                      </a:pPr>
                      <a:t>[NOMBRE DE CATEGORÍA]</a:t>
                    </a:fld>
                    <a:fld id="{901D4E0F-B523-43AF-83B9-60940911E480}" type="VALUE">
                      <a:rPr lang="en-US" baseline="0"/>
                      <a:pPr>
                        <a:defRPr sz="800" b="1"/>
                      </a:pPr>
                      <a:t>[VALOR]</a:t>
                    </a:fld>
                    <a:endParaRPr lang="en-US" baseline="0"/>
                  </a:p>
                  <a:p>
                    <a:pPr>
                      <a:defRPr sz="800" b="1"/>
                    </a:pPr>
                    <a:fld id="{4B12E54A-46DB-4EBF-8C31-67735C28D643}" type="PERCENTAGE">
                      <a:rPr lang="en-US" baseline="0"/>
                      <a:pPr>
                        <a:defRPr sz="800" b="1"/>
                      </a:pPr>
                      <a:t>[PORCENTAJE]</a:t>
                    </a:fld>
                    <a:endParaRPr lang="es-MX"/>
                  </a:p>
                </c:rich>
              </c:tx>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20683356780487538"/>
                      <c:h val="0.1330949959472425"/>
                    </c:manualLayout>
                  </c15:layout>
                  <c15:dlblFieldTable/>
                  <c15:showDataLabelsRange val="0"/>
                </c:ext>
                <c:ext xmlns:c16="http://schemas.microsoft.com/office/drawing/2014/chart" uri="{C3380CC4-5D6E-409C-BE32-E72D297353CC}">
                  <c16:uniqueId val="{00000001-5339-45E3-A6EB-00DF350C2E0F}"/>
                </c:ext>
              </c:extLst>
            </c:dLbl>
            <c:dLbl>
              <c:idx val="8"/>
              <c:layout>
                <c:manualLayout>
                  <c:x val="-3.4470399407949474E-3"/>
                  <c:y val="-2.6106971992231959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F98-49B4-9D1F-08BBD81E3912}"/>
                </c:ext>
              </c:extLst>
            </c:dLbl>
            <c:dLbl>
              <c:idx val="9"/>
              <c:layout>
                <c:manualLayout>
                  <c:x val="-0.1614499207264356"/>
                  <c:y val="1.1068867755849037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F98-49B4-9D1F-08BBD81E3912}"/>
                </c:ext>
              </c:extLst>
            </c:dLbl>
            <c:dLbl>
              <c:idx val="10"/>
              <c:layout>
                <c:manualLayout>
                  <c:x val="5.3186133025136681E-2"/>
                  <c:y val="-1.7099417459000722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F98-49B4-9D1F-08BBD81E3912}"/>
                </c:ext>
              </c:extLst>
            </c:dLbl>
            <c:spPr>
              <a:noFill/>
              <a:ln>
                <a:noFill/>
              </a:ln>
              <a:effectLst/>
            </c:spPr>
            <c:txPr>
              <a:bodyPr wrap="square" lIns="38100" tIns="19050" rIns="38100" bIns="19050" anchor="ctr">
                <a:spAutoFit/>
              </a:bodyPr>
              <a:lstStyle/>
              <a:p>
                <a:pPr>
                  <a:defRPr sz="800" b="1"/>
                </a:pPr>
                <a:endParaRPr lang="es-PE"/>
              </a:p>
            </c:tx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'Anexo 06'!$R$3:$R$8</c:f>
              <c:strCache>
                <c:ptCount val="6"/>
                <c:pt idx="0">
                  <c:v>EXPLOTACIÓN DE MINAS Y CANTERAS</c:v>
                </c:pt>
                <c:pt idx="1">
                  <c:v>INDUSTRIA MANUFACTURERA</c:v>
                </c:pt>
                <c:pt idx="2">
                  <c:v>INTERMEDIACIÓN FINANCIERA,  AFP</c:v>
                </c:pt>
                <c:pt idx="3">
                  <c:v>ADMINISTRACIÓN PÚBLICA Y DEFENSA</c:v>
                </c:pt>
                <c:pt idx="4">
                  <c:v>SERVICIOS SOCIALES Y DE SALUD</c:v>
                </c:pt>
                <c:pt idx="5">
                  <c:v>OTROS</c:v>
                </c:pt>
              </c:strCache>
            </c:strRef>
          </c:cat>
          <c:val>
            <c:numRef>
              <c:f>'Anexo 06'!$S$3:$S$8</c:f>
              <c:numCache>
                <c:formatCode>_(* #,##0_);_(* \(#,##0\);_(* "-"_);_(@_)</c:formatCode>
                <c:ptCount val="6"/>
                <c:pt idx="0">
                  <c:v>7</c:v>
                </c:pt>
                <c:pt idx="1">
                  <c:v>6</c:v>
                </c:pt>
                <c:pt idx="2">
                  <c:v>3</c:v>
                </c:pt>
                <c:pt idx="3">
                  <c:v>33</c:v>
                </c:pt>
                <c:pt idx="4">
                  <c:v>8</c:v>
                </c:pt>
                <c:pt idx="5" formatCode="General">
                  <c:v>6</c:v>
                </c:pt>
              </c:numCache>
            </c:numRef>
          </c:val>
          <c:extLst>
            <c:ext xmlns:c16="http://schemas.microsoft.com/office/drawing/2014/chart" uri="{C3380CC4-5D6E-409C-BE32-E72D297353CC}">
              <c16:uniqueId val="{00000008-53A6-4CB2-A9D4-38997E496800}"/>
            </c:ext>
          </c:extLst>
        </c:ser>
        <c:dLbls>
          <c:dLblPos val="bestFit"/>
          <c:showLegendKey val="0"/>
          <c:showVal val="1"/>
          <c:showCatName val="0"/>
          <c:showSerName val="0"/>
          <c:showPercent val="0"/>
          <c:showBubbleSize val="0"/>
          <c:showLeaderLines val="1"/>
        </c:dLbls>
      </c:pie3DChart>
    </c:plotArea>
    <c:plotVisOnly val="1"/>
    <c:dispBlanksAs val="gap"/>
    <c:showDLblsOverMax val="0"/>
  </c:chart>
  <c:spPr>
    <a:solidFill>
      <a:schemeClr val="bg1"/>
    </a:solidFill>
    <a:ln w="25400">
      <a:solidFill>
        <a:schemeClr val="tx1"/>
      </a:solidFill>
    </a:ln>
    <a:effectLst>
      <a:outerShdw blurRad="50800" dist="50800" dir="5400000" algn="ctr" rotWithShape="0">
        <a:schemeClr val="bg1"/>
      </a:outerShdw>
    </a:effectLst>
    <a:scene3d>
      <a:camera prst="orthographicFront"/>
      <a:lightRig rig="threePt" dir="t"/>
    </a:scene3d>
  </c:sp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s-PE" sz="900" b="1">
                <a:latin typeface="+mn-lt"/>
                <a:cs typeface="Arial" panose="020B0604020202020204" pitchFamily="34" charset="0"/>
              </a:rPr>
              <a:t>HUELGAS EN EL</a:t>
            </a:r>
            <a:r>
              <a:rPr lang="es-PE" sz="900" b="1" baseline="0">
                <a:latin typeface="+mn-lt"/>
                <a:cs typeface="Arial" panose="020B0604020202020204" pitchFamily="34" charset="0"/>
              </a:rPr>
              <a:t> SECTOR PRIVADO, SEGÚN NÚMERO DE TRABAJADORES</a:t>
            </a:r>
            <a:endParaRPr lang="es-PE" sz="900" b="1">
              <a:latin typeface="+mn-lt"/>
              <a:cs typeface="Arial" panose="020B0604020202020204" pitchFamily="34" charset="0"/>
            </a:endParaRPr>
          </a:p>
        </c:rich>
      </c:tx>
      <c:layout>
        <c:manualLayout>
          <c:xMode val="edge"/>
          <c:yMode val="edge"/>
          <c:x val="0.14576100466517949"/>
          <c:y val="2.7874564459930314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es-PE"/>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8.4577454327560406E-2"/>
          <c:y val="0.20992144274648591"/>
          <c:w val="0.91269634412188638"/>
          <c:h val="0.3862255023000174"/>
        </c:manualLayout>
      </c:layout>
      <c:bar3DChart>
        <c:barDir val="col"/>
        <c:grouping val="clustered"/>
        <c:varyColors val="0"/>
        <c:ser>
          <c:idx val="0"/>
          <c:order val="0"/>
          <c:spPr>
            <a:solidFill>
              <a:srgbClr val="C0000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11'!$B$7:$B$14</c:f>
              <c:strCache>
                <c:ptCount val="8"/>
                <c:pt idx="0">
                  <c:v>20 - 49</c:v>
                </c:pt>
                <c:pt idx="1">
                  <c:v>50 - 99</c:v>
                </c:pt>
                <c:pt idx="2">
                  <c:v>100 - 199</c:v>
                </c:pt>
                <c:pt idx="3">
                  <c:v>200 - 299</c:v>
                </c:pt>
                <c:pt idx="4">
                  <c:v>300 - 499</c:v>
                </c:pt>
                <c:pt idx="5">
                  <c:v>500 - 799</c:v>
                </c:pt>
                <c:pt idx="6">
                  <c:v>800 - 999</c:v>
                </c:pt>
                <c:pt idx="7">
                  <c:v>1000 -  A MÁS TRABAJADORES</c:v>
                </c:pt>
              </c:strCache>
            </c:strRef>
          </c:cat>
          <c:val>
            <c:numRef>
              <c:f>'Anexo 11'!$C$7:$C$14</c:f>
              <c:numCache>
                <c:formatCode>_(* #,##0_);_(* \(#,##0\);_(* "-"_);_(@_)</c:formatCode>
                <c:ptCount val="8"/>
                <c:pt idx="0">
                  <c:v>7</c:v>
                </c:pt>
                <c:pt idx="1">
                  <c:v>10</c:v>
                </c:pt>
                <c:pt idx="2">
                  <c:v>9</c:v>
                </c:pt>
                <c:pt idx="3">
                  <c:v>7</c:v>
                </c:pt>
                <c:pt idx="4">
                  <c:v>7</c:v>
                </c:pt>
                <c:pt idx="5">
                  <c:v>4</c:v>
                </c:pt>
                <c:pt idx="6">
                  <c:v>3</c:v>
                </c:pt>
                <c:pt idx="7">
                  <c:v>16</c:v>
                </c:pt>
              </c:numCache>
            </c:numRef>
          </c:val>
          <c:extLst>
            <c:ext xmlns:c16="http://schemas.microsoft.com/office/drawing/2014/chart" uri="{C3380CC4-5D6E-409C-BE32-E72D297353CC}">
              <c16:uniqueId val="{00000000-733F-48E0-AA38-E9EEDCC0B06D}"/>
            </c:ext>
          </c:extLst>
        </c:ser>
        <c:dLbls>
          <c:showLegendKey val="0"/>
          <c:showVal val="0"/>
          <c:showCatName val="0"/>
          <c:showSerName val="0"/>
          <c:showPercent val="0"/>
          <c:showBubbleSize val="0"/>
        </c:dLbls>
        <c:gapWidth val="150"/>
        <c:shape val="box"/>
        <c:axId val="118607872"/>
        <c:axId val="118609408"/>
        <c:axId val="0"/>
      </c:bar3DChart>
      <c:catAx>
        <c:axId val="118607872"/>
        <c:scaling>
          <c:orientation val="minMax"/>
        </c:scaling>
        <c:delete val="0"/>
        <c:axPos val="b"/>
        <c:numFmt formatCode="General" sourceLinked="1"/>
        <c:majorTickMark val="none"/>
        <c:minorTickMark val="none"/>
        <c:tickLblPos val="low"/>
        <c:spPr>
          <a:noFill/>
          <a:ln>
            <a:noFill/>
          </a:ln>
          <a:effectLst/>
        </c:spPr>
        <c:txPr>
          <a:bodyPr rot="-2700000" spcFirstLastPara="1" vertOverflow="ellipsis" wrap="square" anchor="ctr" anchorCtr="1"/>
          <a:lstStyle/>
          <a:p>
            <a:pPr>
              <a:defRPr sz="800" b="1" i="0" u="none" strike="noStrike" kern="1200" baseline="0">
                <a:solidFill>
                  <a:schemeClr val="tx1">
                    <a:lumMod val="65000"/>
                    <a:lumOff val="35000"/>
                  </a:schemeClr>
                </a:solidFill>
                <a:latin typeface="+mn-lt"/>
                <a:ea typeface="+mn-ea"/>
                <a:cs typeface="Arial" panose="020B0604020202020204" pitchFamily="34" charset="0"/>
              </a:defRPr>
            </a:pPr>
            <a:endParaRPr lang="es-PE"/>
          </a:p>
        </c:txPr>
        <c:crossAx val="118609408"/>
        <c:crosses val="autoZero"/>
        <c:auto val="1"/>
        <c:lblAlgn val="ctr"/>
        <c:lblOffset val="100"/>
        <c:noMultiLvlLbl val="0"/>
      </c:catAx>
      <c:valAx>
        <c:axId val="118609408"/>
        <c:scaling>
          <c:orientation val="minMax"/>
        </c:scaling>
        <c:delete val="0"/>
        <c:axPos val="l"/>
        <c:majorGridlines>
          <c:spPr>
            <a:ln w="9525" cap="flat" cmpd="sng" algn="ctr">
              <a:no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Arial" panose="020B0604020202020204" pitchFamily="34" charset="0"/>
              </a:defRPr>
            </a:pPr>
            <a:endParaRPr lang="es-PE"/>
          </a:p>
        </c:txPr>
        <c:crossAx val="1186078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19050" cap="flat" cmpd="sng" algn="ctr">
      <a:solidFill>
        <a:schemeClr val="tx1"/>
      </a:solidFill>
      <a:round/>
    </a:ln>
    <a:effectLst/>
  </c:spPr>
  <c:txPr>
    <a:bodyPr/>
    <a:lstStyle/>
    <a:p>
      <a:pPr>
        <a:defRPr/>
      </a:pPr>
      <a:endParaRPr lang="es-PE"/>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en-US" sz="900" b="1">
                <a:latin typeface="+mn-lt"/>
                <a:cs typeface="Arial" panose="020B0604020202020204" pitchFamily="34" charset="0"/>
              </a:rPr>
              <a:t>TRABAJADORES COMPRENDIDOS</a:t>
            </a:r>
            <a:r>
              <a:rPr lang="en-US" sz="900" b="1" baseline="0">
                <a:latin typeface="+mn-lt"/>
                <a:cs typeface="Arial" panose="020B0604020202020204" pitchFamily="34" charset="0"/>
              </a:rPr>
              <a:t> EN EL SECTOR PRIVADO, SEGÚN NÚMERO DE TRABAJADORES</a:t>
            </a:r>
            <a:endParaRPr lang="en-US" sz="900" b="1">
              <a:latin typeface="+mn-lt"/>
              <a:cs typeface="Arial" panose="020B0604020202020204" pitchFamily="34" charset="0"/>
            </a:endParaRPr>
          </a:p>
        </c:rich>
      </c:tx>
      <c:layout>
        <c:manualLayout>
          <c:xMode val="edge"/>
          <c:yMode val="edge"/>
          <c:x val="0.18367420863651387"/>
          <c:y val="1.3345195729537367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1984286277940743E-2"/>
          <c:y val="0.20377916719220165"/>
          <c:w val="0.90930111677216818"/>
          <c:h val="0.34942683651957696"/>
        </c:manualLayout>
      </c:layout>
      <c:bar3DChart>
        <c:barDir val="col"/>
        <c:grouping val="cluster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Arial" panose="020B0604020202020204" pitchFamily="34" charset="0"/>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11'!$B$7:$B$14</c:f>
              <c:strCache>
                <c:ptCount val="8"/>
                <c:pt idx="0">
                  <c:v>20 - 49</c:v>
                </c:pt>
                <c:pt idx="1">
                  <c:v>50 - 99</c:v>
                </c:pt>
                <c:pt idx="2">
                  <c:v>100 - 199</c:v>
                </c:pt>
                <c:pt idx="3">
                  <c:v>200 - 299</c:v>
                </c:pt>
                <c:pt idx="4">
                  <c:v>300 - 499</c:v>
                </c:pt>
                <c:pt idx="5">
                  <c:v>500 - 799</c:v>
                </c:pt>
                <c:pt idx="6">
                  <c:v>800 - 999</c:v>
                </c:pt>
                <c:pt idx="7">
                  <c:v>1000 -  A MÁS TRABAJADORES</c:v>
                </c:pt>
              </c:strCache>
            </c:strRef>
          </c:cat>
          <c:val>
            <c:numRef>
              <c:f>'Anexo 11'!$G$7:$G$14</c:f>
              <c:numCache>
                <c:formatCode>_(* #,##0_);_(* \(#,##0\);_(* "-"_);_(@_)</c:formatCode>
                <c:ptCount val="8"/>
                <c:pt idx="0">
                  <c:v>195</c:v>
                </c:pt>
                <c:pt idx="1">
                  <c:v>675</c:v>
                </c:pt>
                <c:pt idx="2">
                  <c:v>1152</c:v>
                </c:pt>
                <c:pt idx="3">
                  <c:v>1614</c:v>
                </c:pt>
                <c:pt idx="4">
                  <c:v>2626</c:v>
                </c:pt>
                <c:pt idx="5">
                  <c:v>2100</c:v>
                </c:pt>
                <c:pt idx="6">
                  <c:v>2560</c:v>
                </c:pt>
                <c:pt idx="7">
                  <c:v>65782</c:v>
                </c:pt>
              </c:numCache>
            </c:numRef>
          </c:val>
          <c:extLst>
            <c:ext xmlns:c16="http://schemas.microsoft.com/office/drawing/2014/chart" uri="{C3380CC4-5D6E-409C-BE32-E72D297353CC}">
              <c16:uniqueId val="{00000000-6223-4CD9-B317-9C743A20E862}"/>
            </c:ext>
          </c:extLst>
        </c:ser>
        <c:dLbls>
          <c:showLegendKey val="0"/>
          <c:showVal val="0"/>
          <c:showCatName val="0"/>
          <c:showSerName val="0"/>
          <c:showPercent val="0"/>
          <c:showBubbleSize val="0"/>
        </c:dLbls>
        <c:gapWidth val="150"/>
        <c:shape val="box"/>
        <c:axId val="118512256"/>
        <c:axId val="118514048"/>
        <c:axId val="0"/>
      </c:bar3DChart>
      <c:catAx>
        <c:axId val="118512256"/>
        <c:scaling>
          <c:orientation val="minMax"/>
        </c:scaling>
        <c:delete val="0"/>
        <c:axPos val="b"/>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800" b="1" i="0" u="none" strike="noStrike" kern="1200" baseline="0">
                <a:solidFill>
                  <a:schemeClr val="tx1">
                    <a:lumMod val="65000"/>
                    <a:lumOff val="35000"/>
                  </a:schemeClr>
                </a:solidFill>
                <a:latin typeface="+mn-lt"/>
                <a:ea typeface="+mn-ea"/>
                <a:cs typeface="Arial" panose="020B0604020202020204" pitchFamily="34" charset="0"/>
              </a:defRPr>
            </a:pPr>
            <a:endParaRPr lang="es-PE"/>
          </a:p>
        </c:txPr>
        <c:crossAx val="118514048"/>
        <c:crosses val="autoZero"/>
        <c:auto val="1"/>
        <c:lblAlgn val="ctr"/>
        <c:lblOffset val="100"/>
        <c:noMultiLvlLbl val="0"/>
      </c:catAx>
      <c:valAx>
        <c:axId val="118514048"/>
        <c:scaling>
          <c:orientation val="minMax"/>
        </c:scaling>
        <c:delete val="0"/>
        <c:axPos val="l"/>
        <c:majorGridlines>
          <c:spPr>
            <a:ln w="9525" cap="flat" cmpd="sng" algn="ctr">
              <a:no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Arial" panose="020B0604020202020204" pitchFamily="34" charset="0"/>
              </a:defRPr>
            </a:pPr>
            <a:endParaRPr lang="es-PE"/>
          </a:p>
        </c:txPr>
        <c:crossAx val="118512256"/>
        <c:crosses val="autoZero"/>
        <c:crossBetween val="between"/>
      </c:valAx>
      <c:spPr>
        <a:noFill/>
        <a:ln>
          <a:noFill/>
        </a:ln>
        <a:effectLst/>
      </c:spPr>
    </c:plotArea>
    <c:plotVisOnly val="1"/>
    <c:dispBlanksAs val="gap"/>
    <c:showDLblsOverMax val="0"/>
  </c:chart>
  <c:spPr>
    <a:solidFill>
      <a:sysClr val="window" lastClr="FFFFFF"/>
    </a:solidFill>
    <a:ln w="19050" cap="flat" cmpd="sng" algn="ctr">
      <a:solidFill>
        <a:schemeClr val="tx1"/>
      </a:solidFill>
      <a:round/>
    </a:ln>
    <a:effectLst/>
  </c:spPr>
  <c:txPr>
    <a:bodyPr/>
    <a:lstStyle/>
    <a:p>
      <a:pPr>
        <a:defRPr/>
      </a:pPr>
      <a:endParaRPr lang="es-P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s-PE" sz="900" b="1">
                <a:latin typeface="+mn-lt"/>
                <a:cs typeface="Arial" panose="020B0604020202020204" pitchFamily="34" charset="0"/>
              </a:rPr>
              <a:t>HORAS-HOMBRE PERDIDAS EN EL SECTOR PRIVADO, SEGÚN NÚMERO DE TRABAJADORES</a:t>
            </a:r>
          </a:p>
        </c:rich>
      </c:tx>
      <c:layout>
        <c:manualLayout>
          <c:xMode val="edge"/>
          <c:yMode val="edge"/>
          <c:x val="0.12133984251968503"/>
          <c:y val="1.4018691588785047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es-P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972341847987804"/>
          <c:y val="0.30674368974906169"/>
          <c:w val="0.91048210626699488"/>
          <c:h val="0.43605048200750618"/>
        </c:manualLayout>
      </c:layout>
      <c:bar3DChart>
        <c:barDir val="col"/>
        <c:grouping val="clustered"/>
        <c:varyColors val="0"/>
        <c:ser>
          <c:idx val="0"/>
          <c:order val="0"/>
          <c:spPr>
            <a:solidFill>
              <a:schemeClr val="accent6">
                <a:lumMod val="75000"/>
              </a:schemeClr>
            </a:solidFill>
            <a:ln>
              <a:noFill/>
            </a:ln>
            <a:effectLst/>
            <a:sp3d/>
          </c:spPr>
          <c:invertIfNegative val="0"/>
          <c:dLbls>
            <c:dLbl>
              <c:idx val="0"/>
              <c:layout>
                <c:manualLayout>
                  <c:x val="-7.704160246533163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DC-48B6-80DB-EACA5AE52F7C}"/>
                </c:ext>
              </c:extLst>
            </c:dLbl>
            <c:dLbl>
              <c:idx val="1"/>
              <c:layout>
                <c:manualLayout>
                  <c:x val="-3.8520801232665991E-3"/>
                  <c:y val="2.84774529766057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AF-49DE-A883-18EF8910CDD9}"/>
                </c:ext>
              </c:extLst>
            </c:dLbl>
            <c:dLbl>
              <c:idx val="2"/>
              <c:layout>
                <c:manualLayout>
                  <c:x val="3.852080123266564E-3"/>
                  <c:y val="-2.7124773960216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F1-4463-845A-BB6023065B4F}"/>
                </c:ext>
              </c:extLst>
            </c:dLbl>
            <c:dLbl>
              <c:idx val="3"/>
              <c:layout>
                <c:manualLayout>
                  <c:x val="-2.8803958793688338E-3"/>
                  <c:y val="1.2953859739495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44-4D98-BD00-94C3C9836D8A}"/>
                </c:ext>
              </c:extLst>
            </c:dLbl>
            <c:dLbl>
              <c:idx val="4"/>
              <c:layout>
                <c:manualLayout>
                  <c:x val="1.1857707509881351E-2"/>
                  <c:y val="-2.7124880417985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DC-48B6-80DB-EACA5AE52F7C}"/>
                </c:ext>
              </c:extLst>
            </c:dLbl>
            <c:dLbl>
              <c:idx val="5"/>
              <c:layout>
                <c:manualLayout>
                  <c:x val="3.1419501416077932E-2"/>
                  <c:y val="-3.1797777614246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F1-4463-845A-BB6023065B4F}"/>
                </c:ext>
              </c:extLst>
            </c:dLbl>
            <c:dLbl>
              <c:idx val="6"/>
              <c:layout>
                <c:manualLayout>
                  <c:x val="2.6964560862865947E-2"/>
                  <c:y val="4.52079566003608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F1-4463-845A-BB6023065B4F}"/>
                </c:ext>
              </c:extLst>
            </c:dLbl>
            <c:numFmt formatCode="_(* #,##0_);_(* \(#,##0\);_(* &quot;-&quot;_);_(@_)"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Arial" panose="020B0604020202020204" pitchFamily="34" charset="0"/>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11'!$B$7:$B$14</c:f>
              <c:strCache>
                <c:ptCount val="8"/>
                <c:pt idx="0">
                  <c:v>20 - 49</c:v>
                </c:pt>
                <c:pt idx="1">
                  <c:v>50 - 99</c:v>
                </c:pt>
                <c:pt idx="2">
                  <c:v>100 - 199</c:v>
                </c:pt>
                <c:pt idx="3">
                  <c:v>200 - 299</c:v>
                </c:pt>
                <c:pt idx="4">
                  <c:v>300 - 499</c:v>
                </c:pt>
                <c:pt idx="5">
                  <c:v>500 - 799</c:v>
                </c:pt>
                <c:pt idx="6">
                  <c:v>800 - 999</c:v>
                </c:pt>
                <c:pt idx="7">
                  <c:v>1000 -  A MÁS TRABAJADORES</c:v>
                </c:pt>
              </c:strCache>
            </c:strRef>
          </c:cat>
          <c:val>
            <c:numRef>
              <c:f>'Anexo 11'!$K$7:$K$14</c:f>
              <c:numCache>
                <c:formatCode>_(* #,##0_);_(* \(#,##0\);_(* "-"_);_(@_)</c:formatCode>
                <c:ptCount val="8"/>
                <c:pt idx="0">
                  <c:v>50328</c:v>
                </c:pt>
                <c:pt idx="1">
                  <c:v>108600</c:v>
                </c:pt>
                <c:pt idx="2">
                  <c:v>28032</c:v>
                </c:pt>
                <c:pt idx="3">
                  <c:v>19328</c:v>
                </c:pt>
                <c:pt idx="4">
                  <c:v>45140</c:v>
                </c:pt>
                <c:pt idx="5">
                  <c:v>173600</c:v>
                </c:pt>
                <c:pt idx="6">
                  <c:v>24160</c:v>
                </c:pt>
                <c:pt idx="7">
                  <c:v>1846328</c:v>
                </c:pt>
              </c:numCache>
            </c:numRef>
          </c:val>
          <c:extLst>
            <c:ext xmlns:c16="http://schemas.microsoft.com/office/drawing/2014/chart" uri="{C3380CC4-5D6E-409C-BE32-E72D297353CC}">
              <c16:uniqueId val="{00000001-C244-4D98-BD00-94C3C9836D8A}"/>
            </c:ext>
          </c:extLst>
        </c:ser>
        <c:dLbls>
          <c:showLegendKey val="0"/>
          <c:showVal val="0"/>
          <c:showCatName val="0"/>
          <c:showSerName val="0"/>
          <c:showPercent val="0"/>
          <c:showBubbleSize val="0"/>
        </c:dLbls>
        <c:gapWidth val="150"/>
        <c:shape val="box"/>
        <c:axId val="118688768"/>
        <c:axId val="118690560"/>
        <c:axId val="0"/>
      </c:bar3DChart>
      <c:catAx>
        <c:axId val="118688768"/>
        <c:scaling>
          <c:orientation val="minMax"/>
        </c:scaling>
        <c:delete val="0"/>
        <c:axPos val="b"/>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800" b="1" i="0" u="none" strike="noStrike" kern="1200" baseline="0">
                <a:solidFill>
                  <a:schemeClr val="tx1">
                    <a:lumMod val="65000"/>
                    <a:lumOff val="35000"/>
                  </a:schemeClr>
                </a:solidFill>
                <a:latin typeface="+mn-lt"/>
                <a:ea typeface="+mn-ea"/>
                <a:cs typeface="Arial" panose="020B0604020202020204" pitchFamily="34" charset="0"/>
              </a:defRPr>
            </a:pPr>
            <a:endParaRPr lang="es-PE"/>
          </a:p>
        </c:txPr>
        <c:crossAx val="118690560"/>
        <c:crosses val="autoZero"/>
        <c:auto val="0"/>
        <c:lblAlgn val="ctr"/>
        <c:lblOffset val="100"/>
        <c:noMultiLvlLbl val="0"/>
      </c:catAx>
      <c:valAx>
        <c:axId val="118690560"/>
        <c:scaling>
          <c:orientation val="minMax"/>
        </c:scaling>
        <c:delete val="0"/>
        <c:axPos val="l"/>
        <c:majorGridlines>
          <c:spPr>
            <a:ln w="9525" cap="flat" cmpd="sng" algn="ctr">
              <a:no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mn-lt"/>
                <a:ea typeface="+mn-ea"/>
                <a:cs typeface="Arial" panose="020B0604020202020204" pitchFamily="34" charset="0"/>
              </a:defRPr>
            </a:pPr>
            <a:endParaRPr lang="es-PE"/>
          </a:p>
        </c:txPr>
        <c:crossAx val="118688768"/>
        <c:crosses val="autoZero"/>
        <c:crossBetween val="between"/>
      </c:valAx>
      <c:spPr>
        <a:noFill/>
        <a:ln>
          <a:noFill/>
        </a:ln>
        <a:effectLst/>
      </c:spPr>
    </c:plotArea>
    <c:plotVisOnly val="1"/>
    <c:dispBlanksAs val="gap"/>
    <c:showDLblsOverMax val="0"/>
  </c:chart>
  <c:spPr>
    <a:solidFill>
      <a:sysClr val="window" lastClr="FFFFFF"/>
    </a:solidFill>
    <a:ln w="19050" cap="flat" cmpd="sng" algn="ctr">
      <a:solidFill>
        <a:schemeClr val="tx1"/>
      </a:solidFill>
      <a:round/>
    </a:ln>
    <a:effectLst/>
  </c:spPr>
  <c:txPr>
    <a:bodyPr/>
    <a:lstStyle/>
    <a:p>
      <a:pPr>
        <a:defRPr/>
      </a:pPr>
      <a:endParaRPr lang="es-PE"/>
    </a:p>
  </c:txPr>
  <c:printSettings>
    <c:headerFooter/>
    <c:pageMargins b="0.75" l="0.7" r="0.7" t="0.75" header="0.3" footer="0.3"/>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TRABAJADORES COMPRENDIDOS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1"/>
          <c:order val="0"/>
          <c:tx>
            <c:strRef>
              <c:f>'Anexo 01'!$Y$7</c:f>
              <c:strCache>
                <c:ptCount val="1"/>
                <c:pt idx="0">
                  <c:v>TRABAJADORES COMPRENDIDOS</c:v>
                </c:pt>
              </c:strCache>
            </c:strRef>
          </c:tx>
          <c:spPr>
            <a:solidFill>
              <a:srgbClr val="F77591"/>
            </a:solidFill>
          </c:spPr>
          <c:invertIfNegative val="0"/>
          <c:dLbls>
            <c:dLbl>
              <c:idx val="4"/>
              <c:layout>
                <c:manualLayout>
                  <c:x val="4.0920716112531966E-3"/>
                  <c:y val="-2.68306363614277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70-4E6C-BFB1-D2016BA57230}"/>
                </c:ext>
              </c:extLst>
            </c:dLbl>
            <c:dLbl>
              <c:idx val="7"/>
              <c:layout>
                <c:manualLayout>
                  <c:x val="2.0460358056265983E-3"/>
                  <c:y val="-2.6830636361427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70-4E6C-BFB1-D2016BA57230}"/>
                </c:ext>
              </c:extLst>
            </c:dLbl>
            <c:dLbl>
              <c:idx val="10"/>
              <c:layout>
                <c:manualLayout>
                  <c:x val="4.0919105060716514E-3"/>
                  <c:y val="-6.70765909035692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70-4E6C-BFB1-D2016BA57230}"/>
                </c:ext>
              </c:extLst>
            </c:dLbl>
            <c:dLbl>
              <c:idx val="11"/>
              <c:layout>
                <c:manualLayout>
                  <c:x val="1.2276214833759591E-2"/>
                  <c:y val="8.94354545380922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70-4E6C-BFB1-D2016BA5723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'Anexo 01'!$X$8:$X$30</c:f>
              <c:numCache>
                <c:formatCode>0</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'Anexo 01'!$Y$8:$Y$30</c:f>
              <c:numCache>
                <c:formatCode>0</c:formatCode>
                <c:ptCount val="23"/>
                <c:pt idx="0">
                  <c:v>22.925000000000001</c:v>
                </c:pt>
                <c:pt idx="1">
                  <c:v>37.323</c:v>
                </c:pt>
                <c:pt idx="2">
                  <c:v>29.273</c:v>
                </c:pt>
                <c:pt idx="3">
                  <c:v>19.021999999999998</c:v>
                </c:pt>
                <c:pt idx="4">
                  <c:v>19.565000000000001</c:v>
                </c:pt>
                <c:pt idx="5">
                  <c:v>48.095999999999997</c:v>
                </c:pt>
                <c:pt idx="6" formatCode="_ * #,##0_ ;_ * \-#,##0_ ;_ * &quot;-&quot;_ ;_ @_ ">
                  <c:v>34.011000000000003</c:v>
                </c:pt>
                <c:pt idx="7" formatCode="_ * #,##0_ ;_ * \-#,##0_ ;_ * &quot;-&quot;_ ;_ @_ ">
                  <c:v>36.113999999999997</c:v>
                </c:pt>
                <c:pt idx="8" formatCode="_ * #,##0_ ;_ * \-#,##0_ ;_ * &quot;-&quot;_ ;_ @_ ">
                  <c:v>30.606000000000002</c:v>
                </c:pt>
                <c:pt idx="9">
                  <c:v>26.77</c:v>
                </c:pt>
                <c:pt idx="10">
                  <c:v>25.844999999999999</c:v>
                </c:pt>
                <c:pt idx="11">
                  <c:v>26.736000000000001</c:v>
                </c:pt>
                <c:pt idx="12" formatCode="_ * #,##0_ ;_ * \-#,##0_ ;_ * &quot;-&quot;_ ;_ @_ ">
                  <c:v>40.680999999999997</c:v>
                </c:pt>
                <c:pt idx="13">
                  <c:v>32.066000000000003</c:v>
                </c:pt>
                <c:pt idx="14">
                  <c:v>20.463000000000001</c:v>
                </c:pt>
                <c:pt idx="15" formatCode="_ * #,##0_ ;_ * \-#,##0_ ;_ * &quot;-&quot;_ ;_ @_ ">
                  <c:v>56.61</c:v>
                </c:pt>
                <c:pt idx="16">
                  <c:v>21.495999999999999</c:v>
                </c:pt>
                <c:pt idx="17" formatCode="_ * #,##0_ ;_ * \-#,##0_ ;_ * &quot;-&quot;_ ;_ @_ ">
                  <c:v>110.154</c:v>
                </c:pt>
                <c:pt idx="18" formatCode="_ * #,##0_ ;_ * \-#,##0_ ;_ * &quot;-&quot;_ ;_ @_ ">
                  <c:v>127.86799999999999</c:v>
                </c:pt>
                <c:pt idx="19" formatCode="_ * #,##0_ ;_ * \-#,##0_ ;_ * &quot;-&quot;_ ;_ @_ ">
                  <c:v>209.142</c:v>
                </c:pt>
                <c:pt idx="20" formatCode="_ * #,##0_ ;_ * \-#,##0_ ;_ * &quot;-&quot;_ ;_ @_ ">
                  <c:v>29.145</c:v>
                </c:pt>
                <c:pt idx="21" formatCode="_ * #,##0_ ;_ * \-#,##0_ ;_ * &quot;-&quot;_ ;_ @_ ">
                  <c:v>77.882999999999996</c:v>
                </c:pt>
                <c:pt idx="22" formatCode="_ * #,##0_ ;_ * \-#,##0_ ;_ * &quot;-&quot;_ ;_ @_ ">
                  <c:v>76.703999999999994</c:v>
                </c:pt>
              </c:numCache>
            </c:numRef>
          </c:val>
          <c:extLst>
            <c:ext xmlns:c16="http://schemas.microsoft.com/office/drawing/2014/chart" uri="{C3380CC4-5D6E-409C-BE32-E72D297353CC}">
              <c16:uniqueId val="{00000004-7770-4E6C-BFB1-D2016BA57230}"/>
            </c:ext>
          </c:extLst>
        </c:ser>
        <c:dLbls>
          <c:showLegendKey val="0"/>
          <c:showVal val="0"/>
          <c:showCatName val="0"/>
          <c:showSerName val="0"/>
          <c:showPercent val="0"/>
          <c:showBubbleSize val="0"/>
        </c:dLbls>
        <c:gapWidth val="150"/>
        <c:shape val="box"/>
        <c:axId val="118727424"/>
        <c:axId val="118728960"/>
        <c:axId val="0"/>
      </c:bar3DChart>
      <c:catAx>
        <c:axId val="118727424"/>
        <c:scaling>
          <c:orientation val="minMax"/>
        </c:scaling>
        <c:delete val="0"/>
        <c:axPos val="b"/>
        <c:numFmt formatCode="0" sourceLinked="1"/>
        <c:majorTickMark val="none"/>
        <c:minorTickMark val="none"/>
        <c:tickLblPos val="nextTo"/>
        <c:crossAx val="118728960"/>
        <c:crosses val="autoZero"/>
        <c:auto val="1"/>
        <c:lblAlgn val="ctr"/>
        <c:lblOffset val="100"/>
        <c:noMultiLvlLbl val="0"/>
      </c:catAx>
      <c:valAx>
        <c:axId val="118728960"/>
        <c:scaling>
          <c:orientation val="minMax"/>
        </c:scaling>
        <c:delete val="0"/>
        <c:axPos val="l"/>
        <c:numFmt formatCode="General" sourceLinked="0"/>
        <c:majorTickMark val="none"/>
        <c:minorTickMark val="none"/>
        <c:tickLblPos val="nextTo"/>
        <c:crossAx val="118727424"/>
        <c:crosses val="autoZero"/>
        <c:crossBetween val="between"/>
      </c:valAx>
    </c:plotArea>
    <c:plotVisOnly val="1"/>
    <c:dispBlanksAs val="gap"/>
    <c:showDLblsOverMax val="0"/>
  </c:chart>
  <c:spPr>
    <a:solidFill>
      <a:schemeClr val="bg1"/>
    </a:solidFill>
    <a:ln w="25400">
      <a:solidFill>
        <a:schemeClr val="tx1"/>
      </a:solidFill>
    </a:ln>
  </c:spPr>
  <c:txPr>
    <a:bodyPr/>
    <a:lstStyle/>
    <a:p>
      <a:pPr>
        <a:defRPr sz="800">
          <a:latin typeface="Arial" panose="020B0604020202020204" pitchFamily="34" charset="0"/>
          <a:cs typeface="Arial" panose="020B0604020202020204" pitchFamily="34" charset="0"/>
        </a:defRPr>
      </a:pPr>
      <a:endParaRPr lang="es-PE"/>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ideWall>
    <c:backWall>
      <c:thickness val="0"/>
    </c:backWall>
    <c:plotArea>
      <c:layout>
        <c:manualLayout>
          <c:layoutTarget val="inner"/>
          <c:xMode val="edge"/>
          <c:yMode val="edge"/>
          <c:x val="6.3888312994287363E-2"/>
          <c:y val="0.11790109861126193"/>
          <c:w val="0.91343127095239407"/>
          <c:h val="0.77311945928856252"/>
        </c:manualLayout>
      </c:layout>
      <c:bar3DChart>
        <c:barDir val="col"/>
        <c:grouping val="clustered"/>
        <c:varyColors val="0"/>
        <c:ser>
          <c:idx val="0"/>
          <c:order val="0"/>
          <c:tx>
            <c:strRef>
              <c:f>'Anexo 01'!$V$7</c:f>
              <c:strCache>
                <c:ptCount val="1"/>
                <c:pt idx="0">
                  <c:v>HUELGAS</c:v>
                </c:pt>
              </c:strCache>
            </c:strRef>
          </c:tx>
          <c:spPr>
            <a:solidFill>
              <a:srgbClr val="C000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'Anexo 01'!$U$8:$U$30</c:f>
              <c:numCache>
                <c:formatCode>0</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'Anexo 01'!$V$8:$V$30</c:f>
              <c:numCache>
                <c:formatCode>_ * #,##0_ ;_ * \-#,##0_ ;_ * "-"_ ;_ @_ </c:formatCode>
                <c:ptCount val="23"/>
                <c:pt idx="0">
                  <c:v>64</c:v>
                </c:pt>
                <c:pt idx="1">
                  <c:v>68</c:v>
                </c:pt>
                <c:pt idx="2">
                  <c:v>107</c:v>
                </c:pt>
                <c:pt idx="3">
                  <c:v>65</c:v>
                </c:pt>
                <c:pt idx="4">
                  <c:v>67</c:v>
                </c:pt>
                <c:pt idx="5">
                  <c:v>73</c:v>
                </c:pt>
                <c:pt idx="6">
                  <c:v>63</c:v>
                </c:pt>
                <c:pt idx="7">
                  <c:v>99</c:v>
                </c:pt>
                <c:pt idx="8">
                  <c:v>83</c:v>
                </c:pt>
                <c:pt idx="9">
                  <c:v>84</c:v>
                </c:pt>
                <c:pt idx="10">
                  <c:v>89</c:v>
                </c:pt>
                <c:pt idx="11">
                  <c:v>94</c:v>
                </c:pt>
                <c:pt idx="12">
                  <c:v>95</c:v>
                </c:pt>
                <c:pt idx="13">
                  <c:v>47</c:v>
                </c:pt>
                <c:pt idx="14">
                  <c:v>41</c:v>
                </c:pt>
                <c:pt idx="15" formatCode="General">
                  <c:v>45</c:v>
                </c:pt>
                <c:pt idx="16">
                  <c:v>54</c:v>
                </c:pt>
                <c:pt idx="17" formatCode="General">
                  <c:v>67</c:v>
                </c:pt>
                <c:pt idx="18" formatCode="General">
                  <c:v>23</c:v>
                </c:pt>
                <c:pt idx="19" formatCode="General">
                  <c:v>38</c:v>
                </c:pt>
                <c:pt idx="20" formatCode="General">
                  <c:v>41</c:v>
                </c:pt>
                <c:pt idx="21" formatCode="General">
                  <c:v>55</c:v>
                </c:pt>
                <c:pt idx="22" formatCode="General">
                  <c:v>63</c:v>
                </c:pt>
              </c:numCache>
            </c:numRef>
          </c:val>
          <c:extLst>
            <c:ext xmlns:c16="http://schemas.microsoft.com/office/drawing/2014/chart" uri="{C3380CC4-5D6E-409C-BE32-E72D297353CC}">
              <c16:uniqueId val="{00000000-5CA0-4E90-9D15-8FD33D85797B}"/>
            </c:ext>
          </c:extLst>
        </c:ser>
        <c:dLbls>
          <c:showLegendKey val="0"/>
          <c:showVal val="0"/>
          <c:showCatName val="0"/>
          <c:showSerName val="0"/>
          <c:showPercent val="0"/>
          <c:showBubbleSize val="0"/>
        </c:dLbls>
        <c:gapWidth val="150"/>
        <c:shape val="box"/>
        <c:axId val="118750592"/>
        <c:axId val="109085824"/>
        <c:axId val="0"/>
      </c:bar3DChart>
      <c:catAx>
        <c:axId val="118750592"/>
        <c:scaling>
          <c:orientation val="minMax"/>
        </c:scaling>
        <c:delete val="0"/>
        <c:axPos val="b"/>
        <c:numFmt formatCode="0" sourceLinked="1"/>
        <c:majorTickMark val="none"/>
        <c:minorTickMark val="none"/>
        <c:tickLblPos val="nextTo"/>
        <c:crossAx val="109085824"/>
        <c:crosses val="autoZero"/>
        <c:auto val="1"/>
        <c:lblAlgn val="ctr"/>
        <c:lblOffset val="100"/>
        <c:noMultiLvlLbl val="0"/>
      </c:catAx>
      <c:valAx>
        <c:axId val="109085824"/>
        <c:scaling>
          <c:orientation val="minMax"/>
        </c:scaling>
        <c:delete val="0"/>
        <c:axPos val="l"/>
        <c:numFmt formatCode="General" sourceLinked="0"/>
        <c:majorTickMark val="none"/>
        <c:minorTickMark val="none"/>
        <c:tickLblPos val="nextTo"/>
        <c:crossAx val="118750592"/>
        <c:crosses val="autoZero"/>
        <c:crossBetween val="between"/>
      </c:valAx>
    </c:plotArea>
    <c:plotVisOnly val="1"/>
    <c:dispBlanksAs val="gap"/>
    <c:showDLblsOverMax val="0"/>
  </c:chart>
  <c:spPr>
    <a:solidFill>
      <a:schemeClr val="bg1"/>
    </a:solidFill>
    <a:ln w="25400">
      <a:solidFill>
        <a:schemeClr val="tx1"/>
      </a:solidFill>
    </a:ln>
  </c:spPr>
  <c:txPr>
    <a:bodyPr/>
    <a:lstStyle/>
    <a:p>
      <a:pPr>
        <a:defRPr sz="800">
          <a:latin typeface="Arial" panose="020B0604020202020204" pitchFamily="34" charset="0"/>
          <a:cs typeface="Arial" panose="020B0604020202020204" pitchFamily="34" charset="0"/>
        </a:defRPr>
      </a:pPr>
      <a:endParaRPr lang="es-PE"/>
    </a:p>
  </c:txPr>
  <c:printSettings>
    <c:headerFooter/>
    <c:pageMargins b="0.75" l="0.7" r="0.7" t="0.75" header="0.3" footer="0.3"/>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PE" sz="1200"/>
              <a:t>HORAS-HOMBRE PERDIDAS</a:t>
            </a:r>
          </a:p>
        </c:rich>
      </c:tx>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8.9962315097368961E-2"/>
          <c:y val="0.18505801579270703"/>
          <c:w val="0.8865709488882465"/>
          <c:h val="0.66078405298126985"/>
        </c:manualLayout>
      </c:layout>
      <c:bar3DChart>
        <c:barDir val="col"/>
        <c:grouping val="clustered"/>
        <c:varyColors val="0"/>
        <c:ser>
          <c:idx val="0"/>
          <c:order val="0"/>
          <c:tx>
            <c:strRef>
              <c:f>'Anexo 01'!$AB$7</c:f>
              <c:strCache>
                <c:ptCount val="1"/>
                <c:pt idx="0">
                  <c:v>HORAS-HOMBRE PERDIDAS</c:v>
                </c:pt>
              </c:strCache>
            </c:strRef>
          </c:tx>
          <c:spPr>
            <a:solidFill>
              <a:srgbClr val="FF0000"/>
            </a:solidFill>
          </c:spPr>
          <c:invertIfNegative val="0"/>
          <c:dLbls>
            <c:dLbl>
              <c:idx val="0"/>
              <c:layout>
                <c:manualLayout>
                  <c:x val="0"/>
                  <c:y val="8.46079997015285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6B-4387-A912-EBF2D7580C71}"/>
                </c:ext>
              </c:extLst>
            </c:dLbl>
            <c:dLbl>
              <c:idx val="2"/>
              <c:layout>
                <c:manualLayout>
                  <c:x val="8.1287049212907751E-3"/>
                  <c:y val="-8.4611330856286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6B-4387-A912-EBF2D7580C71}"/>
                </c:ext>
              </c:extLst>
            </c:dLbl>
            <c:dLbl>
              <c:idx val="3"/>
              <c:layout>
                <c:manualLayout>
                  <c:x val="1.0160881151613468E-2"/>
                  <c:y val="1.2691699628442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6B-4387-A912-EBF2D7580C71}"/>
                </c:ext>
              </c:extLst>
            </c:dLbl>
            <c:dLbl>
              <c:idx val="4"/>
              <c:layout>
                <c:manualLayout>
                  <c:x val="1.6257249828705144E-2"/>
                  <c:y val="-3.331154758121521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A6B-4387-A912-EBF2D7580C71}"/>
                </c:ext>
              </c:extLst>
            </c:dLbl>
            <c:dLbl>
              <c:idx val="6"/>
              <c:layout>
                <c:manualLayout>
                  <c:x val="8.1287049212907751E-3"/>
                  <c:y val="-4.23056654281433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A6B-4387-A912-EBF2D7580C71}"/>
                </c:ext>
              </c:extLst>
            </c:dLbl>
            <c:dLbl>
              <c:idx val="7"/>
              <c:layout>
                <c:manualLayout>
                  <c:x val="0"/>
                  <c:y val="-1.6922266171257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6B-4387-A912-EBF2D7580C71}"/>
                </c:ext>
              </c:extLst>
            </c:dLbl>
            <c:dLbl>
              <c:idx val="8"/>
              <c:layout>
                <c:manualLayout>
                  <c:x val="0"/>
                  <c:y val="-4.23056654281433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A6B-4387-A912-EBF2D7580C71}"/>
                </c:ext>
              </c:extLst>
            </c:dLbl>
            <c:dLbl>
              <c:idx val="10"/>
              <c:layout>
                <c:manualLayout>
                  <c:x val="1.625740984258155E-2"/>
                  <c:y val="-1.2691699628442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6B-4387-A912-EBF2D7580C71}"/>
                </c:ext>
              </c:extLst>
            </c:dLbl>
            <c:dLbl>
              <c:idx val="15"/>
              <c:layout>
                <c:manualLayout>
                  <c:x val="1.6257409842581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A6B-4387-A912-EBF2D7580C71}"/>
                </c:ext>
              </c:extLst>
            </c:dLbl>
            <c:numFmt formatCode="_(* #,##0_);_(* \(#,##0\);_(* &quot;-&quot;_);_(@_)"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'Anexo 01'!$AA$8:$AA$30</c:f>
              <c:numCache>
                <c:formatCode>0</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cat>
          <c:val>
            <c:numRef>
              <c:f>'Anexo 01'!$AB$8:$AB$30</c:f>
              <c:numCache>
                <c:formatCode>_ * #,##0_ ;_ * \-#,##0_ ;_ * "-"_ ;_ @_ </c:formatCode>
                <c:ptCount val="23"/>
                <c:pt idx="0">
                  <c:v>912.64800000000002</c:v>
                </c:pt>
                <c:pt idx="1">
                  <c:v>881.36199999999997</c:v>
                </c:pt>
                <c:pt idx="2">
                  <c:v>582.32799999999997</c:v>
                </c:pt>
                <c:pt idx="3">
                  <c:v>478.738</c:v>
                </c:pt>
                <c:pt idx="4">
                  <c:v>446.584</c:v>
                </c:pt>
                <c:pt idx="5">
                  <c:v>2216.52</c:v>
                </c:pt>
                <c:pt idx="6">
                  <c:v>1520.96</c:v>
                </c:pt>
                <c:pt idx="7">
                  <c:v>1452.4659999999999</c:v>
                </c:pt>
                <c:pt idx="8">
                  <c:v>1279.3800000000001</c:v>
                </c:pt>
                <c:pt idx="9">
                  <c:v>1799.4159999999999</c:v>
                </c:pt>
                <c:pt idx="10">
                  <c:v>1878.6959999999999</c:v>
                </c:pt>
                <c:pt idx="11">
                  <c:v>1573.202</c:v>
                </c:pt>
                <c:pt idx="12">
                  <c:v>3153.018</c:v>
                </c:pt>
                <c:pt idx="13">
                  <c:v>1925.6320000000001</c:v>
                </c:pt>
                <c:pt idx="14">
                  <c:v>3084.056</c:v>
                </c:pt>
                <c:pt idx="15">
                  <c:v>3006.4940000000001</c:v>
                </c:pt>
                <c:pt idx="16">
                  <c:v>738.86400000000003</c:v>
                </c:pt>
                <c:pt idx="17">
                  <c:v>2085.8560000000002</c:v>
                </c:pt>
                <c:pt idx="18">
                  <c:v>3653.1840000000002</c:v>
                </c:pt>
                <c:pt idx="19">
                  <c:v>3027.24</c:v>
                </c:pt>
                <c:pt idx="20">
                  <c:v>2122.9319999999998</c:v>
                </c:pt>
                <c:pt idx="21">
                  <c:v>1462.009</c:v>
                </c:pt>
                <c:pt idx="22">
                  <c:v>2295.5160000000001</c:v>
                </c:pt>
              </c:numCache>
            </c:numRef>
          </c:val>
          <c:extLst>
            <c:ext xmlns:c16="http://schemas.microsoft.com/office/drawing/2014/chart" uri="{C3380CC4-5D6E-409C-BE32-E72D297353CC}">
              <c16:uniqueId val="{0000000C-D696-4389-A4AA-8D5D37102EC9}"/>
            </c:ext>
          </c:extLst>
        </c:ser>
        <c:dLbls>
          <c:showLegendKey val="0"/>
          <c:showVal val="0"/>
          <c:showCatName val="0"/>
          <c:showSerName val="0"/>
          <c:showPercent val="0"/>
          <c:showBubbleSize val="0"/>
        </c:dLbls>
        <c:gapWidth val="150"/>
        <c:shape val="box"/>
        <c:axId val="119350400"/>
        <c:axId val="119351936"/>
        <c:axId val="0"/>
      </c:bar3DChart>
      <c:catAx>
        <c:axId val="119350400"/>
        <c:scaling>
          <c:orientation val="minMax"/>
        </c:scaling>
        <c:delete val="0"/>
        <c:axPos val="b"/>
        <c:numFmt formatCode="0" sourceLinked="1"/>
        <c:majorTickMark val="none"/>
        <c:minorTickMark val="none"/>
        <c:tickLblPos val="nextTo"/>
        <c:crossAx val="119351936"/>
        <c:crosses val="autoZero"/>
        <c:auto val="1"/>
        <c:lblAlgn val="ctr"/>
        <c:lblOffset val="100"/>
        <c:noMultiLvlLbl val="0"/>
      </c:catAx>
      <c:valAx>
        <c:axId val="119351936"/>
        <c:scaling>
          <c:orientation val="minMax"/>
        </c:scaling>
        <c:delete val="0"/>
        <c:axPos val="l"/>
        <c:numFmt formatCode="General" sourceLinked="0"/>
        <c:majorTickMark val="none"/>
        <c:minorTickMark val="none"/>
        <c:tickLblPos val="nextTo"/>
        <c:crossAx val="119350400"/>
        <c:crosses val="autoZero"/>
        <c:crossBetween val="between"/>
      </c:valAx>
    </c:plotArea>
    <c:plotVisOnly val="1"/>
    <c:dispBlanksAs val="gap"/>
    <c:showDLblsOverMax val="0"/>
  </c:chart>
  <c:spPr>
    <a:solidFill>
      <a:schemeClr val="bg1"/>
    </a:solidFill>
    <a:ln w="25400">
      <a:solidFill>
        <a:schemeClr val="tx1"/>
      </a:solidFill>
    </a:ln>
  </c:spPr>
  <c:txPr>
    <a:bodyPr/>
    <a:lstStyle/>
    <a:p>
      <a:pPr>
        <a:defRPr sz="800">
          <a:latin typeface="Arial" panose="020B0604020202020204" pitchFamily="34" charset="0"/>
          <a:cs typeface="Arial" panose="020B0604020202020204" pitchFamily="34" charset="0"/>
        </a:defRPr>
      </a:pPr>
      <a:endParaRPr lang="es-PE"/>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0.11343785364167354"/>
          <c:y val="0.22780116594161107"/>
          <c:w val="0.75200627953468491"/>
          <c:h val="0.67839750154856537"/>
        </c:manualLayout>
      </c:layout>
      <c:pie3DChart>
        <c:varyColors val="1"/>
        <c:ser>
          <c:idx val="0"/>
          <c:order val="0"/>
          <c:explosion val="7"/>
          <c:dPt>
            <c:idx val="0"/>
            <c:bubble3D val="0"/>
            <c:spPr>
              <a:solidFill>
                <a:srgbClr val="C00000"/>
              </a:solidFill>
              <a:ln>
                <a:solidFill>
                  <a:srgbClr val="C00000"/>
                </a:solidFill>
              </a:ln>
            </c:spPr>
            <c:extLst>
              <c:ext xmlns:c16="http://schemas.microsoft.com/office/drawing/2014/chart" uri="{C3380CC4-5D6E-409C-BE32-E72D297353CC}">
                <c16:uniqueId val="{00000000-B3FE-44D4-B1A0-7CC854CF43D0}"/>
              </c:ext>
            </c:extLst>
          </c:dPt>
          <c:dPt>
            <c:idx val="1"/>
            <c:bubble3D val="0"/>
            <c:extLst>
              <c:ext xmlns:c16="http://schemas.microsoft.com/office/drawing/2014/chart" uri="{C3380CC4-5D6E-409C-BE32-E72D297353CC}">
                <c16:uniqueId val="{00000001-B3FE-44D4-B1A0-7CC854CF43D0}"/>
              </c:ext>
            </c:extLst>
          </c:dPt>
          <c:dPt>
            <c:idx val="2"/>
            <c:bubble3D val="0"/>
            <c:spPr>
              <a:solidFill>
                <a:srgbClr val="FF5050"/>
              </a:solidFill>
            </c:spPr>
            <c:extLst>
              <c:ext xmlns:c16="http://schemas.microsoft.com/office/drawing/2014/chart" uri="{C3380CC4-5D6E-409C-BE32-E72D297353CC}">
                <c16:uniqueId val="{00000002-2C3A-47F9-ACA1-2407CE143D24}"/>
              </c:ext>
            </c:extLst>
          </c:dPt>
          <c:dLbls>
            <c:dLbl>
              <c:idx val="0"/>
              <c:layout>
                <c:manualLayout>
                  <c:x val="-1.2714794003215686E-2"/>
                  <c:y val="-6.76951235228697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3FE-44D4-B1A0-7CC854CF43D0}"/>
                </c:ext>
              </c:extLst>
            </c:dLbl>
            <c:dLbl>
              <c:idx val="1"/>
              <c:layout>
                <c:manualLayout>
                  <c:x val="-0.32124870773013814"/>
                  <c:y val="-3.0562768606884837E-4"/>
                </c:manualLayout>
              </c:layout>
              <c:showLegendKey val="0"/>
              <c:showVal val="0"/>
              <c:showCatName val="1"/>
              <c:showSerName val="0"/>
              <c:showPercent val="1"/>
              <c:showBubbleSize val="0"/>
              <c:extLst>
                <c:ext xmlns:c15="http://schemas.microsoft.com/office/drawing/2012/chart" uri="{CE6537A1-D6FC-4f65-9D91-7224C49458BB}">
                  <c15:layout>
                    <c:manualLayout>
                      <c:w val="0.23113550978211597"/>
                      <c:h val="0.27270736853561617"/>
                    </c:manualLayout>
                  </c15:layout>
                </c:ext>
                <c:ext xmlns:c16="http://schemas.microsoft.com/office/drawing/2014/chart" uri="{C3380CC4-5D6E-409C-BE32-E72D297353CC}">
                  <c16:uniqueId val="{00000001-B3FE-44D4-B1A0-7CC854CF43D0}"/>
                </c:ext>
              </c:extLst>
            </c:dLbl>
            <c:dLbl>
              <c:idx val="2"/>
              <c:layout>
                <c:manualLayout>
                  <c:x val="2.2075597379260403E-2"/>
                  <c:y val="-8.4610334411922838E-2"/>
                </c:manualLayout>
              </c:layout>
              <c:showLegendKey val="0"/>
              <c:showVal val="0"/>
              <c:showCatName val="1"/>
              <c:showSerName val="0"/>
              <c:showPercent val="1"/>
              <c:showBubbleSize val="0"/>
              <c:extLst>
                <c:ext xmlns:c15="http://schemas.microsoft.com/office/drawing/2012/chart" uri="{CE6537A1-D6FC-4f65-9D91-7224C49458BB}">
                  <c15:layout>
                    <c:manualLayout>
                      <c:w val="0.18670406884572704"/>
                      <c:h val="0.19364494490339684"/>
                    </c:manualLayout>
                  </c15:layout>
                </c:ext>
                <c:ext xmlns:c16="http://schemas.microsoft.com/office/drawing/2014/chart" uri="{C3380CC4-5D6E-409C-BE32-E72D297353CC}">
                  <c16:uniqueId val="{00000002-2C3A-47F9-ACA1-2407CE143D24}"/>
                </c:ext>
              </c:extLst>
            </c:dLbl>
            <c:dLbl>
              <c:idx val="3"/>
              <c:layout>
                <c:manualLayout>
                  <c:x val="5.3443379485344722E-2"/>
                  <c:y val="-0.11171823744426743"/>
                </c:manualLayout>
              </c:layout>
              <c:showLegendKey val="0"/>
              <c:showVal val="0"/>
              <c:showCatName val="1"/>
              <c:showSerName val="0"/>
              <c:showPercent val="1"/>
              <c:showBubbleSize val="0"/>
              <c:extLst>
                <c:ext xmlns:c15="http://schemas.microsoft.com/office/drawing/2012/chart" uri="{CE6537A1-D6FC-4f65-9D91-7224C49458BB}">
                  <c15:layout>
                    <c:manualLayout>
                      <c:w val="0.18807937331394434"/>
                      <c:h val="0.12572977894412682"/>
                    </c:manualLayout>
                  </c15:layout>
                </c:ext>
                <c:ext xmlns:c16="http://schemas.microsoft.com/office/drawing/2014/chart" uri="{C3380CC4-5D6E-409C-BE32-E72D297353CC}">
                  <c16:uniqueId val="{00000003-2C3A-47F9-ACA1-2407CE143D24}"/>
                </c:ext>
              </c:extLst>
            </c:dLbl>
            <c:spPr>
              <a:noFill/>
              <a:ln>
                <a:noFill/>
              </a:ln>
              <a:effectLst/>
            </c:spPr>
            <c:txPr>
              <a:bodyPr/>
              <a:lstStyle/>
              <a:p>
                <a:pPr>
                  <a:defRPr sz="800"/>
                </a:pPr>
                <a:endParaRPr lang="es-PE"/>
              </a:p>
            </c:txPr>
            <c:showLegendKey val="0"/>
            <c:showVal val="0"/>
            <c:showCatName val="1"/>
            <c:showSerName val="0"/>
            <c:showPercent val="1"/>
            <c:showBubbleSize val="0"/>
            <c:showLeaderLines val="1"/>
            <c:extLst>
              <c:ext xmlns:c15="http://schemas.microsoft.com/office/drawing/2012/chart" uri="{CE6537A1-D6FC-4f65-9D91-7224C49458BB}"/>
            </c:extLst>
          </c:dLbls>
          <c:cat>
            <c:strRef>
              <c:f>'Anexo 02'!$P$5:$P$7</c:f>
              <c:strCache>
                <c:ptCount val="3"/>
                <c:pt idx="0">
                  <c:v> NEGOCIACIONES COLECTIVAS </c:v>
                </c:pt>
                <c:pt idx="1">
                  <c:v> INCUMPLIMIENTO DE NORMAS LEGALES Y/O CONVENCIONALES </c:v>
                </c:pt>
                <c:pt idx="2">
                  <c:v> OTROS MOTIVOS </c:v>
                </c:pt>
              </c:strCache>
            </c:strRef>
          </c:cat>
          <c:val>
            <c:numRef>
              <c:f>'Anexo 02'!$Q$5:$Q$7</c:f>
              <c:numCache>
                <c:formatCode>_(* #,##0_);_(* \(#,##0\);_(* "-"_);_(@_)</c:formatCode>
                <c:ptCount val="3"/>
                <c:pt idx="0">
                  <c:v>22</c:v>
                </c:pt>
                <c:pt idx="1">
                  <c:v>20</c:v>
                </c:pt>
                <c:pt idx="2">
                  <c:v>21</c:v>
                </c:pt>
              </c:numCache>
            </c:numRef>
          </c:val>
          <c:extLst>
            <c:ext xmlns:c16="http://schemas.microsoft.com/office/drawing/2014/chart" uri="{C3380CC4-5D6E-409C-BE32-E72D297353CC}">
              <c16:uniqueId val="{00000004-B3FE-44D4-B1A0-7CC854CF43D0}"/>
            </c:ext>
          </c:extLst>
        </c:ser>
        <c:dLbls>
          <c:showLegendKey val="0"/>
          <c:showVal val="0"/>
          <c:showCatName val="0"/>
          <c:showSerName val="0"/>
          <c:showPercent val="0"/>
          <c:showBubbleSize val="0"/>
          <c:showLeaderLines val="1"/>
        </c:dLbls>
      </c:pie3DChart>
    </c:plotArea>
    <c:plotVisOnly val="1"/>
    <c:dispBlanksAs val="gap"/>
    <c:showDLblsOverMax val="0"/>
  </c:chart>
  <c:txPr>
    <a:bodyPr/>
    <a:lstStyle/>
    <a:p>
      <a:pPr>
        <a:defRPr>
          <a:latin typeface="Arial" panose="020B0604020202020204" pitchFamily="34" charset="0"/>
          <a:cs typeface="Arial" panose="020B0604020202020204" pitchFamily="34" charset="0"/>
        </a:defRPr>
      </a:pPr>
      <a:endParaRPr lang="es-PE"/>
    </a:p>
  </c:tx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0.13026312377363058"/>
          <c:y val="0.25593642028643382"/>
          <c:w val="0.66037179474082497"/>
          <c:h val="0.61969602385011613"/>
        </c:manualLayout>
      </c:layout>
      <c:pie3DChart>
        <c:varyColors val="1"/>
        <c:ser>
          <c:idx val="0"/>
          <c:order val="0"/>
          <c:explosion val="4"/>
          <c:dPt>
            <c:idx val="0"/>
            <c:bubble3D val="0"/>
            <c:spPr>
              <a:solidFill>
                <a:srgbClr val="C00000"/>
              </a:solidFill>
            </c:spPr>
            <c:extLst>
              <c:ext xmlns:c16="http://schemas.microsoft.com/office/drawing/2014/chart" uri="{C3380CC4-5D6E-409C-BE32-E72D297353CC}">
                <c16:uniqueId val="{00000001-7087-4DB3-8282-A49588C14CC4}"/>
              </c:ext>
            </c:extLst>
          </c:dPt>
          <c:dPt>
            <c:idx val="2"/>
            <c:bubble3D val="0"/>
            <c:spPr>
              <a:solidFill>
                <a:srgbClr val="FF5050"/>
              </a:solidFill>
            </c:spPr>
            <c:extLst>
              <c:ext xmlns:c16="http://schemas.microsoft.com/office/drawing/2014/chart" uri="{C3380CC4-5D6E-409C-BE32-E72D297353CC}">
                <c16:uniqueId val="{00000003-7087-4DB3-8282-A49588C14CC4}"/>
              </c:ext>
            </c:extLst>
          </c:dPt>
          <c:dPt>
            <c:idx val="3"/>
            <c:bubble3D val="0"/>
            <c:extLst>
              <c:ext xmlns:c16="http://schemas.microsoft.com/office/drawing/2014/chart" uri="{C3380CC4-5D6E-409C-BE32-E72D297353CC}">
                <c16:uniqueId val="{00000003-8906-4426-80DC-A87D4AA73B3D}"/>
              </c:ext>
            </c:extLst>
          </c:dPt>
          <c:dLbls>
            <c:dLbl>
              <c:idx val="0"/>
              <c:layout>
                <c:manualLayout>
                  <c:x val="1.3627518560652117E-2"/>
                  <c:y val="2.982550318329849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087-4DB3-8282-A49588C14CC4}"/>
                </c:ext>
              </c:extLst>
            </c:dLbl>
            <c:dLbl>
              <c:idx val="1"/>
              <c:layout>
                <c:manualLayout>
                  <c:x val="4.5722095847832475E-2"/>
                  <c:y val="-8.9775417899205772E-3"/>
                </c:manualLayout>
              </c:layout>
              <c:spPr>
                <a:noFill/>
                <a:ln>
                  <a:noFill/>
                </a:ln>
                <a:effectLst/>
              </c:spPr>
              <c:txPr>
                <a:bodyPr wrap="square" lIns="38100" tIns="19050" rIns="38100" bIns="19050" anchor="ctr">
                  <a:noAutofit/>
                </a:bodyPr>
                <a:lstStyle/>
                <a:p>
                  <a:pPr>
                    <a:defRPr/>
                  </a:pPr>
                  <a:endParaRPr lang="es-PE"/>
                </a:p>
              </c:txPr>
              <c:showLegendKey val="0"/>
              <c:showVal val="0"/>
              <c:showCatName val="1"/>
              <c:showSerName val="0"/>
              <c:showPercent val="1"/>
              <c:showBubbleSize val="0"/>
              <c:extLst>
                <c:ext xmlns:c15="http://schemas.microsoft.com/office/drawing/2012/chart" uri="{CE6537A1-D6FC-4f65-9D91-7224C49458BB}">
                  <c15:layout>
                    <c:manualLayout>
                      <c:w val="0.2149933166058573"/>
                      <c:h val="0.30247443611017177"/>
                    </c:manualLayout>
                  </c15:layout>
                </c:ext>
                <c:ext xmlns:c16="http://schemas.microsoft.com/office/drawing/2014/chart" uri="{C3380CC4-5D6E-409C-BE32-E72D297353CC}">
                  <c16:uniqueId val="{00000002-7087-4DB3-8282-A49588C14CC4}"/>
                </c:ext>
              </c:extLst>
            </c:dLbl>
            <c:dLbl>
              <c:idx val="2"/>
              <c:layout>
                <c:manualLayout>
                  <c:x val="-1.2241660596906425E-2"/>
                  <c:y val="-0.24039749960050577"/>
                </c:manualLayout>
              </c:layout>
              <c:spPr>
                <a:noFill/>
                <a:ln>
                  <a:noFill/>
                </a:ln>
                <a:effectLst/>
              </c:spPr>
              <c:txPr>
                <a:bodyPr wrap="square" lIns="38100" tIns="19050" rIns="38100" bIns="19050" anchor="ctr">
                  <a:noAutofit/>
                </a:bodyPr>
                <a:lstStyle/>
                <a:p>
                  <a:pPr>
                    <a:defRPr/>
                  </a:pPr>
                  <a:endParaRPr lang="es-PE"/>
                </a:p>
              </c:txPr>
              <c:showLegendKey val="0"/>
              <c:showVal val="0"/>
              <c:showCatName val="1"/>
              <c:showSerName val="0"/>
              <c:showPercent val="1"/>
              <c:showBubbleSize val="0"/>
              <c:extLst>
                <c:ext xmlns:c15="http://schemas.microsoft.com/office/drawing/2012/chart" uri="{CE6537A1-D6FC-4f65-9D91-7224C49458BB}">
                  <c15:layout>
                    <c:manualLayout>
                      <c:w val="0.16067938465343581"/>
                      <c:h val="0.19619220746644059"/>
                    </c:manualLayout>
                  </c15:layout>
                </c:ext>
                <c:ext xmlns:c16="http://schemas.microsoft.com/office/drawing/2014/chart" uri="{C3380CC4-5D6E-409C-BE32-E72D297353CC}">
                  <c16:uniqueId val="{00000003-7087-4DB3-8282-A49588C14CC4}"/>
                </c:ext>
              </c:extLst>
            </c:dLbl>
            <c:dLbl>
              <c:idx val="3"/>
              <c:layout>
                <c:manualLayout>
                  <c:x val="6.4006194173231667E-2"/>
                  <c:y val="-5.747245318981534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906-4426-80DC-A87D4AA73B3D}"/>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'Anexo 02'!$S$5:$S$7</c:f>
              <c:strCache>
                <c:ptCount val="3"/>
                <c:pt idx="0">
                  <c:v> NEGOCIACIONES COLECTIVAS </c:v>
                </c:pt>
                <c:pt idx="1">
                  <c:v> INCUMPLIMIENTO DE NORMAS LEGALES Y/O CONVENCIONALES </c:v>
                </c:pt>
                <c:pt idx="2">
                  <c:v> OTROS MOTIVOS </c:v>
                </c:pt>
              </c:strCache>
            </c:strRef>
          </c:cat>
          <c:val>
            <c:numRef>
              <c:f>'Anexo 02'!$T$5:$T$7</c:f>
              <c:numCache>
                <c:formatCode>_(* #,##0_);_(* \(#,##0\);_(* "-"_);_(@_)</c:formatCode>
                <c:ptCount val="3"/>
                <c:pt idx="0">
                  <c:v>22154</c:v>
                </c:pt>
                <c:pt idx="1">
                  <c:v>12746</c:v>
                </c:pt>
                <c:pt idx="2">
                  <c:v>41804</c:v>
                </c:pt>
              </c:numCache>
            </c:numRef>
          </c:val>
          <c:extLst>
            <c:ext xmlns:c16="http://schemas.microsoft.com/office/drawing/2014/chart" uri="{C3380CC4-5D6E-409C-BE32-E72D297353CC}">
              <c16:uniqueId val="{00000004-8906-4426-80DC-A87D4AA73B3D}"/>
            </c:ext>
          </c:extLst>
        </c:ser>
        <c:dLbls>
          <c:showLegendKey val="0"/>
          <c:showVal val="0"/>
          <c:showCatName val="0"/>
          <c:showSerName val="0"/>
          <c:showPercent val="0"/>
          <c:showBubbleSize val="0"/>
          <c:showLeaderLines val="1"/>
        </c:dLbls>
      </c:pie3DChart>
    </c:plotArea>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s-PE"/>
    </a:p>
  </c:txPr>
  <c:printSettings>
    <c:headerFooter/>
    <c:pageMargins b="0.75" l="0.7" r="0.7" t="0.75" header="0.3" footer="0.3"/>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0.1198221036178099"/>
          <c:y val="0.18156489214008842"/>
          <c:w val="0.79082703545951205"/>
          <c:h val="0.68349523287919367"/>
        </c:manualLayout>
      </c:layout>
      <c:pie3DChart>
        <c:varyColors val="1"/>
        <c:ser>
          <c:idx val="0"/>
          <c:order val="0"/>
          <c:dPt>
            <c:idx val="0"/>
            <c:bubble3D val="0"/>
            <c:explosion val="4"/>
            <c:spPr>
              <a:solidFill>
                <a:srgbClr val="C00000"/>
              </a:solidFill>
            </c:spPr>
            <c:extLst>
              <c:ext xmlns:c16="http://schemas.microsoft.com/office/drawing/2014/chart" uri="{C3380CC4-5D6E-409C-BE32-E72D297353CC}">
                <c16:uniqueId val="{00000000-3E08-4E99-A56C-4C060C046221}"/>
              </c:ext>
            </c:extLst>
          </c:dPt>
          <c:dPt>
            <c:idx val="1"/>
            <c:bubble3D val="0"/>
            <c:explosion val="7"/>
            <c:extLst>
              <c:ext xmlns:c16="http://schemas.microsoft.com/office/drawing/2014/chart" uri="{C3380CC4-5D6E-409C-BE32-E72D297353CC}">
                <c16:uniqueId val="{00000001-3E08-4E99-A56C-4C060C046221}"/>
              </c:ext>
            </c:extLst>
          </c:dPt>
          <c:dPt>
            <c:idx val="2"/>
            <c:bubble3D val="0"/>
            <c:spPr>
              <a:solidFill>
                <a:srgbClr val="FF5050"/>
              </a:solidFill>
            </c:spPr>
            <c:extLst>
              <c:ext xmlns:c16="http://schemas.microsoft.com/office/drawing/2014/chart" uri="{C3380CC4-5D6E-409C-BE32-E72D297353CC}">
                <c16:uniqueId val="{00000003-E456-4FA7-8532-1827CEEE0F5F}"/>
              </c:ext>
            </c:extLst>
          </c:dPt>
          <c:dPt>
            <c:idx val="3"/>
            <c:bubble3D val="0"/>
            <c:extLst>
              <c:ext xmlns:c16="http://schemas.microsoft.com/office/drawing/2014/chart" uri="{C3380CC4-5D6E-409C-BE32-E72D297353CC}">
                <c16:uniqueId val="{00000003-3E08-4E99-A56C-4C060C046221}"/>
              </c:ext>
            </c:extLst>
          </c:dPt>
          <c:dLbls>
            <c:dLbl>
              <c:idx val="0"/>
              <c:layout>
                <c:manualLayout>
                  <c:x val="7.7488031224761167E-2"/>
                  <c:y val="2.840742643406343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E08-4E99-A56C-4C060C046221}"/>
                </c:ext>
              </c:extLst>
            </c:dLbl>
            <c:dLbl>
              <c:idx val="1"/>
              <c:layout>
                <c:manualLayout>
                  <c:x val="2.092736085986413E-2"/>
                  <c:y val="8.2851339606606789E-2"/>
                </c:manualLayout>
              </c:layout>
              <c:showLegendKey val="0"/>
              <c:showVal val="0"/>
              <c:showCatName val="1"/>
              <c:showSerName val="0"/>
              <c:showPercent val="1"/>
              <c:showBubbleSize val="0"/>
              <c:extLst>
                <c:ext xmlns:c15="http://schemas.microsoft.com/office/drawing/2012/chart" uri="{CE6537A1-D6FC-4f65-9D91-7224C49458BB}">
                  <c15:layout>
                    <c:manualLayout>
                      <c:w val="0.2196020746900709"/>
                      <c:h val="0.2435360474150558"/>
                    </c:manualLayout>
                  </c15:layout>
                </c:ext>
                <c:ext xmlns:c16="http://schemas.microsoft.com/office/drawing/2014/chart" uri="{C3380CC4-5D6E-409C-BE32-E72D297353CC}">
                  <c16:uniqueId val="{00000001-3E08-4E99-A56C-4C060C046221}"/>
                </c:ext>
              </c:extLst>
            </c:dLbl>
            <c:dLbl>
              <c:idx val="2"/>
              <c:layout>
                <c:manualLayout>
                  <c:x val="-2.4124682547237895E-2"/>
                  <c:y val="-0.19932537138538745"/>
                </c:manualLayout>
              </c:layout>
              <c:showLegendKey val="0"/>
              <c:showVal val="0"/>
              <c:showCatName val="1"/>
              <c:showSerName val="0"/>
              <c:showPercent val="1"/>
              <c:showBubbleSize val="0"/>
              <c:extLst>
                <c:ext xmlns:c15="http://schemas.microsoft.com/office/drawing/2012/chart" uri="{CE6537A1-D6FC-4f65-9D91-7224C49458BB}">
                  <c15:layout>
                    <c:manualLayout>
                      <c:w val="0.14573903156562942"/>
                      <c:h val="0.19047007476532349"/>
                    </c:manualLayout>
                  </c15:layout>
                </c:ext>
                <c:ext xmlns:c16="http://schemas.microsoft.com/office/drawing/2014/chart" uri="{C3380CC4-5D6E-409C-BE32-E72D297353CC}">
                  <c16:uniqueId val="{00000003-E456-4FA7-8532-1827CEEE0F5F}"/>
                </c:ext>
              </c:extLst>
            </c:dLbl>
            <c:dLbl>
              <c:idx val="3"/>
              <c:layout>
                <c:manualLayout>
                  <c:x val="7.315077684743411E-2"/>
                  <c:y val="-2.466810758256932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E08-4E99-A56C-4C060C046221}"/>
                </c:ext>
              </c:extLst>
            </c:dLbl>
            <c:spPr>
              <a:noFill/>
              <a:ln>
                <a:noFill/>
              </a:ln>
              <a:effectLst/>
            </c:spPr>
            <c:txPr>
              <a:bodyPr/>
              <a:lstStyle/>
              <a:p>
                <a:pPr>
                  <a:defRPr sz="800"/>
                </a:pPr>
                <a:endParaRPr lang="es-PE"/>
              </a:p>
            </c:txPr>
            <c:showLegendKey val="0"/>
            <c:showVal val="0"/>
            <c:showCatName val="1"/>
            <c:showSerName val="0"/>
            <c:showPercent val="1"/>
            <c:showBubbleSize val="0"/>
            <c:showLeaderLines val="1"/>
            <c:extLst>
              <c:ext xmlns:c15="http://schemas.microsoft.com/office/drawing/2012/chart" uri="{CE6537A1-D6FC-4f65-9D91-7224C49458BB}"/>
            </c:extLst>
          </c:dLbls>
          <c:cat>
            <c:strRef>
              <c:f>'Anexo 02'!$V$5:$V$7</c:f>
              <c:strCache>
                <c:ptCount val="3"/>
                <c:pt idx="0">
                  <c:v> NEGOCIACIONES COLECTIVAS </c:v>
                </c:pt>
                <c:pt idx="1">
                  <c:v> INCUMPLIMIENTO DE NORMAS LEGALES Y/O CONVENCIONALES </c:v>
                </c:pt>
                <c:pt idx="2">
                  <c:v> OTROS MOTIVOS </c:v>
                </c:pt>
              </c:strCache>
            </c:strRef>
          </c:cat>
          <c:val>
            <c:numRef>
              <c:f>'Anexo 02'!$W$5:$W$7</c:f>
              <c:numCache>
                <c:formatCode>_(* #,##0_);_(* \(#,##0\);_(* "-"_);_(@_)</c:formatCode>
                <c:ptCount val="3"/>
                <c:pt idx="0">
                  <c:v>586856</c:v>
                </c:pt>
                <c:pt idx="1">
                  <c:v>524936</c:v>
                </c:pt>
                <c:pt idx="2">
                  <c:v>1183724</c:v>
                </c:pt>
              </c:numCache>
            </c:numRef>
          </c:val>
          <c:extLst>
            <c:ext xmlns:c16="http://schemas.microsoft.com/office/drawing/2014/chart" uri="{C3380CC4-5D6E-409C-BE32-E72D297353CC}">
              <c16:uniqueId val="{00000004-3E08-4E99-A56C-4C060C046221}"/>
            </c:ext>
          </c:extLst>
        </c:ser>
        <c:dLbls>
          <c:showLegendKey val="0"/>
          <c:showVal val="0"/>
          <c:showCatName val="0"/>
          <c:showSerName val="0"/>
          <c:showPercent val="0"/>
          <c:showBubbleSize val="0"/>
          <c:showLeaderLines val="1"/>
        </c:dLbls>
      </c:pie3DChart>
    </c:plotArea>
    <c:plotVisOnly val="1"/>
    <c:dispBlanksAs val="gap"/>
    <c:showDLblsOverMax val="0"/>
  </c:chart>
  <c:txPr>
    <a:bodyPr/>
    <a:lstStyle/>
    <a:p>
      <a:pPr>
        <a:defRPr>
          <a:latin typeface="Arial" panose="020B0604020202020204" pitchFamily="34" charset="0"/>
          <a:cs typeface="Arial" panose="020B0604020202020204" pitchFamily="34" charset="0"/>
        </a:defRPr>
      </a:pPr>
      <a:endParaRPr lang="es-PE"/>
    </a:p>
  </c:txPr>
  <c:printSettings>
    <c:headerFooter/>
    <c:pageMargins b="0.75" l="0.7" r="0.7" t="0.75" header="0.3" footer="0.3"/>
    <c:pageSetup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spPr>
        <a:solidFill>
          <a:schemeClr val="accent2">
            <a:lumMod val="20000"/>
            <a:lumOff val="80000"/>
          </a:schemeClr>
        </a:solidFill>
      </c:spPr>
    </c:floor>
    <c:sideWall>
      <c:thickness val="0"/>
      <c:spPr>
        <a:solidFill>
          <a:schemeClr val="accent2">
            <a:lumMod val="20000"/>
            <a:lumOff val="80000"/>
          </a:schemeClr>
        </a:solidFill>
      </c:spPr>
    </c:sideWall>
    <c:backWall>
      <c:thickness val="0"/>
      <c:spPr>
        <a:solidFill>
          <a:schemeClr val="bg1"/>
        </a:solidFill>
        <a:ln w="25400">
          <a:noFill/>
        </a:ln>
      </c:spPr>
    </c:backWall>
    <c:plotArea>
      <c:layout>
        <c:manualLayout>
          <c:layoutTarget val="inner"/>
          <c:xMode val="edge"/>
          <c:yMode val="edge"/>
          <c:x val="7.1988407699037624E-2"/>
          <c:y val="0.18018042608461074"/>
          <c:w val="0.90633007757671502"/>
          <c:h val="0.69744087248236886"/>
        </c:manualLayout>
      </c:layout>
      <c:bar3DChart>
        <c:barDir val="col"/>
        <c:grouping val="clustered"/>
        <c:varyColors val="0"/>
        <c:ser>
          <c:idx val="0"/>
          <c:order val="0"/>
          <c:spPr>
            <a:solidFill>
              <a:srgbClr val="C00000"/>
            </a:solidFill>
          </c:spPr>
          <c:invertIfNegative val="0"/>
          <c:dLbls>
            <c:dLbl>
              <c:idx val="0"/>
              <c:layout>
                <c:manualLayout>
                  <c:x val="7.3619617676514626E-3"/>
                  <c:y val="-3.3525389377929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45-47F1-A49C-714310A0D5EA}"/>
                </c:ext>
              </c:extLst>
            </c:dLbl>
            <c:dLbl>
              <c:idx val="1"/>
              <c:layout>
                <c:manualLayout>
                  <c:x val="4.907974511767642E-3"/>
                  <c:y val="-2.9334715705687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45-47F1-A49C-714310A0D5EA}"/>
                </c:ext>
              </c:extLst>
            </c:dLbl>
            <c:dLbl>
              <c:idx val="2"/>
              <c:layout>
                <c:manualLayout>
                  <c:x val="1.434548444813938E-2"/>
                  <c:y val="-2.70118033072798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051-42FB-88BA-37A8C7A55275}"/>
                </c:ext>
              </c:extLst>
            </c:dLbl>
            <c:dLbl>
              <c:idx val="3"/>
              <c:layout>
                <c:manualLayout>
                  <c:x val="1.434548444813938E-2"/>
                  <c:y val="-1.8007868871519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51-42FB-88BA-37A8C7A55275}"/>
                </c:ext>
              </c:extLst>
            </c:dLbl>
            <c:dLbl>
              <c:idx val="4"/>
              <c:layout>
                <c:manualLayout>
                  <c:x val="1.1954570373449483E-2"/>
                  <c:y val="-2.70118033072798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051-42FB-88BA-37A8C7A55275}"/>
                </c:ext>
              </c:extLst>
            </c:dLbl>
            <c:dLbl>
              <c:idx val="5"/>
              <c:layout>
                <c:manualLayout>
                  <c:x val="2.0050115817047691E-3"/>
                  <c:y val="-1.98634272075775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72-48D7-AFB0-AAA78E910262}"/>
                </c:ext>
              </c:extLst>
            </c:dLbl>
            <c:dLbl>
              <c:idx val="6"/>
              <c:layout>
                <c:manualLayout>
                  <c:x val="6.0150347451140866E-3"/>
                  <c:y val="-2.4829284009471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72-48D7-AFB0-AAA78E910262}"/>
                </c:ext>
              </c:extLst>
            </c:dLbl>
            <c:dLbl>
              <c:idx val="7"/>
              <c:layout>
                <c:manualLayout>
                  <c:x val="4.0100231634092442E-3"/>
                  <c:y val="-2.979514081136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72-48D7-AFB0-AAA78E91026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03'!$R$22:$R$29</c:f>
              <c:strCache>
                <c:ptCount val="8"/>
                <c:pt idx="0">
                  <c:v>UN DÍA                            (24 HORAS)</c:v>
                </c:pt>
                <c:pt idx="1">
                  <c:v>DOS DÍAS   (48 HORAS)</c:v>
                </c:pt>
                <c:pt idx="2">
                  <c:v>TRES DÍAS  (72 HORAS)</c:v>
                </c:pt>
                <c:pt idx="3">
                  <c:v>CUATRO A SIETE DÍAS</c:v>
                </c:pt>
                <c:pt idx="4">
                  <c:v>OCHO A QUINCE DÍAS</c:v>
                </c:pt>
                <c:pt idx="5">
                  <c:v>DIESISEIS A VEINTIÚN DÍAS </c:v>
                </c:pt>
                <c:pt idx="6">
                  <c:v>VEINTIDOS A TRENTICINCO DÍAS</c:v>
                </c:pt>
                <c:pt idx="7">
                  <c:v>TRENTISEIS  A MÁS  DÍAS</c:v>
                </c:pt>
              </c:strCache>
            </c:strRef>
          </c:cat>
          <c:val>
            <c:numRef>
              <c:f>'Anexo 03'!$S$22:$S$29</c:f>
              <c:numCache>
                <c:formatCode>_(* #,##0_);_(* \(#,##0\);_(* "-"_);_(@_)</c:formatCode>
                <c:ptCount val="8"/>
                <c:pt idx="0">
                  <c:v>26</c:v>
                </c:pt>
                <c:pt idx="1">
                  <c:v>13</c:v>
                </c:pt>
                <c:pt idx="2">
                  <c:v>2</c:v>
                </c:pt>
                <c:pt idx="3">
                  <c:v>7</c:v>
                </c:pt>
                <c:pt idx="4">
                  <c:v>7</c:v>
                </c:pt>
                <c:pt idx="5">
                  <c:v>0</c:v>
                </c:pt>
                <c:pt idx="6">
                  <c:v>3</c:v>
                </c:pt>
                <c:pt idx="7">
                  <c:v>5</c:v>
                </c:pt>
              </c:numCache>
            </c:numRef>
          </c:val>
          <c:extLst>
            <c:ext xmlns:c16="http://schemas.microsoft.com/office/drawing/2014/chart" uri="{C3380CC4-5D6E-409C-BE32-E72D297353CC}">
              <c16:uniqueId val="{00000000-49C2-4181-A99D-4416EB271B52}"/>
            </c:ext>
          </c:extLst>
        </c:ser>
        <c:dLbls>
          <c:showLegendKey val="0"/>
          <c:showVal val="0"/>
          <c:showCatName val="0"/>
          <c:showSerName val="0"/>
          <c:showPercent val="0"/>
          <c:showBubbleSize val="0"/>
        </c:dLbls>
        <c:gapWidth val="150"/>
        <c:shape val="box"/>
        <c:axId val="118932992"/>
        <c:axId val="118934528"/>
        <c:axId val="0"/>
      </c:bar3DChart>
      <c:catAx>
        <c:axId val="118932992"/>
        <c:scaling>
          <c:orientation val="minMax"/>
        </c:scaling>
        <c:delete val="0"/>
        <c:axPos val="b"/>
        <c:numFmt formatCode="General" sourceLinked="0"/>
        <c:majorTickMark val="out"/>
        <c:minorTickMark val="none"/>
        <c:tickLblPos val="nextTo"/>
        <c:txPr>
          <a:bodyPr rot="0" vert="horz"/>
          <a:lstStyle/>
          <a:p>
            <a:pPr>
              <a:defRPr sz="700"/>
            </a:pPr>
            <a:endParaRPr lang="es-PE"/>
          </a:p>
        </c:txPr>
        <c:crossAx val="118934528"/>
        <c:crosses val="autoZero"/>
        <c:auto val="1"/>
        <c:lblAlgn val="ctr"/>
        <c:lblOffset val="100"/>
        <c:noMultiLvlLbl val="0"/>
      </c:catAx>
      <c:valAx>
        <c:axId val="118934528"/>
        <c:scaling>
          <c:orientation val="minMax"/>
        </c:scaling>
        <c:delete val="0"/>
        <c:axPos val="l"/>
        <c:numFmt formatCode="#,##0" sourceLinked="0"/>
        <c:majorTickMark val="out"/>
        <c:minorTickMark val="none"/>
        <c:tickLblPos val="nextTo"/>
        <c:crossAx val="118932992"/>
        <c:crosses val="autoZero"/>
        <c:crossBetween val="between"/>
      </c:valAx>
    </c:plotArea>
    <c:plotVisOnly val="1"/>
    <c:dispBlanksAs val="gap"/>
    <c:showDLblsOverMax val="0"/>
  </c:chart>
  <c:spPr>
    <a:solidFill>
      <a:schemeClr val="bg1"/>
    </a:solidFill>
    <a:ln w="25400">
      <a:solidFill>
        <a:schemeClr val="tx1"/>
      </a:solidFill>
    </a:ln>
  </c:spPr>
  <c:txPr>
    <a:bodyPr/>
    <a:lstStyle/>
    <a:p>
      <a:pPr>
        <a:defRPr b="1">
          <a:latin typeface="Arial" panose="020B0604020202020204" pitchFamily="34" charset="0"/>
          <a:cs typeface="Arial" panose="020B0604020202020204" pitchFamily="34" charset="0"/>
        </a:defRPr>
      </a:pPr>
      <a:endParaRPr lang="es-PE"/>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900">
                <a:latin typeface="Arial" pitchFamily="34" charset="0"/>
                <a:cs typeface="Arial" pitchFamily="34" charset="0"/>
              </a:defRPr>
            </a:pPr>
            <a:r>
              <a:rPr lang="en-US" sz="900">
                <a:latin typeface="Arial" pitchFamily="34" charset="0"/>
                <a:cs typeface="Arial" pitchFamily="34" charset="0"/>
              </a:rPr>
              <a:t>TRABAJADORES</a:t>
            </a:r>
            <a:r>
              <a:rPr lang="en-US" sz="900" baseline="0">
                <a:latin typeface="Arial" pitchFamily="34" charset="0"/>
                <a:cs typeface="Arial" pitchFamily="34" charset="0"/>
              </a:rPr>
              <a:t> </a:t>
            </a:r>
            <a:r>
              <a:rPr lang="en-US" sz="900">
                <a:latin typeface="Arial" pitchFamily="34" charset="0"/>
                <a:cs typeface="Arial" pitchFamily="34" charset="0"/>
              </a:rPr>
              <a:t>COMPRENDIDOS EN EL SECTOR PRIVADO, </a:t>
            </a:r>
          </a:p>
          <a:p>
            <a:pPr>
              <a:defRPr sz="900">
                <a:latin typeface="Arial" pitchFamily="34" charset="0"/>
                <a:cs typeface="Arial" pitchFamily="34" charset="0"/>
              </a:defRPr>
            </a:pPr>
            <a:r>
              <a:rPr lang="en-US" sz="900">
                <a:latin typeface="Arial" pitchFamily="34" charset="0"/>
                <a:cs typeface="Arial" pitchFamily="34" charset="0"/>
              </a:rPr>
              <a:t>SEGÚN ACTIVIDAD ECONÓMICA</a:t>
            </a:r>
          </a:p>
        </c:rich>
      </c:tx>
      <c:layout>
        <c:manualLayout>
          <c:xMode val="edge"/>
          <c:yMode val="edge"/>
          <c:x val="0.12047266214140416"/>
          <c:y val="1.926506427275378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0.11740105352333588"/>
          <c:y val="0.26790754215693441"/>
          <c:w val="0.68345836682630778"/>
          <c:h val="0.57788142899116024"/>
        </c:manualLayout>
      </c:layout>
      <c:pie3DChart>
        <c:varyColors val="1"/>
        <c:ser>
          <c:idx val="0"/>
          <c:order val="0"/>
          <c:explosion val="17"/>
          <c:dPt>
            <c:idx val="0"/>
            <c:bubble3D val="0"/>
            <c:spPr>
              <a:solidFill>
                <a:schemeClr val="tx2"/>
              </a:solidFill>
            </c:spPr>
            <c:extLst>
              <c:ext xmlns:c16="http://schemas.microsoft.com/office/drawing/2014/chart" uri="{C3380CC4-5D6E-409C-BE32-E72D297353CC}">
                <c16:uniqueId val="{00000001-ABEF-48EC-AFB8-7B2BB3C65376}"/>
              </c:ext>
            </c:extLst>
          </c:dPt>
          <c:dPt>
            <c:idx val="3"/>
            <c:bubble3D val="0"/>
            <c:spPr>
              <a:solidFill>
                <a:schemeClr val="accent5">
                  <a:lumMod val="75000"/>
                </a:schemeClr>
              </a:solidFill>
            </c:spPr>
            <c:extLst>
              <c:ext xmlns:c16="http://schemas.microsoft.com/office/drawing/2014/chart" uri="{C3380CC4-5D6E-409C-BE32-E72D297353CC}">
                <c16:uniqueId val="{00000004-ABEF-48EC-AFB8-7B2BB3C65376}"/>
              </c:ext>
            </c:extLst>
          </c:dPt>
          <c:dPt>
            <c:idx val="4"/>
            <c:bubble3D val="0"/>
            <c:spPr>
              <a:solidFill>
                <a:schemeClr val="accent6">
                  <a:lumMod val="50000"/>
                </a:schemeClr>
              </a:solidFill>
            </c:spPr>
            <c:extLst>
              <c:ext xmlns:c16="http://schemas.microsoft.com/office/drawing/2014/chart" uri="{C3380CC4-5D6E-409C-BE32-E72D297353CC}">
                <c16:uniqueId val="{00000005-ABEF-48EC-AFB8-7B2BB3C65376}"/>
              </c:ext>
            </c:extLst>
          </c:dPt>
          <c:dPt>
            <c:idx val="5"/>
            <c:bubble3D val="0"/>
            <c:extLst>
              <c:ext xmlns:c16="http://schemas.microsoft.com/office/drawing/2014/chart" uri="{C3380CC4-5D6E-409C-BE32-E72D297353CC}">
                <c16:uniqueId val="{00000006-ABEF-48EC-AFB8-7B2BB3C65376}"/>
              </c:ext>
            </c:extLst>
          </c:dPt>
          <c:dLbls>
            <c:dLbl>
              <c:idx val="0"/>
              <c:layout>
                <c:manualLayout>
                  <c:x val="-1.3228451307535488E-3"/>
                  <c:y val="-8.221630396040401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BEF-48EC-AFB8-7B2BB3C65376}"/>
                </c:ext>
              </c:extLst>
            </c:dLbl>
            <c:dLbl>
              <c:idx val="1"/>
              <c:layout>
                <c:manualLayout>
                  <c:x val="9.0808458199178418E-2"/>
                  <c:y val="-6.904844543518651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BEF-48EC-AFB8-7B2BB3C65376}"/>
                </c:ext>
              </c:extLst>
            </c:dLbl>
            <c:dLbl>
              <c:idx val="2"/>
              <c:layout>
                <c:manualLayout>
                  <c:x val="9.8090363963879684E-2"/>
                  <c:y val="3.378073350506619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BEF-48EC-AFB8-7B2BB3C65376}"/>
                </c:ext>
              </c:extLst>
            </c:dLbl>
            <c:dLbl>
              <c:idx val="3"/>
              <c:layout>
                <c:manualLayout>
                  <c:x val="0.10091335134950218"/>
                  <c:y val="-3.68219262860559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ABEF-48EC-AFB8-7B2BB3C65376}"/>
                </c:ext>
              </c:extLst>
            </c:dLbl>
            <c:dLbl>
              <c:idx val="4"/>
              <c:layout>
                <c:manualLayout>
                  <c:x val="8.6516824871323943E-3"/>
                  <c:y val="-0.11601365174954902"/>
                </c:manualLayout>
              </c:layout>
              <c:tx>
                <c:rich>
                  <a:bodyPr/>
                  <a:lstStyle/>
                  <a:p>
                    <a:fld id="{536A1C0E-BC23-4CF4-8C05-F143E052FA69}" type="CATEGORYNAME">
                      <a:rPr lang="en-US" b="1"/>
                      <a:pPr/>
                      <a:t>[NOMBRE DE CATEGORÍA]</a:t>
                    </a:fld>
                    <a:r>
                      <a:rPr lang="en-US" b="1" baseline="0"/>
                      <a:t>
</a:t>
                    </a:r>
                    <a:fld id="{94319876-A355-4D52-A689-5BF1894166C5}" type="VALUE">
                      <a:rPr lang="en-US" b="1" baseline="0"/>
                      <a:pPr/>
                      <a:t>[VALOR]</a:t>
                    </a:fld>
                    <a:r>
                      <a:rPr lang="en-US" b="1" baseline="0"/>
                      <a:t>
</a:t>
                    </a:r>
                    <a:fld id="{69D2BD88-CDBA-4594-B6BF-123772D50544}" type="PERCENTAGE">
                      <a:rPr lang="en-US" b="1" baseline="0"/>
                      <a:pPr/>
                      <a:t>[PORCENTAJE]</a:t>
                    </a:fld>
                    <a:endParaRPr lang="en-US" b="1" baseline="0"/>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ABEF-48EC-AFB8-7B2BB3C65376}"/>
                </c:ext>
              </c:extLst>
            </c:dLbl>
            <c:dLbl>
              <c:idx val="5"/>
              <c:layout>
                <c:manualLayout>
                  <c:x val="-0.11674118708142235"/>
                  <c:y val="-6.779925895101045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ABEF-48EC-AFB8-7B2BB3C65376}"/>
                </c:ext>
              </c:extLst>
            </c:dLbl>
            <c:dLbl>
              <c:idx val="6"/>
              <c:layout>
                <c:manualLayout>
                  <c:x val="-7.9798591245989758E-2"/>
                  <c:y val="2.249308925118904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2902926402922535"/>
                      <c:h val="0.11408817802503476"/>
                    </c:manualLayout>
                  </c15:layout>
                </c:ext>
                <c:ext xmlns:c16="http://schemas.microsoft.com/office/drawing/2014/chart" uri="{C3380CC4-5D6E-409C-BE32-E72D297353CC}">
                  <c16:uniqueId val="{00000007-ABEF-48EC-AFB8-7B2BB3C65376}"/>
                </c:ext>
              </c:extLst>
            </c:dLbl>
            <c:dLbl>
              <c:idx val="7"/>
              <c:layout>
                <c:manualLayout>
                  <c:x val="-0.29512146768345332"/>
                  <c:y val="5.329902642559109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ABEF-48EC-AFB8-7B2BB3C65376}"/>
                </c:ext>
              </c:extLst>
            </c:dLbl>
            <c:dLbl>
              <c:idx val="9"/>
              <c:layout>
                <c:manualLayout>
                  <c:x val="0.16843802906285457"/>
                  <c:y val="-4.656173589822409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ABEF-48EC-AFB8-7B2BB3C65376}"/>
                </c:ext>
              </c:extLst>
            </c:dLbl>
            <c:spPr>
              <a:noFill/>
              <a:ln>
                <a:noFill/>
              </a:ln>
              <a:effectLst/>
            </c:spPr>
            <c:txPr>
              <a:bodyPr/>
              <a:lstStyle/>
              <a:p>
                <a:pPr>
                  <a:defRPr sz="700" b="1">
                    <a:latin typeface="+mn-lt"/>
                    <a:cs typeface="Arial" pitchFamily="34" charset="0"/>
                  </a:defRPr>
                </a:pPr>
                <a:endParaRPr lang="es-PE"/>
              </a:p>
            </c:txPr>
            <c:dLblPos val="outEnd"/>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'Anexo 06'!$T$3:$T$8</c:f>
              <c:strCache>
                <c:ptCount val="6"/>
                <c:pt idx="0">
                  <c:v>EXPLOTACIÓN DE MINAS Y CANTERAS</c:v>
                </c:pt>
                <c:pt idx="1">
                  <c:v>SUMINISTRO DE ELECTRICIDAD, GAS Y AGUA</c:v>
                </c:pt>
                <c:pt idx="2">
                  <c:v>INTERMEDIACIÓN FINANCIERA,  AFP</c:v>
                </c:pt>
                <c:pt idx="3">
                  <c:v>ADMINISTRACIÓN PÚBLICA Y DEFENSA</c:v>
                </c:pt>
                <c:pt idx="4">
                  <c:v>SERVICIOS SOCIALES Y DE SALUD</c:v>
                </c:pt>
                <c:pt idx="5">
                  <c:v>OTROS</c:v>
                </c:pt>
              </c:strCache>
            </c:strRef>
          </c:cat>
          <c:val>
            <c:numRef>
              <c:f>'Anexo 06'!$U$3:$U$8</c:f>
              <c:numCache>
                <c:formatCode>_(* #,##0_);_(* \(#,##0\);_(* "-"_);_(@_)</c:formatCode>
                <c:ptCount val="6"/>
                <c:pt idx="0">
                  <c:v>818</c:v>
                </c:pt>
                <c:pt idx="1">
                  <c:v>5000</c:v>
                </c:pt>
                <c:pt idx="2">
                  <c:v>2720</c:v>
                </c:pt>
                <c:pt idx="3">
                  <c:v>47178</c:v>
                </c:pt>
                <c:pt idx="4">
                  <c:v>19174</c:v>
                </c:pt>
                <c:pt idx="5" formatCode="_ * #,##0_ ;_ * \-#,##0_ ;_ * &quot;-&quot;_ ;_ @_ ">
                  <c:v>1814</c:v>
                </c:pt>
              </c:numCache>
            </c:numRef>
          </c:val>
          <c:extLst>
            <c:ext xmlns:c16="http://schemas.microsoft.com/office/drawing/2014/chart" uri="{C3380CC4-5D6E-409C-BE32-E72D297353CC}">
              <c16:uniqueId val="{0000000A-ABEF-48EC-AFB8-7B2BB3C65376}"/>
            </c:ext>
          </c:extLst>
        </c:ser>
        <c:dLbls>
          <c:showLegendKey val="0"/>
          <c:showVal val="0"/>
          <c:showCatName val="1"/>
          <c:showSerName val="0"/>
          <c:showPercent val="1"/>
          <c:showBubbleSize val="0"/>
          <c:showLeaderLines val="1"/>
        </c:dLbls>
      </c:pie3DChart>
    </c:plotArea>
    <c:plotVisOnly val="1"/>
    <c:dispBlanksAs val="gap"/>
    <c:showDLblsOverMax val="0"/>
  </c:chart>
  <c:spPr>
    <a:solidFill>
      <a:schemeClr val="bg1"/>
    </a:solidFill>
    <a:ln w="25400">
      <a:solidFill>
        <a:schemeClr val="tx1"/>
      </a:solidFill>
    </a:ln>
    <a:scene3d>
      <a:camera prst="orthographicFront"/>
      <a:lightRig rig="threePt" dir="t"/>
    </a:scene3d>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spPr>
        <a:solidFill>
          <a:schemeClr val="accent2">
            <a:lumMod val="20000"/>
            <a:lumOff val="80000"/>
          </a:schemeClr>
        </a:solidFill>
      </c:spPr>
    </c:floor>
    <c:sideWall>
      <c:thickness val="0"/>
      <c:spPr>
        <a:solidFill>
          <a:schemeClr val="accent2">
            <a:lumMod val="20000"/>
            <a:lumOff val="80000"/>
          </a:schemeClr>
        </a:solidFill>
      </c:spPr>
    </c:sideWall>
    <c:backWall>
      <c:thickness val="0"/>
      <c:spPr>
        <a:noFill/>
      </c:spPr>
    </c:backWall>
    <c:plotArea>
      <c:layout>
        <c:manualLayout>
          <c:layoutTarget val="inner"/>
          <c:xMode val="edge"/>
          <c:yMode val="edge"/>
          <c:x val="9.592177103441063E-2"/>
          <c:y val="0.26535048326097782"/>
          <c:w val="0.8714960629921259"/>
          <c:h val="0.61940372353887108"/>
        </c:manualLayout>
      </c:layout>
      <c:bar3DChart>
        <c:barDir val="col"/>
        <c:grouping val="clustered"/>
        <c:varyColors val="0"/>
        <c:ser>
          <c:idx val="0"/>
          <c:order val="0"/>
          <c:spPr>
            <a:solidFill>
              <a:srgbClr val="F77591"/>
            </a:solidFill>
          </c:spPr>
          <c:invertIfNegative val="0"/>
          <c:dLbls>
            <c:dLbl>
              <c:idx val="0"/>
              <c:layout>
                <c:manualLayout>
                  <c:x val="1.6969696969696992E-2"/>
                  <c:y val="-2.4365482233502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CB-43F1-9650-38BB0C019FEE}"/>
                </c:ext>
              </c:extLst>
            </c:dLbl>
            <c:dLbl>
              <c:idx val="1"/>
              <c:layout>
                <c:manualLayout>
                  <c:x val="1.6636957813428402E-2"/>
                  <c:y val="-2.17155266015200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DA-43DE-B0C8-9225925C19D0}"/>
                </c:ext>
              </c:extLst>
            </c:dLbl>
            <c:dLbl>
              <c:idx val="2"/>
              <c:layout>
                <c:manualLayout>
                  <c:x val="2.1390374331550801E-2"/>
                  <c:y val="-4.3431053203040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DA-43DE-B0C8-9225925C19D0}"/>
                </c:ext>
              </c:extLst>
            </c:dLbl>
            <c:dLbl>
              <c:idx val="3"/>
              <c:layout>
                <c:manualLayout>
                  <c:x val="1.9013666072489603E-2"/>
                  <c:y val="-2.60586319218241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DA-43DE-B0C8-9225925C19D0}"/>
                </c:ext>
              </c:extLst>
            </c:dLbl>
            <c:dLbl>
              <c:idx val="4"/>
              <c:layout>
                <c:manualLayout>
                  <c:x val="2.6143790849673203E-2"/>
                  <c:y val="-3.90879478827360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DA-43DE-B0C8-9225925C19D0}"/>
                </c:ext>
              </c:extLst>
            </c:dLbl>
            <c:dLbl>
              <c:idx val="5"/>
              <c:layout>
                <c:manualLayout>
                  <c:x val="3.9980009995001769E-3"/>
                  <c:y val="-2.11360634081903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6D-420B-B732-0F61DE4EBAEE}"/>
                </c:ext>
              </c:extLst>
            </c:dLbl>
            <c:dLbl>
              <c:idx val="6"/>
              <c:layout>
                <c:manualLayout>
                  <c:x val="1.6969696969696971E-2"/>
                  <c:y val="-1.62436548223350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CB-43F1-9650-38BB0C019FEE}"/>
                </c:ext>
              </c:extLst>
            </c:dLbl>
            <c:dLbl>
              <c:idx val="7"/>
              <c:layout>
                <c:manualLayout>
                  <c:x val="1.1994002998500749E-2"/>
                  <c:y val="-1.0568031704095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6D-420B-B732-0F61DE4EBAEE}"/>
                </c:ext>
              </c:extLst>
            </c:dLbl>
            <c:spPr>
              <a:noFill/>
              <a:ln>
                <a:noFill/>
              </a:ln>
              <a:effectLst/>
            </c:spPr>
            <c:txPr>
              <a:bodyPr/>
              <a:lstStyle/>
              <a:p>
                <a:pPr>
                  <a:defRPr sz="1000"/>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03'!$R$22:$R$29</c:f>
              <c:strCache>
                <c:ptCount val="8"/>
                <c:pt idx="0">
                  <c:v>UN DÍA                            (24 HORAS)</c:v>
                </c:pt>
                <c:pt idx="1">
                  <c:v>DOS DÍAS   (48 HORAS)</c:v>
                </c:pt>
                <c:pt idx="2">
                  <c:v>TRES DÍAS  (72 HORAS)</c:v>
                </c:pt>
                <c:pt idx="3">
                  <c:v>CUATRO A SIETE DÍAS</c:v>
                </c:pt>
                <c:pt idx="4">
                  <c:v>OCHO A QUINCE DÍAS</c:v>
                </c:pt>
                <c:pt idx="5">
                  <c:v>DIESISEIS A VEINTIÚN DÍAS </c:v>
                </c:pt>
                <c:pt idx="6">
                  <c:v>VEINTIDOS A TRENTICINCO DÍAS</c:v>
                </c:pt>
                <c:pt idx="7">
                  <c:v>TRENTISEIS  A MÁS  DÍAS</c:v>
                </c:pt>
              </c:strCache>
            </c:strRef>
          </c:cat>
          <c:val>
            <c:numRef>
              <c:f>'Anexo 03'!$T$22:$T$29</c:f>
              <c:numCache>
                <c:formatCode>_(* #,##0_);_(* \(#,##0\);_(* "-"_);_(@_)</c:formatCode>
                <c:ptCount val="8"/>
                <c:pt idx="0">
                  <c:v>41952</c:v>
                </c:pt>
                <c:pt idx="1">
                  <c:v>6188</c:v>
                </c:pt>
                <c:pt idx="2">
                  <c:v>1256</c:v>
                </c:pt>
                <c:pt idx="3">
                  <c:v>13490</c:v>
                </c:pt>
                <c:pt idx="4">
                  <c:v>12742</c:v>
                </c:pt>
                <c:pt idx="5">
                  <c:v>0</c:v>
                </c:pt>
                <c:pt idx="6">
                  <c:v>828</c:v>
                </c:pt>
                <c:pt idx="7">
                  <c:v>248</c:v>
                </c:pt>
              </c:numCache>
            </c:numRef>
          </c:val>
          <c:extLst>
            <c:ext xmlns:c16="http://schemas.microsoft.com/office/drawing/2014/chart" uri="{C3380CC4-5D6E-409C-BE32-E72D297353CC}">
              <c16:uniqueId val="{00000000-B64A-47CF-AB53-CD3433FA4A5F}"/>
            </c:ext>
          </c:extLst>
        </c:ser>
        <c:dLbls>
          <c:showLegendKey val="0"/>
          <c:showVal val="0"/>
          <c:showCatName val="0"/>
          <c:showSerName val="0"/>
          <c:showPercent val="0"/>
          <c:showBubbleSize val="0"/>
        </c:dLbls>
        <c:gapWidth val="150"/>
        <c:shape val="box"/>
        <c:axId val="118986624"/>
        <c:axId val="118988160"/>
        <c:axId val="0"/>
      </c:bar3DChart>
      <c:catAx>
        <c:axId val="118986624"/>
        <c:scaling>
          <c:orientation val="minMax"/>
        </c:scaling>
        <c:delete val="0"/>
        <c:axPos val="b"/>
        <c:numFmt formatCode="General" sourceLinked="0"/>
        <c:majorTickMark val="out"/>
        <c:minorTickMark val="none"/>
        <c:tickLblPos val="nextTo"/>
        <c:txPr>
          <a:bodyPr rot="0" vert="horz"/>
          <a:lstStyle/>
          <a:p>
            <a:pPr>
              <a:defRPr sz="700"/>
            </a:pPr>
            <a:endParaRPr lang="es-PE"/>
          </a:p>
        </c:txPr>
        <c:crossAx val="118988160"/>
        <c:crosses val="autoZero"/>
        <c:auto val="1"/>
        <c:lblAlgn val="ctr"/>
        <c:lblOffset val="100"/>
        <c:noMultiLvlLbl val="0"/>
      </c:catAx>
      <c:valAx>
        <c:axId val="118988160"/>
        <c:scaling>
          <c:orientation val="minMax"/>
        </c:scaling>
        <c:delete val="0"/>
        <c:axPos val="l"/>
        <c:numFmt formatCode="#,##0" sourceLinked="0"/>
        <c:majorTickMark val="out"/>
        <c:minorTickMark val="none"/>
        <c:tickLblPos val="nextTo"/>
        <c:crossAx val="118986624"/>
        <c:crosses val="autoZero"/>
        <c:crossBetween val="between"/>
      </c:valAx>
    </c:plotArea>
    <c:plotVisOnly val="1"/>
    <c:dispBlanksAs val="gap"/>
    <c:showDLblsOverMax val="0"/>
  </c:chart>
  <c:spPr>
    <a:solidFill>
      <a:schemeClr val="bg1"/>
    </a:solidFill>
    <a:ln w="25400">
      <a:solidFill>
        <a:schemeClr val="tx1"/>
      </a:solidFill>
    </a:ln>
  </c:spPr>
  <c:txPr>
    <a:bodyPr/>
    <a:lstStyle/>
    <a:p>
      <a:pPr>
        <a:defRPr sz="800" b="1">
          <a:latin typeface="Arial" panose="020B0604020202020204" pitchFamily="34" charset="0"/>
          <a:cs typeface="Arial" panose="020B0604020202020204" pitchFamily="34" charset="0"/>
        </a:defRPr>
      </a:pPr>
      <a:endParaRPr lang="es-PE"/>
    </a:p>
  </c:tx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spPr>
        <a:solidFill>
          <a:schemeClr val="accent2">
            <a:lumMod val="20000"/>
            <a:lumOff val="80000"/>
          </a:schemeClr>
        </a:solidFill>
      </c:spPr>
    </c:floor>
    <c:sideWall>
      <c:thickness val="0"/>
      <c:spPr>
        <a:solidFill>
          <a:schemeClr val="accent2">
            <a:lumMod val="20000"/>
            <a:lumOff val="80000"/>
          </a:schemeClr>
        </a:solidFill>
      </c:spPr>
    </c:sideWall>
    <c:backWall>
      <c:thickness val="0"/>
      <c:spPr>
        <a:noFill/>
        <a:ln w="25400">
          <a:noFill/>
        </a:ln>
      </c:spPr>
    </c:backWall>
    <c:plotArea>
      <c:layout>
        <c:manualLayout>
          <c:layoutTarget val="inner"/>
          <c:xMode val="edge"/>
          <c:yMode val="edge"/>
          <c:x val="0.12568869818350151"/>
          <c:y val="0.23334800745495546"/>
          <c:w val="0.85274098632407791"/>
          <c:h val="0.64254957713619121"/>
        </c:manualLayout>
      </c:layout>
      <c:bar3DChart>
        <c:barDir val="col"/>
        <c:grouping val="clustered"/>
        <c:varyColors val="0"/>
        <c:ser>
          <c:idx val="0"/>
          <c:order val="0"/>
          <c:spPr>
            <a:solidFill>
              <a:srgbClr val="FF0000"/>
            </a:solidFill>
          </c:spPr>
          <c:invertIfNegative val="0"/>
          <c:dLbls>
            <c:dLbl>
              <c:idx val="0"/>
              <c:layout>
                <c:manualLayout>
                  <c:x val="2.1390374331550763E-2"/>
                  <c:y val="-2.477370466832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60-43E5-AEEF-95439C83E97F}"/>
                </c:ext>
              </c:extLst>
            </c:dLbl>
            <c:dLbl>
              <c:idx val="1"/>
              <c:layout>
                <c:manualLayout>
                  <c:x val="1.3078445408227715E-2"/>
                  <c:y val="-1.00203642564897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60-43E5-AEEF-95439C83E97F}"/>
                </c:ext>
              </c:extLst>
            </c:dLbl>
            <c:dLbl>
              <c:idx val="2"/>
              <c:layout>
                <c:manualLayout>
                  <c:x val="6.7834435134110907E-3"/>
                  <c:y val="-2.53612245040205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60-43E5-AEEF-95439C83E97F}"/>
                </c:ext>
              </c:extLst>
            </c:dLbl>
            <c:dLbl>
              <c:idx val="3"/>
              <c:layout>
                <c:manualLayout>
                  <c:x val="1.582820329277022E-2"/>
                  <c:y val="-1.68095146267172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760-43E5-AEEF-95439C83E97F}"/>
                </c:ext>
              </c:extLst>
            </c:dLbl>
            <c:dLbl>
              <c:idx val="4"/>
              <c:layout>
                <c:manualLayout>
                  <c:x val="9.1021201342146498E-3"/>
                  <c:y val="-3.04979326540078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60-43E5-AEEF-95439C83E97F}"/>
                </c:ext>
              </c:extLst>
            </c:dLbl>
            <c:dLbl>
              <c:idx val="5"/>
              <c:layout>
                <c:manualLayout>
                  <c:x val="6.4171122994653189E-3"/>
                  <c:y val="-1.10650053088791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D1-446E-B9C3-D71D557860A0}"/>
                </c:ext>
              </c:extLst>
            </c:dLbl>
            <c:dLbl>
              <c:idx val="6"/>
              <c:layout>
                <c:manualLayout>
                  <c:x val="1.06951871657754E-2"/>
                  <c:y val="-1.10650053088791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D1-446E-B9C3-D71D557860A0}"/>
                </c:ext>
              </c:extLst>
            </c:dLbl>
            <c:dLbl>
              <c:idx val="7"/>
              <c:layout>
                <c:manualLayout>
                  <c:x val="1.4973262032085405E-2"/>
                  <c:y val="-2.58183457207181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8D1-446E-B9C3-D71D557860A0}"/>
                </c:ext>
              </c:extLst>
            </c:dLbl>
            <c:spPr>
              <a:noFill/>
              <a:ln>
                <a:noFill/>
              </a:ln>
              <a:effectLst/>
            </c:spPr>
            <c:txPr>
              <a:bodyPr wrap="square" lIns="38100" tIns="19050" rIns="38100" bIns="19050" anchor="ctr">
                <a:spAutoFit/>
              </a:bodyPr>
              <a:lstStyle/>
              <a:p>
                <a:pPr>
                  <a:defRPr sz="1000" b="1"/>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03'!$R$22:$R$29</c:f>
              <c:strCache>
                <c:ptCount val="8"/>
                <c:pt idx="0">
                  <c:v>UN DÍA                            (24 HORAS)</c:v>
                </c:pt>
                <c:pt idx="1">
                  <c:v>DOS DÍAS   (48 HORAS)</c:v>
                </c:pt>
                <c:pt idx="2">
                  <c:v>TRES DÍAS  (72 HORAS)</c:v>
                </c:pt>
                <c:pt idx="3">
                  <c:v>CUATRO A SIETE DÍAS</c:v>
                </c:pt>
                <c:pt idx="4">
                  <c:v>OCHO A QUINCE DÍAS</c:v>
                </c:pt>
                <c:pt idx="5">
                  <c:v>DIESISEIS A VEINTIÚN DÍAS </c:v>
                </c:pt>
                <c:pt idx="6">
                  <c:v>VEINTIDOS A TRENTICINCO DÍAS</c:v>
                </c:pt>
                <c:pt idx="7">
                  <c:v>TRENTISEIS  A MÁS  DÍAS</c:v>
                </c:pt>
              </c:strCache>
            </c:strRef>
          </c:cat>
          <c:val>
            <c:numRef>
              <c:f>'Anexo 03'!$U$22:$U$29</c:f>
              <c:numCache>
                <c:formatCode>_(* #,##0_);_(* \(#,##0\);_(* "-"_);_(@_)</c:formatCode>
                <c:ptCount val="8"/>
                <c:pt idx="0">
                  <c:v>283908</c:v>
                </c:pt>
                <c:pt idx="1">
                  <c:v>99008</c:v>
                </c:pt>
                <c:pt idx="2">
                  <c:v>30144</c:v>
                </c:pt>
                <c:pt idx="3">
                  <c:v>417256</c:v>
                </c:pt>
                <c:pt idx="4">
                  <c:v>1156896</c:v>
                </c:pt>
                <c:pt idx="5">
                  <c:v>0</c:v>
                </c:pt>
                <c:pt idx="6">
                  <c:v>188992</c:v>
                </c:pt>
                <c:pt idx="7">
                  <c:v>119312</c:v>
                </c:pt>
              </c:numCache>
            </c:numRef>
          </c:val>
          <c:extLst>
            <c:ext xmlns:c16="http://schemas.microsoft.com/office/drawing/2014/chart" uri="{C3380CC4-5D6E-409C-BE32-E72D297353CC}">
              <c16:uniqueId val="{00000000-67E4-4EE2-A97C-592899F4FDA8}"/>
            </c:ext>
          </c:extLst>
        </c:ser>
        <c:dLbls>
          <c:showLegendKey val="0"/>
          <c:showVal val="0"/>
          <c:showCatName val="0"/>
          <c:showSerName val="0"/>
          <c:showPercent val="0"/>
          <c:showBubbleSize val="0"/>
        </c:dLbls>
        <c:gapWidth val="150"/>
        <c:shape val="box"/>
        <c:axId val="119674752"/>
        <c:axId val="119676288"/>
        <c:axId val="0"/>
      </c:bar3DChart>
      <c:catAx>
        <c:axId val="119674752"/>
        <c:scaling>
          <c:orientation val="minMax"/>
        </c:scaling>
        <c:delete val="0"/>
        <c:axPos val="b"/>
        <c:numFmt formatCode="General" sourceLinked="0"/>
        <c:majorTickMark val="out"/>
        <c:minorTickMark val="none"/>
        <c:tickLblPos val="nextTo"/>
        <c:txPr>
          <a:bodyPr/>
          <a:lstStyle/>
          <a:p>
            <a:pPr>
              <a:defRPr sz="700" b="1"/>
            </a:pPr>
            <a:endParaRPr lang="es-PE"/>
          </a:p>
        </c:txPr>
        <c:crossAx val="119676288"/>
        <c:crosses val="autoZero"/>
        <c:auto val="1"/>
        <c:lblAlgn val="ctr"/>
        <c:lblOffset val="100"/>
        <c:noMultiLvlLbl val="0"/>
      </c:catAx>
      <c:valAx>
        <c:axId val="119676288"/>
        <c:scaling>
          <c:orientation val="minMax"/>
        </c:scaling>
        <c:delete val="0"/>
        <c:axPos val="l"/>
        <c:numFmt formatCode="#,##0" sourceLinked="0"/>
        <c:majorTickMark val="out"/>
        <c:minorTickMark val="none"/>
        <c:tickLblPos val="nextTo"/>
        <c:txPr>
          <a:bodyPr/>
          <a:lstStyle/>
          <a:p>
            <a:pPr>
              <a:defRPr b="1"/>
            </a:pPr>
            <a:endParaRPr lang="es-PE"/>
          </a:p>
        </c:txPr>
        <c:crossAx val="119674752"/>
        <c:crosses val="autoZero"/>
        <c:crossBetween val="between"/>
      </c:valAx>
    </c:plotArea>
    <c:plotVisOnly val="1"/>
    <c:dispBlanksAs val="gap"/>
    <c:showDLblsOverMax val="0"/>
  </c:chart>
  <c:spPr>
    <a:solidFill>
      <a:schemeClr val="bg1"/>
    </a:solidFill>
    <a:ln w="25400">
      <a:solidFill>
        <a:schemeClr val="tx1"/>
      </a:solidFill>
    </a:ln>
  </c:spPr>
  <c:txPr>
    <a:bodyPr/>
    <a:lstStyle/>
    <a:p>
      <a:pPr>
        <a:defRPr sz="800">
          <a:latin typeface="Arial" panose="020B0604020202020204" pitchFamily="34" charset="0"/>
          <a:cs typeface="Arial" panose="020B0604020202020204" pitchFamily="34" charset="0"/>
        </a:defRPr>
      </a:pPr>
      <a:endParaRPr lang="es-PE"/>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1586397058823529"/>
          <c:y val="2.803739005504208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PE"/>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14564991165142618"/>
          <c:w val="0.95567259974856089"/>
          <c:h val="0.70963040168065861"/>
        </c:manualLayout>
      </c:layout>
      <c:pie3DChart>
        <c:varyColors val="1"/>
        <c:ser>
          <c:idx val="0"/>
          <c:order val="0"/>
          <c:tx>
            <c:strRef>
              <c:f>'Anexo 04-05'!$S$4</c:f>
              <c:strCache>
                <c:ptCount val="1"/>
                <c:pt idx="0">
                  <c:v>HUELGAS EN EL SECTOR PRIVADO, 
SEGÚN CALIFICACIÓN </c:v>
                </c:pt>
              </c:strCache>
            </c:strRef>
          </c:tx>
          <c:explosion val="13"/>
          <c:dPt>
            <c:idx val="0"/>
            <c:bubble3D val="0"/>
            <c:spPr>
              <a:solidFill>
                <a:srgbClr val="FF5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2-1CF5-43F6-BE3D-BB242D31DE8B}"/>
              </c:ext>
            </c:extLst>
          </c:dPt>
          <c:dPt>
            <c:idx val="1"/>
            <c:bubble3D val="0"/>
            <c:spPr>
              <a:solidFill>
                <a:srgbClr val="C0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1-1CF5-43F6-BE3D-BB242D31DE8B}"/>
              </c:ext>
            </c:extLst>
          </c:dPt>
          <c:dLbls>
            <c:dLbl>
              <c:idx val="0"/>
              <c:layout>
                <c:manualLayout>
                  <c:x val="5.6388725079696736E-2"/>
                  <c:y val="3.0604995095108493E-3"/>
                </c:manualLayout>
              </c:layout>
              <c:tx>
                <c:rich>
                  <a:bodyPr/>
                  <a:lstStyle/>
                  <a:p>
                    <a:fld id="{503FE2A3-32FC-4763-B8EF-203A3D28568B}" type="CATEGORYNAME">
                      <a:rPr lang="en-US"/>
                      <a:pPr/>
                      <a:t>[NOMBRE DE CATEGORÍA]</a:t>
                    </a:fld>
                    <a:r>
                      <a:rPr lang="en-US"/>
                      <a:t> </a:t>
                    </a:r>
                    <a:fld id="{5B0BD7CA-6951-422E-8F01-5B796E2FCF6B}" type="VALUE">
                      <a:rPr lang="en-US"/>
                      <a:pPr/>
                      <a:t>[VALOR]</a:t>
                    </a:fld>
                    <a:endParaRPr lang="en-US"/>
                  </a:p>
                  <a:p>
                    <a:r>
                      <a:rPr lang="en-US"/>
                      <a:t> </a:t>
                    </a:r>
                    <a:fld id="{FA0EF36A-CDBE-498F-968D-58AD884D4B97}" type="PERCENTAGE">
                      <a:rPr lang="en-US"/>
                      <a:pPr/>
                      <a:t>[PORCENTAJE]</a:t>
                    </a:fld>
                    <a:endParaRPr lang="en-US"/>
                  </a:p>
                </c:rich>
              </c:tx>
              <c:showLegendKey val="0"/>
              <c:showVal val="1"/>
              <c:showCatName val="1"/>
              <c:showSerName val="0"/>
              <c:showPercent val="1"/>
              <c:showBubbleSize val="0"/>
              <c:separator> </c:separator>
              <c:extLst>
                <c:ext xmlns:c15="http://schemas.microsoft.com/office/drawing/2012/chart" uri="{CE6537A1-D6FC-4f65-9D91-7224C49458BB}">
                  <c15:layout>
                    <c:manualLayout>
                      <c:w val="0.17229176470588237"/>
                      <c:h val="0.10716255660880451"/>
                    </c:manualLayout>
                  </c15:layout>
                  <c15:dlblFieldTable/>
                  <c15:showDataLabelsRange val="0"/>
                </c:ext>
                <c:ext xmlns:c16="http://schemas.microsoft.com/office/drawing/2014/chart" uri="{C3380CC4-5D6E-409C-BE32-E72D297353CC}">
                  <c16:uniqueId val="{00000002-1CF5-43F6-BE3D-BB242D31DE8B}"/>
                </c:ext>
              </c:extLst>
            </c:dLbl>
            <c:dLbl>
              <c:idx val="1"/>
              <c:layout>
                <c:manualLayout>
                  <c:x val="-2.9472621060188022E-2"/>
                  <c:y val="2.1631548621351852E-2"/>
                </c:manualLayout>
              </c:layout>
              <c:tx>
                <c:rich>
                  <a:bodyPr/>
                  <a:lstStyle/>
                  <a:p>
                    <a:fld id="{76236A55-E4F4-4993-BB07-031728DDA2CD}" type="CATEGORYNAME">
                      <a:rPr lang="en-US"/>
                      <a:pPr/>
                      <a:t>[NOMBRE DE CATEGORÍA]</a:t>
                    </a:fld>
                    <a:r>
                      <a:rPr lang="en-US"/>
                      <a:t> </a:t>
                    </a:r>
                    <a:fld id="{7BF3357F-C986-4934-9E5C-F1B3D8DA16C8}" type="VALUE">
                      <a:rPr lang="en-US"/>
                      <a:pPr/>
                      <a:t>[VALOR]</a:t>
                    </a:fld>
                    <a:endParaRPr lang="en-US"/>
                  </a:p>
                  <a:p>
                    <a:r>
                      <a:rPr lang="en-US"/>
                      <a:t> </a:t>
                    </a:r>
                    <a:fld id="{C567B120-1EB8-4B97-9E4C-5FE3C45EC510}" type="PERCENTAGE">
                      <a:rPr lang="en-US"/>
                      <a:pPr/>
                      <a:t>[PORCENTAJE]</a:t>
                    </a:fld>
                    <a:endParaRPr lang="en-US"/>
                  </a:p>
                </c:rich>
              </c:tx>
              <c:showLegendKey val="0"/>
              <c:showVal val="1"/>
              <c:showCatName val="1"/>
              <c:showSerName val="0"/>
              <c:showPercent val="1"/>
              <c:showBubbleSize val="0"/>
              <c:separator> </c:separator>
              <c:extLst>
                <c:ext xmlns:c15="http://schemas.microsoft.com/office/drawing/2012/chart" uri="{CE6537A1-D6FC-4f65-9D91-7224C49458BB}">
                  <c15:layout>
                    <c:manualLayout>
                      <c:w val="0.16192947865799204"/>
                      <c:h val="0.15453251870918308"/>
                    </c:manualLayout>
                  </c15:layout>
                  <c15:dlblFieldTable/>
                  <c15:showDataLabelsRange val="0"/>
                </c:ext>
                <c:ext xmlns:c16="http://schemas.microsoft.com/office/drawing/2014/chart" uri="{C3380CC4-5D6E-409C-BE32-E72D297353CC}">
                  <c16:uniqueId val="{00000001-1CF5-43F6-BE3D-BB242D31DE8B}"/>
                </c:ext>
              </c:extLst>
            </c:dLbl>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PE"/>
              </a:p>
            </c:txPr>
            <c:showLegendKey val="0"/>
            <c:showVal val="1"/>
            <c:showCatName val="1"/>
            <c:showSerName val="0"/>
            <c:showPercent val="1"/>
            <c:showBubbleSize val="0"/>
            <c:separator> </c:separator>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'Anexo 04-05'!$R$5:$R$6</c:f>
              <c:strCache>
                <c:ptCount val="2"/>
                <c:pt idx="0">
                  <c:v>PROCEDENTE</c:v>
                </c:pt>
                <c:pt idx="1">
                  <c:v>IMPROCEDENTE - ILEGALIDAD</c:v>
                </c:pt>
              </c:strCache>
            </c:strRef>
          </c:cat>
          <c:val>
            <c:numRef>
              <c:f>'Anexo 04-05'!$S$5:$S$6</c:f>
              <c:numCache>
                <c:formatCode>_(* #,##0_);_(* \(#,##0\);_(* "-"_);_(@_)</c:formatCode>
                <c:ptCount val="2"/>
                <c:pt idx="0">
                  <c:v>16</c:v>
                </c:pt>
                <c:pt idx="1">
                  <c:v>47</c:v>
                </c:pt>
              </c:numCache>
            </c:numRef>
          </c:val>
          <c:extLst>
            <c:ext xmlns:c16="http://schemas.microsoft.com/office/drawing/2014/chart" uri="{C3380CC4-5D6E-409C-BE32-E72D297353CC}">
              <c16:uniqueId val="{00000000-1CF5-43F6-BE3D-BB242D31DE8B}"/>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tx1"/>
      </a:solidFill>
      <a:round/>
    </a:ln>
    <a:effectLst/>
  </c:spPr>
  <c:txPr>
    <a:bodyPr/>
    <a:lstStyle/>
    <a:p>
      <a:pPr>
        <a:defRPr>
          <a:latin typeface="Arial" panose="020B0604020202020204" pitchFamily="34" charset="0"/>
          <a:cs typeface="Arial" panose="020B0604020202020204" pitchFamily="34" charset="0"/>
        </a:defRPr>
      </a:pPr>
      <a:endParaRPr lang="es-P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PE" b="1"/>
              <a:t>TRABAJADORES COMPRENDIDOS EN EL SECTOR PRIVADO, </a:t>
            </a:r>
          </a:p>
          <a:p>
            <a:pPr>
              <a:defRPr b="1"/>
            </a:pPr>
            <a:r>
              <a:rPr lang="es-PE" b="1"/>
              <a:t>SEGÚN CALIFICACIÓN </a:t>
            </a:r>
          </a:p>
        </c:rich>
      </c:tx>
      <c:layout>
        <c:manualLayout>
          <c:xMode val="edge"/>
          <c:yMode val="edge"/>
          <c:x val="0.15925349339000086"/>
          <c:y val="2.055564304461942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PE"/>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'Anexo 04-05'!$V$4</c:f>
              <c:strCache>
                <c:ptCount val="1"/>
                <c:pt idx="0">
                  <c:v>TRABAJADORES   COMPRENDIDOS EN EL SECTOR PRIVADO, 
SEGÚN CALIFICACIÓN </c:v>
                </c:pt>
              </c:strCache>
            </c:strRef>
          </c:tx>
          <c:spPr>
            <a:solidFill>
              <a:srgbClr val="C00000"/>
            </a:solidFill>
          </c:spPr>
          <c:dPt>
            <c:idx val="0"/>
            <c:bubble3D val="0"/>
            <c:spPr>
              <a:solidFill>
                <a:srgbClr val="FF5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EF14-46DB-9FB2-8D437B207683}"/>
              </c:ext>
            </c:extLst>
          </c:dPt>
          <c:dPt>
            <c:idx val="1"/>
            <c:bubble3D val="0"/>
            <c:spPr>
              <a:solidFill>
                <a:srgbClr val="C0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2-EF14-46DB-9FB2-8D437B207683}"/>
              </c:ext>
            </c:extLst>
          </c:dPt>
          <c:dLbls>
            <c:dLbl>
              <c:idx val="0"/>
              <c:layout>
                <c:manualLayout>
                  <c:x val="0.15739672953481745"/>
                  <c:y val="1.0096062992125985E-2"/>
                </c:manualLayout>
              </c:layout>
              <c:tx>
                <c:rich>
                  <a:bodyPr/>
                  <a:lstStyle/>
                  <a:p>
                    <a:fld id="{AD350832-0A26-4FAF-A9CA-F55086924B55}" type="CATEGORYNAME">
                      <a:rPr lang="en-US"/>
                      <a:pPr/>
                      <a:t>[NOMBRE DE CATEGORÍA]</a:t>
                    </a:fld>
                    <a:r>
                      <a:rPr lang="en-US"/>
                      <a:t> </a:t>
                    </a:r>
                    <a:fld id="{56BF9684-4031-49C5-904C-E70A2F1BF090}" type="VALUE">
                      <a:rPr lang="en-US"/>
                      <a:pPr/>
                      <a:t>[VALOR]</a:t>
                    </a:fld>
                    <a:endParaRPr lang="en-US"/>
                  </a:p>
                  <a:p>
                    <a:r>
                      <a:rPr lang="en-US"/>
                      <a:t> </a:t>
                    </a:r>
                    <a:fld id="{1602C15E-E22F-4C1E-BDDC-957499CFC8B0}" type="PERCENTAGE">
                      <a:rPr lang="en-US"/>
                      <a:pPr/>
                      <a:t>[PORCENTAJE]</a:t>
                    </a:fld>
                    <a:endParaRPr lang="en-US"/>
                  </a:p>
                </c:rich>
              </c:tx>
              <c:showLegendKey val="0"/>
              <c:showVal val="1"/>
              <c:showCatName val="1"/>
              <c:showSerName val="0"/>
              <c:showPercent val="1"/>
              <c:showBubbleSize val="0"/>
              <c:separator> </c:separator>
              <c:extLst>
                <c:ext xmlns:c15="http://schemas.microsoft.com/office/drawing/2012/chart" uri="{CE6537A1-D6FC-4f65-9D91-7224C49458BB}">
                  <c15:layout>
                    <c:manualLayout>
                      <c:w val="0.18519072480362198"/>
                      <c:h val="0.10448346456692914"/>
                    </c:manualLayout>
                  </c15:layout>
                  <c15:dlblFieldTable/>
                  <c15:showDataLabelsRange val="0"/>
                </c:ext>
                <c:ext xmlns:c16="http://schemas.microsoft.com/office/drawing/2014/chart" uri="{C3380CC4-5D6E-409C-BE32-E72D297353CC}">
                  <c16:uniqueId val="{00000001-EF14-46DB-9FB2-8D437B207683}"/>
                </c:ext>
              </c:extLst>
            </c:dLbl>
            <c:dLbl>
              <c:idx val="1"/>
              <c:layout>
                <c:manualLayout>
                  <c:x val="-0.31334005884062521"/>
                  <c:y val="-5.0223097112860726E-3"/>
                </c:manualLayout>
              </c:layout>
              <c:tx>
                <c:rich>
                  <a:bodyPr/>
                  <a:lstStyle/>
                  <a:p>
                    <a:fld id="{254EF7A4-B222-4D5D-B1AC-2CE5807BB9C0}" type="CATEGORYNAME">
                      <a:rPr lang="en-US"/>
                      <a:pPr/>
                      <a:t>[NOMBRE DE CATEGORÍA]</a:t>
                    </a:fld>
                    <a:r>
                      <a:rPr lang="en-US"/>
                      <a:t> </a:t>
                    </a:r>
                    <a:fld id="{4D176BA2-19F6-4B52-B96C-0B5F9232C10E}" type="VALUE">
                      <a:rPr lang="en-US"/>
                      <a:pPr/>
                      <a:t>[VALOR]</a:t>
                    </a:fld>
                    <a:endParaRPr lang="en-US"/>
                  </a:p>
                  <a:p>
                    <a:r>
                      <a:rPr lang="en-US"/>
                      <a:t> </a:t>
                    </a:r>
                    <a:fld id="{C546B1E0-4DB9-4CCF-B7FA-5AA2E614C5DB}" type="PERCENTAGE">
                      <a:rPr lang="en-US"/>
                      <a:pPr/>
                      <a:t>[PORCENTAJE]</a:t>
                    </a:fld>
                    <a:endParaRPr lang="en-US"/>
                  </a:p>
                </c:rich>
              </c:tx>
              <c:showLegendKey val="0"/>
              <c:showVal val="1"/>
              <c:showCatName val="1"/>
              <c:showSerName val="0"/>
              <c:showPercent val="1"/>
              <c:showBubbleSize val="0"/>
              <c:separator> </c:separator>
              <c:extLst>
                <c:ext xmlns:c15="http://schemas.microsoft.com/office/drawing/2012/chart" uri="{CE6537A1-D6FC-4f65-9D91-7224C49458BB}">
                  <c15:layout>
                    <c:manualLayout>
                      <c:w val="0.1746930614285204"/>
                      <c:h val="0.16349448818897638"/>
                    </c:manualLayout>
                  </c15:layout>
                  <c15:dlblFieldTable/>
                  <c15:showDataLabelsRange val="0"/>
                </c:ext>
                <c:ext xmlns:c16="http://schemas.microsoft.com/office/drawing/2014/chart" uri="{C3380CC4-5D6E-409C-BE32-E72D297353CC}">
                  <c16:uniqueId val="{00000002-EF14-46DB-9FB2-8D437B207683}"/>
                </c:ext>
              </c:extLst>
            </c:dLbl>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PE"/>
              </a:p>
            </c:txPr>
            <c:showLegendKey val="0"/>
            <c:showVal val="1"/>
            <c:showCatName val="1"/>
            <c:showSerName val="0"/>
            <c:showPercent val="1"/>
            <c:showBubbleSize val="0"/>
            <c:separator> </c:separator>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'Anexo 04-05'!$U$5:$U$6</c:f>
              <c:strCache>
                <c:ptCount val="2"/>
                <c:pt idx="0">
                  <c:v>PROCEDENTE</c:v>
                </c:pt>
                <c:pt idx="1">
                  <c:v>IMPROCEDENTE - ILEGALIDAD</c:v>
                </c:pt>
              </c:strCache>
            </c:strRef>
          </c:cat>
          <c:val>
            <c:numRef>
              <c:f>'Anexo 04-05'!$V$5:$V$6</c:f>
              <c:numCache>
                <c:formatCode>_(* #,##0_);_(* \(#,##0\);_(* "-"_);_(@_)</c:formatCode>
                <c:ptCount val="2"/>
                <c:pt idx="0">
                  <c:v>1954</c:v>
                </c:pt>
                <c:pt idx="1">
                  <c:v>74750</c:v>
                </c:pt>
              </c:numCache>
            </c:numRef>
          </c:val>
          <c:extLst>
            <c:ext xmlns:c16="http://schemas.microsoft.com/office/drawing/2014/chart" uri="{C3380CC4-5D6E-409C-BE32-E72D297353CC}">
              <c16:uniqueId val="{00000000-EF14-46DB-9FB2-8D437B207683}"/>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tx1"/>
      </a:solidFill>
      <a:round/>
    </a:ln>
    <a:effectLst/>
  </c:spPr>
  <c:txPr>
    <a:bodyPr/>
    <a:lstStyle/>
    <a:p>
      <a:pPr>
        <a:defRPr>
          <a:latin typeface="Arial" panose="020B0604020202020204" pitchFamily="34" charset="0"/>
          <a:cs typeface="Arial" panose="020B0604020202020204" pitchFamily="34" charset="0"/>
        </a:defRPr>
      </a:pPr>
      <a:endParaRPr lang="es-P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latin typeface="Arial" panose="020B0604020202020204" pitchFamily="34" charset="0"/>
                <a:cs typeface="Arial" panose="020B0604020202020204" pitchFamily="34" charset="0"/>
              </a:rPr>
              <a:t>HORAS - HOMBRE  PERDIDAS EN EL SECTOR PRIVADO, 
SEGÚN CALIFICACIÓN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PE"/>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FF5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2-D87F-4B6D-B24F-CFFE38C90614}"/>
              </c:ext>
            </c:extLst>
          </c:dPt>
          <c:dPt>
            <c:idx val="1"/>
            <c:bubble3D val="0"/>
            <c:spPr>
              <a:solidFill>
                <a:srgbClr val="C0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1-D87F-4B6D-B24F-CFFE38C90614}"/>
              </c:ext>
            </c:extLst>
          </c:dPt>
          <c:dLbls>
            <c:dLbl>
              <c:idx val="0"/>
              <c:layout>
                <c:manualLayout>
                  <c:x val="0.11651921171595095"/>
                  <c:y val="3.6534920105670804E-2"/>
                </c:manualLayout>
              </c:layout>
              <c:tx>
                <c:rich>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Arial" panose="020B0604020202020204" pitchFamily="34" charset="0"/>
                      </a:defRPr>
                    </a:pPr>
                    <a:fld id="{7EAC583D-D128-4E4F-B584-F48615CB0E08}" type="CATEGORYNAME">
                      <a:rPr lang="en-US">
                        <a:latin typeface="+mn-lt"/>
                      </a:rPr>
                      <a:pPr>
                        <a:defRPr b="1">
                          <a:latin typeface="+mn-lt"/>
                        </a:defRPr>
                      </a:pPr>
                      <a:t>[NOMBRE DE CATEGORÍA]</a:t>
                    </a:fld>
                    <a:r>
                      <a:rPr lang="en-US" baseline="0">
                        <a:latin typeface="+mn-lt"/>
                      </a:rPr>
                      <a:t> </a:t>
                    </a:r>
                    <a:fld id="{8B94F782-A83F-4ED1-8901-F96B14390324}" type="VALUE">
                      <a:rPr lang="en-US" baseline="0">
                        <a:latin typeface="+mn-lt"/>
                      </a:rPr>
                      <a:pPr>
                        <a:defRPr b="1">
                          <a:latin typeface="+mn-lt"/>
                        </a:defRPr>
                      </a:pPr>
                      <a:t>[VALOR]</a:t>
                    </a:fld>
                    <a:endParaRPr lang="en-US" baseline="0">
                      <a:latin typeface="+mn-lt"/>
                    </a:endParaRPr>
                  </a:p>
                  <a:p>
                    <a:pPr>
                      <a:defRPr b="1">
                        <a:latin typeface="+mn-lt"/>
                      </a:defRPr>
                    </a:pPr>
                    <a:r>
                      <a:rPr lang="en-US" baseline="0">
                        <a:latin typeface="+mn-lt"/>
                      </a:rPr>
                      <a:t> </a:t>
                    </a:r>
                    <a:fld id="{46076A48-2B01-4CCE-8451-CB2A95F89D8E}" type="PERCENTAGE">
                      <a:rPr lang="en-US" baseline="0">
                        <a:latin typeface="+mn-lt"/>
                      </a:rPr>
                      <a:pPr>
                        <a:defRPr b="1">
                          <a:latin typeface="+mn-lt"/>
                        </a:defRPr>
                      </a:pPr>
                      <a:t>[PORCENTAJE]</a:t>
                    </a:fld>
                    <a:endParaRPr lang="en-US" baseline="0">
                      <a:latin typeface="+mn-lt"/>
                    </a:endParaRPr>
                  </a:p>
                </c:rich>
              </c:tx>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Arial" panose="020B0604020202020204" pitchFamily="34" charset="0"/>
                    </a:defRPr>
                  </a:pPr>
                  <a:endParaRPr lang="en-US"/>
                </a:p>
              </c:txPr>
              <c:showLegendKey val="0"/>
              <c:showVal val="1"/>
              <c:showCatName val="1"/>
              <c:showSerName val="0"/>
              <c:showPercent val="1"/>
              <c:showBubbleSize val="0"/>
              <c:separator> </c:separator>
              <c:extLst>
                <c:ext xmlns:c15="http://schemas.microsoft.com/office/drawing/2012/chart" uri="{CE6537A1-D6FC-4f65-9D91-7224C49458BB}">
                  <c15:layout>
                    <c:manualLayout>
                      <c:w val="0.2091359630165561"/>
                      <c:h val="0.10296062992125984"/>
                    </c:manualLayout>
                  </c15:layout>
                  <c15:dlblFieldTable/>
                  <c15:showDataLabelsRange val="0"/>
                </c:ext>
                <c:ext xmlns:c16="http://schemas.microsoft.com/office/drawing/2014/chart" uri="{C3380CC4-5D6E-409C-BE32-E72D297353CC}">
                  <c16:uniqueId val="{00000002-D87F-4B6D-B24F-CFFE38C90614}"/>
                </c:ext>
              </c:extLst>
            </c:dLbl>
            <c:dLbl>
              <c:idx val="1"/>
              <c:layout>
                <c:manualLayout>
                  <c:x val="-0.11738247924383501"/>
                  <c:y val="-1.6603349662725385E-2"/>
                </c:manualLayout>
              </c:layout>
              <c:tx>
                <c:rich>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Arial" panose="020B0604020202020204" pitchFamily="34" charset="0"/>
                      </a:defRPr>
                    </a:pPr>
                    <a:fld id="{DA4B6B90-8894-4508-B84A-E4E9763717EC}" type="CATEGORYNAME">
                      <a:rPr lang="en-US">
                        <a:latin typeface="+mn-lt"/>
                      </a:rPr>
                      <a:pPr>
                        <a:defRPr b="1">
                          <a:latin typeface="+mn-lt"/>
                        </a:defRPr>
                      </a:pPr>
                      <a:t>[NOMBRE DE CATEGORÍA]</a:t>
                    </a:fld>
                    <a:r>
                      <a:rPr lang="en-US" baseline="0">
                        <a:latin typeface="+mn-lt"/>
                      </a:rPr>
                      <a:t> </a:t>
                    </a:r>
                    <a:fld id="{125FC012-A720-4CCA-A9C0-154C69CA8A4A}" type="VALUE">
                      <a:rPr lang="en-US" baseline="0">
                        <a:latin typeface="+mn-lt"/>
                      </a:rPr>
                      <a:pPr>
                        <a:defRPr b="1">
                          <a:latin typeface="+mn-lt"/>
                        </a:defRPr>
                      </a:pPr>
                      <a:t>[VALOR]</a:t>
                    </a:fld>
                    <a:endParaRPr lang="en-US" baseline="0">
                      <a:latin typeface="+mn-lt"/>
                    </a:endParaRPr>
                  </a:p>
                  <a:p>
                    <a:pPr>
                      <a:defRPr b="1">
                        <a:latin typeface="+mn-lt"/>
                      </a:defRPr>
                    </a:pPr>
                    <a:r>
                      <a:rPr lang="en-US" baseline="0">
                        <a:latin typeface="+mn-lt"/>
                      </a:rPr>
                      <a:t> </a:t>
                    </a:r>
                    <a:fld id="{2D14DDDB-3670-43D2-8BC9-0825EF248D77}" type="PERCENTAGE">
                      <a:rPr lang="en-US" baseline="0">
                        <a:latin typeface="+mn-lt"/>
                      </a:rPr>
                      <a:pPr>
                        <a:defRPr b="1">
                          <a:latin typeface="+mn-lt"/>
                        </a:defRPr>
                      </a:pPr>
                      <a:t>[PORCENTAJE]</a:t>
                    </a:fld>
                    <a:endParaRPr lang="en-US" baseline="0">
                      <a:latin typeface="+mn-lt"/>
                    </a:endParaRPr>
                  </a:p>
                </c:rich>
              </c:tx>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Arial" panose="020B0604020202020204" pitchFamily="34" charset="0"/>
                    </a:defRPr>
                  </a:pPr>
                  <a:endParaRPr lang="en-US"/>
                </a:p>
              </c:txPr>
              <c:showLegendKey val="0"/>
              <c:showVal val="1"/>
              <c:showCatName val="1"/>
              <c:showSerName val="0"/>
              <c:showPercent val="1"/>
              <c:showBubbleSize val="0"/>
              <c:separator> </c:separator>
              <c:extLst>
                <c:ext xmlns:c15="http://schemas.microsoft.com/office/drawing/2012/chart" uri="{CE6537A1-D6FC-4f65-9D91-7224C49458BB}">
                  <c15:layout>
                    <c:manualLayout>
                      <c:w val="0.21866355965647488"/>
                      <c:h val="0.11349618699237399"/>
                    </c:manualLayout>
                  </c15:layout>
                  <c15:dlblFieldTable/>
                  <c15:showDataLabelsRange val="0"/>
                </c:ext>
                <c:ext xmlns:c16="http://schemas.microsoft.com/office/drawing/2014/chart" uri="{C3380CC4-5D6E-409C-BE32-E72D297353CC}">
                  <c16:uniqueId val="{00000001-D87F-4B6D-B24F-CFFE38C9061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Arial" panose="020B0604020202020204" pitchFamily="34" charset="0"/>
                  </a:defRPr>
                </a:pPr>
                <a:endParaRPr lang="es-PE"/>
              </a:p>
            </c:txPr>
            <c:showLegendKey val="0"/>
            <c:showVal val="1"/>
            <c:showCatName val="1"/>
            <c:showSerName val="0"/>
            <c:showPercent val="1"/>
            <c:showBubbleSize val="0"/>
            <c:separator> </c:separator>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'Anexo 04-05'!$W$5:$W$6</c:f>
              <c:strCache>
                <c:ptCount val="2"/>
                <c:pt idx="0">
                  <c:v>PROCEDENTE</c:v>
                </c:pt>
                <c:pt idx="1">
                  <c:v>IMPROCEDENTE - ILEGALIDAD</c:v>
                </c:pt>
              </c:strCache>
            </c:strRef>
          </c:cat>
          <c:val>
            <c:numRef>
              <c:f>'Anexo 04-05'!$X$5:$X$6</c:f>
              <c:numCache>
                <c:formatCode>_(* #,##0_);_(* \(#,##0\);_(* "-"_);_(@_)</c:formatCode>
                <c:ptCount val="2"/>
                <c:pt idx="0">
                  <c:v>164856</c:v>
                </c:pt>
                <c:pt idx="1">
                  <c:v>2130660</c:v>
                </c:pt>
              </c:numCache>
            </c:numRef>
          </c:val>
          <c:extLst>
            <c:ext xmlns:c16="http://schemas.microsoft.com/office/drawing/2014/chart" uri="{C3380CC4-5D6E-409C-BE32-E72D297353CC}">
              <c16:uniqueId val="{00000000-D87F-4B6D-B24F-CFFE38C90614}"/>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tx1"/>
      </a:solidFill>
      <a:round/>
    </a:ln>
    <a:effectLst/>
  </c:spPr>
  <c:txPr>
    <a:bodyPr/>
    <a:lstStyle/>
    <a:p>
      <a:pPr>
        <a:defRPr>
          <a:latin typeface="Arial" panose="020B0604020202020204" pitchFamily="34" charset="0"/>
          <a:cs typeface="Arial" panose="020B0604020202020204" pitchFamily="34" charset="0"/>
        </a:defRPr>
      </a:pPr>
      <a:endParaRPr lang="es-P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1289579296383341"/>
          <c:y val="1.623367077939259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PE"/>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126700221206457"/>
          <c:y val="0.25095620822961978"/>
          <c:w val="0.83438703658642588"/>
          <c:h val="0.6643397661372018"/>
        </c:manualLayout>
      </c:layout>
      <c:pie3DChart>
        <c:varyColors val="1"/>
        <c:ser>
          <c:idx val="0"/>
          <c:order val="0"/>
          <c:tx>
            <c:strRef>
              <c:f>'Anexo 04-05'!$Z$4</c:f>
              <c:strCache>
                <c:ptCount val="1"/>
                <c:pt idx="0">
                  <c:v>HUELGAS EN EL SECTOR PRIVADO, 
SEGÚN PLAZOS</c:v>
                </c:pt>
              </c:strCache>
            </c:strRef>
          </c:tx>
          <c:explosion val="4"/>
          <c:dPt>
            <c:idx val="0"/>
            <c:bubble3D val="0"/>
            <c:spPr>
              <a:solidFill>
                <a:srgbClr val="FF5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D873-4DB3-9096-CDB0CFDC6940}"/>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2-D873-4DB3-9096-CDB0CFDC6940}"/>
              </c:ext>
            </c:extLst>
          </c:dPt>
          <c:dLbls>
            <c:dLbl>
              <c:idx val="0"/>
              <c:layout>
                <c:manualLayout>
                  <c:x val="-2.890357858270617E-3"/>
                  <c:y val="-0.19351955863077441"/>
                </c:manualLayout>
              </c:layout>
              <c:tx>
                <c:rich>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D6BCB0E4-824E-418B-8D3E-12F367BEE9FB}" type="CATEGORYNAME">
                      <a:rPr lang="en-US" b="1">
                        <a:latin typeface="Arial" panose="020B0604020202020204" pitchFamily="34" charset="0"/>
                        <a:cs typeface="Arial" panose="020B0604020202020204" pitchFamily="34" charset="0"/>
                      </a:rPr>
                      <a:pPr>
                        <a:defRPr b="1">
                          <a:latin typeface="Arial" panose="020B0604020202020204" pitchFamily="34" charset="0"/>
                          <a:cs typeface="Arial" panose="020B0604020202020204" pitchFamily="34" charset="0"/>
                        </a:defRPr>
                      </a:pPr>
                      <a:t>[NOMBRE DE CATEGORÍA]</a:t>
                    </a:fld>
                    <a:r>
                      <a:rPr lang="en-US" b="1" baseline="0">
                        <a:latin typeface="Arial" panose="020B0604020202020204" pitchFamily="34" charset="0"/>
                        <a:cs typeface="Arial" panose="020B0604020202020204" pitchFamily="34" charset="0"/>
                      </a:rPr>
                      <a:t> </a:t>
                    </a:r>
                    <a:fld id="{5372F0DF-F267-4958-9E6D-CEC3AEE58D7C}" type="VALUE">
                      <a:rPr lang="en-US" b="1" baseline="0">
                        <a:latin typeface="Arial" panose="020B0604020202020204" pitchFamily="34" charset="0"/>
                        <a:cs typeface="Arial" panose="020B0604020202020204" pitchFamily="34" charset="0"/>
                      </a:rPr>
                      <a:pPr>
                        <a:defRPr b="1">
                          <a:latin typeface="Arial" panose="020B0604020202020204" pitchFamily="34" charset="0"/>
                          <a:cs typeface="Arial" panose="020B0604020202020204" pitchFamily="34" charset="0"/>
                        </a:defRPr>
                      </a:pPr>
                      <a:t>[VALOR]</a:t>
                    </a:fld>
                    <a:r>
                      <a:rPr lang="en-US" b="1" baseline="0">
                        <a:latin typeface="Arial" panose="020B0604020202020204" pitchFamily="34" charset="0"/>
                        <a:cs typeface="Arial" panose="020B0604020202020204" pitchFamily="34" charset="0"/>
                      </a:rPr>
                      <a:t> </a:t>
                    </a:r>
                    <a:br>
                      <a:rPr lang="en-US" b="1" baseline="0">
                        <a:latin typeface="Arial" panose="020B0604020202020204" pitchFamily="34" charset="0"/>
                        <a:cs typeface="Arial" panose="020B0604020202020204" pitchFamily="34" charset="0"/>
                      </a:rPr>
                    </a:br>
                    <a:fld id="{51F92484-6959-4FB9-9990-F1642778B039}" type="PERCENTAGE">
                      <a:rPr lang="en-US" b="1" baseline="0">
                        <a:latin typeface="Arial" panose="020B0604020202020204" pitchFamily="34" charset="0"/>
                        <a:cs typeface="Arial" panose="020B0604020202020204" pitchFamily="34" charset="0"/>
                      </a:rPr>
                      <a:pPr>
                        <a:defRPr b="1">
                          <a:latin typeface="Arial" panose="020B0604020202020204" pitchFamily="34" charset="0"/>
                          <a:cs typeface="Arial" panose="020B0604020202020204" pitchFamily="34" charset="0"/>
                        </a:defRPr>
                      </a:pPr>
                      <a:t>[PORCENTAJE]</a:t>
                    </a:fld>
                    <a:endParaRPr lang="en-US" b="1" baseline="0">
                      <a:latin typeface="Arial" panose="020B0604020202020204" pitchFamily="34" charset="0"/>
                      <a:cs typeface="Arial" panose="020B0604020202020204" pitchFamily="34" charset="0"/>
                    </a:endParaRPr>
                  </a:p>
                </c:rich>
              </c:tx>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separator> </c:separator>
              <c:extLst>
                <c:ext xmlns:c15="http://schemas.microsoft.com/office/drawing/2012/chart" uri="{CE6537A1-D6FC-4f65-9D91-7224C49458BB}">
                  <c15:layout>
                    <c:manualLayout>
                      <c:w val="0.17421352600637258"/>
                      <c:h val="0.14789316532488972"/>
                    </c:manualLayout>
                  </c15:layout>
                  <c15:dlblFieldTable/>
                  <c15:showDataLabelsRange val="0"/>
                </c:ext>
                <c:ext xmlns:c16="http://schemas.microsoft.com/office/drawing/2014/chart" uri="{C3380CC4-5D6E-409C-BE32-E72D297353CC}">
                  <c16:uniqueId val="{00000001-D873-4DB3-9096-CDB0CFDC6940}"/>
                </c:ext>
              </c:extLst>
            </c:dLbl>
            <c:dLbl>
              <c:idx val="1"/>
              <c:layout>
                <c:manualLayout>
                  <c:x val="-6.5064904264198233E-3"/>
                  <c:y val="4.5396243183491086E-2"/>
                </c:manualLayout>
              </c:layout>
              <c:tx>
                <c:rich>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48078EC7-EF96-4161-878B-9D884B20BE16}" type="CATEGORYNAME">
                      <a:rPr lang="en-US" b="1">
                        <a:latin typeface="Arial" panose="020B0604020202020204" pitchFamily="34" charset="0"/>
                        <a:cs typeface="Arial" panose="020B0604020202020204" pitchFamily="34" charset="0"/>
                      </a:rPr>
                      <a:pPr>
                        <a:defRPr b="1">
                          <a:latin typeface="Arial" panose="020B0604020202020204" pitchFamily="34" charset="0"/>
                          <a:cs typeface="Arial" panose="020B0604020202020204" pitchFamily="34" charset="0"/>
                        </a:defRPr>
                      </a:pPr>
                      <a:t>[NOMBRE DE CATEGORÍA]</a:t>
                    </a:fld>
                    <a:r>
                      <a:rPr lang="en-US" b="1" baseline="0">
                        <a:latin typeface="Arial" panose="020B0604020202020204" pitchFamily="34" charset="0"/>
                        <a:cs typeface="Arial" panose="020B0604020202020204" pitchFamily="34" charset="0"/>
                      </a:rPr>
                      <a:t> </a:t>
                    </a:r>
                    <a:fld id="{80CD67D6-0C3D-4531-A47D-F412F7094EF9}" type="VALUE">
                      <a:rPr lang="en-US" b="1" baseline="0">
                        <a:latin typeface="Arial" panose="020B0604020202020204" pitchFamily="34" charset="0"/>
                        <a:cs typeface="Arial" panose="020B0604020202020204" pitchFamily="34" charset="0"/>
                      </a:rPr>
                      <a:pPr>
                        <a:defRPr b="1">
                          <a:latin typeface="Arial" panose="020B0604020202020204" pitchFamily="34" charset="0"/>
                          <a:cs typeface="Arial" panose="020B0604020202020204" pitchFamily="34" charset="0"/>
                        </a:defRPr>
                      </a:pPr>
                      <a:t>[VALOR]</a:t>
                    </a:fld>
                    <a:br>
                      <a:rPr lang="en-US" b="1" baseline="0">
                        <a:latin typeface="Arial" panose="020B0604020202020204" pitchFamily="34" charset="0"/>
                        <a:cs typeface="Arial" panose="020B0604020202020204" pitchFamily="34" charset="0"/>
                      </a:rPr>
                    </a:br>
                    <a:r>
                      <a:rPr lang="en-US" b="1" baseline="0">
                        <a:latin typeface="Arial" panose="020B0604020202020204" pitchFamily="34" charset="0"/>
                        <a:cs typeface="Arial" panose="020B0604020202020204" pitchFamily="34" charset="0"/>
                      </a:rPr>
                      <a:t> </a:t>
                    </a:r>
                    <a:fld id="{7DF01CB7-FAD8-43B5-8171-54E93B76951D}" type="PERCENTAGE">
                      <a:rPr lang="en-US" b="1" baseline="0">
                        <a:latin typeface="Arial" panose="020B0604020202020204" pitchFamily="34" charset="0"/>
                        <a:cs typeface="Arial" panose="020B0604020202020204" pitchFamily="34" charset="0"/>
                      </a:rPr>
                      <a:pPr>
                        <a:defRPr b="1">
                          <a:latin typeface="Arial" panose="020B0604020202020204" pitchFamily="34" charset="0"/>
                          <a:cs typeface="Arial" panose="020B0604020202020204" pitchFamily="34" charset="0"/>
                        </a:defRPr>
                      </a:pPr>
                      <a:t>[PORCENTAJE]</a:t>
                    </a:fld>
                    <a:endParaRPr lang="en-US" b="1" baseline="0">
                      <a:latin typeface="Arial" panose="020B0604020202020204" pitchFamily="34" charset="0"/>
                      <a:cs typeface="Arial" panose="020B0604020202020204" pitchFamily="34" charset="0"/>
                    </a:endParaRPr>
                  </a:p>
                </c:rich>
              </c:tx>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separator> </c:separator>
              <c:extLst>
                <c:ext xmlns:c15="http://schemas.microsoft.com/office/drawing/2012/chart" uri="{CE6537A1-D6FC-4f65-9D91-7224C49458BB}">
                  <c15:layout>
                    <c:manualLayout>
                      <c:w val="0.14904160821452031"/>
                      <c:h val="0.16522742338336027"/>
                    </c:manualLayout>
                  </c15:layout>
                  <c15:dlblFieldTable/>
                  <c15:showDataLabelsRange val="0"/>
                </c:ext>
                <c:ext xmlns:c16="http://schemas.microsoft.com/office/drawing/2014/chart" uri="{C3380CC4-5D6E-409C-BE32-E72D297353CC}">
                  <c16:uniqueId val="{00000002-D873-4DB3-9096-CDB0CFDC694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PE"/>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'Anexo 04-05'!$Y$5:$Y$6</c:f>
              <c:strCache>
                <c:ptCount val="2"/>
                <c:pt idx="0">
                  <c:v>  DETERMINADO</c:v>
                </c:pt>
                <c:pt idx="1">
                  <c:v>  INDEFINIDO</c:v>
                </c:pt>
              </c:strCache>
            </c:strRef>
          </c:cat>
          <c:val>
            <c:numRef>
              <c:f>'Anexo 04-05'!$Z$5:$Z$6</c:f>
              <c:numCache>
                <c:formatCode>General</c:formatCode>
                <c:ptCount val="2"/>
                <c:pt idx="0">
                  <c:v>28</c:v>
                </c:pt>
                <c:pt idx="1">
                  <c:v>35</c:v>
                </c:pt>
              </c:numCache>
            </c:numRef>
          </c:val>
          <c:extLst>
            <c:ext xmlns:c16="http://schemas.microsoft.com/office/drawing/2014/chart" uri="{C3380CC4-5D6E-409C-BE32-E72D297353CC}">
              <c16:uniqueId val="{00000000-D873-4DB3-9096-CDB0CFDC6940}"/>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tx1"/>
      </a:solidFill>
      <a:round/>
    </a:ln>
    <a:effectLst/>
  </c:spPr>
  <c:txPr>
    <a:bodyPr/>
    <a:lstStyle/>
    <a:p>
      <a:pPr>
        <a:defRPr/>
      </a:pPr>
      <a:endParaRPr lang="es-P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vert="horz"/>
        <a:lstStyle/>
        <a:p>
          <a:pPr>
            <a:defRPr sz="1400"/>
          </a:pPr>
          <a:endParaRPr lang="es-PE"/>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8058468772990198E-2"/>
          <c:y val="0.16257206627924514"/>
          <c:w val="0.93288834152033573"/>
          <c:h val="0.75928454663219025"/>
        </c:manualLayout>
      </c:layout>
      <c:pie3DChart>
        <c:varyColors val="1"/>
        <c:ser>
          <c:idx val="0"/>
          <c:order val="0"/>
          <c:tx>
            <c:strRef>
              <c:f>'Anexo 04-05'!$AB$4</c:f>
              <c:strCache>
                <c:ptCount val="1"/>
                <c:pt idx="0">
                  <c:v>TRABAJADORES   COMPRENDIDOS EN EL SECTOR PRIVADO, 
SEGÚN PLAZOS</c:v>
                </c:pt>
              </c:strCache>
            </c:strRef>
          </c:tx>
          <c:explosion val="1"/>
          <c:dPt>
            <c:idx val="0"/>
            <c:bubble3D val="0"/>
            <c:spPr>
              <a:solidFill>
                <a:srgbClr val="FF5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76A8-4CE8-A68C-543953A7945D}"/>
              </c:ext>
            </c:extLst>
          </c:dPt>
          <c:dPt>
            <c:idx val="1"/>
            <c:bubble3D val="0"/>
            <c:explosion val="2"/>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2-76A8-4CE8-A68C-543953A7945D}"/>
              </c:ext>
            </c:extLst>
          </c:dPt>
          <c:dLbls>
            <c:dLbl>
              <c:idx val="0"/>
              <c:layout>
                <c:manualLayout>
                  <c:x val="-3.0751974563301109E-2"/>
                  <c:y val="-0.21370637402979109"/>
                </c:manualLayout>
              </c:layout>
              <c:tx>
                <c:rich>
                  <a:bodyPr wrap="square" lIns="38100" tIns="19050" rIns="38100" bIns="19050" anchor="ctr">
                    <a:noAutofit/>
                  </a:bodyPr>
                  <a:lstStyle/>
                  <a:p>
                    <a:pPr>
                      <a:defRPr b="1"/>
                    </a:pPr>
                    <a:fld id="{5C43FE21-E03E-491E-816B-55574ABA60FE}" type="CATEGORYNAME">
                      <a:rPr lang="en-US" b="1"/>
                      <a:pPr>
                        <a:defRPr b="1"/>
                      </a:pPr>
                      <a:t>[NOMBRE DE CATEGORÍA]</a:t>
                    </a:fld>
                    <a:r>
                      <a:rPr lang="en-US" b="1" baseline="0"/>
                      <a:t> </a:t>
                    </a:r>
                    <a:fld id="{A7E2B8AD-27F5-40AE-A596-4EA02F8F22BF}" type="VALUE">
                      <a:rPr lang="en-US" b="1" baseline="0"/>
                      <a:pPr>
                        <a:defRPr b="1"/>
                      </a:pPr>
                      <a:t>[VALOR]</a:t>
                    </a:fld>
                    <a:endParaRPr lang="en-US" b="1" baseline="0"/>
                  </a:p>
                  <a:p>
                    <a:pPr>
                      <a:defRPr b="1"/>
                    </a:pPr>
                    <a:r>
                      <a:rPr lang="en-US" b="1" baseline="0"/>
                      <a:t> </a:t>
                    </a:r>
                    <a:fld id="{AAFAE528-0B8F-423B-91DC-5F3CA43AC2AB}" type="PERCENTAGE">
                      <a:rPr lang="en-US" b="1" baseline="0"/>
                      <a:pPr>
                        <a:defRPr b="1"/>
                      </a:pPr>
                      <a:t>[PORCENTAJE]</a:t>
                    </a:fld>
                    <a:endParaRPr lang="en-US" b="1" baseline="0"/>
                  </a:p>
                </c:rich>
              </c:tx>
              <c:spPr>
                <a:noFill/>
                <a:ln>
                  <a:noFill/>
                </a:ln>
                <a:effectLst/>
              </c:spPr>
              <c:showLegendKey val="0"/>
              <c:showVal val="1"/>
              <c:showCatName val="1"/>
              <c:showSerName val="0"/>
              <c:showPercent val="1"/>
              <c:showBubbleSize val="0"/>
              <c:extLst>
                <c:ext xmlns:c15="http://schemas.microsoft.com/office/drawing/2012/chart" uri="{CE6537A1-D6FC-4f65-9D91-7224C49458BB}">
                  <c15:layout>
                    <c:manualLayout>
                      <c:w val="0.2134341062349247"/>
                      <c:h val="0.16724387868065338"/>
                    </c:manualLayout>
                  </c15:layout>
                  <c15:dlblFieldTable/>
                  <c15:showDataLabelsRange val="0"/>
                </c:ext>
                <c:ext xmlns:c16="http://schemas.microsoft.com/office/drawing/2014/chart" uri="{C3380CC4-5D6E-409C-BE32-E72D297353CC}">
                  <c16:uniqueId val="{00000001-76A8-4CE8-A68C-543953A7945D}"/>
                </c:ext>
              </c:extLst>
            </c:dLbl>
            <c:dLbl>
              <c:idx val="1"/>
              <c:layout>
                <c:manualLayout>
                  <c:x val="6.726153666513803E-8"/>
                  <c:y val="0.21657102887765572"/>
                </c:manualLayout>
              </c:layout>
              <c:tx>
                <c:rich>
                  <a:bodyPr/>
                  <a:lstStyle/>
                  <a:p>
                    <a:fld id="{68689021-C145-4698-ADF8-9207AF7704CB}" type="CATEGORYNAME">
                      <a:rPr lang="en-US"/>
                      <a:pPr/>
                      <a:t>[NOMBRE DE CATEGORÍA]</a:t>
                    </a:fld>
                    <a:fld id="{B129DD55-83DA-4E26-911E-EB4D7691AD77}" type="VALUE">
                      <a:rPr lang="en-US"/>
                      <a:pPr/>
                      <a:t>[VALOR]</a:t>
                    </a:fld>
                    <a:endParaRPr lang="en-US"/>
                  </a:p>
                  <a:p>
                    <a:r>
                      <a:rPr lang="en-US"/>
                      <a:t> </a:t>
                    </a:r>
                    <a:fld id="{70F42D50-B96B-41AD-9BC4-12C815CC39A6}" type="PERCENTAGE">
                      <a:rPr lang="en-US"/>
                      <a:pPr/>
                      <a:t>[PORCENTAJE]</a:t>
                    </a:fld>
                    <a:endParaRPr lang="en-US"/>
                  </a:p>
                </c:rich>
              </c:tx>
              <c:showLegendKey val="0"/>
              <c:showVal val="1"/>
              <c:showCatName val="1"/>
              <c:showSerName val="0"/>
              <c:showPercent val="1"/>
              <c:showBubbleSize val="0"/>
              <c:extLst>
                <c:ext xmlns:c15="http://schemas.microsoft.com/office/drawing/2012/chart" uri="{CE6537A1-D6FC-4f65-9D91-7224C49458BB}">
                  <c15:layout>
                    <c:manualLayout>
                      <c:w val="0.21559282837408011"/>
                      <c:h val="0.16715997113225617"/>
                    </c:manualLayout>
                  </c15:layout>
                  <c15:dlblFieldTable/>
                  <c15:showDataLabelsRange val="0"/>
                </c:ext>
                <c:ext xmlns:c16="http://schemas.microsoft.com/office/drawing/2014/chart" uri="{C3380CC4-5D6E-409C-BE32-E72D297353CC}">
                  <c16:uniqueId val="{00000002-76A8-4CE8-A68C-543953A7945D}"/>
                </c:ext>
              </c:extLst>
            </c:dLbl>
            <c:spPr>
              <a:noFill/>
              <a:ln>
                <a:noFill/>
              </a:ln>
              <a:effectLst/>
            </c:spPr>
            <c:txPr>
              <a:bodyPr wrap="square" lIns="38100" tIns="19050" rIns="38100" bIns="19050" anchor="ctr">
                <a:spAutoFit/>
              </a:bodyPr>
              <a:lstStyle/>
              <a:p>
                <a:pPr>
                  <a:defRPr b="1"/>
                </a:pPr>
                <a:endParaRPr lang="es-PE"/>
              </a:p>
            </c:txPr>
            <c:showLegendKey val="0"/>
            <c:showVal val="1"/>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'Anexo 04-05'!$AA$5:$AA$6</c:f>
              <c:strCache>
                <c:ptCount val="2"/>
                <c:pt idx="0">
                  <c:v>  DETERMINADO</c:v>
                </c:pt>
                <c:pt idx="1">
                  <c:v>  INDEFINIDO</c:v>
                </c:pt>
              </c:strCache>
            </c:strRef>
          </c:cat>
          <c:val>
            <c:numRef>
              <c:f>'Anexo 04-05'!$AB$5:$AB$6</c:f>
              <c:numCache>
                <c:formatCode>_(* #,##0_);_(* \(#,##0\);_(* "-"_);_(@_)</c:formatCode>
                <c:ptCount val="2"/>
                <c:pt idx="0">
                  <c:v>37409</c:v>
                </c:pt>
                <c:pt idx="1">
                  <c:v>39295</c:v>
                </c:pt>
              </c:numCache>
            </c:numRef>
          </c:val>
          <c:extLst>
            <c:ext xmlns:c16="http://schemas.microsoft.com/office/drawing/2014/chart" uri="{C3380CC4-5D6E-409C-BE32-E72D297353CC}">
              <c16:uniqueId val="{00000000-76A8-4CE8-A68C-543953A7945D}"/>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tx1"/>
      </a:solidFill>
      <a:round/>
    </a:ln>
    <a:effectLst/>
  </c:spPr>
  <c:txPr>
    <a:bodyPr/>
    <a:lstStyle/>
    <a:p>
      <a:pPr>
        <a:defRPr>
          <a:latin typeface="Arial" panose="020B0604020202020204" pitchFamily="34" charset="0"/>
          <a:cs typeface="Arial" panose="020B0604020202020204" pitchFamily="34" charset="0"/>
        </a:defRPr>
      </a:pPr>
      <a:endParaRPr lang="es-P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PE"/>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24539941380635605"/>
          <c:w val="0.98167641471784994"/>
          <c:h val="0.71183093194020775"/>
        </c:manualLayout>
      </c:layout>
      <c:pie3DChart>
        <c:varyColors val="1"/>
        <c:ser>
          <c:idx val="0"/>
          <c:order val="0"/>
          <c:tx>
            <c:strRef>
              <c:f>'Anexo 04-05'!$AD$4</c:f>
              <c:strCache>
                <c:ptCount val="1"/>
                <c:pt idx="0">
                  <c:v>HORAS - HOMBRE  PERDIDAS EN EL SECTOR PRIVADO, 
SEGÚN PLAZOS</c:v>
                </c:pt>
              </c:strCache>
            </c:strRef>
          </c:tx>
          <c:dPt>
            <c:idx val="0"/>
            <c:bubble3D val="0"/>
            <c:spPr>
              <a:solidFill>
                <a:srgbClr val="FF5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457E-47A3-8D64-7270B2471BCB}"/>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2-457E-47A3-8D64-7270B2471BCB}"/>
              </c:ext>
            </c:extLst>
          </c:dPt>
          <c:dLbls>
            <c:dLbl>
              <c:idx val="0"/>
              <c:layout>
                <c:manualLayout>
                  <c:x val="5.6400735200171657E-2"/>
                  <c:y val="-5.7014681349817888E-2"/>
                </c:manualLayout>
              </c:layout>
              <c:tx>
                <c:rich>
                  <a:bodyPr rot="0" spcFirstLastPara="1" vertOverflow="ellipsis" vert="horz" wrap="square" lIns="38100" tIns="19050" rIns="38100" bIns="19050" anchor="ctr" anchorCtr="1">
                    <a:no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B2CC6788-3C2E-498F-8B6E-7087C6C6D248}" type="CATEGORYNAME">
                      <a:rPr lang="en-US" sz="1000" b="1"/>
                      <a:pPr>
                        <a:defRPr sz="1000" b="1"/>
                      </a:pPr>
                      <a:t>[NOMBRE DE CATEGORÍA]</a:t>
                    </a:fld>
                    <a:r>
                      <a:rPr lang="en-US" sz="1000" b="1"/>
                      <a:t> </a:t>
                    </a:r>
                    <a:r>
                      <a:rPr lang="en-US" sz="1000" b="1" baseline="0"/>
                      <a:t> </a:t>
                    </a:r>
                    <a:fld id="{B77DF2BF-9EF0-4776-9341-A5E3763B2B12}" type="VALUE">
                      <a:rPr lang="en-US" sz="1000" b="1" baseline="0"/>
                      <a:pPr>
                        <a:defRPr sz="1000" b="1"/>
                      </a:pPr>
                      <a:t>[VALOR]</a:t>
                    </a:fld>
                    <a:r>
                      <a:rPr lang="en-US" sz="1000" b="1" baseline="0"/>
                      <a:t> </a:t>
                    </a:r>
                    <a:fld id="{0F6F56C9-6CB4-458D-9572-5785734AE0A7}" type="PERCENTAGE">
                      <a:rPr lang="en-US" sz="1000" b="1" baseline="0"/>
                      <a:pPr>
                        <a:defRPr sz="1000" b="1"/>
                      </a:pPr>
                      <a:t>[PORCENTAJE]</a:t>
                    </a:fld>
                    <a:endParaRPr lang="en-US" sz="1000" b="1" baseline="0"/>
                  </a:p>
                </c:rich>
              </c:tx>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15:layout>
                    <c:manualLayout>
                      <c:w val="0.242254966773713"/>
                      <c:h val="0.11311265181485836"/>
                    </c:manualLayout>
                  </c15:layout>
                  <c15:dlblFieldTable/>
                  <c15:showDataLabelsRange val="0"/>
                </c:ext>
                <c:ext xmlns:c16="http://schemas.microsoft.com/office/drawing/2014/chart" uri="{C3380CC4-5D6E-409C-BE32-E72D297353CC}">
                  <c16:uniqueId val="{00000001-457E-47A3-8D64-7270B2471BCB}"/>
                </c:ext>
              </c:extLst>
            </c:dLbl>
            <c:dLbl>
              <c:idx val="1"/>
              <c:layout>
                <c:manualLayout>
                  <c:x val="-5.7804336362420383E-2"/>
                  <c:y val="-3.5208747686447564E-2"/>
                </c:manualLayout>
              </c:layout>
              <c:tx>
                <c:rich>
                  <a:bodyPr rot="0" spcFirstLastPara="1" vertOverflow="ellipsis" vert="horz" wrap="square" lIns="38100" tIns="19050" rIns="38100" bIns="19050" anchor="ctr" anchorCtr="1">
                    <a:no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32659337-D29D-47B6-8263-A4BD0E917261}" type="CATEGORYNAME">
                      <a:rPr lang="en-US" sz="1000" b="1"/>
                      <a:pPr>
                        <a:defRPr sz="1000" b="1"/>
                      </a:pPr>
                      <a:t>[NOMBRE DE CATEGORÍA]</a:t>
                    </a:fld>
                    <a:r>
                      <a:rPr lang="en-US" sz="1000" b="1" baseline="0"/>
                      <a:t>  </a:t>
                    </a:r>
                    <a:fld id="{DEAD83A9-C3DC-4829-90AF-122B14DCFE88}" type="VALUE">
                      <a:rPr lang="en-US" sz="1000" b="1" baseline="0"/>
                      <a:pPr>
                        <a:defRPr sz="1000" b="1"/>
                      </a:pPr>
                      <a:t>[VALOR]</a:t>
                    </a:fld>
                    <a:r>
                      <a:rPr lang="en-US" sz="1000" b="1" baseline="0"/>
                      <a:t> </a:t>
                    </a:r>
                    <a:fld id="{A907B8CA-5F0B-41D9-A5D8-BD173DE3ED74}" type="PERCENTAGE">
                      <a:rPr lang="en-US" sz="1000" b="1" baseline="0"/>
                      <a:pPr>
                        <a:defRPr sz="1000" b="1"/>
                      </a:pPr>
                      <a:t>[PORCENTAJE]</a:t>
                    </a:fld>
                    <a:endParaRPr lang="en-US" sz="1000" b="1" baseline="0"/>
                  </a:p>
                </c:rich>
              </c:tx>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15:layout>
                    <c:manualLayout>
                      <c:w val="0.24134446364312609"/>
                      <c:h val="0.1113628418058264"/>
                    </c:manualLayout>
                  </c15:layout>
                  <c15:dlblFieldTable/>
                  <c15:showDataLabelsRange val="0"/>
                </c:ext>
                <c:ext xmlns:c16="http://schemas.microsoft.com/office/drawing/2014/chart" uri="{C3380CC4-5D6E-409C-BE32-E72D297353CC}">
                  <c16:uniqueId val="{00000002-457E-47A3-8D64-7270B2471BC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PE"/>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'Anexo 04-05'!$AC$5:$AC$6</c:f>
              <c:strCache>
                <c:ptCount val="2"/>
                <c:pt idx="0">
                  <c:v>  DETERMINADO</c:v>
                </c:pt>
                <c:pt idx="1">
                  <c:v>  INDEFINIDO</c:v>
                </c:pt>
              </c:strCache>
            </c:strRef>
          </c:cat>
          <c:val>
            <c:numRef>
              <c:f>'Anexo 04-05'!$AD$5:$AD$6</c:f>
              <c:numCache>
                <c:formatCode>_(* #,##0_);_(* \(#,##0\);_(* "-"_);_(@_)</c:formatCode>
                <c:ptCount val="2"/>
                <c:pt idx="0">
                  <c:v>328408</c:v>
                </c:pt>
                <c:pt idx="1">
                  <c:v>1967108</c:v>
                </c:pt>
              </c:numCache>
            </c:numRef>
          </c:val>
          <c:extLst>
            <c:ext xmlns:c16="http://schemas.microsoft.com/office/drawing/2014/chart" uri="{C3380CC4-5D6E-409C-BE32-E72D297353CC}">
              <c16:uniqueId val="{00000000-457E-47A3-8D64-7270B2471BCB}"/>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latin typeface="Arial" panose="020B0604020202020204" pitchFamily="34" charset="0"/>
          <a:cs typeface="Arial" panose="020B0604020202020204" pitchFamily="34" charset="0"/>
        </a:defRPr>
      </a:pPr>
      <a:endParaRPr lang="es-P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a:latin typeface="Arial" pitchFamily="34" charset="0"/>
                <a:cs typeface="Arial" pitchFamily="34" charset="0"/>
              </a:defRPr>
            </a:pPr>
            <a:r>
              <a:rPr lang="en-US" sz="900">
                <a:latin typeface="Arial" pitchFamily="34" charset="0"/>
                <a:cs typeface="Arial" pitchFamily="34" charset="0"/>
              </a:rPr>
              <a:t>HORAS - HOMBRE PERDIDAS EN EL SECTOR PRIVADO,</a:t>
            </a:r>
          </a:p>
          <a:p>
            <a:pPr>
              <a:defRPr sz="1000">
                <a:latin typeface="Arial" pitchFamily="34" charset="0"/>
                <a:cs typeface="Arial" pitchFamily="34" charset="0"/>
              </a:defRPr>
            </a:pPr>
            <a:r>
              <a:rPr lang="en-US" sz="900">
                <a:latin typeface="Arial" pitchFamily="34" charset="0"/>
                <a:cs typeface="Arial" pitchFamily="34" charset="0"/>
              </a:rPr>
              <a:t>SEGÚN </a:t>
            </a:r>
            <a:r>
              <a:rPr lang="en-US" sz="900" baseline="0">
                <a:latin typeface="Arial" pitchFamily="34" charset="0"/>
                <a:cs typeface="Arial" pitchFamily="34" charset="0"/>
              </a:rPr>
              <a:t> ACTIVIDAD ECONÓMICA</a:t>
            </a:r>
            <a:endParaRPr lang="en-US" sz="900">
              <a:latin typeface="Arial" pitchFamily="34" charset="0"/>
              <a:cs typeface="Arial" pitchFamily="34" charset="0"/>
            </a:endParaRPr>
          </a:p>
        </c:rich>
      </c:tx>
      <c:layout>
        <c:manualLayout>
          <c:xMode val="edge"/>
          <c:yMode val="edge"/>
          <c:x val="0.19055648885783188"/>
          <c:y val="5.9487843162618542E-2"/>
        </c:manualLayout>
      </c:layout>
      <c:overlay val="0"/>
    </c:title>
    <c:autoTitleDeleted val="0"/>
    <c:view3D>
      <c:rotX val="30"/>
      <c:rotY val="210"/>
      <c:rAngAx val="0"/>
    </c:view3D>
    <c:floor>
      <c:thickness val="0"/>
    </c:floor>
    <c:sideWall>
      <c:thickness val="0"/>
    </c:sideWall>
    <c:backWall>
      <c:thickness val="0"/>
    </c:backWall>
    <c:plotArea>
      <c:layout>
        <c:manualLayout>
          <c:layoutTarget val="inner"/>
          <c:xMode val="edge"/>
          <c:yMode val="edge"/>
          <c:x val="0.19860324921829009"/>
          <c:y val="0.29107238477040726"/>
          <c:w val="0.59814466339532713"/>
          <c:h val="0.5214990762948627"/>
        </c:manualLayout>
      </c:layout>
      <c:pie3DChart>
        <c:varyColors val="1"/>
        <c:ser>
          <c:idx val="0"/>
          <c:order val="0"/>
          <c:explosion val="20"/>
          <c:dPt>
            <c:idx val="0"/>
            <c:bubble3D val="0"/>
            <c:spPr>
              <a:solidFill>
                <a:schemeClr val="accent1">
                  <a:lumMod val="75000"/>
                </a:schemeClr>
              </a:solidFill>
            </c:spPr>
            <c:extLst>
              <c:ext xmlns:c16="http://schemas.microsoft.com/office/drawing/2014/chart" uri="{C3380CC4-5D6E-409C-BE32-E72D297353CC}">
                <c16:uniqueId val="{00000000-4EEE-4448-9B2C-9FF2C4885224}"/>
              </c:ext>
            </c:extLst>
          </c:dPt>
          <c:dPt>
            <c:idx val="4"/>
            <c:bubble3D val="0"/>
            <c:spPr>
              <a:solidFill>
                <a:schemeClr val="accent6">
                  <a:lumMod val="50000"/>
                </a:schemeClr>
              </a:solidFill>
            </c:spPr>
            <c:extLst>
              <c:ext xmlns:c16="http://schemas.microsoft.com/office/drawing/2014/chart" uri="{C3380CC4-5D6E-409C-BE32-E72D297353CC}">
                <c16:uniqueId val="{00000004-4EEE-4448-9B2C-9FF2C4885224}"/>
              </c:ext>
            </c:extLst>
          </c:dPt>
          <c:dLbls>
            <c:dLbl>
              <c:idx val="0"/>
              <c:layout>
                <c:manualLayout>
                  <c:x val="-9.1795647934408055E-3"/>
                  <c:y val="0.1132171818401895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4EEE-4448-9B2C-9FF2C4885224}"/>
                </c:ext>
              </c:extLst>
            </c:dLbl>
            <c:dLbl>
              <c:idx val="1"/>
              <c:layout>
                <c:manualLayout>
                  <c:x val="-5.4855874166208518E-2"/>
                  <c:y val="8.1202794973618559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EEE-4448-9B2C-9FF2C4885224}"/>
                </c:ext>
              </c:extLst>
            </c:dLbl>
            <c:dLbl>
              <c:idx val="2"/>
              <c:layout>
                <c:manualLayout>
                  <c:x val="3.0964259358569682E-2"/>
                  <c:y val="-0.22782508409129526"/>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23960129873658023"/>
                      <c:h val="0.18545758787703789"/>
                    </c:manualLayout>
                  </c15:layout>
                </c:ext>
                <c:ext xmlns:c16="http://schemas.microsoft.com/office/drawing/2014/chart" uri="{C3380CC4-5D6E-409C-BE32-E72D297353CC}">
                  <c16:uniqueId val="{00000002-4EEE-4448-9B2C-9FF2C4885224}"/>
                </c:ext>
              </c:extLst>
            </c:dLbl>
            <c:dLbl>
              <c:idx val="3"/>
              <c:layout>
                <c:manualLayout>
                  <c:x val="7.8097818313307615E-2"/>
                  <c:y val="1.5755784142870245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23610632284428951"/>
                      <c:h val="0.1715045050199504"/>
                    </c:manualLayout>
                  </c15:layout>
                </c:ext>
                <c:ext xmlns:c16="http://schemas.microsoft.com/office/drawing/2014/chart" uri="{C3380CC4-5D6E-409C-BE32-E72D297353CC}">
                  <c16:uniqueId val="{00000003-4EEE-4448-9B2C-9FF2C4885224}"/>
                </c:ext>
              </c:extLst>
            </c:dLbl>
            <c:dLbl>
              <c:idx val="4"/>
              <c:layout>
                <c:manualLayout>
                  <c:x val="0.28267266429737459"/>
                  <c:y val="4.1970164694136239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21944468241808671"/>
                      <c:h val="0.16122452701334536"/>
                    </c:manualLayout>
                  </c15:layout>
                </c:ext>
                <c:ext xmlns:c16="http://schemas.microsoft.com/office/drawing/2014/chart" uri="{C3380CC4-5D6E-409C-BE32-E72D297353CC}">
                  <c16:uniqueId val="{00000004-4EEE-4448-9B2C-9FF2C4885224}"/>
                </c:ext>
              </c:extLst>
            </c:dLbl>
            <c:dLbl>
              <c:idx val="5"/>
              <c:layout>
                <c:manualLayout>
                  <c:x val="0.10729396927571479"/>
                  <c:y val="8.0654415977120558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14788481298504907"/>
                      <c:h val="0.13777189325266917"/>
                    </c:manualLayout>
                  </c15:layout>
                </c:ext>
                <c:ext xmlns:c16="http://schemas.microsoft.com/office/drawing/2014/chart" uri="{C3380CC4-5D6E-409C-BE32-E72D297353CC}">
                  <c16:uniqueId val="{00000005-4EEE-4448-9B2C-9FF2C4885224}"/>
                </c:ext>
              </c:extLst>
            </c:dLbl>
            <c:dLbl>
              <c:idx val="6"/>
              <c:layout>
                <c:manualLayout>
                  <c:x val="-5.0552226482009466E-2"/>
                  <c:y val="8.13601492118147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EEE-4448-9B2C-9FF2C4885224}"/>
                </c:ext>
              </c:extLst>
            </c:dLbl>
            <c:dLbl>
              <c:idx val="7"/>
              <c:layout>
                <c:manualLayout>
                  <c:x val="8.421803725799959E-2"/>
                  <c:y val="6.85376998843355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DFED-4FAB-8976-6F9DE4666ED4}"/>
                </c:ext>
              </c:extLst>
            </c:dLbl>
            <c:spPr>
              <a:noFill/>
              <a:ln>
                <a:noFill/>
              </a:ln>
              <a:effectLst/>
            </c:spPr>
            <c:txPr>
              <a:bodyPr/>
              <a:lstStyle/>
              <a:p>
                <a:pPr>
                  <a:defRPr sz="700" b="1">
                    <a:latin typeface="+mn-lt"/>
                    <a:cs typeface="Arial" pitchFamily="34" charset="0"/>
                  </a:defRPr>
                </a:pPr>
                <a:endParaRPr lang="es-PE"/>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'Anexo 06'!$V$3:$V$8</c:f>
              <c:strCache>
                <c:ptCount val="6"/>
                <c:pt idx="0">
                  <c:v>EXPLOTACIÓN DE MINAS Y CANTERAS</c:v>
                </c:pt>
                <c:pt idx="1">
                  <c:v>INDUSTRIA MANUFACTURERA</c:v>
                </c:pt>
                <c:pt idx="2">
                  <c:v>SUMINISTRO DE ELECTRICIDAD, GAS Y AGUA</c:v>
                </c:pt>
                <c:pt idx="3">
                  <c:v>ADMINISTRACIÓN PÚBLICA Y DEFENSA</c:v>
                </c:pt>
                <c:pt idx="4">
                  <c:v>SERVICIOS SOCIALES Y DE SALUD</c:v>
                </c:pt>
                <c:pt idx="5">
                  <c:v>OTROS</c:v>
                </c:pt>
              </c:strCache>
            </c:strRef>
          </c:cat>
          <c:val>
            <c:numRef>
              <c:f>'Anexo 06'!$W$3:$W$8</c:f>
              <c:numCache>
                <c:formatCode>_ * #,##0_ ;_ * \-#,##0_ ;_ * "-"_ ;_ @_ </c:formatCode>
                <c:ptCount val="6"/>
                <c:pt idx="0" formatCode="_(* #,##0_);_(* \(#,##0\);_(* &quot;-&quot;_);_(@_)">
                  <c:v>56664</c:v>
                </c:pt>
                <c:pt idx="1">
                  <c:v>80480</c:v>
                </c:pt>
                <c:pt idx="2" formatCode="_(* #,##0_);_(* \(#,##0\);_(* &quot;-&quot;_);_(@_)">
                  <c:v>40000</c:v>
                </c:pt>
                <c:pt idx="3" formatCode="_(* #,##0_);_(* \(#,##0\);_(* &quot;-&quot;_);_(@_)">
                  <c:v>1950976</c:v>
                </c:pt>
                <c:pt idx="4" formatCode="_(* #,##0_);_(* \(#,##0\);_(* &quot;-&quot;_);_(@_)">
                  <c:v>102084</c:v>
                </c:pt>
                <c:pt idx="5" formatCode="_(* #,##0_);_(* \(#,##0\);_(* &quot;-&quot;_);_(@_)">
                  <c:v>65312</c:v>
                </c:pt>
              </c:numCache>
            </c:numRef>
          </c:val>
          <c:extLst>
            <c:ext xmlns:c16="http://schemas.microsoft.com/office/drawing/2014/chart" uri="{C3380CC4-5D6E-409C-BE32-E72D297353CC}">
              <c16:uniqueId val="{00000007-4EEE-4448-9B2C-9FF2C4885224}"/>
            </c:ext>
          </c:extLst>
        </c:ser>
        <c:dLbls>
          <c:showLegendKey val="0"/>
          <c:showVal val="0"/>
          <c:showCatName val="1"/>
          <c:showSerName val="0"/>
          <c:showPercent val="1"/>
          <c:showBubbleSize val="0"/>
          <c:showLeaderLines val="1"/>
        </c:dLbls>
      </c:pie3DChart>
    </c:plotArea>
    <c:plotVisOnly val="1"/>
    <c:dispBlanksAs val="gap"/>
    <c:showDLblsOverMax val="0"/>
  </c:chart>
  <c:spPr>
    <a:solidFill>
      <a:schemeClr val="bg1"/>
    </a:solidFill>
    <a:ln w="25400">
      <a:solidFill>
        <a:schemeClr val="tx1"/>
      </a:solidFill>
    </a:ln>
    <a:effectLst/>
    <a:scene3d>
      <a:camera prst="orthographicFront"/>
      <a:lightRig rig="threePt" dir="t"/>
    </a:scene3d>
  </c:sp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lgn="ctr">
              <a:defRPr sz="1000"/>
            </a:pPr>
            <a:r>
              <a:rPr lang="es-PE" sz="1000" b="1" i="0" baseline="0">
                <a:effectLst/>
              </a:rPr>
              <a:t>HUELGAS EN EL SECTOR PRIVADO, </a:t>
            </a:r>
          </a:p>
          <a:p>
            <a:pPr algn="ctr">
              <a:defRPr sz="1000"/>
            </a:pPr>
            <a:r>
              <a:rPr lang="es-PE" sz="1000" b="1" i="0" baseline="0">
                <a:effectLst/>
              </a:rPr>
              <a:t>SEGÚN ORGANIZACIÓN SINDICAL</a:t>
            </a:r>
            <a:endParaRPr lang="es-PE" sz="1000">
              <a:effectLst/>
            </a:endParaRPr>
          </a:p>
        </c:rich>
      </c:tx>
      <c:layout>
        <c:manualLayout>
          <c:xMode val="edge"/>
          <c:yMode val="edge"/>
          <c:x val="0.27893744531933506"/>
          <c:y val="3.2407407407407406E-2"/>
        </c:manualLayout>
      </c:layout>
      <c:overlay val="0"/>
    </c:title>
    <c:autoTitleDeleted val="0"/>
    <c:view3D>
      <c:rotX val="15"/>
      <c:rotY val="2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13583655622105592"/>
          <c:y val="0.19399700037495313"/>
          <c:w val="0.78802397791156875"/>
          <c:h val="0.40389163854518184"/>
        </c:manualLayout>
      </c:layout>
      <c:bar3DChart>
        <c:barDir val="col"/>
        <c:grouping val="clustered"/>
        <c:varyColors val="0"/>
        <c:ser>
          <c:idx val="0"/>
          <c:order val="0"/>
          <c:spPr>
            <a:solidFill>
              <a:srgbClr val="C00000"/>
            </a:solidFill>
            <a:ln>
              <a:noFill/>
            </a:ln>
          </c:spPr>
          <c:invertIfNegative val="0"/>
          <c:dPt>
            <c:idx val="1"/>
            <c:invertIfNegative val="0"/>
            <c:bubble3D val="0"/>
            <c:spPr>
              <a:solidFill>
                <a:schemeClr val="tx2">
                  <a:lumMod val="60000"/>
                  <a:lumOff val="40000"/>
                </a:schemeClr>
              </a:solidFill>
              <a:ln>
                <a:noFill/>
              </a:ln>
            </c:spPr>
            <c:extLst>
              <c:ext xmlns:c16="http://schemas.microsoft.com/office/drawing/2014/chart" uri="{C3380CC4-5D6E-409C-BE32-E72D297353CC}">
                <c16:uniqueId val="{00000001-6C1D-4B3F-8285-B9DC65C28472}"/>
              </c:ext>
            </c:extLst>
          </c:dPt>
          <c:dPt>
            <c:idx val="2"/>
            <c:invertIfNegative val="0"/>
            <c:bubble3D val="0"/>
            <c:spPr>
              <a:solidFill>
                <a:srgbClr val="FFC000"/>
              </a:solidFill>
              <a:ln>
                <a:noFill/>
              </a:ln>
            </c:spPr>
            <c:extLst>
              <c:ext xmlns:c16="http://schemas.microsoft.com/office/drawing/2014/chart" uri="{C3380CC4-5D6E-409C-BE32-E72D297353CC}">
                <c16:uniqueId val="{00000003-6C1D-4B3F-8285-B9DC65C28472}"/>
              </c:ext>
            </c:extLst>
          </c:dPt>
          <c:dPt>
            <c:idx val="3"/>
            <c:invertIfNegative val="0"/>
            <c:bubble3D val="0"/>
            <c:spPr>
              <a:solidFill>
                <a:srgbClr val="00B050"/>
              </a:solidFill>
              <a:ln>
                <a:noFill/>
              </a:ln>
            </c:spPr>
            <c:extLst>
              <c:ext xmlns:c16="http://schemas.microsoft.com/office/drawing/2014/chart" uri="{C3380CC4-5D6E-409C-BE32-E72D297353CC}">
                <c16:uniqueId val="{00000005-6C1D-4B3F-8285-B9DC65C28472}"/>
              </c:ext>
            </c:extLst>
          </c:dPt>
          <c:dLbls>
            <c:dLbl>
              <c:idx val="0"/>
              <c:layout>
                <c:manualLayout>
                  <c:x val="8.3332406978539452E-3"/>
                  <c:y val="-1.80485085643369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1D-4B3F-8285-B9DC65C28472}"/>
                </c:ext>
              </c:extLst>
            </c:dLbl>
            <c:dLbl>
              <c:idx val="1"/>
              <c:layout>
                <c:manualLayout>
                  <c:x val="1.7745005403736299E-2"/>
                  <c:y val="-3.15848899875898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1D-4B3F-8285-B9DC65C28472}"/>
                </c:ext>
              </c:extLst>
            </c:dLbl>
            <c:dLbl>
              <c:idx val="2"/>
              <c:layout>
                <c:manualLayout>
                  <c:x val="2.4019268179712772E-2"/>
                  <c:y val="-3.15848899875898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1D-4B3F-8285-B9DC65C28472}"/>
                </c:ext>
              </c:extLst>
            </c:dLbl>
            <c:dLbl>
              <c:idx val="3"/>
              <c:layout>
                <c:manualLayout>
                  <c:x val="1.7385579743708506E-2"/>
                  <c:y val="-3.15848899875898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1D-4B3F-8285-B9DC65C28472}"/>
                </c:ext>
              </c:extLst>
            </c:dLbl>
            <c:dLbl>
              <c:idx val="4"/>
              <c:layout>
                <c:manualLayout>
                  <c:x val="2.3660089547630075E-2"/>
                  <c:y val="-2.70727628465056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1D-4B3F-8285-B9DC65C28472}"/>
                </c:ext>
              </c:extLst>
            </c:dLbl>
            <c:dLbl>
              <c:idx val="5"/>
              <c:layout>
                <c:manualLayout>
                  <c:x val="1.11111111111112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1D-4B3F-8285-B9DC65C28472}"/>
                </c:ext>
              </c:extLst>
            </c:dLbl>
            <c:dLbl>
              <c:idx val="6"/>
              <c:layout>
                <c:manualLayout>
                  <c:x val="1.9444444444444445E-2"/>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C1D-4B3F-8285-B9DC65C28472}"/>
                </c:ext>
              </c:extLst>
            </c:dLbl>
            <c:spPr>
              <a:noFill/>
              <a:ln>
                <a:noFill/>
              </a:ln>
              <a:effectLst/>
            </c:spPr>
            <c:txPr>
              <a:bodyPr/>
              <a:lstStyle/>
              <a:p>
                <a:pPr>
                  <a:defRPr sz="900" b="1">
                    <a:latin typeface="Arial" pitchFamily="34" charset="0"/>
                    <a:cs typeface="Arial" pitchFamily="34" charset="0"/>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07-08'!$P$24:$P$27</c:f>
              <c:strCache>
                <c:ptCount val="4"/>
                <c:pt idx="0">
                  <c:v>SINDICATO DE EMPLEADOS</c:v>
                </c:pt>
                <c:pt idx="1">
                  <c:v>SINDICATO DE OBREROS</c:v>
                </c:pt>
                <c:pt idx="2">
                  <c:v>SINDICATO ÚNICO </c:v>
                </c:pt>
                <c:pt idx="3">
                  <c:v>FEDERACIONES</c:v>
                </c:pt>
              </c:strCache>
            </c:strRef>
          </c:cat>
          <c:val>
            <c:numRef>
              <c:f>'Anexo 07-08'!$Q$24:$Q$27</c:f>
              <c:numCache>
                <c:formatCode>_ * #,##0_ ;_ * \-#,##0_ ;_ * "-"_ ;_ @_ </c:formatCode>
                <c:ptCount val="4"/>
                <c:pt idx="0">
                  <c:v>27</c:v>
                </c:pt>
                <c:pt idx="1">
                  <c:v>17</c:v>
                </c:pt>
                <c:pt idx="2">
                  <c:v>10</c:v>
                </c:pt>
                <c:pt idx="3">
                  <c:v>9</c:v>
                </c:pt>
              </c:numCache>
            </c:numRef>
          </c:val>
          <c:extLst>
            <c:ext xmlns:c16="http://schemas.microsoft.com/office/drawing/2014/chart" uri="{C3380CC4-5D6E-409C-BE32-E72D297353CC}">
              <c16:uniqueId val="{0000000A-6C1D-4B3F-8285-B9DC65C28472}"/>
            </c:ext>
          </c:extLst>
        </c:ser>
        <c:dLbls>
          <c:showLegendKey val="0"/>
          <c:showVal val="0"/>
          <c:showCatName val="0"/>
          <c:showSerName val="0"/>
          <c:showPercent val="0"/>
          <c:showBubbleSize val="0"/>
        </c:dLbls>
        <c:gapWidth val="80"/>
        <c:gapDepth val="111"/>
        <c:shape val="box"/>
        <c:axId val="117902720"/>
        <c:axId val="117929088"/>
        <c:axId val="0"/>
      </c:bar3DChart>
      <c:catAx>
        <c:axId val="117902720"/>
        <c:scaling>
          <c:orientation val="minMax"/>
        </c:scaling>
        <c:delete val="0"/>
        <c:axPos val="b"/>
        <c:numFmt formatCode="General" sourceLinked="0"/>
        <c:majorTickMark val="none"/>
        <c:minorTickMark val="none"/>
        <c:tickLblPos val="low"/>
        <c:txPr>
          <a:bodyPr/>
          <a:lstStyle/>
          <a:p>
            <a:pPr>
              <a:defRPr sz="600" b="1">
                <a:latin typeface="Arial" pitchFamily="34" charset="0"/>
                <a:cs typeface="Arial" pitchFamily="34" charset="0"/>
              </a:defRPr>
            </a:pPr>
            <a:endParaRPr lang="es-PE"/>
          </a:p>
        </c:txPr>
        <c:crossAx val="117929088"/>
        <c:crosses val="autoZero"/>
        <c:auto val="1"/>
        <c:lblAlgn val="ctr"/>
        <c:lblOffset val="180"/>
        <c:tickLblSkip val="1"/>
        <c:noMultiLvlLbl val="0"/>
      </c:catAx>
      <c:valAx>
        <c:axId val="117929088"/>
        <c:scaling>
          <c:orientation val="minMax"/>
        </c:scaling>
        <c:delete val="0"/>
        <c:axPos val="l"/>
        <c:numFmt formatCode="#,##0" sourceLinked="0"/>
        <c:majorTickMark val="none"/>
        <c:minorTickMark val="none"/>
        <c:tickLblPos val="nextTo"/>
        <c:txPr>
          <a:bodyPr/>
          <a:lstStyle/>
          <a:p>
            <a:pPr>
              <a:defRPr sz="1000" b="1">
                <a:latin typeface="Arial" pitchFamily="34" charset="0"/>
                <a:cs typeface="Arial" pitchFamily="34" charset="0"/>
              </a:defRPr>
            </a:pPr>
            <a:endParaRPr lang="es-PE"/>
          </a:p>
        </c:txPr>
        <c:crossAx val="117902720"/>
        <c:crosses val="autoZero"/>
        <c:crossBetween val="between"/>
      </c:valAx>
    </c:plotArea>
    <c:plotVisOnly val="1"/>
    <c:dispBlanksAs val="gap"/>
    <c:showDLblsOverMax val="0"/>
  </c:chart>
  <c:spPr>
    <a:solidFill>
      <a:schemeClr val="bg1"/>
    </a:solidFill>
    <a:ln w="25400">
      <a:solidFill>
        <a:schemeClr val="tx1"/>
      </a:solidFill>
    </a:ln>
    <a:effectLst/>
    <a:scene3d>
      <a:camera prst="orthographicFront"/>
      <a:lightRig rig="threePt" dir="t"/>
    </a:scene3d>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sz="1000"/>
            </a:pPr>
            <a:r>
              <a:rPr lang="en-US" sz="1000"/>
              <a:t>TRABAJADORES COMPRENDIDOS EN EL SECTOR PRIVADO,</a:t>
            </a:r>
          </a:p>
          <a:p>
            <a:pPr>
              <a:defRPr sz="1000"/>
            </a:pPr>
            <a:r>
              <a:rPr lang="en-US" sz="1000"/>
              <a:t>SEGÚN ORGANIZACIÓN SINDICAL</a:t>
            </a:r>
          </a:p>
        </c:rich>
      </c:tx>
      <c:layout>
        <c:manualLayout>
          <c:xMode val="edge"/>
          <c:yMode val="edge"/>
          <c:x val="0.14186040133131589"/>
          <c:y val="3.7148732409197673E-2"/>
        </c:manualLayout>
      </c:layout>
      <c:overlay val="0"/>
    </c:title>
    <c:autoTitleDeleted val="0"/>
    <c:view3D>
      <c:rotX val="15"/>
      <c:rotY val="20"/>
      <c:rAngAx val="1"/>
    </c:view3D>
    <c:floor>
      <c:thickness val="0"/>
    </c:floor>
    <c:sideWall>
      <c:thickness val="0"/>
      <c:spPr>
        <a:noFill/>
      </c:spPr>
    </c:sideWall>
    <c:backWall>
      <c:thickness val="0"/>
      <c:spPr>
        <a:noFill/>
      </c:spPr>
    </c:backWall>
    <c:plotArea>
      <c:layout>
        <c:manualLayout>
          <c:layoutTarget val="inner"/>
          <c:xMode val="edge"/>
          <c:yMode val="edge"/>
          <c:x val="0.23724273317091835"/>
          <c:y val="0.17625479747932818"/>
          <c:w val="0.72686176530262481"/>
          <c:h val="0.44052386158049034"/>
        </c:manualLayout>
      </c:layout>
      <c:bar3DChart>
        <c:barDir val="col"/>
        <c:grouping val="clustered"/>
        <c:varyColors val="1"/>
        <c:ser>
          <c:idx val="0"/>
          <c:order val="0"/>
          <c:spPr>
            <a:solidFill>
              <a:schemeClr val="accent2">
                <a:lumMod val="20000"/>
                <a:lumOff val="80000"/>
              </a:schemeClr>
            </a:solidFill>
            <a:ln>
              <a:noFill/>
            </a:ln>
          </c:spPr>
          <c:invertIfNegative val="0"/>
          <c:dPt>
            <c:idx val="0"/>
            <c:invertIfNegative val="0"/>
            <c:bubble3D val="0"/>
            <c:spPr>
              <a:solidFill>
                <a:srgbClr val="C00000"/>
              </a:solidFill>
              <a:ln>
                <a:noFill/>
              </a:ln>
            </c:spPr>
            <c:extLst>
              <c:ext xmlns:c16="http://schemas.microsoft.com/office/drawing/2014/chart" uri="{C3380CC4-5D6E-409C-BE32-E72D297353CC}">
                <c16:uniqueId val="{00000001-31D4-4533-B671-76909E60A85C}"/>
              </c:ext>
            </c:extLst>
          </c:dPt>
          <c:dPt>
            <c:idx val="1"/>
            <c:invertIfNegative val="0"/>
            <c:bubble3D val="0"/>
            <c:spPr>
              <a:solidFill>
                <a:schemeClr val="accent1"/>
              </a:solidFill>
              <a:ln>
                <a:noFill/>
              </a:ln>
            </c:spPr>
            <c:extLst>
              <c:ext xmlns:c16="http://schemas.microsoft.com/office/drawing/2014/chart" uri="{C3380CC4-5D6E-409C-BE32-E72D297353CC}">
                <c16:uniqueId val="{00000003-31D4-4533-B671-76909E60A85C}"/>
              </c:ext>
            </c:extLst>
          </c:dPt>
          <c:dPt>
            <c:idx val="2"/>
            <c:invertIfNegative val="0"/>
            <c:bubble3D val="0"/>
            <c:spPr>
              <a:solidFill>
                <a:srgbClr val="FFC000"/>
              </a:solidFill>
              <a:ln>
                <a:noFill/>
              </a:ln>
            </c:spPr>
            <c:extLst>
              <c:ext xmlns:c16="http://schemas.microsoft.com/office/drawing/2014/chart" uri="{C3380CC4-5D6E-409C-BE32-E72D297353CC}">
                <c16:uniqueId val="{00000005-31D4-4533-B671-76909E60A85C}"/>
              </c:ext>
            </c:extLst>
          </c:dPt>
          <c:dPt>
            <c:idx val="3"/>
            <c:invertIfNegative val="0"/>
            <c:bubble3D val="0"/>
            <c:spPr>
              <a:solidFill>
                <a:srgbClr val="00B050"/>
              </a:solidFill>
              <a:ln>
                <a:noFill/>
              </a:ln>
            </c:spPr>
            <c:extLst>
              <c:ext xmlns:c16="http://schemas.microsoft.com/office/drawing/2014/chart" uri="{C3380CC4-5D6E-409C-BE32-E72D297353CC}">
                <c16:uniqueId val="{00000007-31D4-4533-B671-76909E60A85C}"/>
              </c:ext>
            </c:extLst>
          </c:dPt>
          <c:dLbls>
            <c:dLbl>
              <c:idx val="0"/>
              <c:layout>
                <c:manualLayout>
                  <c:x val="3.0410288560332968E-2"/>
                  <c:y val="-2.806857966847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D4-4533-B671-76909E60A85C}"/>
                </c:ext>
              </c:extLst>
            </c:dLbl>
            <c:dLbl>
              <c:idx val="1"/>
              <c:layout>
                <c:manualLayout>
                  <c:x val="3.6774083337306522E-2"/>
                  <c:y val="-5.628531727651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D4-4533-B671-76909E60A85C}"/>
                </c:ext>
              </c:extLst>
            </c:dLbl>
            <c:dLbl>
              <c:idx val="2"/>
              <c:layout>
                <c:manualLayout>
                  <c:x val="1.6587430123817984E-2"/>
                  <c:y val="-3.74247728913019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1D4-4533-B671-76909E60A85C}"/>
                </c:ext>
              </c:extLst>
            </c:dLbl>
            <c:dLbl>
              <c:idx val="3"/>
              <c:layout>
                <c:manualLayout>
                  <c:x val="3.0410261310870868E-2"/>
                  <c:y val="-2.5977948210618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1D4-4533-B671-76909E60A85C}"/>
                </c:ext>
              </c:extLst>
            </c:dLbl>
            <c:dLbl>
              <c:idx val="4"/>
              <c:layout>
                <c:manualLayout>
                  <c:x val="2.4881145185727076E-2"/>
                  <c:y val="-2.806857966847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1D4-4533-B671-76909E60A85C}"/>
                </c:ext>
              </c:extLst>
            </c:dLbl>
            <c:dLbl>
              <c:idx val="5"/>
              <c:layout>
                <c:manualLayout>
                  <c:x val="1.10582867492120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1D4-4533-B671-76909E60A85C}"/>
                </c:ext>
              </c:extLst>
            </c:dLbl>
            <c:dLbl>
              <c:idx val="6"/>
              <c:layout>
                <c:manualLayout>
                  <c:x val="8.293715061908991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1D4-4533-B671-76909E60A85C}"/>
                </c:ext>
              </c:extLst>
            </c:dLbl>
            <c:spPr>
              <a:noFill/>
              <a:ln>
                <a:noFill/>
              </a:ln>
              <a:effectLst/>
            </c:spPr>
            <c:txPr>
              <a:bodyPr/>
              <a:lstStyle/>
              <a:p>
                <a:pPr>
                  <a:defRPr sz="800" b="1">
                    <a:latin typeface="Arial" pitchFamily="34" charset="0"/>
                    <a:cs typeface="Arial" pitchFamily="34" charset="0"/>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07-08'!$S$24:$S$27</c:f>
              <c:strCache>
                <c:ptCount val="4"/>
                <c:pt idx="0">
                  <c:v>SINDICATO DE EMPLEADOS</c:v>
                </c:pt>
                <c:pt idx="1">
                  <c:v>SINDICATO DE OBREROS</c:v>
                </c:pt>
                <c:pt idx="2">
                  <c:v>SINDICATO ÚNICO </c:v>
                </c:pt>
                <c:pt idx="3">
                  <c:v>FEDERACIONES</c:v>
                </c:pt>
              </c:strCache>
            </c:strRef>
          </c:cat>
          <c:val>
            <c:numRef>
              <c:f>'Anexo 07-08'!$T$24:$T$27</c:f>
              <c:numCache>
                <c:formatCode>_ * #,##0_ ;_ * \-#,##0_ ;_ * "-"_ ;_ @_ </c:formatCode>
                <c:ptCount val="4"/>
                <c:pt idx="0">
                  <c:v>34269</c:v>
                </c:pt>
                <c:pt idx="1">
                  <c:v>5791</c:v>
                </c:pt>
                <c:pt idx="2">
                  <c:v>2544</c:v>
                </c:pt>
                <c:pt idx="3">
                  <c:v>34100</c:v>
                </c:pt>
              </c:numCache>
            </c:numRef>
          </c:val>
          <c:extLst>
            <c:ext xmlns:c16="http://schemas.microsoft.com/office/drawing/2014/chart" uri="{C3380CC4-5D6E-409C-BE32-E72D297353CC}">
              <c16:uniqueId val="{0000000B-31D4-4533-B671-76909E60A85C}"/>
            </c:ext>
          </c:extLst>
        </c:ser>
        <c:dLbls>
          <c:showLegendKey val="0"/>
          <c:showVal val="0"/>
          <c:showCatName val="0"/>
          <c:showSerName val="0"/>
          <c:showPercent val="0"/>
          <c:showBubbleSize val="0"/>
        </c:dLbls>
        <c:gapWidth val="92"/>
        <c:gapDepth val="69"/>
        <c:shape val="box"/>
        <c:axId val="118374400"/>
        <c:axId val="118375936"/>
        <c:axId val="0"/>
      </c:bar3DChart>
      <c:dateAx>
        <c:axId val="118374400"/>
        <c:scaling>
          <c:orientation val="minMax"/>
        </c:scaling>
        <c:delete val="0"/>
        <c:axPos val="b"/>
        <c:numFmt formatCode="General" sourceLinked="0"/>
        <c:majorTickMark val="out"/>
        <c:minorTickMark val="none"/>
        <c:tickLblPos val="nextTo"/>
        <c:txPr>
          <a:bodyPr/>
          <a:lstStyle/>
          <a:p>
            <a:pPr>
              <a:defRPr sz="700" b="1">
                <a:latin typeface="Arial" pitchFamily="34" charset="0"/>
                <a:cs typeface="Arial" pitchFamily="34" charset="0"/>
              </a:defRPr>
            </a:pPr>
            <a:endParaRPr lang="es-PE"/>
          </a:p>
        </c:txPr>
        <c:crossAx val="118375936"/>
        <c:crosses val="autoZero"/>
        <c:auto val="0"/>
        <c:lblOffset val="100"/>
        <c:baseTimeUnit val="days"/>
      </c:dateAx>
      <c:valAx>
        <c:axId val="118375936"/>
        <c:scaling>
          <c:orientation val="minMax"/>
        </c:scaling>
        <c:delete val="0"/>
        <c:axPos val="l"/>
        <c:numFmt formatCode="#,##0" sourceLinked="0"/>
        <c:majorTickMark val="out"/>
        <c:minorTickMark val="none"/>
        <c:tickLblPos val="nextTo"/>
        <c:txPr>
          <a:bodyPr/>
          <a:lstStyle/>
          <a:p>
            <a:pPr>
              <a:defRPr sz="700" b="1"/>
            </a:pPr>
            <a:endParaRPr lang="es-PE"/>
          </a:p>
        </c:txPr>
        <c:crossAx val="118374400"/>
        <c:crosses val="autoZero"/>
        <c:crossBetween val="between"/>
      </c:valAx>
    </c:plotArea>
    <c:plotVisOnly val="1"/>
    <c:dispBlanksAs val="gap"/>
    <c:showDLblsOverMax val="0"/>
  </c:chart>
  <c:spPr>
    <a:solidFill>
      <a:schemeClr val="bg1"/>
    </a:solidFill>
    <a:ln w="25400">
      <a:solidFill>
        <a:schemeClr val="tx1"/>
      </a:solidFill>
    </a:ln>
    <a:effectLst/>
    <a:scene3d>
      <a:camera prst="orthographicFront"/>
      <a:lightRig rig="threePt" dir="t"/>
    </a:scene3d>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sz="1000"/>
            </a:pPr>
            <a:r>
              <a:rPr lang="en-US" sz="1000"/>
              <a:t>HORAS - HOMBRE PERDIDAS EN EL SECTOR PRIVADO, </a:t>
            </a:r>
          </a:p>
          <a:p>
            <a:pPr>
              <a:defRPr sz="1000"/>
            </a:pPr>
            <a:r>
              <a:rPr lang="en-US" sz="1000"/>
              <a:t>SEGÚN ORGANIZACIÓN SINDICAL</a:t>
            </a:r>
          </a:p>
        </c:rich>
      </c:tx>
      <c:layout>
        <c:manualLayout>
          <c:xMode val="edge"/>
          <c:yMode val="edge"/>
          <c:x val="0.20157885293422739"/>
          <c:y val="3.2567371230665644E-2"/>
        </c:manualLayout>
      </c:layout>
      <c:overlay val="0"/>
    </c:title>
    <c:autoTitleDeleted val="0"/>
    <c:view3D>
      <c:rotX val="15"/>
      <c:rotY val="20"/>
      <c:rAngAx val="1"/>
    </c:view3D>
    <c:floor>
      <c:thickness val="0"/>
    </c:floor>
    <c:sideWall>
      <c:thickness val="0"/>
      <c:spPr>
        <a:noFill/>
      </c:spPr>
    </c:sideWall>
    <c:backWall>
      <c:thickness val="0"/>
      <c:spPr>
        <a:noFill/>
      </c:spPr>
    </c:backWall>
    <c:plotArea>
      <c:layout>
        <c:manualLayout>
          <c:layoutTarget val="inner"/>
          <c:xMode val="edge"/>
          <c:yMode val="edge"/>
          <c:x val="0.14133249247999721"/>
          <c:y val="0.16636956027093064"/>
          <c:w val="0.81353687185221779"/>
          <c:h val="0.4650195590209002"/>
        </c:manualLayout>
      </c:layout>
      <c:bar3DChart>
        <c:barDir val="col"/>
        <c:grouping val="clustered"/>
        <c:varyColors val="1"/>
        <c:ser>
          <c:idx val="0"/>
          <c:order val="0"/>
          <c:invertIfNegative val="1"/>
          <c:dPt>
            <c:idx val="0"/>
            <c:invertIfNegative val="1"/>
            <c:bubble3D val="0"/>
            <c:spPr>
              <a:solidFill>
                <a:srgbClr val="C00000"/>
              </a:solidFill>
              <a:ln>
                <a:noFill/>
              </a:ln>
            </c:spPr>
            <c:extLst>
              <c:ext xmlns:c16="http://schemas.microsoft.com/office/drawing/2014/chart" uri="{C3380CC4-5D6E-409C-BE32-E72D297353CC}">
                <c16:uniqueId val="{00000001-F847-4DFA-AA56-F1E7A3D52660}"/>
              </c:ext>
            </c:extLst>
          </c:dPt>
          <c:dPt>
            <c:idx val="1"/>
            <c:invertIfNegative val="1"/>
            <c:bubble3D val="0"/>
            <c:spPr>
              <a:solidFill>
                <a:schemeClr val="accent1"/>
              </a:solidFill>
              <a:ln>
                <a:noFill/>
              </a:ln>
            </c:spPr>
            <c:extLst>
              <c:ext xmlns:c16="http://schemas.microsoft.com/office/drawing/2014/chart" uri="{C3380CC4-5D6E-409C-BE32-E72D297353CC}">
                <c16:uniqueId val="{00000003-F847-4DFA-AA56-F1E7A3D52660}"/>
              </c:ext>
            </c:extLst>
          </c:dPt>
          <c:dPt>
            <c:idx val="2"/>
            <c:invertIfNegative val="1"/>
            <c:bubble3D val="0"/>
            <c:spPr>
              <a:solidFill>
                <a:srgbClr val="FFC000"/>
              </a:solidFill>
              <a:ln>
                <a:noFill/>
              </a:ln>
            </c:spPr>
            <c:extLst>
              <c:ext xmlns:c16="http://schemas.microsoft.com/office/drawing/2014/chart" uri="{C3380CC4-5D6E-409C-BE32-E72D297353CC}">
                <c16:uniqueId val="{00000005-F847-4DFA-AA56-F1E7A3D52660}"/>
              </c:ext>
            </c:extLst>
          </c:dPt>
          <c:dPt>
            <c:idx val="3"/>
            <c:invertIfNegative val="1"/>
            <c:bubble3D val="0"/>
            <c:spPr>
              <a:solidFill>
                <a:srgbClr val="00B050"/>
              </a:solidFill>
              <a:ln>
                <a:noFill/>
              </a:ln>
            </c:spPr>
            <c:extLst>
              <c:ext xmlns:c16="http://schemas.microsoft.com/office/drawing/2014/chart" uri="{C3380CC4-5D6E-409C-BE32-E72D297353CC}">
                <c16:uniqueId val="{00000007-F847-4DFA-AA56-F1E7A3D52660}"/>
              </c:ext>
            </c:extLst>
          </c:dPt>
          <c:dLbls>
            <c:dLbl>
              <c:idx val="0"/>
              <c:layout>
                <c:manualLayout>
                  <c:x val="2.0209496270790984E-2"/>
                  <c:y val="-4.7940267182055997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847-4DFA-AA56-F1E7A3D52660}"/>
                </c:ext>
              </c:extLst>
            </c:dLbl>
            <c:dLbl>
              <c:idx val="1"/>
              <c:layout>
                <c:manualLayout>
                  <c:x val="2.2454995856434425E-2"/>
                  <c:y val="-4.4252554321897876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F847-4DFA-AA56-F1E7A3D52660}"/>
                </c:ext>
              </c:extLst>
            </c:dLbl>
            <c:dLbl>
              <c:idx val="2"/>
              <c:layout>
                <c:manualLayout>
                  <c:x val="2.0209496270790984E-2"/>
                  <c:y val="-4.4252554321897841E-2"/>
                </c:manualLayout>
              </c:layout>
              <c:spPr>
                <a:ln>
                  <a:noFill/>
                </a:ln>
              </c:spPr>
              <c:txPr>
                <a:bodyPr/>
                <a:lstStyle/>
                <a:p>
                  <a:pPr>
                    <a:defRPr sz="800" b="1">
                      <a:latin typeface="Arial" pitchFamily="34" charset="0"/>
                      <a:cs typeface="Arial" pitchFamily="34" charset="0"/>
                    </a:defRPr>
                  </a:pPr>
                  <a:endParaRPr lang="es-PE"/>
                </a:p>
              </c:txP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847-4DFA-AA56-F1E7A3D52660}"/>
                </c:ext>
              </c:extLst>
            </c:dLbl>
            <c:dLbl>
              <c:idx val="3"/>
              <c:layout>
                <c:manualLayout>
                  <c:x val="2.6945995027721312E-2"/>
                  <c:y val="-3.3189415741423381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F847-4DFA-AA56-F1E7A3D52660}"/>
                </c:ext>
              </c:extLst>
            </c:dLbl>
            <c:dLbl>
              <c:idx val="4"/>
              <c:layout>
                <c:manualLayout>
                  <c:x val="2.470049544207787E-2"/>
                  <c:y val="-4.7940267182055997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F847-4DFA-AA56-F1E7A3D52660}"/>
                </c:ext>
              </c:extLst>
            </c:dLbl>
            <c:spPr>
              <a:noFill/>
              <a:ln>
                <a:noFill/>
              </a:ln>
              <a:effectLst/>
            </c:spPr>
            <c:txPr>
              <a:bodyPr/>
              <a:lstStyle/>
              <a:p>
                <a:pPr>
                  <a:defRPr sz="800" b="1">
                    <a:latin typeface="Arial" pitchFamily="34" charset="0"/>
                    <a:cs typeface="Arial" pitchFamily="34" charset="0"/>
                  </a:defRPr>
                </a:pPr>
                <a:endParaRPr lang="es-PE"/>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'Anexo 07-08'!$V$24:$V$27</c:f>
              <c:strCache>
                <c:ptCount val="4"/>
                <c:pt idx="0">
                  <c:v>SINDICATO DE EMPLEADOS</c:v>
                </c:pt>
                <c:pt idx="1">
                  <c:v>SINDICATO DE OBREROS</c:v>
                </c:pt>
                <c:pt idx="2">
                  <c:v>SINDICATO ÚNICO </c:v>
                </c:pt>
                <c:pt idx="3">
                  <c:v>FEDERACIONES</c:v>
                </c:pt>
              </c:strCache>
            </c:strRef>
          </c:cat>
          <c:val>
            <c:numRef>
              <c:f>'Anexo 07-08'!$W$24:$W$27</c:f>
              <c:numCache>
                <c:formatCode>_ * #,##0_ ;_ * \-#,##0_ ;_ * "-"_ ;_ @_ </c:formatCode>
                <c:ptCount val="4"/>
                <c:pt idx="0">
                  <c:v>1192604</c:v>
                </c:pt>
                <c:pt idx="1">
                  <c:v>244768</c:v>
                </c:pt>
                <c:pt idx="2">
                  <c:v>101144</c:v>
                </c:pt>
                <c:pt idx="3">
                  <c:v>757000</c:v>
                </c:pt>
              </c:numCache>
            </c:numRef>
          </c:val>
          <c:extLst>
            <c:ext xmlns:c16="http://schemas.microsoft.com/office/drawing/2014/chart" uri="{C3380CC4-5D6E-409C-BE32-E72D297353CC}">
              <c16:uniqueId val="{00000009-F847-4DFA-AA56-F1E7A3D52660}"/>
            </c:ext>
          </c:extLst>
        </c:ser>
        <c:dLbls>
          <c:showLegendKey val="0"/>
          <c:showVal val="1"/>
          <c:showCatName val="0"/>
          <c:showSerName val="0"/>
          <c:showPercent val="0"/>
          <c:showBubbleSize val="0"/>
        </c:dLbls>
        <c:gapWidth val="65"/>
        <c:gapDepth val="107"/>
        <c:shape val="box"/>
        <c:axId val="118415360"/>
        <c:axId val="118416896"/>
        <c:axId val="0"/>
      </c:bar3DChart>
      <c:catAx>
        <c:axId val="118415360"/>
        <c:scaling>
          <c:orientation val="minMax"/>
        </c:scaling>
        <c:delete val="0"/>
        <c:axPos val="b"/>
        <c:numFmt formatCode="General" sourceLinked="0"/>
        <c:majorTickMark val="out"/>
        <c:minorTickMark val="none"/>
        <c:tickLblPos val="nextTo"/>
        <c:txPr>
          <a:bodyPr rot="-2700000" vert="horz" anchor="ctr" anchorCtr="1"/>
          <a:lstStyle/>
          <a:p>
            <a:pPr>
              <a:defRPr sz="700" b="1">
                <a:latin typeface="Arial" pitchFamily="34" charset="0"/>
                <a:cs typeface="Arial" pitchFamily="34" charset="0"/>
              </a:defRPr>
            </a:pPr>
            <a:endParaRPr lang="es-PE"/>
          </a:p>
        </c:txPr>
        <c:crossAx val="118416896"/>
        <c:crosses val="autoZero"/>
        <c:auto val="1"/>
        <c:lblAlgn val="ctr"/>
        <c:lblOffset val="100"/>
        <c:noMultiLvlLbl val="0"/>
      </c:catAx>
      <c:valAx>
        <c:axId val="118416896"/>
        <c:scaling>
          <c:orientation val="minMax"/>
        </c:scaling>
        <c:delete val="0"/>
        <c:axPos val="l"/>
        <c:numFmt formatCode="#,##0" sourceLinked="0"/>
        <c:majorTickMark val="out"/>
        <c:minorTickMark val="none"/>
        <c:tickLblPos val="nextTo"/>
        <c:txPr>
          <a:bodyPr/>
          <a:lstStyle/>
          <a:p>
            <a:pPr>
              <a:defRPr sz="700" b="1">
                <a:latin typeface="Arial" pitchFamily="34" charset="0"/>
                <a:cs typeface="Arial" pitchFamily="34" charset="0"/>
              </a:defRPr>
            </a:pPr>
            <a:endParaRPr lang="es-PE"/>
          </a:p>
        </c:txPr>
        <c:crossAx val="118415360"/>
        <c:crosses val="autoZero"/>
        <c:crossBetween val="between"/>
      </c:valAx>
    </c:plotArea>
    <c:plotVisOnly val="1"/>
    <c:dispBlanksAs val="gap"/>
    <c:showDLblsOverMax val="0"/>
  </c:chart>
  <c:spPr>
    <a:solidFill>
      <a:schemeClr val="bg1"/>
    </a:solidFill>
    <a:ln w="25400">
      <a:solidFill>
        <a:schemeClr val="tx1"/>
      </a:solidFill>
    </a:ln>
    <a:effectLst/>
    <a:scene3d>
      <a:camera prst="orthographicFront"/>
      <a:lightRig rig="threePt" dir="t"/>
    </a:scene3d>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36"/>
    </mc:Choice>
    <mc:Fallback>
      <c:style val="36"/>
    </mc:Fallback>
  </mc:AlternateContent>
  <c:chart>
    <c:title>
      <c:tx>
        <c:rich>
          <a:bodyPr/>
          <a:lstStyle/>
          <a:p>
            <a:pPr>
              <a:defRPr sz="900">
                <a:latin typeface="Arial" pitchFamily="34" charset="0"/>
                <a:cs typeface="Arial" pitchFamily="34" charset="0"/>
              </a:defRPr>
            </a:pPr>
            <a:r>
              <a:rPr lang="en-US" sz="900">
                <a:latin typeface="Arial" pitchFamily="34" charset="0"/>
                <a:cs typeface="Arial" pitchFamily="34" charset="0"/>
              </a:rPr>
              <a:t>HUELGAS EN EL SECTOR PRIVADO, </a:t>
            </a:r>
          </a:p>
          <a:p>
            <a:pPr>
              <a:defRPr sz="900">
                <a:latin typeface="Arial" pitchFamily="34" charset="0"/>
                <a:cs typeface="Arial" pitchFamily="34" charset="0"/>
              </a:defRPr>
            </a:pPr>
            <a:r>
              <a:rPr lang="en-US" sz="900">
                <a:latin typeface="Arial" pitchFamily="34" charset="0"/>
                <a:cs typeface="Arial" pitchFamily="34" charset="0"/>
              </a:rPr>
              <a:t>SEGÚN ÁMBITO GEOGRÁFICO</a:t>
            </a:r>
          </a:p>
        </c:rich>
      </c:tx>
      <c:layout>
        <c:manualLayout>
          <c:xMode val="edge"/>
          <c:yMode val="edge"/>
          <c:x val="0.3538326744823132"/>
          <c:y val="7.7090701199244827E-2"/>
        </c:manualLayout>
      </c:layout>
      <c:overlay val="0"/>
    </c:title>
    <c:autoTitleDeleted val="0"/>
    <c:view3D>
      <c:rotX val="15"/>
      <c:rotY val="20"/>
      <c:rAngAx val="0"/>
    </c:view3D>
    <c:floor>
      <c:thickness val="0"/>
      <c:spPr>
        <a:noFill/>
      </c:spPr>
    </c:floor>
    <c:sideWall>
      <c:thickness val="0"/>
      <c:spPr>
        <a:noFill/>
      </c:spPr>
    </c:sideWall>
    <c:backWall>
      <c:thickness val="0"/>
      <c:spPr>
        <a:noFill/>
      </c:spPr>
    </c:backWall>
    <c:plotArea>
      <c:layout>
        <c:manualLayout>
          <c:layoutTarget val="inner"/>
          <c:xMode val="edge"/>
          <c:yMode val="edge"/>
          <c:x val="0.12359907400740917"/>
          <c:y val="0.24996553259665527"/>
          <c:w val="0.82667741190282995"/>
          <c:h val="0.48009923442746871"/>
        </c:manualLayout>
      </c:layout>
      <c:line3DChart>
        <c:grouping val="standard"/>
        <c:varyColors val="0"/>
        <c:ser>
          <c:idx val="0"/>
          <c:order val="0"/>
          <c:spPr>
            <a:solidFill>
              <a:srgbClr val="C00000"/>
            </a:solidFill>
            <a:ln>
              <a:noFill/>
            </a:ln>
          </c:spPr>
          <c:dLbls>
            <c:dLbl>
              <c:idx val="0"/>
              <c:layout>
                <c:manualLayout>
                  <c:x val="8.3701090439758132E-3"/>
                  <c:y val="-4.82032578431170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38-4AEB-B23C-2707C2BED2A7}"/>
                </c:ext>
              </c:extLst>
            </c:dLbl>
            <c:dLbl>
              <c:idx val="1"/>
              <c:layout>
                <c:manualLayout>
                  <c:x val="-1.6740087989593202E-3"/>
                  <c:y val="-3.6028879842267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38-4AEB-B23C-2707C2BED2A7}"/>
                </c:ext>
              </c:extLst>
            </c:dLbl>
            <c:dLbl>
              <c:idx val="2"/>
              <c:layout>
                <c:manualLayout>
                  <c:x val="-2.0221524424799322E-2"/>
                  <c:y val="-8.4914607998656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38-4AEB-B23C-2707C2BED2A7}"/>
                </c:ext>
              </c:extLst>
            </c:dLbl>
            <c:dLbl>
              <c:idx val="3"/>
              <c:layout>
                <c:manualLayout>
                  <c:x val="-2.9141557517417576E-2"/>
                  <c:y val="-4.1642962073178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38-4AEB-B23C-2707C2BED2A7}"/>
                </c:ext>
              </c:extLst>
            </c:dLbl>
            <c:dLbl>
              <c:idx val="4"/>
              <c:layout>
                <c:manualLayout>
                  <c:x val="-9.9010622589113095E-3"/>
                  <c:y val="-9.12748343583754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38-4AEB-B23C-2707C2BED2A7}"/>
                </c:ext>
              </c:extLst>
            </c:dLbl>
            <c:dLbl>
              <c:idx val="5"/>
              <c:layout>
                <c:manualLayout>
                  <c:x val="-3.9005102253477003E-2"/>
                  <c:y val="-6.9294272888222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C38-4AEB-B23C-2707C2BED2A7}"/>
                </c:ext>
              </c:extLst>
            </c:dLbl>
            <c:dLbl>
              <c:idx val="6"/>
              <c:layout>
                <c:manualLayout>
                  <c:x val="-3.0980961280387367E-2"/>
                  <c:y val="-5.65169604949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38-4AEB-B23C-2707C2BED2A7}"/>
                </c:ext>
              </c:extLst>
            </c:dLbl>
            <c:dLbl>
              <c:idx val="7"/>
              <c:layout>
                <c:manualLayout>
                  <c:x val="-2.1762150240325451E-2"/>
                  <c:y val="-4.4137986901780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38-4AEB-B23C-2707C2BED2A7}"/>
                </c:ext>
              </c:extLst>
            </c:dLbl>
            <c:dLbl>
              <c:idx val="8"/>
              <c:layout>
                <c:manualLayout>
                  <c:x val="-2.4013998435545816E-2"/>
                  <c:y val="-5.6291298915803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38-4AEB-B23C-2707C2BED2A7}"/>
                </c:ext>
              </c:extLst>
            </c:dLbl>
            <c:dLbl>
              <c:idx val="9"/>
              <c:layout>
                <c:manualLayout>
                  <c:x val="1.4814023351100052E-3"/>
                  <c:y val="-4.83327117315289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C38-4AEB-B23C-2707C2BED2A7}"/>
                </c:ext>
              </c:extLst>
            </c:dLbl>
            <c:dLbl>
              <c:idx val="10"/>
              <c:layout>
                <c:manualLayout>
                  <c:x val="-1.1851218680880042E-2"/>
                  <c:y val="-5.1785048283780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C38-4AEB-B23C-2707C2BED2A7}"/>
                </c:ext>
              </c:extLst>
            </c:dLbl>
            <c:dLbl>
              <c:idx val="11"/>
              <c:layout>
                <c:manualLayout>
                  <c:x val="-1.1851218680880151E-2"/>
                  <c:y val="-5.1785048283780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C38-4AEB-B23C-2707C2BED2A7}"/>
                </c:ext>
              </c:extLst>
            </c:dLbl>
            <c:numFmt formatCode="#,##0" sourceLinked="0"/>
            <c:spPr>
              <a:noFill/>
              <a:ln>
                <a:noFill/>
              </a:ln>
              <a:effectLst/>
            </c:spPr>
            <c:txPr>
              <a:bodyPr/>
              <a:lstStyle/>
              <a:p>
                <a:pPr>
                  <a:defRPr sz="800" b="1">
                    <a:latin typeface="Arial" pitchFamily="34" charset="0"/>
                    <a:cs typeface="Arial" pitchFamily="34" charset="0"/>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09'!$K$8:$K$12</c:f>
              <c:strCache>
                <c:ptCount val="5"/>
                <c:pt idx="0">
                  <c:v>AREQUIPA</c:v>
                </c:pt>
                <c:pt idx="1">
                  <c:v>CAJAMARCA</c:v>
                </c:pt>
                <c:pt idx="2">
                  <c:v>ICA</c:v>
                </c:pt>
                <c:pt idx="3">
                  <c:v>LIMA METROPOLITANA</c:v>
                </c:pt>
                <c:pt idx="4">
                  <c:v>PASCO</c:v>
                </c:pt>
              </c:strCache>
            </c:strRef>
          </c:cat>
          <c:val>
            <c:numRef>
              <c:f>'Anexo 09'!$L$8:$L$13</c:f>
              <c:numCache>
                <c:formatCode>_ * #,##0_ ;_ * \-#,##0_ ;_ * "-"_ ;_ @_ </c:formatCode>
                <c:ptCount val="6"/>
                <c:pt idx="0">
                  <c:v>2</c:v>
                </c:pt>
                <c:pt idx="1">
                  <c:v>6</c:v>
                </c:pt>
                <c:pt idx="2">
                  <c:v>2</c:v>
                </c:pt>
                <c:pt idx="3">
                  <c:v>42</c:v>
                </c:pt>
                <c:pt idx="4">
                  <c:v>3</c:v>
                </c:pt>
                <c:pt idx="5" formatCode="General">
                  <c:v>2</c:v>
                </c:pt>
              </c:numCache>
            </c:numRef>
          </c:val>
          <c:smooth val="0"/>
          <c:extLst>
            <c:ext xmlns:c16="http://schemas.microsoft.com/office/drawing/2014/chart" uri="{C3380CC4-5D6E-409C-BE32-E72D297353CC}">
              <c16:uniqueId val="{0000000C-7C38-4AEB-B23C-2707C2BED2A7}"/>
            </c:ext>
          </c:extLst>
        </c:ser>
        <c:dLbls>
          <c:showLegendKey val="0"/>
          <c:showVal val="1"/>
          <c:showCatName val="0"/>
          <c:showSerName val="0"/>
          <c:showPercent val="0"/>
          <c:showBubbleSize val="0"/>
        </c:dLbls>
        <c:axId val="118161408"/>
        <c:axId val="118164096"/>
        <c:axId val="117903808"/>
      </c:line3DChart>
      <c:catAx>
        <c:axId val="118161408"/>
        <c:scaling>
          <c:orientation val="minMax"/>
        </c:scaling>
        <c:delete val="0"/>
        <c:axPos val="b"/>
        <c:numFmt formatCode="General" sourceLinked="0"/>
        <c:majorTickMark val="out"/>
        <c:minorTickMark val="none"/>
        <c:tickLblPos val="nextTo"/>
        <c:txPr>
          <a:bodyPr rot="-900000" vert="horz" anchor="ctr" anchorCtr="1"/>
          <a:lstStyle/>
          <a:p>
            <a:pPr>
              <a:defRPr sz="800" b="1">
                <a:latin typeface="Arial" pitchFamily="34" charset="0"/>
                <a:cs typeface="Arial" pitchFamily="34" charset="0"/>
              </a:defRPr>
            </a:pPr>
            <a:endParaRPr lang="es-PE"/>
          </a:p>
        </c:txPr>
        <c:crossAx val="118164096"/>
        <c:crosses val="autoZero"/>
        <c:auto val="1"/>
        <c:lblAlgn val="ctr"/>
        <c:lblOffset val="100"/>
        <c:tickMarkSkip val="2"/>
        <c:noMultiLvlLbl val="0"/>
      </c:catAx>
      <c:valAx>
        <c:axId val="118164096"/>
        <c:scaling>
          <c:orientation val="minMax"/>
        </c:scaling>
        <c:delete val="0"/>
        <c:axPos val="l"/>
        <c:numFmt formatCode="General" sourceLinked="0"/>
        <c:majorTickMark val="out"/>
        <c:minorTickMark val="none"/>
        <c:tickLblPos val="nextTo"/>
        <c:txPr>
          <a:bodyPr/>
          <a:lstStyle/>
          <a:p>
            <a:pPr>
              <a:defRPr sz="900" b="1">
                <a:latin typeface="Arial" pitchFamily="34" charset="0"/>
                <a:cs typeface="Arial" pitchFamily="34" charset="0"/>
              </a:defRPr>
            </a:pPr>
            <a:endParaRPr lang="es-PE"/>
          </a:p>
        </c:txPr>
        <c:crossAx val="118161408"/>
        <c:crosses val="autoZero"/>
        <c:crossBetween val="between"/>
      </c:valAx>
      <c:serAx>
        <c:axId val="117903808"/>
        <c:scaling>
          <c:orientation val="minMax"/>
        </c:scaling>
        <c:delete val="1"/>
        <c:axPos val="b"/>
        <c:majorTickMark val="out"/>
        <c:minorTickMark val="none"/>
        <c:tickLblPos val="nextTo"/>
        <c:crossAx val="118164096"/>
        <c:crosses val="autoZero"/>
      </c:serAx>
    </c:plotArea>
    <c:plotVisOnly val="1"/>
    <c:dispBlanksAs val="zero"/>
    <c:showDLblsOverMax val="0"/>
  </c:chart>
  <c:spPr>
    <a:solidFill>
      <a:sysClr val="window" lastClr="FFFFFF"/>
    </a:solidFill>
    <a:ln w="25400">
      <a:solidFill>
        <a:schemeClr val="tx1"/>
      </a:solidFill>
    </a:ln>
    <a:effectLst/>
    <a:scene3d>
      <a:camera prst="orthographicFront"/>
      <a:lightRig rig="threePt" dir="t"/>
    </a:scene3d>
  </c:sp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35"/>
    </mc:Choice>
    <mc:Fallback>
      <c:style val="35"/>
    </mc:Fallback>
  </mc:AlternateContent>
  <c:chart>
    <c:title>
      <c:tx>
        <c:rich>
          <a:bodyPr/>
          <a:lstStyle/>
          <a:p>
            <a:pPr>
              <a:defRPr sz="900">
                <a:latin typeface="Arial" pitchFamily="34" charset="0"/>
                <a:cs typeface="Arial" pitchFamily="34" charset="0"/>
              </a:defRPr>
            </a:pPr>
            <a:r>
              <a:rPr lang="en-US" sz="900">
                <a:latin typeface="Arial" pitchFamily="34" charset="0"/>
                <a:cs typeface="Arial" pitchFamily="34" charset="0"/>
              </a:rPr>
              <a:t>TRABAJADORES</a:t>
            </a:r>
            <a:r>
              <a:rPr lang="en-US" sz="900" baseline="0">
                <a:latin typeface="Arial" pitchFamily="34" charset="0"/>
                <a:cs typeface="Arial" pitchFamily="34" charset="0"/>
              </a:rPr>
              <a:t> COMPRENDIDOS EN EL SECTOR PRIVADO, </a:t>
            </a:r>
          </a:p>
          <a:p>
            <a:pPr>
              <a:defRPr sz="900">
                <a:latin typeface="Arial" pitchFamily="34" charset="0"/>
                <a:cs typeface="Arial" pitchFamily="34" charset="0"/>
              </a:defRPr>
            </a:pPr>
            <a:r>
              <a:rPr lang="en-US" sz="900" b="1" i="0" baseline="0">
                <a:effectLst/>
              </a:rPr>
              <a:t>SEGÚN ÁMBITO GEOGRÁFICO</a:t>
            </a:r>
            <a:endParaRPr lang="es-PE" sz="900">
              <a:effectLst/>
            </a:endParaRPr>
          </a:p>
        </c:rich>
      </c:tx>
      <c:layout>
        <c:manualLayout>
          <c:xMode val="edge"/>
          <c:yMode val="edge"/>
          <c:x val="0.13751414150252458"/>
          <c:y val="5.7322818527345831E-2"/>
        </c:manualLayout>
      </c:layout>
      <c:overlay val="0"/>
    </c:title>
    <c:autoTitleDeleted val="0"/>
    <c:view3D>
      <c:rotX val="15"/>
      <c:rotY val="20"/>
      <c:rAngAx val="0"/>
    </c:view3D>
    <c:floor>
      <c:thickness val="0"/>
      <c:spPr>
        <a:noFill/>
      </c:spPr>
    </c:floor>
    <c:sideWall>
      <c:thickness val="0"/>
      <c:spPr>
        <a:noFill/>
      </c:spPr>
    </c:sideWall>
    <c:backWall>
      <c:thickness val="0"/>
      <c:spPr>
        <a:noFill/>
      </c:spPr>
    </c:backWall>
    <c:plotArea>
      <c:layout>
        <c:manualLayout>
          <c:layoutTarget val="inner"/>
          <c:xMode val="edge"/>
          <c:yMode val="edge"/>
          <c:x val="0.131345252837923"/>
          <c:y val="0.28427324187185138"/>
          <c:w val="0.85921355679686384"/>
          <c:h val="0.32082727508984127"/>
        </c:manualLayout>
      </c:layout>
      <c:line3DChart>
        <c:grouping val="standard"/>
        <c:varyColors val="0"/>
        <c:ser>
          <c:idx val="0"/>
          <c:order val="0"/>
          <c:spPr>
            <a:solidFill>
              <a:schemeClr val="tx2">
                <a:lumMod val="75000"/>
              </a:schemeClr>
            </a:solidFill>
            <a:ln>
              <a:noFill/>
            </a:ln>
          </c:spPr>
          <c:dLbls>
            <c:dLbl>
              <c:idx val="0"/>
              <c:layout>
                <c:manualLayout>
                  <c:x val="-2.8694190596493536E-2"/>
                  <c:y val="-3.39631633539850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960-4007-ACB8-8236B95C78E9}"/>
                </c:ext>
              </c:extLst>
            </c:dLbl>
            <c:dLbl>
              <c:idx val="1"/>
              <c:layout>
                <c:manualLayout>
                  <c:x val="-1.777260252554138E-2"/>
                  <c:y val="-5.51312306080215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960-4007-ACB8-8236B95C78E9}"/>
                </c:ext>
              </c:extLst>
            </c:dLbl>
            <c:dLbl>
              <c:idx val="2"/>
              <c:layout>
                <c:manualLayout>
                  <c:x val="8.8254697079535491E-4"/>
                  <c:y val="-8.1068579442608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60-4007-ACB8-8236B95C78E9}"/>
                </c:ext>
              </c:extLst>
            </c:dLbl>
            <c:dLbl>
              <c:idx val="3"/>
              <c:layout>
                <c:manualLayout>
                  <c:x val="-2.4708369150417121E-2"/>
                  <c:y val="-5.0909702559502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960-4007-ACB8-8236B95C78E9}"/>
                </c:ext>
              </c:extLst>
            </c:dLbl>
            <c:dLbl>
              <c:idx val="4"/>
              <c:layout>
                <c:manualLayout>
                  <c:x val="-1.7680610165282908E-2"/>
                  <c:y val="-6.34041431187572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960-4007-ACB8-8236B95C78E9}"/>
                </c:ext>
              </c:extLst>
            </c:dLbl>
            <c:dLbl>
              <c:idx val="5"/>
              <c:layout>
                <c:manualLayout>
                  <c:x val="-1.6033772635442339E-2"/>
                  <c:y val="-6.34958218008875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960-4007-ACB8-8236B95C78E9}"/>
                </c:ext>
              </c:extLst>
            </c:dLbl>
            <c:dLbl>
              <c:idx val="6"/>
              <c:layout>
                <c:manualLayout>
                  <c:x val="-3.1971675094738659E-2"/>
                  <c:y val="-6.8890847057985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960-4007-ACB8-8236B95C78E9}"/>
                </c:ext>
              </c:extLst>
            </c:dLbl>
            <c:dLbl>
              <c:idx val="7"/>
              <c:layout>
                <c:manualLayout>
                  <c:x val="-3.6402070466636766E-2"/>
                  <c:y val="-6.7648259961343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960-4007-ACB8-8236B95C78E9}"/>
                </c:ext>
              </c:extLst>
            </c:dLbl>
            <c:dLbl>
              <c:idx val="8"/>
              <c:layout>
                <c:manualLayout>
                  <c:x val="-3.0287346936301467E-2"/>
                  <c:y val="-6.52452100633294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960-4007-ACB8-8236B95C78E9}"/>
                </c:ext>
              </c:extLst>
            </c:dLbl>
            <c:dLbl>
              <c:idx val="9"/>
              <c:layout>
                <c:manualLayout>
                  <c:x val="-4.4411479703079536E-2"/>
                  <c:y val="-7.09527133686364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960-4007-ACB8-8236B95C78E9}"/>
                </c:ext>
              </c:extLst>
            </c:dLbl>
            <c:dLbl>
              <c:idx val="10"/>
              <c:layout>
                <c:manualLayout>
                  <c:x val="-4.4411479703079536E-2"/>
                  <c:y val="-6.3857442031772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960-4007-ACB8-8236B95C78E9}"/>
                </c:ext>
              </c:extLst>
            </c:dLbl>
            <c:numFmt formatCode="#,##0" sourceLinked="0"/>
            <c:spPr>
              <a:noFill/>
              <a:ln>
                <a:noFill/>
              </a:ln>
              <a:effectLst/>
            </c:spPr>
            <c:txPr>
              <a:bodyPr/>
              <a:lstStyle/>
              <a:p>
                <a:pPr>
                  <a:defRPr sz="800" b="1">
                    <a:latin typeface="Arial" pitchFamily="34" charset="0"/>
                    <a:cs typeface="Arial" pitchFamily="34" charset="0"/>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09'!$N$8:$N$13</c:f>
              <c:strCache>
                <c:ptCount val="6"/>
                <c:pt idx="0">
                  <c:v>AREQUIPA</c:v>
                </c:pt>
                <c:pt idx="1">
                  <c:v>CAJAMARCA</c:v>
                </c:pt>
                <c:pt idx="2">
                  <c:v>ICA</c:v>
                </c:pt>
                <c:pt idx="3">
                  <c:v>LIMA METROPOLITANA</c:v>
                </c:pt>
                <c:pt idx="4">
                  <c:v>PASCO</c:v>
                </c:pt>
                <c:pt idx="5">
                  <c:v>TUMBES</c:v>
                </c:pt>
              </c:strCache>
            </c:strRef>
          </c:cat>
          <c:val>
            <c:numRef>
              <c:f>'Anexo 09'!$O$8:$O$13</c:f>
              <c:numCache>
                <c:formatCode>_ * #,##0_ ;_ * \-#,##0_ ;_ * "-"_ ;_ @_ </c:formatCode>
                <c:ptCount val="6"/>
                <c:pt idx="0">
                  <c:v>147</c:v>
                </c:pt>
                <c:pt idx="1">
                  <c:v>2725</c:v>
                </c:pt>
                <c:pt idx="2">
                  <c:v>287</c:v>
                </c:pt>
                <c:pt idx="3">
                  <c:v>72555</c:v>
                </c:pt>
                <c:pt idx="4">
                  <c:v>521</c:v>
                </c:pt>
                <c:pt idx="5">
                  <c:v>146</c:v>
                </c:pt>
              </c:numCache>
            </c:numRef>
          </c:val>
          <c:smooth val="0"/>
          <c:extLst>
            <c:ext xmlns:c16="http://schemas.microsoft.com/office/drawing/2014/chart" uri="{C3380CC4-5D6E-409C-BE32-E72D297353CC}">
              <c16:uniqueId val="{0000000B-5960-4007-ACB8-8236B95C78E9}"/>
            </c:ext>
          </c:extLst>
        </c:ser>
        <c:dLbls>
          <c:showLegendKey val="0"/>
          <c:showVal val="0"/>
          <c:showCatName val="0"/>
          <c:showSerName val="0"/>
          <c:showPercent val="0"/>
          <c:showBubbleSize val="0"/>
        </c:dLbls>
        <c:axId val="118449664"/>
        <c:axId val="118451200"/>
        <c:axId val="117905152"/>
      </c:line3DChart>
      <c:catAx>
        <c:axId val="118449664"/>
        <c:scaling>
          <c:orientation val="minMax"/>
        </c:scaling>
        <c:delete val="0"/>
        <c:axPos val="b"/>
        <c:numFmt formatCode="General" sourceLinked="0"/>
        <c:majorTickMark val="out"/>
        <c:minorTickMark val="none"/>
        <c:tickLblPos val="nextTo"/>
        <c:txPr>
          <a:bodyPr/>
          <a:lstStyle/>
          <a:p>
            <a:pPr>
              <a:defRPr sz="800" b="1">
                <a:latin typeface="Arial" pitchFamily="34" charset="0"/>
                <a:cs typeface="Arial" pitchFamily="34" charset="0"/>
              </a:defRPr>
            </a:pPr>
            <a:endParaRPr lang="es-PE"/>
          </a:p>
        </c:txPr>
        <c:crossAx val="118451200"/>
        <c:crosses val="autoZero"/>
        <c:auto val="1"/>
        <c:lblAlgn val="ctr"/>
        <c:lblOffset val="100"/>
        <c:noMultiLvlLbl val="0"/>
      </c:catAx>
      <c:valAx>
        <c:axId val="118451200"/>
        <c:scaling>
          <c:orientation val="minMax"/>
        </c:scaling>
        <c:delete val="0"/>
        <c:axPos val="l"/>
        <c:numFmt formatCode="#,##0_ ;\-#,##0\ " sourceLinked="0"/>
        <c:majorTickMark val="out"/>
        <c:minorTickMark val="none"/>
        <c:tickLblPos val="nextTo"/>
        <c:txPr>
          <a:bodyPr/>
          <a:lstStyle/>
          <a:p>
            <a:pPr>
              <a:defRPr sz="900" b="1">
                <a:latin typeface="+mn-lt"/>
                <a:cs typeface="Arial" pitchFamily="34" charset="0"/>
              </a:defRPr>
            </a:pPr>
            <a:endParaRPr lang="es-PE"/>
          </a:p>
        </c:txPr>
        <c:crossAx val="118449664"/>
        <c:crosses val="autoZero"/>
        <c:crossBetween val="between"/>
      </c:valAx>
      <c:serAx>
        <c:axId val="117905152"/>
        <c:scaling>
          <c:orientation val="minMax"/>
        </c:scaling>
        <c:delete val="1"/>
        <c:axPos val="b"/>
        <c:majorTickMark val="out"/>
        <c:minorTickMark val="none"/>
        <c:tickLblPos val="nextTo"/>
        <c:crossAx val="118451200"/>
        <c:crosses val="autoZero"/>
      </c:serAx>
    </c:plotArea>
    <c:plotVisOnly val="1"/>
    <c:dispBlanksAs val="gap"/>
    <c:showDLblsOverMax val="0"/>
  </c:chart>
  <c:spPr>
    <a:solidFill>
      <a:sysClr val="window" lastClr="FFFFFF"/>
    </a:solidFill>
    <a:ln w="25400">
      <a:solidFill>
        <a:schemeClr val="tx1"/>
      </a:solidFill>
    </a:ln>
    <a:effectLst/>
    <a:scene3d>
      <a:camera prst="orthographicFront"/>
      <a:lightRig rig="threePt" dir="t"/>
    </a:scene3d>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24"/>
    </mc:Choice>
    <mc:Fallback>
      <c:style val="24"/>
    </mc:Fallback>
  </mc:AlternateContent>
  <c:chart>
    <c:title>
      <c:tx>
        <c:rich>
          <a:bodyPr/>
          <a:lstStyle/>
          <a:p>
            <a:pPr>
              <a:defRPr sz="900">
                <a:latin typeface="Arial" pitchFamily="34" charset="0"/>
                <a:cs typeface="Arial" pitchFamily="34" charset="0"/>
              </a:defRPr>
            </a:pPr>
            <a:r>
              <a:rPr lang="es-PE" sz="900">
                <a:latin typeface="Arial" pitchFamily="34" charset="0"/>
                <a:cs typeface="Arial" pitchFamily="34" charset="0"/>
              </a:rPr>
              <a:t>HORAS</a:t>
            </a:r>
            <a:r>
              <a:rPr lang="es-PE" sz="900" baseline="0">
                <a:latin typeface="Arial" pitchFamily="34" charset="0"/>
                <a:cs typeface="Arial" pitchFamily="34" charset="0"/>
              </a:rPr>
              <a:t> - HOMBRE PERDIDAS EN EL SECTOR PRIVADO, </a:t>
            </a:r>
          </a:p>
          <a:p>
            <a:pPr>
              <a:defRPr sz="900">
                <a:latin typeface="Arial" pitchFamily="34" charset="0"/>
                <a:cs typeface="Arial" pitchFamily="34" charset="0"/>
              </a:defRPr>
            </a:pPr>
            <a:r>
              <a:rPr lang="en-US" sz="900" b="1" i="0" baseline="0">
                <a:effectLst/>
              </a:rPr>
              <a:t>SEGÚN ÁMBITO GEOGRÁFICO</a:t>
            </a:r>
            <a:endParaRPr lang="es-PE" sz="900">
              <a:effectLst/>
            </a:endParaRPr>
          </a:p>
        </c:rich>
      </c:tx>
      <c:layout>
        <c:manualLayout>
          <c:xMode val="edge"/>
          <c:yMode val="edge"/>
          <c:x val="0.16998319219567759"/>
          <c:y val="5.2375388173653267E-2"/>
        </c:manualLayout>
      </c:layout>
      <c:overlay val="1"/>
    </c:title>
    <c:autoTitleDeleted val="0"/>
    <c:view3D>
      <c:rotX val="15"/>
      <c:rotY val="20"/>
      <c:rAngAx val="0"/>
    </c:view3D>
    <c:floor>
      <c:thickness val="0"/>
    </c:floor>
    <c:sideWall>
      <c:thickness val="0"/>
    </c:sideWall>
    <c:backWall>
      <c:thickness val="0"/>
    </c:backWall>
    <c:plotArea>
      <c:layout>
        <c:manualLayout>
          <c:layoutTarget val="inner"/>
          <c:xMode val="edge"/>
          <c:yMode val="edge"/>
          <c:x val="0.19222423754890056"/>
          <c:y val="0.23940864824822941"/>
          <c:w val="0.78690459076463803"/>
          <c:h val="0.52107049578078501"/>
        </c:manualLayout>
      </c:layout>
      <c:line3DChart>
        <c:grouping val="standard"/>
        <c:varyColors val="0"/>
        <c:ser>
          <c:idx val="0"/>
          <c:order val="0"/>
          <c:dLbls>
            <c:dLbl>
              <c:idx val="0"/>
              <c:layout>
                <c:manualLayout>
                  <c:x val="-3.2307314507705943E-2"/>
                  <c:y val="-3.50494758587480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7D-4434-9CE5-1A3854954F3C}"/>
                </c:ext>
              </c:extLst>
            </c:dLbl>
            <c:dLbl>
              <c:idx val="1"/>
              <c:layout>
                <c:manualLayout>
                  <c:x val="-5.7592261848413515E-3"/>
                  <c:y val="-3.94108310124410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7D-4434-9CE5-1A3854954F3C}"/>
                </c:ext>
              </c:extLst>
            </c:dLbl>
            <c:dLbl>
              <c:idx val="2"/>
              <c:layout>
                <c:manualLayout>
                  <c:x val="-7.1661628369295623E-3"/>
                  <c:y val="-0.105308482562783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7D-4434-9CE5-1A3854954F3C}"/>
                </c:ext>
              </c:extLst>
            </c:dLbl>
            <c:dLbl>
              <c:idx val="3"/>
              <c:layout>
                <c:manualLayout>
                  <c:x val="-1.2035745615419082E-2"/>
                  <c:y val="-3.204843553785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67D-4434-9CE5-1A3854954F3C}"/>
                </c:ext>
              </c:extLst>
            </c:dLbl>
            <c:dLbl>
              <c:idx val="4"/>
              <c:layout>
                <c:manualLayout>
                  <c:x val="7.1716323873113868E-3"/>
                  <c:y val="-4.62555021005694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67D-4434-9CE5-1A3854954F3C}"/>
                </c:ext>
              </c:extLst>
            </c:dLbl>
            <c:dLbl>
              <c:idx val="5"/>
              <c:layout>
                <c:manualLayout>
                  <c:x val="-1.5259204096272403E-2"/>
                  <c:y val="-4.25318427782223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67D-4434-9CE5-1A3854954F3C}"/>
                </c:ext>
              </c:extLst>
            </c:dLbl>
            <c:dLbl>
              <c:idx val="6"/>
              <c:layout>
                <c:manualLayout>
                  <c:x val="-6.3910801017418228E-3"/>
                  <c:y val="-5.4703621951289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67D-4434-9CE5-1A3854954F3C}"/>
                </c:ext>
              </c:extLst>
            </c:dLbl>
            <c:dLbl>
              <c:idx val="7"/>
              <c:layout>
                <c:manualLayout>
                  <c:x val="-1.6710695471016161E-2"/>
                  <c:y val="-6.0663085527715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67D-4434-9CE5-1A3854954F3C}"/>
                </c:ext>
              </c:extLst>
            </c:dLbl>
            <c:dLbl>
              <c:idx val="8"/>
              <c:layout>
                <c:manualLayout>
                  <c:x val="-1.0314541298773626E-2"/>
                  <c:y val="-4.2412467929745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67D-4434-9CE5-1A3854954F3C}"/>
                </c:ext>
              </c:extLst>
            </c:dLbl>
            <c:dLbl>
              <c:idx val="9"/>
              <c:layout>
                <c:manualLayout>
                  <c:x val="-7.3675294991240184E-3"/>
                  <c:y val="-5.3015584912181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67D-4434-9CE5-1A3854954F3C}"/>
                </c:ext>
              </c:extLst>
            </c:dLbl>
            <c:dLbl>
              <c:idx val="10"/>
              <c:layout>
                <c:manualLayout>
                  <c:x val="-1.9155576697722446E-2"/>
                  <c:y val="-6.00843295671395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67D-4434-9CE5-1A3854954F3C}"/>
                </c:ext>
              </c:extLst>
            </c:dLbl>
            <c:dLbl>
              <c:idx val="11"/>
              <c:layout>
                <c:manualLayout>
                  <c:x val="-1.4735058998248037E-2"/>
                  <c:y val="-3.5343723274787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67D-4434-9CE5-1A3854954F3C}"/>
                </c:ext>
              </c:extLst>
            </c:dLbl>
            <c:numFmt formatCode="_(* #,##0_);_(* \(#,##0\);_(* &quot;-&quot;_);_(@_)" sourceLinked="0"/>
            <c:spPr>
              <a:noFill/>
              <a:ln>
                <a:noFill/>
              </a:ln>
              <a:effectLst/>
            </c:spPr>
            <c:txPr>
              <a:bodyPr/>
              <a:lstStyle/>
              <a:p>
                <a:pPr>
                  <a:defRPr sz="800" b="1">
                    <a:latin typeface="Arial" pitchFamily="34" charset="0"/>
                    <a:cs typeface="Arial" pitchFamily="34" charset="0"/>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09'!$Q$8:$Q$13</c:f>
              <c:strCache>
                <c:ptCount val="6"/>
                <c:pt idx="0">
                  <c:v>CAJAMARCA</c:v>
                </c:pt>
                <c:pt idx="1">
                  <c:v>ICA</c:v>
                </c:pt>
                <c:pt idx="2">
                  <c:v>JUNÏN</c:v>
                </c:pt>
                <c:pt idx="3">
                  <c:v>LIMA METROPOLITANA</c:v>
                </c:pt>
                <c:pt idx="4">
                  <c:v>LIMA PROVINCIA</c:v>
                </c:pt>
                <c:pt idx="5">
                  <c:v>TUMBES</c:v>
                </c:pt>
              </c:strCache>
            </c:strRef>
          </c:cat>
          <c:val>
            <c:numRef>
              <c:f>'Anexo 09'!$R$8:$R$13</c:f>
              <c:numCache>
                <c:formatCode>_ * #,##0_ ;_ * \-#,##0_ ;_ * "-"_ ;_ @_ </c:formatCode>
                <c:ptCount val="6"/>
                <c:pt idx="0">
                  <c:v>39032</c:v>
                </c:pt>
                <c:pt idx="1">
                  <c:v>15928</c:v>
                </c:pt>
                <c:pt idx="2" formatCode="General">
                  <c:v>14800</c:v>
                </c:pt>
                <c:pt idx="3">
                  <c:v>2158020</c:v>
                </c:pt>
                <c:pt idx="4">
                  <c:v>37088</c:v>
                </c:pt>
                <c:pt idx="5">
                  <c:v>18224</c:v>
                </c:pt>
              </c:numCache>
            </c:numRef>
          </c:val>
          <c:smooth val="0"/>
          <c:extLst>
            <c:ext xmlns:c16="http://schemas.microsoft.com/office/drawing/2014/chart" uri="{C3380CC4-5D6E-409C-BE32-E72D297353CC}">
              <c16:uniqueId val="{0000000C-F67D-4434-9CE5-1A3854954F3C}"/>
            </c:ext>
          </c:extLst>
        </c:ser>
        <c:dLbls>
          <c:showLegendKey val="0"/>
          <c:showVal val="0"/>
          <c:showCatName val="0"/>
          <c:showSerName val="0"/>
          <c:showPercent val="0"/>
          <c:showBubbleSize val="0"/>
        </c:dLbls>
        <c:axId val="118757248"/>
        <c:axId val="118758784"/>
        <c:axId val="117906496"/>
      </c:line3DChart>
      <c:catAx>
        <c:axId val="118757248"/>
        <c:scaling>
          <c:orientation val="minMax"/>
        </c:scaling>
        <c:delete val="0"/>
        <c:axPos val="b"/>
        <c:numFmt formatCode="General" sourceLinked="0"/>
        <c:majorTickMark val="none"/>
        <c:minorTickMark val="none"/>
        <c:tickLblPos val="nextTo"/>
        <c:txPr>
          <a:bodyPr rot="-960000" anchor="ctr" anchorCtr="1"/>
          <a:lstStyle/>
          <a:p>
            <a:pPr>
              <a:defRPr sz="800" b="1">
                <a:latin typeface="Arial" pitchFamily="34" charset="0"/>
                <a:cs typeface="Arial" pitchFamily="34" charset="0"/>
              </a:defRPr>
            </a:pPr>
            <a:endParaRPr lang="es-PE"/>
          </a:p>
        </c:txPr>
        <c:crossAx val="118758784"/>
        <c:crosses val="autoZero"/>
        <c:auto val="0"/>
        <c:lblAlgn val="ctr"/>
        <c:lblOffset val="100"/>
        <c:noMultiLvlLbl val="0"/>
      </c:catAx>
      <c:valAx>
        <c:axId val="118758784"/>
        <c:scaling>
          <c:orientation val="minMax"/>
        </c:scaling>
        <c:delete val="0"/>
        <c:axPos val="l"/>
        <c:numFmt formatCode="#,##0_ ;[Red]\-#,##0\ " sourceLinked="0"/>
        <c:majorTickMark val="none"/>
        <c:minorTickMark val="none"/>
        <c:tickLblPos val="nextTo"/>
        <c:txPr>
          <a:bodyPr/>
          <a:lstStyle/>
          <a:p>
            <a:pPr>
              <a:defRPr b="1"/>
            </a:pPr>
            <a:endParaRPr lang="es-PE"/>
          </a:p>
        </c:txPr>
        <c:crossAx val="118757248"/>
        <c:crosses val="autoZero"/>
        <c:crossBetween val="between"/>
      </c:valAx>
      <c:serAx>
        <c:axId val="117906496"/>
        <c:scaling>
          <c:orientation val="minMax"/>
        </c:scaling>
        <c:delete val="1"/>
        <c:axPos val="b"/>
        <c:majorTickMark val="out"/>
        <c:minorTickMark val="none"/>
        <c:tickLblPos val="nextTo"/>
        <c:crossAx val="118758784"/>
        <c:crosses val="autoZero"/>
      </c:serAx>
    </c:plotArea>
    <c:plotVisOnly val="1"/>
    <c:dispBlanksAs val="gap"/>
    <c:showDLblsOverMax val="0"/>
  </c:chart>
  <c:spPr>
    <a:solidFill>
      <a:sysClr val="window" lastClr="FFFFFF"/>
    </a:solidFill>
    <a:ln w="25400">
      <a:solidFill>
        <a:schemeClr val="tx1"/>
      </a:solidFill>
    </a:ln>
    <a:effectLst/>
    <a:scene3d>
      <a:camera prst="orthographicFront"/>
      <a:lightRig rig="threePt" dir="t"/>
    </a:scene3d>
  </c:sp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45">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drawing4.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5.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6</xdr:col>
      <xdr:colOff>76201</xdr:colOff>
      <xdr:row>3</xdr:row>
      <xdr:rowOff>30480</xdr:rowOff>
    </xdr:from>
    <xdr:to>
      <xdr:col>10</xdr:col>
      <xdr:colOff>518161</xdr:colOff>
      <xdr:row>57</xdr:row>
      <xdr:rowOff>137160</xdr:rowOff>
    </xdr:to>
    <xdr:grpSp>
      <xdr:nvGrpSpPr>
        <xdr:cNvPr id="16" name="10 Grupo">
          <a:extLst>
            <a:ext uri="{FF2B5EF4-FFF2-40B4-BE49-F238E27FC236}">
              <a16:creationId xmlns:a16="http://schemas.microsoft.com/office/drawing/2014/main" id="{00000000-0008-0000-0000-000010000000}"/>
            </a:ext>
          </a:extLst>
        </xdr:cNvPr>
        <xdr:cNvGrpSpPr/>
      </xdr:nvGrpSpPr>
      <xdr:grpSpPr>
        <a:xfrm>
          <a:off x="6286501" y="659130"/>
          <a:ext cx="2842260" cy="9822180"/>
          <a:chOff x="-243849" y="54455"/>
          <a:chExt cx="2568255" cy="9492919"/>
        </a:xfrm>
      </xdr:grpSpPr>
      <xdr:sp macro="" textlink="">
        <xdr:nvSpPr>
          <xdr:cNvPr id="17" name="AutoShape 14">
            <a:extLst>
              <a:ext uri="{FF2B5EF4-FFF2-40B4-BE49-F238E27FC236}">
                <a16:creationId xmlns:a16="http://schemas.microsoft.com/office/drawing/2014/main" id="{00000000-0008-0000-0000-000011000000}"/>
              </a:ext>
            </a:extLst>
          </xdr:cNvPr>
          <xdr:cNvSpPr>
            <a:spLocks noChangeArrowheads="1"/>
          </xdr:cNvSpPr>
        </xdr:nvSpPr>
        <xdr:spPr bwMode="auto">
          <a:xfrm>
            <a:off x="-243849" y="54455"/>
            <a:ext cx="2568255" cy="9492919"/>
          </a:xfrm>
          <a:prstGeom prst="rect">
            <a:avLst/>
          </a:prstGeom>
          <a:solidFill>
            <a:schemeClr val="bg1"/>
          </a:solidFill>
          <a:ln w="15875">
            <a:solidFill>
              <a:schemeClr val="bg2">
                <a:lumMod val="50000"/>
              </a:schemeClr>
            </a:solidFill>
          </a:ln>
        </xdr:spPr>
        <xdr:style>
          <a:lnRef idx="0">
            <a:scrgbClr r="0" g="0" b="0"/>
          </a:lnRef>
          <a:fillRef idx="1002">
            <a:schemeClr val="lt2"/>
          </a:fillRef>
          <a:effectRef idx="0">
            <a:scrgbClr r="0" g="0" b="0"/>
          </a:effectRef>
          <a:fontRef idx="major"/>
        </xdr:style>
        <xdr:txBody>
          <a:bodyPr rot="0" vert="horz" wrap="square" lIns="182880" tIns="457200" rIns="182880" bIns="73152" anchor="t" anchorCtr="0" upright="1">
            <a:noAutofit/>
          </a:bodyPr>
          <a:lstStyle/>
          <a:p>
            <a:pPr algn="ctr">
              <a:lnSpc>
                <a:spcPct val="115000"/>
              </a:lnSpc>
              <a:spcBef>
                <a:spcPts val="2400"/>
              </a:spcBef>
              <a:spcAft>
                <a:spcPts val="1200"/>
              </a:spcAft>
            </a:pPr>
            <a:endParaRPr lang="es-PE" sz="2000" b="1" kern="0">
              <a:solidFill>
                <a:sysClr val="windowText" lastClr="000000"/>
              </a:solidFill>
              <a:effectLst/>
              <a:latin typeface="Arial" pitchFamily="34" charset="0"/>
              <a:ea typeface="Times New Roman"/>
              <a:cs typeface="Arial" pitchFamily="34" charset="0"/>
            </a:endParaRPr>
          </a:p>
          <a:p>
            <a:pPr algn="ctr">
              <a:lnSpc>
                <a:spcPct val="115000"/>
              </a:lnSpc>
              <a:spcBef>
                <a:spcPts val="2400"/>
              </a:spcBef>
              <a:spcAft>
                <a:spcPts val="1200"/>
              </a:spcAft>
            </a:pPr>
            <a:endParaRPr lang="es-PE" sz="1800" b="1" kern="0">
              <a:solidFill>
                <a:sysClr val="windowText" lastClr="000000"/>
              </a:solidFill>
              <a:effectLst/>
              <a:latin typeface="Arial" pitchFamily="34" charset="0"/>
              <a:ea typeface="Times New Roman"/>
              <a:cs typeface="Arial" pitchFamily="34" charset="0"/>
            </a:endParaRPr>
          </a:p>
          <a:p>
            <a:pPr algn="ctr">
              <a:lnSpc>
                <a:spcPct val="115000"/>
              </a:lnSpc>
              <a:spcBef>
                <a:spcPts val="2400"/>
              </a:spcBef>
              <a:spcAft>
                <a:spcPts val="1200"/>
              </a:spcAft>
            </a:pPr>
            <a:r>
              <a:rPr lang="es-PE" sz="1800" b="1" kern="0">
                <a:solidFill>
                  <a:sysClr val="windowText" lastClr="000000"/>
                </a:solidFill>
                <a:effectLst/>
                <a:latin typeface="+mn-lt"/>
                <a:ea typeface="Times New Roman"/>
                <a:cs typeface="Arial" pitchFamily="34" charset="0"/>
              </a:rPr>
              <a:t>I</a:t>
            </a:r>
            <a:r>
              <a:rPr lang="es-PE" sz="1800" b="1" kern="0">
                <a:solidFill>
                  <a:sysClr val="windowText" lastClr="000000"/>
                </a:solidFill>
                <a:effectLst/>
                <a:latin typeface="Arial" panose="020B0604020202020204" pitchFamily="34" charset="0"/>
                <a:ea typeface="Times New Roman"/>
                <a:cs typeface="Arial" panose="020B0604020202020204" pitchFamily="34" charset="0"/>
              </a:rPr>
              <a:t>.- Huelgas presentadas 2024</a:t>
            </a:r>
          </a:p>
          <a:p>
            <a:pPr algn="just">
              <a:lnSpc>
                <a:spcPct val="115000"/>
              </a:lnSpc>
              <a:spcBef>
                <a:spcPts val="2400"/>
              </a:spcBef>
              <a:spcAft>
                <a:spcPts val="1200"/>
              </a:spcAft>
            </a:pPr>
            <a:endParaRPr lang="es-PE" sz="1400" b="0" kern="0">
              <a:solidFill>
                <a:sysClr val="windowText" lastClr="000000"/>
              </a:solidFill>
              <a:effectLst/>
              <a:latin typeface="Arial" pitchFamily="34" charset="0"/>
              <a:ea typeface="Times New Roman"/>
              <a:cs typeface="Arial" pitchFamily="34" charset="0"/>
            </a:endParaRPr>
          </a:p>
          <a:p>
            <a:pPr algn="just">
              <a:lnSpc>
                <a:spcPct val="115000"/>
              </a:lnSpc>
              <a:spcBef>
                <a:spcPts val="2400"/>
              </a:spcBef>
              <a:spcAft>
                <a:spcPts val="1200"/>
              </a:spcAft>
            </a:pPr>
            <a:r>
              <a:rPr lang="es-PE" sz="1200" b="0" kern="0">
                <a:solidFill>
                  <a:sysClr val="windowText" lastClr="000000"/>
                </a:solidFill>
                <a:effectLst/>
                <a:latin typeface="Arial" pitchFamily="34" charset="0"/>
                <a:ea typeface="Times New Roman"/>
                <a:cs typeface="Arial" pitchFamily="34" charset="0"/>
              </a:rPr>
              <a:t>En el año 2024, se</a:t>
            </a:r>
            <a:r>
              <a:rPr lang="es-PE" sz="1200" b="0" kern="0" baseline="0">
                <a:solidFill>
                  <a:sysClr val="windowText" lastClr="000000"/>
                </a:solidFill>
                <a:effectLst/>
                <a:latin typeface="Arial" panose="020B0604020202020204" pitchFamily="34" charset="0"/>
                <a:ea typeface="Times New Roman"/>
                <a:cs typeface="Arial" panose="020B0604020202020204" pitchFamily="34" charset="0"/>
              </a:rPr>
              <a:t> registró 63 huelgas, comprendió a 76 704 trabajadores y generó 2 295 516 horas-hombre perdidas.</a:t>
            </a:r>
          </a:p>
          <a:p>
            <a:pPr algn="just">
              <a:lnSpc>
                <a:spcPct val="115000"/>
              </a:lnSpc>
              <a:spcBef>
                <a:spcPts val="2400"/>
              </a:spcBef>
              <a:spcAft>
                <a:spcPts val="1200"/>
              </a:spcAft>
            </a:pPr>
            <a:r>
              <a:rPr lang="es-PE" sz="1200" b="0" kern="0" baseline="0">
                <a:solidFill>
                  <a:sysClr val="windowText" lastClr="000000"/>
                </a:solidFill>
                <a:effectLst/>
                <a:latin typeface="Arial" panose="020B0604020202020204" pitchFamily="34" charset="0"/>
                <a:ea typeface="Times New Roman"/>
                <a:cs typeface="Arial" panose="020B0604020202020204" pitchFamily="34" charset="0"/>
              </a:rPr>
              <a:t>Comparando con el año  anterior, el registro del número de huelgas creció en (+8); y los trabajadores comprendidos tuvo un descenso de   (+1 179).</a:t>
            </a:r>
          </a:p>
          <a:p>
            <a:pPr algn="just">
              <a:lnSpc>
                <a:spcPct val="115000"/>
              </a:lnSpc>
              <a:spcBef>
                <a:spcPts val="2400"/>
              </a:spcBef>
              <a:spcAft>
                <a:spcPts val="1200"/>
              </a:spcAft>
            </a:pPr>
            <a:r>
              <a:rPr lang="es-PE" sz="1200" b="0" kern="0" baseline="0">
                <a:solidFill>
                  <a:sysClr val="windowText" lastClr="000000"/>
                </a:solidFill>
                <a:effectLst/>
                <a:latin typeface="Arial" panose="020B0604020202020204" pitchFamily="34" charset="0"/>
                <a:ea typeface="Times New Roman"/>
                <a:cs typeface="Arial" panose="020B0604020202020204" pitchFamily="34" charset="0"/>
              </a:rPr>
              <a:t>Sin embargo en lo que se refiere a las hora-hombre perdidas se aprecia un incremento  con respecto al año anterior (-833 507) </a:t>
            </a:r>
            <a:r>
              <a:rPr lang="es-PE" sz="1200" b="0" baseline="0">
                <a:effectLst/>
                <a:latin typeface="Arial" panose="020B0604020202020204" pitchFamily="34" charset="0"/>
                <a:ea typeface="+mj-ea"/>
                <a:cs typeface="Arial" panose="020B0604020202020204" pitchFamily="34" charset="0"/>
              </a:rPr>
              <a:t>hora-hombre perdidas, básicamente debido a las huelgas de algunas empresas e instituciones del estado con régimen privado.</a:t>
            </a:r>
          </a:p>
          <a:p>
            <a:pPr algn="just">
              <a:lnSpc>
                <a:spcPct val="115000"/>
              </a:lnSpc>
              <a:spcBef>
                <a:spcPts val="2400"/>
              </a:spcBef>
              <a:spcAft>
                <a:spcPts val="1200"/>
              </a:spcAft>
            </a:pPr>
            <a:endParaRPr lang="es-PE" sz="1400" b="0" kern="0" baseline="0">
              <a:solidFill>
                <a:sysClr val="windowText" lastClr="000000"/>
              </a:solidFill>
              <a:effectLst/>
              <a:latin typeface="+mn-lt"/>
              <a:ea typeface="Times New Roman"/>
              <a:cs typeface="Arial" pitchFamily="34" charset="0"/>
            </a:endParaRPr>
          </a:p>
          <a:p>
            <a:pPr algn="just">
              <a:lnSpc>
                <a:spcPct val="115000"/>
              </a:lnSpc>
              <a:spcBef>
                <a:spcPts val="2400"/>
              </a:spcBef>
              <a:spcAft>
                <a:spcPts val="1200"/>
              </a:spcAft>
            </a:pPr>
            <a:r>
              <a:rPr lang="es-PE" sz="1400" b="0" kern="0" baseline="0">
                <a:solidFill>
                  <a:sysClr val="windowText" lastClr="000000"/>
                </a:solidFill>
                <a:effectLst/>
                <a:latin typeface="Arial" pitchFamily="34" charset="0"/>
                <a:ea typeface="Times New Roman"/>
                <a:cs typeface="Arial" pitchFamily="34" charset="0"/>
              </a:rPr>
              <a:t> </a:t>
            </a:r>
            <a:endParaRPr lang="es-PE" sz="1100">
              <a:effectLst/>
              <a:latin typeface="Calibri"/>
              <a:ea typeface="Calibri"/>
              <a:cs typeface="Times New Roman"/>
            </a:endParaRPr>
          </a:p>
        </xdr:txBody>
      </xdr:sp>
      <xdr:sp macro="" textlink="">
        <xdr:nvSpPr>
          <xdr:cNvPr id="18" name="Rectangle 45">
            <a:extLst>
              <a:ext uri="{FF2B5EF4-FFF2-40B4-BE49-F238E27FC236}">
                <a16:creationId xmlns:a16="http://schemas.microsoft.com/office/drawing/2014/main" id="{00000000-0008-0000-0000-000012000000}"/>
              </a:ext>
            </a:extLst>
          </xdr:cNvPr>
          <xdr:cNvSpPr/>
        </xdr:nvSpPr>
        <xdr:spPr>
          <a:xfrm>
            <a:off x="-59733" y="288575"/>
            <a:ext cx="2331720" cy="550361"/>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82880" tIns="182880" rIns="182880" bIns="365760" numCol="1" spcCol="0" rtlCol="0" fromWordArt="0" anchor="b" anchorCtr="0" forceAA="0" compatLnSpc="1">
            <a:prstTxWarp prst="textNoShape">
              <a:avLst/>
            </a:prstTxWarp>
            <a:noAutofit/>
          </a:bodyPr>
          <a:lstStyle/>
          <a:p>
            <a:pPr>
              <a:lnSpc>
                <a:spcPct val="115000"/>
              </a:lnSpc>
              <a:spcBef>
                <a:spcPts val="1200"/>
              </a:spcBef>
              <a:spcAft>
                <a:spcPts val="1000"/>
              </a:spcAft>
            </a:pPr>
            <a:r>
              <a:rPr lang="es-PE" sz="1100">
                <a:solidFill>
                  <a:srgbClr val="FFFFFF"/>
                </a:solidFill>
                <a:effectLst/>
                <a:ea typeface="Calibri"/>
                <a:cs typeface="Times New Roman"/>
              </a:rPr>
              <a:t> </a:t>
            </a:r>
            <a:endParaRPr lang="es-PE" sz="1100">
              <a:effectLst/>
              <a:ea typeface="Calibri"/>
              <a:cs typeface="Times New Roman"/>
            </a:endParaRPr>
          </a:p>
        </xdr:txBody>
      </xdr:sp>
      <xdr:sp macro="" textlink="">
        <xdr:nvSpPr>
          <xdr:cNvPr id="19" name="Rectangle 46">
            <a:extLst>
              <a:ext uri="{FF2B5EF4-FFF2-40B4-BE49-F238E27FC236}">
                <a16:creationId xmlns:a16="http://schemas.microsoft.com/office/drawing/2014/main" id="{00000000-0008-0000-0000-000013000000}"/>
              </a:ext>
            </a:extLst>
          </xdr:cNvPr>
          <xdr:cNvSpPr/>
        </xdr:nvSpPr>
        <xdr:spPr>
          <a:xfrm>
            <a:off x="-68085" y="8858159"/>
            <a:ext cx="2331720" cy="398177"/>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82880" tIns="182880" rIns="182880" bIns="365760" numCol="1" spcCol="0" rtlCol="0" fromWordArt="0" anchor="b" anchorCtr="0" forceAA="0" compatLnSpc="1">
            <a:prstTxWarp prst="textNoShape">
              <a:avLst/>
            </a:prstTxWarp>
            <a:noAutofit/>
          </a:bodyPr>
          <a:lstStyle/>
          <a:p>
            <a:pPr>
              <a:lnSpc>
                <a:spcPct val="115000"/>
              </a:lnSpc>
              <a:spcBef>
                <a:spcPts val="1200"/>
              </a:spcBef>
              <a:spcAft>
                <a:spcPts val="1000"/>
              </a:spcAft>
            </a:pPr>
            <a:r>
              <a:rPr lang="es-PE" sz="1100">
                <a:solidFill>
                  <a:srgbClr val="FFFFFF"/>
                </a:solidFill>
                <a:effectLst/>
                <a:ea typeface="Calibri"/>
                <a:cs typeface="Times New Roman"/>
              </a:rPr>
              <a:t> </a:t>
            </a:r>
            <a:endParaRPr lang="es-PE" sz="1100">
              <a:effectLst/>
              <a:ea typeface="Calibri"/>
              <a:cs typeface="Times New Roman"/>
            </a:endParaRPr>
          </a:p>
        </xdr:txBody>
      </xdr:sp>
    </xdr:grpSp>
    <xdr:clientData/>
  </xdr:twoCellAnchor>
  <xdr:twoCellAnchor editAs="oneCell">
    <xdr:from>
      <xdr:col>2</xdr:col>
      <xdr:colOff>205154</xdr:colOff>
      <xdr:row>13</xdr:row>
      <xdr:rowOff>7328</xdr:rowOff>
    </xdr:from>
    <xdr:to>
      <xdr:col>5</xdr:col>
      <xdr:colOff>1531327</xdr:colOff>
      <xdr:row>27</xdr:row>
      <xdr:rowOff>7327</xdr:rowOff>
    </xdr:to>
    <xdr:pic>
      <xdr:nvPicPr>
        <xdr:cNvPr id="3" name="Imagen 2">
          <a:extLst>
            <a:ext uri="{FF2B5EF4-FFF2-40B4-BE49-F238E27FC236}">
              <a16:creationId xmlns:a16="http://schemas.microsoft.com/office/drawing/2014/main" id="{A1B8C5C6-B417-648B-EB6E-6AAAAF0805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1616" y="3245828"/>
          <a:ext cx="4938346" cy="22566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234460</xdr:colOff>
      <xdr:row>28</xdr:row>
      <xdr:rowOff>95252</xdr:rowOff>
    </xdr:from>
    <xdr:to>
      <xdr:col>5</xdr:col>
      <xdr:colOff>1502018</xdr:colOff>
      <xdr:row>42</xdr:row>
      <xdr:rowOff>14654</xdr:rowOff>
    </xdr:to>
    <xdr:pic>
      <xdr:nvPicPr>
        <xdr:cNvPr id="4" name="Imagen 3">
          <a:extLst>
            <a:ext uri="{FF2B5EF4-FFF2-40B4-BE49-F238E27FC236}">
              <a16:creationId xmlns:a16="http://schemas.microsoft.com/office/drawing/2014/main" id="{D4D3DDDE-21EC-45E8-59EF-D7AC7CA18E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0922" y="5751637"/>
          <a:ext cx="4879731" cy="2176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227133</xdr:colOff>
      <xdr:row>43</xdr:row>
      <xdr:rowOff>87923</xdr:rowOff>
    </xdr:from>
    <xdr:to>
      <xdr:col>5</xdr:col>
      <xdr:colOff>1458057</xdr:colOff>
      <xdr:row>57</xdr:row>
      <xdr:rowOff>36634</xdr:rowOff>
    </xdr:to>
    <xdr:pic>
      <xdr:nvPicPr>
        <xdr:cNvPr id="6" name="Imagen 5">
          <a:extLst>
            <a:ext uri="{FF2B5EF4-FFF2-40B4-BE49-F238E27FC236}">
              <a16:creationId xmlns:a16="http://schemas.microsoft.com/office/drawing/2014/main" id="{5EA06466-97E4-2677-7152-8FD9DCCF96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3595" y="8162192"/>
          <a:ext cx="4843097" cy="219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0.03582</cdr:x>
      <cdr:y>0.01045</cdr:y>
    </cdr:from>
    <cdr:to>
      <cdr:x>0.98209</cdr:x>
      <cdr:y>0.10453</cdr:y>
    </cdr:to>
    <cdr:sp macro="" textlink="">
      <cdr:nvSpPr>
        <cdr:cNvPr id="2" name="CuadroTexto 1">
          <a:extLst xmlns:a="http://schemas.openxmlformats.org/drawingml/2006/main">
            <a:ext uri="{FF2B5EF4-FFF2-40B4-BE49-F238E27FC236}">
              <a16:creationId xmlns:a16="http://schemas.microsoft.com/office/drawing/2014/main" id="{A39C78EA-B66C-4CB7-A4EC-A0C70125AF03}"/>
            </a:ext>
          </a:extLst>
        </cdr:cNvPr>
        <cdr:cNvSpPr txBox="1"/>
      </cdr:nvSpPr>
      <cdr:spPr>
        <a:xfrm xmlns:a="http://schemas.openxmlformats.org/drawingml/2006/main">
          <a:off x="114298" y="28575"/>
          <a:ext cx="3019425" cy="25717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PE" sz="1100" b="1"/>
        </a:p>
      </cdr:txBody>
    </cdr:sp>
  </cdr:relSizeAnchor>
</c:userShapes>
</file>

<file path=xl/drawings/drawing11.xml><?xml version="1.0" encoding="utf-8"?>
<xdr:wsDr xmlns:xdr="http://schemas.openxmlformats.org/drawingml/2006/spreadsheetDrawing" xmlns:a="http://schemas.openxmlformats.org/drawingml/2006/main">
  <xdr:twoCellAnchor>
    <xdr:from>
      <xdr:col>10</xdr:col>
      <xdr:colOff>765175</xdr:colOff>
      <xdr:row>50</xdr:row>
      <xdr:rowOff>44450</xdr:rowOff>
    </xdr:from>
    <xdr:to>
      <xdr:col>20</xdr:col>
      <xdr:colOff>273050</xdr:colOff>
      <xdr:row>68</xdr:row>
      <xdr:rowOff>26987</xdr:rowOff>
    </xdr:to>
    <xdr:graphicFrame macro="">
      <xdr:nvGraphicFramePr>
        <xdr:cNvPr id="13" name="12 Gráfico">
          <a:extLst>
            <a:ext uri="{FF2B5EF4-FFF2-40B4-BE49-F238E27FC236}">
              <a16:creationId xmlns:a16="http://schemas.microsoft.com/office/drawing/2014/main" id="{00000000-0008-0000-09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396875</xdr:colOff>
      <xdr:row>50</xdr:row>
      <xdr:rowOff>33618</xdr:rowOff>
    </xdr:from>
    <xdr:to>
      <xdr:col>10</xdr:col>
      <xdr:colOff>523874</xdr:colOff>
      <xdr:row>69</xdr:row>
      <xdr:rowOff>107576</xdr:rowOff>
    </xdr:to>
    <xdr:graphicFrame macro="">
      <xdr:nvGraphicFramePr>
        <xdr:cNvPr id="17" name="16 Gráfico">
          <a:extLst>
            <a:ext uri="{FF2B5EF4-FFF2-40B4-BE49-F238E27FC236}">
              <a16:creationId xmlns:a16="http://schemas.microsoft.com/office/drawing/2014/main" id="{00000000-0008-0000-09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295275</xdr:colOff>
      <xdr:row>71</xdr:row>
      <xdr:rowOff>79375</xdr:rowOff>
    </xdr:from>
    <xdr:to>
      <xdr:col>15</xdr:col>
      <xdr:colOff>125506</xdr:colOff>
      <xdr:row>89</xdr:row>
      <xdr:rowOff>109537</xdr:rowOff>
    </xdr:to>
    <xdr:graphicFrame macro="">
      <xdr:nvGraphicFramePr>
        <xdr:cNvPr id="18" name="17 Gráfico">
          <a:extLst>
            <a:ext uri="{FF2B5EF4-FFF2-40B4-BE49-F238E27FC236}">
              <a16:creationId xmlns:a16="http://schemas.microsoft.com/office/drawing/2014/main" id="{00000000-0008-0000-09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0.04037</cdr:x>
      <cdr:y>0.06233</cdr:y>
    </cdr:from>
    <cdr:to>
      <cdr:x>0.16096</cdr:x>
      <cdr:y>0.1655</cdr:y>
    </cdr:to>
    <cdr:sp macro="" textlink="">
      <cdr:nvSpPr>
        <cdr:cNvPr id="2" name="1 CuadroTexto"/>
        <cdr:cNvSpPr txBox="1"/>
      </cdr:nvSpPr>
      <cdr:spPr>
        <a:xfrm xmlns:a="http://schemas.openxmlformats.org/drawingml/2006/main">
          <a:off x="250825" y="184150"/>
          <a:ext cx="749300" cy="3048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PE" sz="1100" b="1"/>
            <a:t>EN</a:t>
          </a:r>
          <a:r>
            <a:rPr lang="es-PE" sz="1100" b="1" baseline="0"/>
            <a:t> MILES</a:t>
          </a:r>
          <a:endParaRPr lang="es-PE" sz="1100" b="1"/>
        </a:p>
      </cdr:txBody>
    </cdr:sp>
  </cdr:relSizeAnchor>
</c:userShapes>
</file>

<file path=xl/drawings/drawing13.xml><?xml version="1.0" encoding="utf-8"?>
<c:userShapes xmlns:c="http://schemas.openxmlformats.org/drawingml/2006/chart">
  <cdr:relSizeAnchor xmlns:cdr="http://schemas.openxmlformats.org/drawingml/2006/chartDrawing">
    <cdr:from>
      <cdr:x>0.40714</cdr:x>
      <cdr:y>3.27362E-7</cdr:y>
    </cdr:from>
    <cdr:to>
      <cdr:x>0.5556</cdr:x>
      <cdr:y>0.10271</cdr:y>
    </cdr:to>
    <cdr:sp macro="" textlink="">
      <cdr:nvSpPr>
        <cdr:cNvPr id="2" name="1 CuadroTexto"/>
        <cdr:cNvSpPr txBox="1"/>
      </cdr:nvSpPr>
      <cdr:spPr>
        <a:xfrm xmlns:a="http://schemas.openxmlformats.org/drawingml/2006/main">
          <a:off x="2501677" y="1"/>
          <a:ext cx="912221" cy="3137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PE" sz="1600" b="1"/>
            <a:t>HUELGAS</a:t>
          </a:r>
        </a:p>
      </cdr:txBody>
    </cdr:sp>
  </cdr:relSizeAnchor>
</c:userShapes>
</file>

<file path=xl/drawings/drawing14.xml><?xml version="1.0" encoding="utf-8"?>
<c:userShapes xmlns:c="http://schemas.openxmlformats.org/drawingml/2006/chart">
  <cdr:relSizeAnchor xmlns:cdr="http://schemas.openxmlformats.org/drawingml/2006/chartDrawing">
    <cdr:from>
      <cdr:x>0.0381</cdr:x>
      <cdr:y>0.05817</cdr:y>
    </cdr:from>
    <cdr:to>
      <cdr:x>0.16816</cdr:x>
      <cdr:y>0.17663</cdr:y>
    </cdr:to>
    <cdr:sp macro="" textlink="">
      <cdr:nvSpPr>
        <cdr:cNvPr id="2" name="1 CuadroTexto"/>
        <cdr:cNvSpPr txBox="1"/>
      </cdr:nvSpPr>
      <cdr:spPr>
        <a:xfrm xmlns:a="http://schemas.openxmlformats.org/drawingml/2006/main">
          <a:off x="238125" y="174625"/>
          <a:ext cx="812800" cy="3556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PE" sz="1100" b="1"/>
            <a:t>EN MILES</a:t>
          </a:r>
        </a:p>
      </cdr:txBody>
    </cdr:sp>
  </cdr:relSizeAnchor>
</c:userShapes>
</file>

<file path=xl/drawings/drawing15.xml><?xml version="1.0" encoding="utf-8"?>
<xdr:wsDr xmlns:xdr="http://schemas.openxmlformats.org/drawingml/2006/spreadsheetDrawing" xmlns:a="http://schemas.openxmlformats.org/drawingml/2006/main">
  <xdr:twoCellAnchor>
    <xdr:from>
      <xdr:col>15</xdr:col>
      <xdr:colOff>97582</xdr:colOff>
      <xdr:row>9</xdr:row>
      <xdr:rowOff>350541</xdr:rowOff>
    </xdr:from>
    <xdr:to>
      <xdr:col>20</xdr:col>
      <xdr:colOff>693615</xdr:colOff>
      <xdr:row>11</xdr:row>
      <xdr:rowOff>988218</xdr:rowOff>
    </xdr:to>
    <xdr:graphicFrame macro="">
      <xdr:nvGraphicFramePr>
        <xdr:cNvPr id="3" name="2 Gráfico">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24645</xdr:colOff>
      <xdr:row>12</xdr:row>
      <xdr:rowOff>138966</xdr:rowOff>
    </xdr:from>
    <xdr:to>
      <xdr:col>20</xdr:col>
      <xdr:colOff>631031</xdr:colOff>
      <xdr:row>21</xdr:row>
      <xdr:rowOff>130970</xdr:rowOff>
    </xdr:to>
    <xdr:graphicFrame macro="">
      <xdr:nvGraphicFramePr>
        <xdr:cNvPr id="6" name="5 Gráfico">
          <a:extLst>
            <a:ext uri="{FF2B5EF4-FFF2-40B4-BE49-F238E27FC236}">
              <a16:creationId xmlns:a16="http://schemas.microsoft.com/office/drawing/2014/main" id="{00000000-0008-0000-0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178222</xdr:colOff>
      <xdr:row>25</xdr:row>
      <xdr:rowOff>60489</xdr:rowOff>
    </xdr:from>
    <xdr:to>
      <xdr:col>20</xdr:col>
      <xdr:colOff>654844</xdr:colOff>
      <xdr:row>40</xdr:row>
      <xdr:rowOff>154781</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0.27701</cdr:x>
      <cdr:y>0.00099</cdr:y>
    </cdr:from>
    <cdr:to>
      <cdr:x>0.74905</cdr:x>
      <cdr:y>0.13124</cdr:y>
    </cdr:to>
    <cdr:pic>
      <cdr:nvPicPr>
        <cdr:cNvPr id="2" name="chart">
          <a:extLst xmlns:a="http://schemas.openxmlformats.org/drawingml/2006/main">
            <a:ext uri="{FF2B5EF4-FFF2-40B4-BE49-F238E27FC236}">
              <a16:creationId xmlns:a16="http://schemas.microsoft.com/office/drawing/2014/main" id="{9721EC21-AA00-4373-B82D-07D86F71695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386521" y="2449"/>
          <a:ext cx="2362730" cy="322286"/>
        </a:xfrm>
        <a:prstGeom xmlns:a="http://schemas.openxmlformats.org/drawingml/2006/main" prst="rect">
          <a:avLst/>
        </a:prstGeom>
      </cdr:spPr>
    </cdr:pic>
  </cdr:relSizeAnchor>
</c:userShapes>
</file>

<file path=xl/drawings/drawing17.xml><?xml version="1.0" encoding="utf-8"?>
<c:userShapes xmlns:c="http://schemas.openxmlformats.org/drawingml/2006/chart">
  <cdr:relSizeAnchor xmlns:cdr="http://schemas.openxmlformats.org/drawingml/2006/chartDrawing">
    <cdr:from>
      <cdr:x>0.06336</cdr:x>
      <cdr:y>0.0652</cdr:y>
    </cdr:from>
    <cdr:to>
      <cdr:x>0.93985</cdr:x>
      <cdr:y>0.14838</cdr:y>
    </cdr:to>
    <cdr:pic>
      <cdr:nvPicPr>
        <cdr:cNvPr id="2" name="chart" descr="oooooo">
          <a:extLst xmlns:a="http://schemas.openxmlformats.org/drawingml/2006/main">
            <a:ext uri="{FF2B5EF4-FFF2-40B4-BE49-F238E27FC236}">
              <a16:creationId xmlns:a16="http://schemas.microsoft.com/office/drawing/2014/main" id="{89663D6D-1811-447F-A5DA-1EC79094CC8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11506" y="172598"/>
          <a:ext cx="4309219" cy="220186"/>
        </a:xfrm>
        <a:prstGeom xmlns:a="http://schemas.openxmlformats.org/drawingml/2006/main" prst="rect">
          <a:avLst/>
        </a:prstGeom>
      </cdr:spPr>
    </cdr:pic>
  </cdr:relSizeAnchor>
</c:userShapes>
</file>

<file path=xl/drawings/drawing18.xml><?xml version="1.0" encoding="utf-8"?>
<c:userShapes xmlns:c="http://schemas.openxmlformats.org/drawingml/2006/chart">
  <cdr:relSizeAnchor xmlns:cdr="http://schemas.openxmlformats.org/drawingml/2006/chartDrawing">
    <cdr:from>
      <cdr:x>0.16813</cdr:x>
      <cdr:y>0.02527</cdr:y>
    </cdr:from>
    <cdr:to>
      <cdr:x>0.93358</cdr:x>
      <cdr:y>0.17899</cdr:y>
    </cdr:to>
    <cdr:pic>
      <cdr:nvPicPr>
        <cdr:cNvPr id="2" name="chart">
          <a:extLst xmlns:a="http://schemas.openxmlformats.org/drawingml/2006/main">
            <a:ext uri="{FF2B5EF4-FFF2-40B4-BE49-F238E27FC236}">
              <a16:creationId xmlns:a16="http://schemas.microsoft.com/office/drawing/2014/main" id="{3CD75AB3-A3FF-4F5C-9B5D-BB9658E06DE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73984" y="71438"/>
          <a:ext cx="3979053" cy="434453"/>
        </a:xfrm>
        <a:prstGeom xmlns:a="http://schemas.openxmlformats.org/drawingml/2006/main" prst="rect">
          <a:avLst/>
        </a:prstGeom>
      </cdr:spPr>
    </cdr:pic>
  </cdr:relSizeAnchor>
</c:userShapes>
</file>

<file path=xl/drawings/drawing19.xml><?xml version="1.0" encoding="utf-8"?>
<xdr:wsDr xmlns:xdr="http://schemas.openxmlformats.org/drawingml/2006/spreadsheetDrawing" xmlns:a="http://schemas.openxmlformats.org/drawingml/2006/main">
  <xdr:twoCellAnchor>
    <xdr:from>
      <xdr:col>2</xdr:col>
      <xdr:colOff>333376</xdr:colOff>
      <xdr:row>21</xdr:row>
      <xdr:rowOff>95250</xdr:rowOff>
    </xdr:from>
    <xdr:to>
      <xdr:col>12</xdr:col>
      <xdr:colOff>349250</xdr:colOff>
      <xdr:row>43</xdr:row>
      <xdr:rowOff>47625</xdr:rowOff>
    </xdr:to>
    <xdr:graphicFrame macro="">
      <xdr:nvGraphicFramePr>
        <xdr:cNvPr id="2" name="1 Gráfico">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165099</xdr:colOff>
      <xdr:row>45</xdr:row>
      <xdr:rowOff>63499</xdr:rowOff>
    </xdr:from>
    <xdr:to>
      <xdr:col>11</xdr:col>
      <xdr:colOff>206375</xdr:colOff>
      <xdr:row>69</xdr:row>
      <xdr:rowOff>63500</xdr:rowOff>
    </xdr:to>
    <xdr:graphicFrame macro="">
      <xdr:nvGraphicFramePr>
        <xdr:cNvPr id="3" name="2 Gráfico">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158750</xdr:colOff>
      <xdr:row>69</xdr:row>
      <xdr:rowOff>142875</xdr:rowOff>
    </xdr:from>
    <xdr:to>
      <xdr:col>11</xdr:col>
      <xdr:colOff>158750</xdr:colOff>
      <xdr:row>95</xdr:row>
      <xdr:rowOff>31750</xdr:rowOff>
    </xdr:to>
    <xdr:graphicFrame macro="">
      <xdr:nvGraphicFramePr>
        <xdr:cNvPr id="4" name="3 Gráfico">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112661</xdr:colOff>
      <xdr:row>4</xdr:row>
      <xdr:rowOff>133145</xdr:rowOff>
    </xdr:from>
    <xdr:to>
      <xdr:col>5</xdr:col>
      <xdr:colOff>399436</xdr:colOff>
      <xdr:row>74</xdr:row>
      <xdr:rowOff>40968</xdr:rowOff>
    </xdr:to>
    <xdr:grpSp>
      <xdr:nvGrpSpPr>
        <xdr:cNvPr id="12" name="4 Grupo">
          <a:extLst>
            <a:ext uri="{FF2B5EF4-FFF2-40B4-BE49-F238E27FC236}">
              <a16:creationId xmlns:a16="http://schemas.microsoft.com/office/drawing/2014/main" id="{00000000-0008-0000-0100-00000C000000}"/>
            </a:ext>
          </a:extLst>
        </xdr:cNvPr>
        <xdr:cNvGrpSpPr/>
      </xdr:nvGrpSpPr>
      <xdr:grpSpPr>
        <a:xfrm>
          <a:off x="645242" y="870564"/>
          <a:ext cx="4291371" cy="11522178"/>
          <a:chOff x="180534" y="78410"/>
          <a:chExt cx="2887619" cy="12377144"/>
        </a:xfrm>
      </xdr:grpSpPr>
      <xdr:sp macro="" textlink="">
        <xdr:nvSpPr>
          <xdr:cNvPr id="13" name="AutoShape 14">
            <a:extLst>
              <a:ext uri="{FF2B5EF4-FFF2-40B4-BE49-F238E27FC236}">
                <a16:creationId xmlns:a16="http://schemas.microsoft.com/office/drawing/2014/main" id="{00000000-0008-0000-0100-00000D000000}"/>
              </a:ext>
            </a:extLst>
          </xdr:cNvPr>
          <xdr:cNvSpPr>
            <a:spLocks noChangeArrowheads="1"/>
          </xdr:cNvSpPr>
        </xdr:nvSpPr>
        <xdr:spPr bwMode="auto">
          <a:xfrm>
            <a:off x="180534" y="78410"/>
            <a:ext cx="2887619" cy="12377144"/>
          </a:xfrm>
          <a:prstGeom prst="rect">
            <a:avLst/>
          </a:prstGeom>
          <a:solidFill>
            <a:schemeClr val="bg1"/>
          </a:solidFill>
          <a:ln w="15875">
            <a:solidFill>
              <a:schemeClr val="bg2">
                <a:lumMod val="50000"/>
              </a:schemeClr>
            </a:solidFill>
          </a:ln>
        </xdr:spPr>
        <xdr:style>
          <a:lnRef idx="0">
            <a:scrgbClr r="0" g="0" b="0"/>
          </a:lnRef>
          <a:fillRef idx="1002">
            <a:schemeClr val="lt2"/>
          </a:fillRef>
          <a:effectRef idx="0">
            <a:scrgbClr r="0" g="0" b="0"/>
          </a:effectRef>
          <a:fontRef idx="major"/>
        </xdr:style>
        <xdr:txBody>
          <a:bodyPr rot="0" vert="horz" wrap="square" lIns="182880" tIns="457200" rIns="182880" bIns="73152" anchor="ctr" anchorCtr="0" upright="1">
            <a:noAutofit/>
          </a:bodyPr>
          <a:lstStyle/>
          <a:p>
            <a:pPr algn="ctr">
              <a:lnSpc>
                <a:spcPct val="115000"/>
              </a:lnSpc>
              <a:spcBef>
                <a:spcPts val="2400"/>
              </a:spcBef>
              <a:spcAft>
                <a:spcPts val="1200"/>
              </a:spcAft>
            </a:pPr>
            <a:r>
              <a:rPr lang="es-PE" sz="1800" b="1" kern="0">
                <a:solidFill>
                  <a:sysClr val="windowText" lastClr="000000"/>
                </a:solidFill>
                <a:effectLst/>
                <a:latin typeface="Arial" panose="020B0604020202020204" pitchFamily="34" charset="0"/>
                <a:ea typeface="Times New Roman"/>
                <a:cs typeface="Arial" panose="020B0604020202020204" pitchFamily="34" charset="0"/>
              </a:rPr>
              <a:t>II.- Causas</a:t>
            </a:r>
          </a:p>
          <a:p>
            <a:pPr algn="just">
              <a:lnSpc>
                <a:spcPct val="115000"/>
              </a:lnSpc>
              <a:spcBef>
                <a:spcPts val="2400"/>
              </a:spcBef>
              <a:spcAft>
                <a:spcPts val="1200"/>
              </a:spcAft>
            </a:pPr>
            <a:r>
              <a:rPr lang="es-PE" sz="1200" b="0" kern="0">
                <a:solidFill>
                  <a:sysClr val="windowText" lastClr="000000"/>
                </a:solidFill>
                <a:effectLst/>
                <a:latin typeface="Arial" panose="020B0604020202020204" pitchFamily="34" charset="0"/>
                <a:ea typeface="Times New Roman"/>
                <a:cs typeface="Arial" panose="020B0604020202020204" pitchFamily="34" charset="0"/>
              </a:rPr>
              <a:t>La</a:t>
            </a:r>
            <a:r>
              <a:rPr lang="es-PE" sz="1200" b="0" kern="0" baseline="0">
                <a:solidFill>
                  <a:sysClr val="windowText" lastClr="000000"/>
                </a:solidFill>
                <a:effectLst/>
                <a:latin typeface="Arial" panose="020B0604020202020204" pitchFamily="34" charset="0"/>
                <a:ea typeface="Times New Roman"/>
                <a:cs typeface="Arial" panose="020B0604020202020204" pitchFamily="34" charset="0"/>
              </a:rPr>
              <a:t> </a:t>
            </a:r>
            <a:r>
              <a:rPr lang="es-PE" sz="1200" b="0" baseline="0">
                <a:effectLst/>
                <a:latin typeface="Arial" panose="020B0604020202020204" pitchFamily="34" charset="0"/>
                <a:ea typeface="+mj-ea"/>
                <a:cs typeface="Arial" panose="020B0604020202020204" pitchFamily="34" charset="0"/>
              </a:rPr>
              <a:t>causa</a:t>
            </a:r>
            <a:r>
              <a:rPr lang="es-PE" sz="1200" b="0" kern="0" baseline="0">
                <a:solidFill>
                  <a:sysClr val="windowText" lastClr="000000"/>
                </a:solidFill>
                <a:effectLst/>
                <a:latin typeface="Arial" panose="020B0604020202020204" pitchFamily="34" charset="0"/>
                <a:ea typeface="Times New Roman"/>
                <a:cs typeface="Arial" panose="020B0604020202020204" pitchFamily="34" charset="0"/>
              </a:rPr>
              <a:t> principal </a:t>
            </a:r>
            <a:r>
              <a:rPr lang="es-PE" sz="1200" b="0" baseline="0">
                <a:effectLst/>
                <a:latin typeface="Arial" panose="020B0604020202020204" pitchFamily="34" charset="0"/>
                <a:ea typeface="+mj-ea"/>
                <a:cs typeface="Arial" panose="020B0604020202020204" pitchFamily="34" charset="0"/>
              </a:rPr>
              <a:t> de las huelgas registradas en el año 2024,  fue la causa NEGOCIACIÓN COLECTIVA (Solución integral del pliego de reclamos); registrando 22 huelgas (34.92%); 22 154 trabajadores comprendidos (28.88%) y  586 856 horas-hombre perdidas (25.57%).</a:t>
            </a:r>
          </a:p>
          <a:p>
            <a:pPr algn="just">
              <a:lnSpc>
                <a:spcPct val="115000"/>
              </a:lnSpc>
              <a:spcBef>
                <a:spcPts val="2400"/>
              </a:spcBef>
              <a:spcAft>
                <a:spcPts val="1200"/>
              </a:spcAft>
            </a:pPr>
            <a:r>
              <a:rPr lang="es-PE" sz="1200" b="0" kern="0" baseline="0">
                <a:solidFill>
                  <a:sysClr val="windowText" lastClr="000000"/>
                </a:solidFill>
                <a:effectLst/>
                <a:latin typeface="Arial" panose="020B0604020202020204" pitchFamily="34" charset="0"/>
                <a:ea typeface="+mj-ea"/>
                <a:cs typeface="Arial" panose="020B0604020202020204" pitchFamily="34" charset="0"/>
              </a:rPr>
              <a:t>Sigue en importancia, ocupando un segundo lugar la causa </a:t>
            </a:r>
            <a:r>
              <a:rPr lang="es-PE" sz="1200" b="0" baseline="0">
                <a:effectLst/>
                <a:latin typeface="Arial" panose="020B0604020202020204" pitchFamily="34" charset="0"/>
                <a:ea typeface="+mj-ea"/>
                <a:cs typeface="Arial" panose="020B0604020202020204" pitchFamily="34" charset="0"/>
              </a:rPr>
              <a:t>OTROS MOTIVOS </a:t>
            </a:r>
            <a:r>
              <a:rPr lang="es-PE" sz="1200" b="0" kern="0" baseline="0">
                <a:solidFill>
                  <a:sysClr val="windowText" lastClr="000000"/>
                </a:solidFill>
                <a:effectLst/>
                <a:latin typeface="Arial" panose="020B0604020202020204" pitchFamily="34" charset="0"/>
                <a:ea typeface="+mj-ea"/>
                <a:cs typeface="Arial" panose="020B0604020202020204" pitchFamily="34" charset="0"/>
              </a:rPr>
              <a:t> </a:t>
            </a:r>
            <a:r>
              <a:rPr lang="es-PE" sz="1200" b="0" kern="0" baseline="0">
                <a:solidFill>
                  <a:sysClr val="windowText" lastClr="000000"/>
                </a:solidFill>
                <a:effectLst/>
                <a:latin typeface="Arial" panose="020B0604020202020204" pitchFamily="34" charset="0"/>
                <a:ea typeface="Times New Roman"/>
                <a:cs typeface="Arial" panose="020B0604020202020204" pitchFamily="34" charset="0"/>
              </a:rPr>
              <a:t>(Derogatoria del Decreto Legislativo N° 1602-2023, eliminación de la Ley N° 30057,  respaldo a la modificatoria del artículo 6° del Decreto Legislativo N° 1057,  reincorporación de los dirigentes sindicales que han sido despedidos arbitrariamente sin respetar el fuero sindical como lo establece la Constitución Política del Perú y la OIT, incumplimiento del segundo tramo de la escala salarial para el 2024, otros.), con 21 huelgas (33.33%); 41 804 trabajadores comprendidos (54.50%) y 1 183 724 Horas-Hombre Perdidas (51.57%).  </a:t>
            </a:r>
          </a:p>
          <a:p>
            <a:pPr algn="just">
              <a:lnSpc>
                <a:spcPct val="115000"/>
              </a:lnSpc>
              <a:spcBef>
                <a:spcPts val="2400"/>
              </a:spcBef>
              <a:spcAft>
                <a:spcPts val="1200"/>
              </a:spcAft>
            </a:pPr>
            <a:r>
              <a:rPr lang="es-PE" sz="1200" b="0" kern="0" baseline="0">
                <a:solidFill>
                  <a:sysClr val="windowText" lastClr="000000"/>
                </a:solidFill>
                <a:effectLst/>
                <a:latin typeface="Arial" panose="020B0604020202020204" pitchFamily="34" charset="0"/>
                <a:ea typeface="Times New Roman"/>
                <a:cs typeface="Arial" panose="020B0604020202020204" pitchFamily="34" charset="0"/>
              </a:rPr>
              <a:t>Ocupa un tercer lugar la causa </a:t>
            </a:r>
            <a:r>
              <a:rPr lang="es-PE" sz="1200" b="0" baseline="0">
                <a:effectLst/>
                <a:latin typeface="Arial" panose="020B0604020202020204" pitchFamily="34" charset="0"/>
                <a:ea typeface="+mj-ea"/>
                <a:cs typeface="Arial" panose="020B0604020202020204" pitchFamily="34" charset="0"/>
              </a:rPr>
              <a:t>INCUMPLIMIENTO DE NORMAS LEGALES Y/O CONVENCIONALES (Respeto a la libertad sindical, reconocimiento económico por el ejercicio 2022, dotación de internet de Fibra Óptica y la dotación de la señal 4G, dotación de refrigerio y el tarro de leche, cambio de la clínica Santa Cruz, cambio del Médico Ocupacional, cobertura del SCTR, cambio del Jefe de Campamentos, devolución de incentivos, reducción de remuneraciones, incumplimiento de capacitaciones,  apoyo legal, hostigamiento laboral, canastas navideñas, otros.),  </a:t>
            </a:r>
            <a:r>
              <a:rPr lang="es-PE" sz="1200" b="0" kern="0" baseline="0">
                <a:solidFill>
                  <a:sysClr val="windowText" lastClr="000000"/>
                </a:solidFill>
                <a:effectLst/>
                <a:latin typeface="Arial" panose="020B0604020202020204" pitchFamily="34" charset="0"/>
                <a:ea typeface="Times New Roman"/>
                <a:cs typeface="Arial" panose="020B0604020202020204" pitchFamily="34" charset="0"/>
              </a:rPr>
              <a:t>con 20 huelgas (31.75%), 12 746 trabajadores comprendidos (16.72%) y 524 936 horas - hombre perdidas (22.87%).</a:t>
            </a:r>
          </a:p>
        </xdr:txBody>
      </xdr:sp>
      <xdr:sp macro="" textlink="">
        <xdr:nvSpPr>
          <xdr:cNvPr id="14" name="Rectangle 45">
            <a:extLst>
              <a:ext uri="{FF2B5EF4-FFF2-40B4-BE49-F238E27FC236}">
                <a16:creationId xmlns:a16="http://schemas.microsoft.com/office/drawing/2014/main" id="{00000000-0008-0000-0100-00000E000000}"/>
              </a:ext>
            </a:extLst>
          </xdr:cNvPr>
          <xdr:cNvSpPr/>
        </xdr:nvSpPr>
        <xdr:spPr>
          <a:xfrm>
            <a:off x="404395" y="604308"/>
            <a:ext cx="2448539" cy="723962"/>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82880" tIns="182880" rIns="182880" bIns="365760" numCol="1" spcCol="0" rtlCol="0" fromWordArt="0" anchor="b" anchorCtr="0" forceAA="0" compatLnSpc="1">
            <a:prstTxWarp prst="textNoShape">
              <a:avLst/>
            </a:prstTxWarp>
            <a:noAutofit/>
          </a:bodyPr>
          <a:lstStyle/>
          <a:p>
            <a:pPr>
              <a:lnSpc>
                <a:spcPct val="115000"/>
              </a:lnSpc>
              <a:spcBef>
                <a:spcPts val="1200"/>
              </a:spcBef>
              <a:spcAft>
                <a:spcPts val="1000"/>
              </a:spcAft>
            </a:pPr>
            <a:r>
              <a:rPr lang="es-PE" sz="1100">
                <a:solidFill>
                  <a:srgbClr val="FFFFFF"/>
                </a:solidFill>
                <a:effectLst/>
                <a:ea typeface="Calibri"/>
                <a:cs typeface="Times New Roman"/>
              </a:rPr>
              <a:t> </a:t>
            </a:r>
            <a:endParaRPr lang="es-PE" sz="1100">
              <a:effectLst/>
              <a:ea typeface="Calibri"/>
              <a:cs typeface="Times New Roman"/>
            </a:endParaRPr>
          </a:p>
        </xdr:txBody>
      </xdr:sp>
      <xdr:sp macro="" textlink="">
        <xdr:nvSpPr>
          <xdr:cNvPr id="15" name="Rectangle 46">
            <a:extLst>
              <a:ext uri="{FF2B5EF4-FFF2-40B4-BE49-F238E27FC236}">
                <a16:creationId xmlns:a16="http://schemas.microsoft.com/office/drawing/2014/main" id="{00000000-0008-0000-0100-00000F000000}"/>
              </a:ext>
            </a:extLst>
          </xdr:cNvPr>
          <xdr:cNvSpPr/>
        </xdr:nvSpPr>
        <xdr:spPr>
          <a:xfrm>
            <a:off x="326431" y="11320691"/>
            <a:ext cx="2539005" cy="69111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82880" tIns="182880" rIns="182880" bIns="365760" numCol="1" spcCol="0" rtlCol="0" fromWordArt="0" anchor="b" anchorCtr="0" forceAA="0" compatLnSpc="1">
            <a:prstTxWarp prst="textNoShape">
              <a:avLst/>
            </a:prstTxWarp>
            <a:noAutofit/>
          </a:bodyPr>
          <a:lstStyle/>
          <a:p>
            <a:pPr>
              <a:lnSpc>
                <a:spcPct val="115000"/>
              </a:lnSpc>
              <a:spcBef>
                <a:spcPts val="1200"/>
              </a:spcBef>
              <a:spcAft>
                <a:spcPts val="1000"/>
              </a:spcAft>
            </a:pPr>
            <a:r>
              <a:rPr lang="es-PE" sz="1100">
                <a:solidFill>
                  <a:srgbClr val="FFFFFF"/>
                </a:solidFill>
                <a:effectLst/>
                <a:ea typeface="Calibri"/>
                <a:cs typeface="Times New Roman"/>
              </a:rPr>
              <a:t> </a:t>
            </a:r>
            <a:endParaRPr lang="es-PE" sz="1100">
              <a:effectLst/>
              <a:ea typeface="Calibri"/>
              <a:cs typeface="Times New Roman"/>
            </a:endParaRPr>
          </a:p>
        </xdr:txBody>
      </xdr:sp>
    </xdr:grpSp>
    <xdr:clientData/>
  </xdr:twoCellAnchor>
  <xdr:twoCellAnchor editAs="oneCell">
    <xdr:from>
      <xdr:col>6</xdr:col>
      <xdr:colOff>30726</xdr:colOff>
      <xdr:row>7</xdr:row>
      <xdr:rowOff>20483</xdr:rowOff>
    </xdr:from>
    <xdr:to>
      <xdr:col>10</xdr:col>
      <xdr:colOff>696452</xdr:colOff>
      <xdr:row>28</xdr:row>
      <xdr:rowOff>122903</xdr:rowOff>
    </xdr:to>
    <xdr:pic>
      <xdr:nvPicPr>
        <xdr:cNvPr id="2" name="Imagen 1">
          <a:extLst>
            <a:ext uri="{FF2B5EF4-FFF2-40B4-BE49-F238E27FC236}">
              <a16:creationId xmlns:a16="http://schemas.microsoft.com/office/drawing/2014/main" id="{2B27E8BA-8E02-2B90-038F-06684280F4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59516" y="1218789"/>
          <a:ext cx="4147984" cy="34515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30726</xdr:colOff>
      <xdr:row>31</xdr:row>
      <xdr:rowOff>40968</xdr:rowOff>
    </xdr:from>
    <xdr:to>
      <xdr:col>10</xdr:col>
      <xdr:colOff>655484</xdr:colOff>
      <xdr:row>53</xdr:row>
      <xdr:rowOff>153629</xdr:rowOff>
    </xdr:to>
    <xdr:pic>
      <xdr:nvPicPr>
        <xdr:cNvPr id="4" name="Imagen 3">
          <a:extLst>
            <a:ext uri="{FF2B5EF4-FFF2-40B4-BE49-F238E27FC236}">
              <a16:creationId xmlns:a16="http://schemas.microsoft.com/office/drawing/2014/main" id="{969EDE23-1EF8-0840-802F-9D18DDC7C3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59516" y="5049274"/>
          <a:ext cx="4107016" cy="3553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20485</xdr:colOff>
      <xdr:row>56</xdr:row>
      <xdr:rowOff>21374</xdr:rowOff>
    </xdr:from>
    <xdr:to>
      <xdr:col>10</xdr:col>
      <xdr:colOff>727178</xdr:colOff>
      <xdr:row>74</xdr:row>
      <xdr:rowOff>40968</xdr:rowOff>
    </xdr:to>
    <xdr:pic>
      <xdr:nvPicPr>
        <xdr:cNvPr id="7" name="Imagen 6">
          <a:extLst>
            <a:ext uri="{FF2B5EF4-FFF2-40B4-BE49-F238E27FC236}">
              <a16:creationId xmlns:a16="http://schemas.microsoft.com/office/drawing/2014/main" id="{4DCDBF61-CB28-4EA4-485B-B54784370DD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49275" y="8962584"/>
          <a:ext cx="4188951" cy="3430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0.26042</cdr:x>
      <cdr:y>0.01229</cdr:y>
    </cdr:from>
    <cdr:to>
      <cdr:x>0.84447</cdr:x>
      <cdr:y>0.18213</cdr:y>
    </cdr:to>
    <cdr:pic>
      <cdr:nvPicPr>
        <cdr:cNvPr id="2" name="chart">
          <a:extLst xmlns:a="http://schemas.openxmlformats.org/drawingml/2006/main">
            <a:ext uri="{FF2B5EF4-FFF2-40B4-BE49-F238E27FC236}">
              <a16:creationId xmlns:a16="http://schemas.microsoft.com/office/drawing/2014/main" id="{BEB0E222-DA65-48E7-B6E3-FDA64DF9C98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190625" y="31750"/>
          <a:ext cx="2670279" cy="438950"/>
        </a:xfrm>
        <a:prstGeom xmlns:a="http://schemas.openxmlformats.org/drawingml/2006/main" prst="rect">
          <a:avLst/>
        </a:prstGeom>
      </cdr:spPr>
    </cdr:pic>
  </cdr:relSizeAnchor>
</c:userShapes>
</file>

<file path=xl/drawings/drawing21.xml><?xml version="1.0" encoding="utf-8"?>
<c:userShapes xmlns:c="http://schemas.openxmlformats.org/drawingml/2006/chart">
  <cdr:relSizeAnchor xmlns:cdr="http://schemas.openxmlformats.org/drawingml/2006/chartDrawing">
    <cdr:from>
      <cdr:x>0.08093</cdr:x>
      <cdr:y>0.06488</cdr:y>
    </cdr:from>
    <cdr:to>
      <cdr:x>0.95965</cdr:x>
      <cdr:y>0.27359</cdr:y>
    </cdr:to>
    <cdr:pic>
      <cdr:nvPicPr>
        <cdr:cNvPr id="2" name="chart">
          <a:extLst xmlns:a="http://schemas.openxmlformats.org/drawingml/2006/main">
            <a:ext uri="{FF2B5EF4-FFF2-40B4-BE49-F238E27FC236}">
              <a16:creationId xmlns:a16="http://schemas.microsoft.com/office/drawing/2014/main" id="{3EACCCDF-3D3E-43E6-942C-2271E1FD60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49393" y="222251"/>
          <a:ext cx="5964883" cy="715038"/>
        </a:xfrm>
        <a:prstGeom xmlns:a="http://schemas.openxmlformats.org/drawingml/2006/main" prst="rect">
          <a:avLst/>
        </a:prstGeom>
      </cdr:spPr>
    </cdr:pic>
  </cdr:relSizeAnchor>
</c:userShapes>
</file>

<file path=xl/drawings/drawing22.xml><?xml version="1.0" encoding="utf-8"?>
<c:userShapes xmlns:c="http://schemas.openxmlformats.org/drawingml/2006/chart">
  <cdr:relSizeAnchor xmlns:cdr="http://schemas.openxmlformats.org/drawingml/2006/chartDrawing">
    <cdr:from>
      <cdr:x>0.08651</cdr:x>
      <cdr:y>0.01157</cdr:y>
    </cdr:from>
    <cdr:to>
      <cdr:x>0.9379</cdr:x>
      <cdr:y>0.20197</cdr:y>
    </cdr:to>
    <cdr:pic>
      <cdr:nvPicPr>
        <cdr:cNvPr id="3" name="chart">
          <a:extLst xmlns:a="http://schemas.openxmlformats.org/drawingml/2006/main">
            <a:ext uri="{FF2B5EF4-FFF2-40B4-BE49-F238E27FC236}">
              <a16:creationId xmlns:a16="http://schemas.microsoft.com/office/drawing/2014/main" id="{F0C609A7-EA7C-4AB4-A7AF-748805E2355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471040" y="35443"/>
          <a:ext cx="4635943" cy="583040"/>
        </a:xfrm>
        <a:prstGeom xmlns:a="http://schemas.openxmlformats.org/drawingml/2006/main" prst="rect">
          <a:avLst/>
        </a:prstGeom>
      </cdr:spPr>
    </cdr:pic>
  </cdr:relSizeAnchor>
</c:userShapes>
</file>

<file path=xl/drawings/drawing23.xml><?xml version="1.0" encoding="utf-8"?>
<xdr:wsDr xmlns:xdr="http://schemas.openxmlformats.org/drawingml/2006/spreadsheetDrawing" xmlns:a="http://schemas.openxmlformats.org/drawingml/2006/main">
  <xdr:twoCellAnchor>
    <xdr:from>
      <xdr:col>18</xdr:col>
      <xdr:colOff>0</xdr:colOff>
      <xdr:row>6</xdr:row>
      <xdr:rowOff>206375</xdr:rowOff>
    </xdr:from>
    <xdr:to>
      <xdr:col>24</xdr:col>
      <xdr:colOff>1079500</xdr:colOff>
      <xdr:row>13</xdr:row>
      <xdr:rowOff>333374</xdr:rowOff>
    </xdr:to>
    <xdr:graphicFrame macro="">
      <xdr:nvGraphicFramePr>
        <xdr:cNvPr id="2" name="Gráfico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666751</xdr:colOff>
      <xdr:row>14</xdr:row>
      <xdr:rowOff>63500</xdr:rowOff>
    </xdr:from>
    <xdr:to>
      <xdr:col>24</xdr:col>
      <xdr:colOff>1063625</xdr:colOff>
      <xdr:row>20</xdr:row>
      <xdr:rowOff>63500</xdr:rowOff>
    </xdr:to>
    <xdr:graphicFrame macro="">
      <xdr:nvGraphicFramePr>
        <xdr:cNvPr id="3" name="Gráfico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523876</xdr:colOff>
      <xdr:row>20</xdr:row>
      <xdr:rowOff>222250</xdr:rowOff>
    </xdr:from>
    <xdr:to>
      <xdr:col>24</xdr:col>
      <xdr:colOff>1095375</xdr:colOff>
      <xdr:row>42</xdr:row>
      <xdr:rowOff>142875</xdr:rowOff>
    </xdr:to>
    <xdr:graphicFrame macro="">
      <xdr:nvGraphicFramePr>
        <xdr:cNvPr id="8" name="Gráfico 7">
          <a:extLst>
            <a:ext uri="{FF2B5EF4-FFF2-40B4-BE49-F238E27FC236}">
              <a16:creationId xmlns:a16="http://schemas.microsoft.com/office/drawing/2014/main" id="{00000000-0008-0000-0C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435427</xdr:colOff>
      <xdr:row>6</xdr:row>
      <xdr:rowOff>261257</xdr:rowOff>
    </xdr:from>
    <xdr:to>
      <xdr:col>33</xdr:col>
      <xdr:colOff>202659</xdr:colOff>
      <xdr:row>13</xdr:row>
      <xdr:rowOff>293914</xdr:rowOff>
    </xdr:to>
    <xdr:graphicFrame macro="">
      <xdr:nvGraphicFramePr>
        <xdr:cNvPr id="12" name="Gráfico 11">
          <a:extLst>
            <a:ext uri="{FF2B5EF4-FFF2-40B4-BE49-F238E27FC236}">
              <a16:creationId xmlns:a16="http://schemas.microsoft.com/office/drawing/2014/main" id="{00000000-0008-0000-0C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419678</xdr:colOff>
      <xdr:row>13</xdr:row>
      <xdr:rowOff>364787</xdr:rowOff>
    </xdr:from>
    <xdr:to>
      <xdr:col>33</xdr:col>
      <xdr:colOff>668776</xdr:colOff>
      <xdr:row>20</xdr:row>
      <xdr:rowOff>81064</xdr:rowOff>
    </xdr:to>
    <xdr:graphicFrame macro="">
      <xdr:nvGraphicFramePr>
        <xdr:cNvPr id="13" name="Gráfico 12">
          <a:extLst>
            <a:ext uri="{FF2B5EF4-FFF2-40B4-BE49-F238E27FC236}">
              <a16:creationId xmlns:a16="http://schemas.microsoft.com/office/drawing/2014/main" id="{00000000-0008-0000-0C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364786</xdr:colOff>
      <xdr:row>20</xdr:row>
      <xdr:rowOff>263458</xdr:rowOff>
    </xdr:from>
    <xdr:to>
      <xdr:col>33</xdr:col>
      <xdr:colOff>263456</xdr:colOff>
      <xdr:row>42</xdr:row>
      <xdr:rowOff>121596</xdr:rowOff>
    </xdr:to>
    <xdr:graphicFrame macro="">
      <xdr:nvGraphicFramePr>
        <xdr:cNvPr id="14" name="Gráfico 13">
          <a:extLst>
            <a:ext uri="{FF2B5EF4-FFF2-40B4-BE49-F238E27FC236}">
              <a16:creationId xmlns:a16="http://schemas.microsoft.com/office/drawing/2014/main" id="{00000000-0008-0000-0C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2</xdr:col>
      <xdr:colOff>171450</xdr:colOff>
      <xdr:row>5</xdr:row>
      <xdr:rowOff>0</xdr:rowOff>
    </xdr:from>
    <xdr:to>
      <xdr:col>4</xdr:col>
      <xdr:colOff>762000</xdr:colOff>
      <xdr:row>5</xdr:row>
      <xdr:rowOff>0</xdr:rowOff>
    </xdr:to>
    <xdr:sp macro="" textlink="">
      <xdr:nvSpPr>
        <xdr:cNvPr id="36015" name="Text Box 1">
          <a:extLst>
            <a:ext uri="{FF2B5EF4-FFF2-40B4-BE49-F238E27FC236}">
              <a16:creationId xmlns:a16="http://schemas.microsoft.com/office/drawing/2014/main" id="{00000000-0008-0000-0F00-0000AF8C0000}"/>
            </a:ext>
          </a:extLst>
        </xdr:cNvPr>
        <xdr:cNvSpPr txBox="1">
          <a:spLocks noChangeArrowheads="1"/>
        </xdr:cNvSpPr>
      </xdr:nvSpPr>
      <xdr:spPr bwMode="auto">
        <a:xfrm>
          <a:off x="3219450" y="2486025"/>
          <a:ext cx="235267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171450</xdr:colOff>
      <xdr:row>5</xdr:row>
      <xdr:rowOff>0</xdr:rowOff>
    </xdr:from>
    <xdr:to>
      <xdr:col>4</xdr:col>
      <xdr:colOff>762000</xdr:colOff>
      <xdr:row>5</xdr:row>
      <xdr:rowOff>0</xdr:rowOff>
    </xdr:to>
    <xdr:sp macro="" textlink="">
      <xdr:nvSpPr>
        <xdr:cNvPr id="36016" name="Text Box 2">
          <a:extLst>
            <a:ext uri="{FF2B5EF4-FFF2-40B4-BE49-F238E27FC236}">
              <a16:creationId xmlns:a16="http://schemas.microsoft.com/office/drawing/2014/main" id="{00000000-0008-0000-0F00-0000B08C0000}"/>
            </a:ext>
          </a:extLst>
        </xdr:cNvPr>
        <xdr:cNvSpPr txBox="1">
          <a:spLocks noChangeArrowheads="1"/>
        </xdr:cNvSpPr>
      </xdr:nvSpPr>
      <xdr:spPr bwMode="auto">
        <a:xfrm>
          <a:off x="3219450" y="2486025"/>
          <a:ext cx="235267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171450</xdr:colOff>
      <xdr:row>5</xdr:row>
      <xdr:rowOff>0</xdr:rowOff>
    </xdr:from>
    <xdr:to>
      <xdr:col>4</xdr:col>
      <xdr:colOff>762000</xdr:colOff>
      <xdr:row>5</xdr:row>
      <xdr:rowOff>0</xdr:rowOff>
    </xdr:to>
    <xdr:sp macro="" textlink="">
      <xdr:nvSpPr>
        <xdr:cNvPr id="36017" name="Text Box 3">
          <a:extLst>
            <a:ext uri="{FF2B5EF4-FFF2-40B4-BE49-F238E27FC236}">
              <a16:creationId xmlns:a16="http://schemas.microsoft.com/office/drawing/2014/main" id="{00000000-0008-0000-0F00-0000B18C0000}"/>
            </a:ext>
          </a:extLst>
        </xdr:cNvPr>
        <xdr:cNvSpPr txBox="1">
          <a:spLocks noChangeArrowheads="1"/>
        </xdr:cNvSpPr>
      </xdr:nvSpPr>
      <xdr:spPr bwMode="auto">
        <a:xfrm>
          <a:off x="3219450" y="2486025"/>
          <a:ext cx="235267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171450</xdr:colOff>
      <xdr:row>5</xdr:row>
      <xdr:rowOff>0</xdr:rowOff>
    </xdr:from>
    <xdr:to>
      <xdr:col>4</xdr:col>
      <xdr:colOff>762000</xdr:colOff>
      <xdr:row>5</xdr:row>
      <xdr:rowOff>0</xdr:rowOff>
    </xdr:to>
    <xdr:sp macro="" textlink="">
      <xdr:nvSpPr>
        <xdr:cNvPr id="36018" name="Text Box 4">
          <a:extLst>
            <a:ext uri="{FF2B5EF4-FFF2-40B4-BE49-F238E27FC236}">
              <a16:creationId xmlns:a16="http://schemas.microsoft.com/office/drawing/2014/main" id="{00000000-0008-0000-0F00-0000B28C0000}"/>
            </a:ext>
          </a:extLst>
        </xdr:cNvPr>
        <xdr:cNvSpPr txBox="1">
          <a:spLocks noChangeArrowheads="1"/>
        </xdr:cNvSpPr>
      </xdr:nvSpPr>
      <xdr:spPr bwMode="auto">
        <a:xfrm>
          <a:off x="3219450" y="2486025"/>
          <a:ext cx="235267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171450</xdr:colOff>
      <xdr:row>5</xdr:row>
      <xdr:rowOff>0</xdr:rowOff>
    </xdr:from>
    <xdr:to>
      <xdr:col>4</xdr:col>
      <xdr:colOff>762000</xdr:colOff>
      <xdr:row>5</xdr:row>
      <xdr:rowOff>0</xdr:rowOff>
    </xdr:to>
    <xdr:sp macro="" textlink="">
      <xdr:nvSpPr>
        <xdr:cNvPr id="36019" name="Text Box 5">
          <a:extLst>
            <a:ext uri="{FF2B5EF4-FFF2-40B4-BE49-F238E27FC236}">
              <a16:creationId xmlns:a16="http://schemas.microsoft.com/office/drawing/2014/main" id="{00000000-0008-0000-0F00-0000B38C0000}"/>
            </a:ext>
          </a:extLst>
        </xdr:cNvPr>
        <xdr:cNvSpPr txBox="1">
          <a:spLocks noChangeArrowheads="1"/>
        </xdr:cNvSpPr>
      </xdr:nvSpPr>
      <xdr:spPr bwMode="auto">
        <a:xfrm>
          <a:off x="3219450" y="2486025"/>
          <a:ext cx="235267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171450</xdr:colOff>
      <xdr:row>5</xdr:row>
      <xdr:rowOff>0</xdr:rowOff>
    </xdr:from>
    <xdr:to>
      <xdr:col>4</xdr:col>
      <xdr:colOff>762000</xdr:colOff>
      <xdr:row>5</xdr:row>
      <xdr:rowOff>0</xdr:rowOff>
    </xdr:to>
    <xdr:sp macro="" textlink="">
      <xdr:nvSpPr>
        <xdr:cNvPr id="36020" name="Text Box 1">
          <a:extLst>
            <a:ext uri="{FF2B5EF4-FFF2-40B4-BE49-F238E27FC236}">
              <a16:creationId xmlns:a16="http://schemas.microsoft.com/office/drawing/2014/main" id="{00000000-0008-0000-0F00-0000B48C0000}"/>
            </a:ext>
          </a:extLst>
        </xdr:cNvPr>
        <xdr:cNvSpPr txBox="1">
          <a:spLocks noChangeArrowheads="1"/>
        </xdr:cNvSpPr>
      </xdr:nvSpPr>
      <xdr:spPr bwMode="auto">
        <a:xfrm>
          <a:off x="3219450" y="2486025"/>
          <a:ext cx="235267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171450</xdr:colOff>
      <xdr:row>5</xdr:row>
      <xdr:rowOff>0</xdr:rowOff>
    </xdr:from>
    <xdr:to>
      <xdr:col>4</xdr:col>
      <xdr:colOff>762000</xdr:colOff>
      <xdr:row>5</xdr:row>
      <xdr:rowOff>0</xdr:rowOff>
    </xdr:to>
    <xdr:sp macro="" textlink="">
      <xdr:nvSpPr>
        <xdr:cNvPr id="36021" name="Text Box 2">
          <a:extLst>
            <a:ext uri="{FF2B5EF4-FFF2-40B4-BE49-F238E27FC236}">
              <a16:creationId xmlns:a16="http://schemas.microsoft.com/office/drawing/2014/main" id="{00000000-0008-0000-0F00-0000B58C0000}"/>
            </a:ext>
          </a:extLst>
        </xdr:cNvPr>
        <xdr:cNvSpPr txBox="1">
          <a:spLocks noChangeArrowheads="1"/>
        </xdr:cNvSpPr>
      </xdr:nvSpPr>
      <xdr:spPr bwMode="auto">
        <a:xfrm>
          <a:off x="3219450" y="2486025"/>
          <a:ext cx="235267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171450</xdr:colOff>
      <xdr:row>5</xdr:row>
      <xdr:rowOff>0</xdr:rowOff>
    </xdr:from>
    <xdr:to>
      <xdr:col>4</xdr:col>
      <xdr:colOff>762000</xdr:colOff>
      <xdr:row>5</xdr:row>
      <xdr:rowOff>0</xdr:rowOff>
    </xdr:to>
    <xdr:sp macro="" textlink="">
      <xdr:nvSpPr>
        <xdr:cNvPr id="36022" name="Text Box 3">
          <a:extLst>
            <a:ext uri="{FF2B5EF4-FFF2-40B4-BE49-F238E27FC236}">
              <a16:creationId xmlns:a16="http://schemas.microsoft.com/office/drawing/2014/main" id="{00000000-0008-0000-0F00-0000B68C0000}"/>
            </a:ext>
          </a:extLst>
        </xdr:cNvPr>
        <xdr:cNvSpPr txBox="1">
          <a:spLocks noChangeArrowheads="1"/>
        </xdr:cNvSpPr>
      </xdr:nvSpPr>
      <xdr:spPr bwMode="auto">
        <a:xfrm>
          <a:off x="3219450" y="2486025"/>
          <a:ext cx="235267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171450</xdr:colOff>
      <xdr:row>5</xdr:row>
      <xdr:rowOff>0</xdr:rowOff>
    </xdr:from>
    <xdr:to>
      <xdr:col>4</xdr:col>
      <xdr:colOff>762000</xdr:colOff>
      <xdr:row>5</xdr:row>
      <xdr:rowOff>0</xdr:rowOff>
    </xdr:to>
    <xdr:sp macro="" textlink="">
      <xdr:nvSpPr>
        <xdr:cNvPr id="36023" name="Text Box 4">
          <a:extLst>
            <a:ext uri="{FF2B5EF4-FFF2-40B4-BE49-F238E27FC236}">
              <a16:creationId xmlns:a16="http://schemas.microsoft.com/office/drawing/2014/main" id="{00000000-0008-0000-0F00-0000B78C0000}"/>
            </a:ext>
          </a:extLst>
        </xdr:cNvPr>
        <xdr:cNvSpPr txBox="1">
          <a:spLocks noChangeArrowheads="1"/>
        </xdr:cNvSpPr>
      </xdr:nvSpPr>
      <xdr:spPr bwMode="auto">
        <a:xfrm>
          <a:off x="3219450" y="2486025"/>
          <a:ext cx="235267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171450</xdr:colOff>
      <xdr:row>5</xdr:row>
      <xdr:rowOff>0</xdr:rowOff>
    </xdr:from>
    <xdr:to>
      <xdr:col>4</xdr:col>
      <xdr:colOff>762000</xdr:colOff>
      <xdr:row>5</xdr:row>
      <xdr:rowOff>0</xdr:rowOff>
    </xdr:to>
    <xdr:sp macro="" textlink="">
      <xdr:nvSpPr>
        <xdr:cNvPr id="36024" name="Text Box 5">
          <a:extLst>
            <a:ext uri="{FF2B5EF4-FFF2-40B4-BE49-F238E27FC236}">
              <a16:creationId xmlns:a16="http://schemas.microsoft.com/office/drawing/2014/main" id="{00000000-0008-0000-0F00-0000B88C0000}"/>
            </a:ext>
          </a:extLst>
        </xdr:cNvPr>
        <xdr:cNvSpPr txBox="1">
          <a:spLocks noChangeArrowheads="1"/>
        </xdr:cNvSpPr>
      </xdr:nvSpPr>
      <xdr:spPr bwMode="auto">
        <a:xfrm>
          <a:off x="3219450" y="2486025"/>
          <a:ext cx="235267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171450</xdr:colOff>
      <xdr:row>4</xdr:row>
      <xdr:rowOff>0</xdr:rowOff>
    </xdr:from>
    <xdr:to>
      <xdr:col>4</xdr:col>
      <xdr:colOff>762000</xdr:colOff>
      <xdr:row>4</xdr:row>
      <xdr:rowOff>0</xdr:rowOff>
    </xdr:to>
    <xdr:sp macro="" textlink="">
      <xdr:nvSpPr>
        <xdr:cNvPr id="36025" name="Text Box 1">
          <a:extLst>
            <a:ext uri="{FF2B5EF4-FFF2-40B4-BE49-F238E27FC236}">
              <a16:creationId xmlns:a16="http://schemas.microsoft.com/office/drawing/2014/main" id="{00000000-0008-0000-0F00-0000B98C0000}"/>
            </a:ext>
          </a:extLst>
        </xdr:cNvPr>
        <xdr:cNvSpPr txBox="1">
          <a:spLocks noChangeArrowheads="1"/>
        </xdr:cNvSpPr>
      </xdr:nvSpPr>
      <xdr:spPr bwMode="auto">
        <a:xfrm>
          <a:off x="3219450" y="1809750"/>
          <a:ext cx="235267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171450</xdr:colOff>
      <xdr:row>4</xdr:row>
      <xdr:rowOff>0</xdr:rowOff>
    </xdr:from>
    <xdr:to>
      <xdr:col>4</xdr:col>
      <xdr:colOff>762000</xdr:colOff>
      <xdr:row>4</xdr:row>
      <xdr:rowOff>0</xdr:rowOff>
    </xdr:to>
    <xdr:sp macro="" textlink="">
      <xdr:nvSpPr>
        <xdr:cNvPr id="36026" name="Text Box 2">
          <a:extLst>
            <a:ext uri="{FF2B5EF4-FFF2-40B4-BE49-F238E27FC236}">
              <a16:creationId xmlns:a16="http://schemas.microsoft.com/office/drawing/2014/main" id="{00000000-0008-0000-0F00-0000BA8C0000}"/>
            </a:ext>
          </a:extLst>
        </xdr:cNvPr>
        <xdr:cNvSpPr txBox="1">
          <a:spLocks noChangeArrowheads="1"/>
        </xdr:cNvSpPr>
      </xdr:nvSpPr>
      <xdr:spPr bwMode="auto">
        <a:xfrm>
          <a:off x="3219450" y="1809750"/>
          <a:ext cx="235267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171450</xdr:colOff>
      <xdr:row>3</xdr:row>
      <xdr:rowOff>0</xdr:rowOff>
    </xdr:from>
    <xdr:to>
      <xdr:col>4</xdr:col>
      <xdr:colOff>762000</xdr:colOff>
      <xdr:row>3</xdr:row>
      <xdr:rowOff>0</xdr:rowOff>
    </xdr:to>
    <xdr:sp macro="" textlink="">
      <xdr:nvSpPr>
        <xdr:cNvPr id="36027" name="Text Box 1">
          <a:extLst>
            <a:ext uri="{FF2B5EF4-FFF2-40B4-BE49-F238E27FC236}">
              <a16:creationId xmlns:a16="http://schemas.microsoft.com/office/drawing/2014/main" id="{00000000-0008-0000-0F00-0000BB8C0000}"/>
            </a:ext>
          </a:extLst>
        </xdr:cNvPr>
        <xdr:cNvSpPr txBox="1">
          <a:spLocks noChangeArrowheads="1"/>
        </xdr:cNvSpPr>
      </xdr:nvSpPr>
      <xdr:spPr bwMode="auto">
        <a:xfrm>
          <a:off x="3219450" y="1428750"/>
          <a:ext cx="235267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171450</xdr:colOff>
      <xdr:row>3</xdr:row>
      <xdr:rowOff>0</xdr:rowOff>
    </xdr:from>
    <xdr:to>
      <xdr:col>4</xdr:col>
      <xdr:colOff>762000</xdr:colOff>
      <xdr:row>3</xdr:row>
      <xdr:rowOff>0</xdr:rowOff>
    </xdr:to>
    <xdr:sp macro="" textlink="">
      <xdr:nvSpPr>
        <xdr:cNvPr id="36028" name="Text Box 2">
          <a:extLst>
            <a:ext uri="{FF2B5EF4-FFF2-40B4-BE49-F238E27FC236}">
              <a16:creationId xmlns:a16="http://schemas.microsoft.com/office/drawing/2014/main" id="{00000000-0008-0000-0F00-0000BC8C0000}"/>
            </a:ext>
          </a:extLst>
        </xdr:cNvPr>
        <xdr:cNvSpPr txBox="1">
          <a:spLocks noChangeArrowheads="1"/>
        </xdr:cNvSpPr>
      </xdr:nvSpPr>
      <xdr:spPr bwMode="auto">
        <a:xfrm>
          <a:off x="3219450" y="1428750"/>
          <a:ext cx="235267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171450</xdr:colOff>
      <xdr:row>5</xdr:row>
      <xdr:rowOff>0</xdr:rowOff>
    </xdr:from>
    <xdr:to>
      <xdr:col>4</xdr:col>
      <xdr:colOff>762000</xdr:colOff>
      <xdr:row>5</xdr:row>
      <xdr:rowOff>0</xdr:rowOff>
    </xdr:to>
    <xdr:sp macro="" textlink="">
      <xdr:nvSpPr>
        <xdr:cNvPr id="16" name="Text Box 1">
          <a:extLst>
            <a:ext uri="{FF2B5EF4-FFF2-40B4-BE49-F238E27FC236}">
              <a16:creationId xmlns:a16="http://schemas.microsoft.com/office/drawing/2014/main" id="{00000000-0008-0000-0F00-000010000000}"/>
            </a:ext>
          </a:extLst>
        </xdr:cNvPr>
        <xdr:cNvSpPr txBox="1">
          <a:spLocks noChangeArrowheads="1"/>
        </xdr:cNvSpPr>
      </xdr:nvSpPr>
      <xdr:spPr bwMode="auto">
        <a:xfrm>
          <a:off x="3981450" y="2162175"/>
          <a:ext cx="235267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171450</xdr:colOff>
      <xdr:row>5</xdr:row>
      <xdr:rowOff>0</xdr:rowOff>
    </xdr:from>
    <xdr:to>
      <xdr:col>4</xdr:col>
      <xdr:colOff>762000</xdr:colOff>
      <xdr:row>5</xdr:row>
      <xdr:rowOff>0</xdr:rowOff>
    </xdr:to>
    <xdr:sp macro="" textlink="">
      <xdr:nvSpPr>
        <xdr:cNvPr id="17" name="Text Box 2">
          <a:extLst>
            <a:ext uri="{FF2B5EF4-FFF2-40B4-BE49-F238E27FC236}">
              <a16:creationId xmlns:a16="http://schemas.microsoft.com/office/drawing/2014/main" id="{00000000-0008-0000-0F00-000011000000}"/>
            </a:ext>
          </a:extLst>
        </xdr:cNvPr>
        <xdr:cNvSpPr txBox="1">
          <a:spLocks noChangeArrowheads="1"/>
        </xdr:cNvSpPr>
      </xdr:nvSpPr>
      <xdr:spPr bwMode="auto">
        <a:xfrm>
          <a:off x="3981450" y="2162175"/>
          <a:ext cx="235267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171450</xdr:colOff>
      <xdr:row>5</xdr:row>
      <xdr:rowOff>0</xdr:rowOff>
    </xdr:from>
    <xdr:to>
      <xdr:col>4</xdr:col>
      <xdr:colOff>762000</xdr:colOff>
      <xdr:row>5</xdr:row>
      <xdr:rowOff>0</xdr:rowOff>
    </xdr:to>
    <xdr:sp macro="" textlink="">
      <xdr:nvSpPr>
        <xdr:cNvPr id="18" name="Text Box 3">
          <a:extLst>
            <a:ext uri="{FF2B5EF4-FFF2-40B4-BE49-F238E27FC236}">
              <a16:creationId xmlns:a16="http://schemas.microsoft.com/office/drawing/2014/main" id="{00000000-0008-0000-0F00-000012000000}"/>
            </a:ext>
          </a:extLst>
        </xdr:cNvPr>
        <xdr:cNvSpPr txBox="1">
          <a:spLocks noChangeArrowheads="1"/>
        </xdr:cNvSpPr>
      </xdr:nvSpPr>
      <xdr:spPr bwMode="auto">
        <a:xfrm>
          <a:off x="3981450" y="2162175"/>
          <a:ext cx="235267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171450</xdr:colOff>
      <xdr:row>5</xdr:row>
      <xdr:rowOff>0</xdr:rowOff>
    </xdr:from>
    <xdr:to>
      <xdr:col>4</xdr:col>
      <xdr:colOff>762000</xdr:colOff>
      <xdr:row>5</xdr:row>
      <xdr:rowOff>0</xdr:rowOff>
    </xdr:to>
    <xdr:sp macro="" textlink="">
      <xdr:nvSpPr>
        <xdr:cNvPr id="19" name="Text Box 4">
          <a:extLst>
            <a:ext uri="{FF2B5EF4-FFF2-40B4-BE49-F238E27FC236}">
              <a16:creationId xmlns:a16="http://schemas.microsoft.com/office/drawing/2014/main" id="{00000000-0008-0000-0F00-000013000000}"/>
            </a:ext>
          </a:extLst>
        </xdr:cNvPr>
        <xdr:cNvSpPr txBox="1">
          <a:spLocks noChangeArrowheads="1"/>
        </xdr:cNvSpPr>
      </xdr:nvSpPr>
      <xdr:spPr bwMode="auto">
        <a:xfrm>
          <a:off x="3981450" y="2162175"/>
          <a:ext cx="235267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171450</xdr:colOff>
      <xdr:row>5</xdr:row>
      <xdr:rowOff>0</xdr:rowOff>
    </xdr:from>
    <xdr:to>
      <xdr:col>4</xdr:col>
      <xdr:colOff>762000</xdr:colOff>
      <xdr:row>5</xdr:row>
      <xdr:rowOff>0</xdr:rowOff>
    </xdr:to>
    <xdr:sp macro="" textlink="">
      <xdr:nvSpPr>
        <xdr:cNvPr id="20" name="Text Box 5">
          <a:extLst>
            <a:ext uri="{FF2B5EF4-FFF2-40B4-BE49-F238E27FC236}">
              <a16:creationId xmlns:a16="http://schemas.microsoft.com/office/drawing/2014/main" id="{00000000-0008-0000-0F00-000014000000}"/>
            </a:ext>
          </a:extLst>
        </xdr:cNvPr>
        <xdr:cNvSpPr txBox="1">
          <a:spLocks noChangeArrowheads="1"/>
        </xdr:cNvSpPr>
      </xdr:nvSpPr>
      <xdr:spPr bwMode="auto">
        <a:xfrm>
          <a:off x="3981450" y="2162175"/>
          <a:ext cx="235267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171450</xdr:colOff>
      <xdr:row>5</xdr:row>
      <xdr:rowOff>0</xdr:rowOff>
    </xdr:from>
    <xdr:to>
      <xdr:col>4</xdr:col>
      <xdr:colOff>762000</xdr:colOff>
      <xdr:row>5</xdr:row>
      <xdr:rowOff>0</xdr:rowOff>
    </xdr:to>
    <xdr:sp macro="" textlink="">
      <xdr:nvSpPr>
        <xdr:cNvPr id="21" name="Text Box 1">
          <a:extLst>
            <a:ext uri="{FF2B5EF4-FFF2-40B4-BE49-F238E27FC236}">
              <a16:creationId xmlns:a16="http://schemas.microsoft.com/office/drawing/2014/main" id="{00000000-0008-0000-0F00-000015000000}"/>
            </a:ext>
          </a:extLst>
        </xdr:cNvPr>
        <xdr:cNvSpPr txBox="1">
          <a:spLocks noChangeArrowheads="1"/>
        </xdr:cNvSpPr>
      </xdr:nvSpPr>
      <xdr:spPr bwMode="auto">
        <a:xfrm>
          <a:off x="3981450" y="2162175"/>
          <a:ext cx="235267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171450</xdr:colOff>
      <xdr:row>5</xdr:row>
      <xdr:rowOff>0</xdr:rowOff>
    </xdr:from>
    <xdr:to>
      <xdr:col>4</xdr:col>
      <xdr:colOff>762000</xdr:colOff>
      <xdr:row>5</xdr:row>
      <xdr:rowOff>0</xdr:rowOff>
    </xdr:to>
    <xdr:sp macro="" textlink="">
      <xdr:nvSpPr>
        <xdr:cNvPr id="22" name="Text Box 2">
          <a:extLst>
            <a:ext uri="{FF2B5EF4-FFF2-40B4-BE49-F238E27FC236}">
              <a16:creationId xmlns:a16="http://schemas.microsoft.com/office/drawing/2014/main" id="{00000000-0008-0000-0F00-000016000000}"/>
            </a:ext>
          </a:extLst>
        </xdr:cNvPr>
        <xdr:cNvSpPr txBox="1">
          <a:spLocks noChangeArrowheads="1"/>
        </xdr:cNvSpPr>
      </xdr:nvSpPr>
      <xdr:spPr bwMode="auto">
        <a:xfrm>
          <a:off x="3981450" y="2162175"/>
          <a:ext cx="235267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171450</xdr:colOff>
      <xdr:row>5</xdr:row>
      <xdr:rowOff>0</xdr:rowOff>
    </xdr:from>
    <xdr:to>
      <xdr:col>4</xdr:col>
      <xdr:colOff>762000</xdr:colOff>
      <xdr:row>5</xdr:row>
      <xdr:rowOff>0</xdr:rowOff>
    </xdr:to>
    <xdr:sp macro="" textlink="">
      <xdr:nvSpPr>
        <xdr:cNvPr id="23" name="Text Box 3">
          <a:extLst>
            <a:ext uri="{FF2B5EF4-FFF2-40B4-BE49-F238E27FC236}">
              <a16:creationId xmlns:a16="http://schemas.microsoft.com/office/drawing/2014/main" id="{00000000-0008-0000-0F00-000017000000}"/>
            </a:ext>
          </a:extLst>
        </xdr:cNvPr>
        <xdr:cNvSpPr txBox="1">
          <a:spLocks noChangeArrowheads="1"/>
        </xdr:cNvSpPr>
      </xdr:nvSpPr>
      <xdr:spPr bwMode="auto">
        <a:xfrm>
          <a:off x="3981450" y="2162175"/>
          <a:ext cx="235267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171450</xdr:colOff>
      <xdr:row>5</xdr:row>
      <xdr:rowOff>0</xdr:rowOff>
    </xdr:from>
    <xdr:to>
      <xdr:col>4</xdr:col>
      <xdr:colOff>762000</xdr:colOff>
      <xdr:row>5</xdr:row>
      <xdr:rowOff>0</xdr:rowOff>
    </xdr:to>
    <xdr:sp macro="" textlink="">
      <xdr:nvSpPr>
        <xdr:cNvPr id="24" name="Text Box 4">
          <a:extLst>
            <a:ext uri="{FF2B5EF4-FFF2-40B4-BE49-F238E27FC236}">
              <a16:creationId xmlns:a16="http://schemas.microsoft.com/office/drawing/2014/main" id="{00000000-0008-0000-0F00-000018000000}"/>
            </a:ext>
          </a:extLst>
        </xdr:cNvPr>
        <xdr:cNvSpPr txBox="1">
          <a:spLocks noChangeArrowheads="1"/>
        </xdr:cNvSpPr>
      </xdr:nvSpPr>
      <xdr:spPr bwMode="auto">
        <a:xfrm>
          <a:off x="3981450" y="2162175"/>
          <a:ext cx="235267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171450</xdr:colOff>
      <xdr:row>5</xdr:row>
      <xdr:rowOff>0</xdr:rowOff>
    </xdr:from>
    <xdr:to>
      <xdr:col>4</xdr:col>
      <xdr:colOff>762000</xdr:colOff>
      <xdr:row>5</xdr:row>
      <xdr:rowOff>0</xdr:rowOff>
    </xdr:to>
    <xdr:sp macro="" textlink="">
      <xdr:nvSpPr>
        <xdr:cNvPr id="25" name="Text Box 5">
          <a:extLst>
            <a:ext uri="{FF2B5EF4-FFF2-40B4-BE49-F238E27FC236}">
              <a16:creationId xmlns:a16="http://schemas.microsoft.com/office/drawing/2014/main" id="{00000000-0008-0000-0F00-000019000000}"/>
            </a:ext>
          </a:extLst>
        </xdr:cNvPr>
        <xdr:cNvSpPr txBox="1">
          <a:spLocks noChangeArrowheads="1"/>
        </xdr:cNvSpPr>
      </xdr:nvSpPr>
      <xdr:spPr bwMode="auto">
        <a:xfrm>
          <a:off x="3981450" y="2162175"/>
          <a:ext cx="235267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171450</xdr:colOff>
      <xdr:row>4</xdr:row>
      <xdr:rowOff>0</xdr:rowOff>
    </xdr:from>
    <xdr:to>
      <xdr:col>4</xdr:col>
      <xdr:colOff>762000</xdr:colOff>
      <xdr:row>4</xdr:row>
      <xdr:rowOff>0</xdr:rowOff>
    </xdr:to>
    <xdr:sp macro="" textlink="">
      <xdr:nvSpPr>
        <xdr:cNvPr id="26" name="Text Box 1">
          <a:extLst>
            <a:ext uri="{FF2B5EF4-FFF2-40B4-BE49-F238E27FC236}">
              <a16:creationId xmlns:a16="http://schemas.microsoft.com/office/drawing/2014/main" id="{00000000-0008-0000-0F00-00001A000000}"/>
            </a:ext>
          </a:extLst>
        </xdr:cNvPr>
        <xdr:cNvSpPr txBox="1">
          <a:spLocks noChangeArrowheads="1"/>
        </xdr:cNvSpPr>
      </xdr:nvSpPr>
      <xdr:spPr bwMode="auto">
        <a:xfrm>
          <a:off x="3981450" y="1485900"/>
          <a:ext cx="235267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171450</xdr:colOff>
      <xdr:row>4</xdr:row>
      <xdr:rowOff>0</xdr:rowOff>
    </xdr:from>
    <xdr:to>
      <xdr:col>4</xdr:col>
      <xdr:colOff>762000</xdr:colOff>
      <xdr:row>4</xdr:row>
      <xdr:rowOff>0</xdr:rowOff>
    </xdr:to>
    <xdr:sp macro="" textlink="">
      <xdr:nvSpPr>
        <xdr:cNvPr id="27" name="Text Box 2">
          <a:extLst>
            <a:ext uri="{FF2B5EF4-FFF2-40B4-BE49-F238E27FC236}">
              <a16:creationId xmlns:a16="http://schemas.microsoft.com/office/drawing/2014/main" id="{00000000-0008-0000-0F00-00001B000000}"/>
            </a:ext>
          </a:extLst>
        </xdr:cNvPr>
        <xdr:cNvSpPr txBox="1">
          <a:spLocks noChangeArrowheads="1"/>
        </xdr:cNvSpPr>
      </xdr:nvSpPr>
      <xdr:spPr bwMode="auto">
        <a:xfrm>
          <a:off x="3981450" y="1485900"/>
          <a:ext cx="235267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171450</xdr:colOff>
      <xdr:row>3</xdr:row>
      <xdr:rowOff>0</xdr:rowOff>
    </xdr:from>
    <xdr:to>
      <xdr:col>4</xdr:col>
      <xdr:colOff>762000</xdr:colOff>
      <xdr:row>3</xdr:row>
      <xdr:rowOff>0</xdr:rowOff>
    </xdr:to>
    <xdr:sp macro="" textlink="">
      <xdr:nvSpPr>
        <xdr:cNvPr id="28" name="Text Box 1">
          <a:extLst>
            <a:ext uri="{FF2B5EF4-FFF2-40B4-BE49-F238E27FC236}">
              <a16:creationId xmlns:a16="http://schemas.microsoft.com/office/drawing/2014/main" id="{00000000-0008-0000-0F00-00001C000000}"/>
            </a:ext>
          </a:extLst>
        </xdr:cNvPr>
        <xdr:cNvSpPr txBox="1">
          <a:spLocks noChangeArrowheads="1"/>
        </xdr:cNvSpPr>
      </xdr:nvSpPr>
      <xdr:spPr bwMode="auto">
        <a:xfrm>
          <a:off x="3981450" y="1104900"/>
          <a:ext cx="235267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171450</xdr:colOff>
      <xdr:row>3</xdr:row>
      <xdr:rowOff>0</xdr:rowOff>
    </xdr:from>
    <xdr:to>
      <xdr:col>4</xdr:col>
      <xdr:colOff>762000</xdr:colOff>
      <xdr:row>3</xdr:row>
      <xdr:rowOff>0</xdr:rowOff>
    </xdr:to>
    <xdr:sp macro="" textlink="">
      <xdr:nvSpPr>
        <xdr:cNvPr id="29" name="Text Box 2">
          <a:extLst>
            <a:ext uri="{FF2B5EF4-FFF2-40B4-BE49-F238E27FC236}">
              <a16:creationId xmlns:a16="http://schemas.microsoft.com/office/drawing/2014/main" id="{00000000-0008-0000-0F00-00001D000000}"/>
            </a:ext>
          </a:extLst>
        </xdr:cNvPr>
        <xdr:cNvSpPr txBox="1">
          <a:spLocks noChangeArrowheads="1"/>
        </xdr:cNvSpPr>
      </xdr:nvSpPr>
      <xdr:spPr bwMode="auto">
        <a:xfrm>
          <a:off x="3981450" y="1104900"/>
          <a:ext cx="235267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192912</xdr:colOff>
      <xdr:row>1</xdr:row>
      <xdr:rowOff>103049</xdr:rowOff>
    </xdr:from>
    <xdr:to>
      <xdr:col>10</xdr:col>
      <xdr:colOff>675189</xdr:colOff>
      <xdr:row>56</xdr:row>
      <xdr:rowOff>97537</xdr:rowOff>
    </xdr:to>
    <xdr:grpSp>
      <xdr:nvGrpSpPr>
        <xdr:cNvPr id="12" name="4 Grupo">
          <a:extLst>
            <a:ext uri="{FF2B5EF4-FFF2-40B4-BE49-F238E27FC236}">
              <a16:creationId xmlns:a16="http://schemas.microsoft.com/office/drawing/2014/main" id="{00000000-0008-0000-0200-00000C000000}"/>
            </a:ext>
          </a:extLst>
        </xdr:cNvPr>
        <xdr:cNvGrpSpPr/>
      </xdr:nvGrpSpPr>
      <xdr:grpSpPr>
        <a:xfrm>
          <a:off x="6173165" y="175391"/>
          <a:ext cx="4135537" cy="9748570"/>
          <a:chOff x="-30741" y="91878"/>
          <a:chExt cx="2524737" cy="8791643"/>
        </a:xfrm>
      </xdr:grpSpPr>
      <xdr:sp macro="" textlink="">
        <xdr:nvSpPr>
          <xdr:cNvPr id="13" name="AutoShape 14">
            <a:extLst>
              <a:ext uri="{FF2B5EF4-FFF2-40B4-BE49-F238E27FC236}">
                <a16:creationId xmlns:a16="http://schemas.microsoft.com/office/drawing/2014/main" id="{00000000-0008-0000-0200-00000D000000}"/>
              </a:ext>
            </a:extLst>
          </xdr:cNvPr>
          <xdr:cNvSpPr>
            <a:spLocks noChangeArrowheads="1"/>
          </xdr:cNvSpPr>
        </xdr:nvSpPr>
        <xdr:spPr bwMode="auto">
          <a:xfrm>
            <a:off x="-30741" y="101157"/>
            <a:ext cx="2524737" cy="8782364"/>
          </a:xfrm>
          <a:prstGeom prst="rect">
            <a:avLst/>
          </a:prstGeom>
          <a:solidFill>
            <a:schemeClr val="bg1"/>
          </a:solidFill>
          <a:ln w="15875">
            <a:solidFill>
              <a:schemeClr val="bg2">
                <a:lumMod val="50000"/>
              </a:schemeClr>
            </a:solidFill>
          </a:ln>
        </xdr:spPr>
        <xdr:style>
          <a:lnRef idx="0">
            <a:scrgbClr r="0" g="0" b="0"/>
          </a:lnRef>
          <a:fillRef idx="1002">
            <a:schemeClr val="lt2"/>
          </a:fillRef>
          <a:effectRef idx="0">
            <a:scrgbClr r="0" g="0" b="0"/>
          </a:effectRef>
          <a:fontRef idx="major"/>
        </xdr:style>
        <xdr:txBody>
          <a:bodyPr rot="0" vert="horz" wrap="square" lIns="182880" tIns="457200" rIns="182880" bIns="73152" anchor="t" anchorCtr="0" upright="1">
            <a:noAutofit/>
          </a:bodyPr>
          <a:lstStyle/>
          <a:p>
            <a:pPr algn="ctr">
              <a:lnSpc>
                <a:spcPct val="115000"/>
              </a:lnSpc>
              <a:spcBef>
                <a:spcPts val="2400"/>
              </a:spcBef>
              <a:spcAft>
                <a:spcPts val="1200"/>
              </a:spcAft>
            </a:pPr>
            <a:r>
              <a:rPr lang="es-PE" sz="1800" b="1" kern="0">
                <a:solidFill>
                  <a:sysClr val="windowText" lastClr="000000"/>
                </a:solidFill>
                <a:effectLst/>
                <a:latin typeface="Arial" panose="020B0604020202020204" pitchFamily="34" charset="0"/>
                <a:ea typeface="Times New Roman"/>
                <a:cs typeface="Arial" panose="020B0604020202020204" pitchFamily="34" charset="0"/>
              </a:rPr>
              <a:t>III.- Duración</a:t>
            </a:r>
          </a:p>
          <a:p>
            <a:pPr algn="just">
              <a:lnSpc>
                <a:spcPct val="115000"/>
              </a:lnSpc>
              <a:spcBef>
                <a:spcPts val="2400"/>
              </a:spcBef>
              <a:spcAft>
                <a:spcPts val="1200"/>
              </a:spcAft>
            </a:pPr>
            <a:r>
              <a:rPr lang="es-PE" sz="1200" b="0" kern="0">
                <a:solidFill>
                  <a:sysClr val="windowText" lastClr="000000"/>
                </a:solidFill>
                <a:effectLst/>
                <a:latin typeface="Arial" panose="020B0604020202020204" pitchFamily="34" charset="0"/>
                <a:ea typeface="Times New Roman"/>
                <a:cs typeface="Arial" panose="020B0604020202020204" pitchFamily="34" charset="0"/>
              </a:rPr>
              <a:t>Medir</a:t>
            </a:r>
            <a:r>
              <a:rPr lang="es-PE" sz="1200" b="0" kern="0" baseline="0">
                <a:solidFill>
                  <a:sysClr val="windowText" lastClr="000000"/>
                </a:solidFill>
                <a:effectLst/>
                <a:latin typeface="Arial" panose="020B0604020202020204" pitchFamily="34" charset="0"/>
                <a:ea typeface="Times New Roman"/>
                <a:cs typeface="Arial" panose="020B0604020202020204" pitchFamily="34" charset="0"/>
              </a:rPr>
              <a:t>las huelgas por el tiempo de duración estuvo determinado por el número de días que estos tuvieron, por el número de trabajadores involucrados y las horas-hombre perdidas que generó. </a:t>
            </a:r>
          </a:p>
          <a:p>
            <a:pPr marL="0" marR="0" lvl="0" indent="0" algn="just" defTabSz="914400" eaLnBrk="1" fontAlgn="auto" latinLnBrk="0" hangingPunct="1">
              <a:lnSpc>
                <a:spcPct val="115000"/>
              </a:lnSpc>
              <a:spcBef>
                <a:spcPts val="2400"/>
              </a:spcBef>
              <a:spcAft>
                <a:spcPts val="1200"/>
              </a:spcAft>
              <a:buClrTx/>
              <a:buSzTx/>
              <a:buFontTx/>
              <a:buNone/>
              <a:tabLst/>
              <a:defRPr/>
            </a:pPr>
            <a:r>
              <a:rPr lang="es-PE" sz="1200" b="0" kern="0" baseline="0">
                <a:solidFill>
                  <a:sysClr val="windowText" lastClr="000000"/>
                </a:solidFill>
                <a:effectLst/>
                <a:latin typeface="Arial" panose="020B0604020202020204" pitchFamily="34" charset="0"/>
                <a:ea typeface="Times New Roman"/>
                <a:cs typeface="Arial" panose="020B0604020202020204" pitchFamily="34" charset="0"/>
              </a:rPr>
              <a:t>Por lo mismo, sobresalen las huelgas que tuvieron una duración de </a:t>
            </a:r>
            <a:r>
              <a:rPr lang="es-PE" sz="1200" b="0" baseline="0">
                <a:effectLst/>
                <a:latin typeface="Arial" panose="020B0604020202020204" pitchFamily="34" charset="0"/>
                <a:ea typeface="+mj-ea"/>
                <a:cs typeface="Arial" panose="020B0604020202020204" pitchFamily="34" charset="0"/>
              </a:rPr>
              <a:t>ocho a quince días con 7 huelgas, 12 742 trabajadores, 1 156 896 horas-hombre perdidas; huelgas que fueron realizadas por el Sindicato Nacional de Trabajadores Penitenciarios del Perú - SINTRAP, Sindicato de Trabajadore Penitenciarios del Perú INPE - SINTPE, Sindicato de Docentes de Educación Superior Pedagógico del Perú - SIDESUP.</a:t>
            </a:r>
            <a:endParaRPr lang="es-PE" sz="1200" b="0" kern="0" baseline="0">
              <a:solidFill>
                <a:sysClr val="windowText" lastClr="000000"/>
              </a:solidFill>
              <a:effectLst/>
              <a:latin typeface="Arial" panose="020B0604020202020204" pitchFamily="34" charset="0"/>
              <a:ea typeface="Times New Roman"/>
              <a:cs typeface="Arial" panose="020B0604020202020204" pitchFamily="34" charset="0"/>
            </a:endParaRPr>
          </a:p>
          <a:p>
            <a:pPr marL="0" marR="0" lvl="0" indent="0" algn="just" defTabSz="914400" eaLnBrk="1" fontAlgn="auto" latinLnBrk="0" hangingPunct="1">
              <a:lnSpc>
                <a:spcPct val="115000"/>
              </a:lnSpc>
              <a:spcBef>
                <a:spcPts val="2400"/>
              </a:spcBef>
              <a:spcAft>
                <a:spcPts val="1200"/>
              </a:spcAft>
              <a:buClrTx/>
              <a:buSzTx/>
              <a:buFontTx/>
              <a:buNone/>
              <a:tabLst/>
              <a:defRPr/>
            </a:pPr>
            <a:r>
              <a:rPr lang="es-PE" sz="1200" b="0" kern="0" baseline="0">
                <a:solidFill>
                  <a:sysClr val="windowText" lastClr="000000"/>
                </a:solidFill>
                <a:effectLst/>
                <a:latin typeface="Arial" panose="020B0604020202020204" pitchFamily="34" charset="0"/>
                <a:ea typeface="Times New Roman"/>
                <a:cs typeface="Arial" panose="020B0604020202020204" pitchFamily="34" charset="0"/>
              </a:rPr>
              <a:t>Sigue en importancia las huelgas que   tuvieron una duración </a:t>
            </a:r>
            <a:r>
              <a:rPr lang="es-PE" sz="1200" b="0" baseline="0">
                <a:effectLst/>
                <a:latin typeface="Arial" panose="020B0604020202020204" pitchFamily="34" charset="0"/>
                <a:ea typeface="+mj-ea"/>
                <a:cs typeface="Arial" panose="020B0604020202020204" pitchFamily="34" charset="0"/>
              </a:rPr>
              <a:t>de cuatro a siete días tuvo un registro de 7 huelgas comprendiendo a 13 490 trabajadores y generó 417 256 horas-hombre perdidas . </a:t>
            </a:r>
            <a:endParaRPr lang="es-PE" sz="1200">
              <a:effectLst/>
              <a:latin typeface="Arial" panose="020B0604020202020204" pitchFamily="34" charset="0"/>
              <a:cs typeface="Arial" panose="020B0604020202020204" pitchFamily="34" charset="0"/>
            </a:endParaRPr>
          </a:p>
          <a:p>
            <a:pPr algn="just">
              <a:lnSpc>
                <a:spcPct val="115000"/>
              </a:lnSpc>
              <a:spcBef>
                <a:spcPts val="2400"/>
              </a:spcBef>
              <a:spcAft>
                <a:spcPts val="1200"/>
              </a:spcAft>
            </a:pPr>
            <a:r>
              <a:rPr lang="es-PE" sz="1200" b="0" baseline="0">
                <a:effectLst/>
                <a:latin typeface="Arial" panose="020B0604020202020204" pitchFamily="34" charset="0"/>
                <a:ea typeface="+mj-ea"/>
                <a:cs typeface="Arial" panose="020B0604020202020204" pitchFamily="34" charset="0"/>
              </a:rPr>
              <a:t>Las huelgas con 1 día (24 horas)de duración con un registro de 26 huelgas, que comprendió a 41 952 trabajadores comprendidos y generó 283 908 horas-hombre perdidas. </a:t>
            </a:r>
          </a:p>
          <a:p>
            <a:pPr algn="just">
              <a:lnSpc>
                <a:spcPct val="115000"/>
              </a:lnSpc>
              <a:spcBef>
                <a:spcPts val="2400"/>
              </a:spcBef>
              <a:spcAft>
                <a:spcPts val="1200"/>
              </a:spcAft>
            </a:pPr>
            <a:r>
              <a:rPr lang="es-PE" sz="1200" b="0" baseline="0">
                <a:effectLst/>
                <a:latin typeface="Arial" panose="020B0604020202020204" pitchFamily="34" charset="0"/>
                <a:ea typeface="+mj-ea"/>
                <a:cs typeface="Arial" panose="020B0604020202020204" pitchFamily="34" charset="0"/>
              </a:rPr>
              <a:t>  A</a:t>
            </a:r>
            <a:r>
              <a:rPr lang="es-PE" sz="1200" b="0" kern="0" baseline="0">
                <a:solidFill>
                  <a:sysClr val="windowText" lastClr="000000"/>
                </a:solidFill>
                <a:effectLst/>
                <a:latin typeface="Arial" panose="020B0604020202020204" pitchFamily="34" charset="0"/>
                <a:ea typeface="Times New Roman"/>
                <a:cs typeface="Arial" panose="020B0604020202020204" pitchFamily="34" charset="0"/>
              </a:rPr>
              <a:t>simismo las huelgas con  dos  días  (48 horas) de duración  con  13 huelgas, 6 188 trabajadores comprendidos y generó 99 008 horas-hombre perdidas.</a:t>
            </a:r>
          </a:p>
          <a:p>
            <a:pPr algn="just">
              <a:lnSpc>
                <a:spcPct val="115000"/>
              </a:lnSpc>
              <a:spcBef>
                <a:spcPts val="2400"/>
              </a:spcBef>
              <a:spcAft>
                <a:spcPts val="1200"/>
              </a:spcAft>
            </a:pPr>
            <a:r>
              <a:rPr lang="es-PE" sz="1200" b="0" kern="0" baseline="0">
                <a:solidFill>
                  <a:sysClr val="windowText" lastClr="000000"/>
                </a:solidFill>
                <a:effectLst/>
                <a:latin typeface="Arial" panose="020B0604020202020204" pitchFamily="34" charset="0"/>
                <a:ea typeface="Times New Roman"/>
                <a:cs typeface="Arial" panose="020B0604020202020204" pitchFamily="34" charset="0"/>
              </a:rPr>
              <a:t>Finalmente las huelgas que tuvieron una duración de veintidós a trenticinco días de duración con 3 huelgas, 828 trabajadores, 188 992 horas-hombre perdidas y las de duración de trentiseis a mas días con 5 huelgas 248 trabajadores 119 312 horas hombre perdidas.</a:t>
            </a:r>
            <a:endParaRPr lang="es-PE" sz="1200" baseline="0">
              <a:solidFill>
                <a:sysClr val="windowText" lastClr="000000"/>
              </a:solidFill>
              <a:effectLst/>
              <a:latin typeface="Arial" pitchFamily="34" charset="0"/>
              <a:ea typeface="Calibri"/>
              <a:cs typeface="Arial" pitchFamily="34" charset="0"/>
            </a:endParaRPr>
          </a:p>
          <a:p>
            <a:pPr algn="just">
              <a:lnSpc>
                <a:spcPct val="200000"/>
              </a:lnSpc>
              <a:spcAft>
                <a:spcPts val="1000"/>
              </a:spcAft>
            </a:pPr>
            <a:r>
              <a:rPr lang="es-PE" sz="1200">
                <a:solidFill>
                  <a:sysClr val="windowText" lastClr="000000"/>
                </a:solidFill>
                <a:effectLst/>
                <a:latin typeface="Arial" pitchFamily="34" charset="0"/>
                <a:ea typeface="Calibri"/>
                <a:cs typeface="Arial" pitchFamily="34" charset="0"/>
              </a:rPr>
              <a:t> </a:t>
            </a:r>
          </a:p>
          <a:p>
            <a:pPr>
              <a:lnSpc>
                <a:spcPct val="200000"/>
              </a:lnSpc>
              <a:spcAft>
                <a:spcPts val="1000"/>
              </a:spcAft>
            </a:pPr>
            <a:r>
              <a:rPr lang="es-PE" sz="1200">
                <a:solidFill>
                  <a:srgbClr val="1F497D"/>
                </a:solidFill>
                <a:effectLst/>
                <a:latin typeface="Arial" panose="020B0604020202020204" pitchFamily="34" charset="0"/>
                <a:ea typeface="Calibri"/>
                <a:cs typeface="Arial" panose="020B0604020202020204" pitchFamily="34" charset="0"/>
              </a:rPr>
              <a:t> </a:t>
            </a:r>
            <a:endParaRPr lang="es-PE" sz="1200">
              <a:effectLst/>
              <a:latin typeface="Arial" panose="020B0604020202020204" pitchFamily="34" charset="0"/>
              <a:ea typeface="Calibri"/>
              <a:cs typeface="Arial" panose="020B0604020202020204" pitchFamily="34" charset="0"/>
            </a:endParaRPr>
          </a:p>
          <a:p>
            <a:pPr>
              <a:lnSpc>
                <a:spcPct val="200000"/>
              </a:lnSpc>
              <a:spcAft>
                <a:spcPts val="1000"/>
              </a:spcAft>
            </a:pPr>
            <a:r>
              <a:rPr lang="es-PE" sz="1200">
                <a:solidFill>
                  <a:srgbClr val="1F497D"/>
                </a:solidFill>
                <a:effectLst/>
                <a:latin typeface="Arial" panose="020B0604020202020204" pitchFamily="34" charset="0"/>
                <a:ea typeface="Calibri"/>
                <a:cs typeface="Arial" panose="020B0604020202020204" pitchFamily="34" charset="0"/>
              </a:rPr>
              <a:t> </a:t>
            </a:r>
            <a:endParaRPr lang="es-PE" sz="1200">
              <a:effectLst/>
              <a:latin typeface="Arial" panose="020B0604020202020204" pitchFamily="34" charset="0"/>
              <a:ea typeface="Calibri"/>
              <a:cs typeface="Arial" panose="020B0604020202020204" pitchFamily="34" charset="0"/>
            </a:endParaRPr>
          </a:p>
          <a:p>
            <a:pPr>
              <a:lnSpc>
                <a:spcPct val="200000"/>
              </a:lnSpc>
              <a:spcAft>
                <a:spcPts val="1000"/>
              </a:spcAft>
            </a:pPr>
            <a:r>
              <a:rPr lang="es-PE" sz="1100">
                <a:solidFill>
                  <a:srgbClr val="1F497D"/>
                </a:solidFill>
                <a:effectLst/>
                <a:latin typeface="Calibri"/>
                <a:ea typeface="Calibri"/>
                <a:cs typeface="Times New Roman"/>
              </a:rPr>
              <a:t> </a:t>
            </a:r>
            <a:endParaRPr lang="es-PE" sz="1100">
              <a:effectLst/>
              <a:latin typeface="Calibri"/>
              <a:ea typeface="Calibri"/>
              <a:cs typeface="Times New Roman"/>
            </a:endParaRPr>
          </a:p>
        </xdr:txBody>
      </xdr:sp>
      <xdr:sp macro="" textlink="">
        <xdr:nvSpPr>
          <xdr:cNvPr id="14" name="Rectangle 45">
            <a:extLst>
              <a:ext uri="{FF2B5EF4-FFF2-40B4-BE49-F238E27FC236}">
                <a16:creationId xmlns:a16="http://schemas.microsoft.com/office/drawing/2014/main" id="{00000000-0008-0000-0200-00000E000000}"/>
              </a:ext>
            </a:extLst>
          </xdr:cNvPr>
          <xdr:cNvSpPr/>
        </xdr:nvSpPr>
        <xdr:spPr>
          <a:xfrm>
            <a:off x="91327" y="91878"/>
            <a:ext cx="2331720" cy="362737"/>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82880" tIns="182880" rIns="182880" bIns="365760" numCol="1" spcCol="0" rtlCol="0" fromWordArt="0" anchor="b" anchorCtr="0" forceAA="0" compatLnSpc="1">
            <a:prstTxWarp prst="textNoShape">
              <a:avLst/>
            </a:prstTxWarp>
            <a:noAutofit/>
          </a:bodyPr>
          <a:lstStyle/>
          <a:p>
            <a:pPr>
              <a:lnSpc>
                <a:spcPct val="115000"/>
              </a:lnSpc>
              <a:spcBef>
                <a:spcPts val="1200"/>
              </a:spcBef>
              <a:spcAft>
                <a:spcPts val="1000"/>
              </a:spcAft>
            </a:pPr>
            <a:r>
              <a:rPr lang="es-PE" sz="1100">
                <a:solidFill>
                  <a:srgbClr val="FFFFFF"/>
                </a:solidFill>
                <a:effectLst/>
                <a:ea typeface="Calibri"/>
                <a:cs typeface="Times New Roman"/>
              </a:rPr>
              <a:t> </a:t>
            </a:r>
            <a:endParaRPr lang="es-PE" sz="1100">
              <a:effectLst/>
              <a:ea typeface="Calibri"/>
              <a:cs typeface="Times New Roman"/>
            </a:endParaRPr>
          </a:p>
        </xdr:txBody>
      </xdr:sp>
      <xdr:sp macro="" textlink="">
        <xdr:nvSpPr>
          <xdr:cNvPr id="15" name="Rectangle 46">
            <a:extLst>
              <a:ext uri="{FF2B5EF4-FFF2-40B4-BE49-F238E27FC236}">
                <a16:creationId xmlns:a16="http://schemas.microsoft.com/office/drawing/2014/main" id="{00000000-0008-0000-0200-00000F000000}"/>
              </a:ext>
            </a:extLst>
          </xdr:cNvPr>
          <xdr:cNvSpPr/>
        </xdr:nvSpPr>
        <xdr:spPr>
          <a:xfrm>
            <a:off x="38116" y="8405038"/>
            <a:ext cx="2308666" cy="39052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82880" tIns="182880" rIns="182880" bIns="365760" numCol="1" spcCol="0" rtlCol="0" fromWordArt="0" anchor="b" anchorCtr="0" forceAA="0" compatLnSpc="1">
            <a:prstTxWarp prst="textNoShape">
              <a:avLst/>
            </a:prstTxWarp>
            <a:noAutofit/>
          </a:bodyPr>
          <a:lstStyle/>
          <a:p>
            <a:pPr>
              <a:lnSpc>
                <a:spcPct val="115000"/>
              </a:lnSpc>
              <a:spcBef>
                <a:spcPts val="1200"/>
              </a:spcBef>
              <a:spcAft>
                <a:spcPts val="1000"/>
              </a:spcAft>
            </a:pPr>
            <a:r>
              <a:rPr lang="es-PE" sz="1100">
                <a:solidFill>
                  <a:srgbClr val="FFFFFF"/>
                </a:solidFill>
                <a:effectLst/>
                <a:ea typeface="Calibri"/>
                <a:cs typeface="Times New Roman"/>
              </a:rPr>
              <a:t> </a:t>
            </a:r>
            <a:endParaRPr lang="es-PE" sz="1100">
              <a:effectLst/>
              <a:ea typeface="Calibri"/>
              <a:cs typeface="Times New Roman"/>
            </a:endParaRPr>
          </a:p>
        </xdr:txBody>
      </xdr:sp>
    </xdr:grpSp>
    <xdr:clientData/>
  </xdr:twoCellAnchor>
  <xdr:twoCellAnchor editAs="oneCell">
    <xdr:from>
      <xdr:col>0</xdr:col>
      <xdr:colOff>277311</xdr:colOff>
      <xdr:row>1</xdr:row>
      <xdr:rowOff>325538</xdr:rowOff>
    </xdr:from>
    <xdr:to>
      <xdr:col>5</xdr:col>
      <xdr:colOff>1603575</xdr:colOff>
      <xdr:row>15</xdr:row>
      <xdr:rowOff>12057</xdr:rowOff>
    </xdr:to>
    <xdr:pic>
      <xdr:nvPicPr>
        <xdr:cNvPr id="4" name="Imagen 3">
          <a:extLst>
            <a:ext uri="{FF2B5EF4-FFF2-40B4-BE49-F238E27FC236}">
              <a16:creationId xmlns:a16="http://schemas.microsoft.com/office/drawing/2014/main" id="{94339C20-FA31-57B5-D3F1-2AADEFA5C0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7311" y="397880"/>
          <a:ext cx="5702941" cy="30262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337595</xdr:colOff>
      <xdr:row>15</xdr:row>
      <xdr:rowOff>108512</xdr:rowOff>
    </xdr:from>
    <xdr:to>
      <xdr:col>5</xdr:col>
      <xdr:colOff>1543292</xdr:colOff>
      <xdr:row>35</xdr:row>
      <xdr:rowOff>60285</xdr:rowOff>
    </xdr:to>
    <xdr:pic>
      <xdr:nvPicPr>
        <xdr:cNvPr id="5" name="Imagen 4">
          <a:extLst>
            <a:ext uri="{FF2B5EF4-FFF2-40B4-BE49-F238E27FC236}">
              <a16:creationId xmlns:a16="http://schemas.microsoft.com/office/drawing/2014/main" id="{88A1EFAE-853D-4F95-C9FD-C9D990247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7595" y="3544746"/>
          <a:ext cx="5582374" cy="3086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385823</xdr:colOff>
      <xdr:row>36</xdr:row>
      <xdr:rowOff>60285</xdr:rowOff>
    </xdr:from>
    <xdr:to>
      <xdr:col>5</xdr:col>
      <xdr:colOff>1483007</xdr:colOff>
      <xdr:row>56</xdr:row>
      <xdr:rowOff>0</xdr:rowOff>
    </xdr:to>
    <xdr:pic>
      <xdr:nvPicPr>
        <xdr:cNvPr id="6" name="Imagen 5">
          <a:extLst>
            <a:ext uri="{FF2B5EF4-FFF2-40B4-BE49-F238E27FC236}">
              <a16:creationId xmlns:a16="http://schemas.microsoft.com/office/drawing/2014/main" id="{04ED184B-86C2-60CD-9E11-DFFFB7465E1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5823" y="6788070"/>
          <a:ext cx="5473861" cy="3062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9298</xdr:colOff>
      <xdr:row>0</xdr:row>
      <xdr:rowOff>264119</xdr:rowOff>
    </xdr:from>
    <xdr:to>
      <xdr:col>5</xdr:col>
      <xdr:colOff>200025</xdr:colOff>
      <xdr:row>46</xdr:row>
      <xdr:rowOff>152400</xdr:rowOff>
    </xdr:to>
    <xdr:grpSp>
      <xdr:nvGrpSpPr>
        <xdr:cNvPr id="9" name="1 Grupo">
          <a:extLst>
            <a:ext uri="{FF2B5EF4-FFF2-40B4-BE49-F238E27FC236}">
              <a16:creationId xmlns:a16="http://schemas.microsoft.com/office/drawing/2014/main" id="{00000000-0008-0000-0300-000009000000}"/>
            </a:ext>
          </a:extLst>
        </xdr:cNvPr>
        <xdr:cNvGrpSpPr/>
      </xdr:nvGrpSpPr>
      <xdr:grpSpPr>
        <a:xfrm>
          <a:off x="1009423" y="264119"/>
          <a:ext cx="3581627" cy="8432206"/>
          <a:chOff x="-7006" y="-54041"/>
          <a:chExt cx="2628964" cy="9555480"/>
        </a:xfrm>
      </xdr:grpSpPr>
      <xdr:sp macro="" textlink="">
        <xdr:nvSpPr>
          <xdr:cNvPr id="12" name="AutoShape 14">
            <a:extLst>
              <a:ext uri="{FF2B5EF4-FFF2-40B4-BE49-F238E27FC236}">
                <a16:creationId xmlns:a16="http://schemas.microsoft.com/office/drawing/2014/main" id="{00000000-0008-0000-0300-00000C000000}"/>
              </a:ext>
            </a:extLst>
          </xdr:cNvPr>
          <xdr:cNvSpPr>
            <a:spLocks noChangeArrowheads="1"/>
          </xdr:cNvSpPr>
        </xdr:nvSpPr>
        <xdr:spPr bwMode="auto">
          <a:xfrm>
            <a:off x="-7006" y="-54041"/>
            <a:ext cx="2628964" cy="9555480"/>
          </a:xfrm>
          <a:prstGeom prst="rect">
            <a:avLst/>
          </a:prstGeom>
          <a:solidFill>
            <a:schemeClr val="bg1"/>
          </a:solidFill>
          <a:ln w="15875">
            <a:solidFill>
              <a:schemeClr val="bg2">
                <a:lumMod val="50000"/>
              </a:schemeClr>
            </a:solidFill>
          </a:ln>
        </xdr:spPr>
        <xdr:style>
          <a:lnRef idx="0">
            <a:scrgbClr r="0" g="0" b="0"/>
          </a:lnRef>
          <a:fillRef idx="1002">
            <a:schemeClr val="lt2"/>
          </a:fillRef>
          <a:effectRef idx="0">
            <a:scrgbClr r="0" g="0" b="0"/>
          </a:effectRef>
          <a:fontRef idx="major"/>
        </xdr:style>
        <xdr:txBody>
          <a:bodyPr rot="0" vert="horz" wrap="square" lIns="182880" tIns="457200" rIns="182880" bIns="73152" anchor="t" anchorCtr="0" upright="1">
            <a:noAutofit/>
          </a:bodyPr>
          <a:lstStyle/>
          <a:p>
            <a:pPr algn="ctr">
              <a:lnSpc>
                <a:spcPct val="115000"/>
              </a:lnSpc>
              <a:spcBef>
                <a:spcPts val="2400"/>
              </a:spcBef>
              <a:spcAft>
                <a:spcPts val="1200"/>
              </a:spcAft>
            </a:pPr>
            <a:endParaRPr lang="es-PE" sz="2000" b="1" kern="0">
              <a:solidFill>
                <a:sysClr val="windowText" lastClr="000000"/>
              </a:solidFill>
              <a:effectLst/>
              <a:latin typeface="Arial" pitchFamily="34" charset="0"/>
              <a:ea typeface="Times New Roman"/>
              <a:cs typeface="Arial" pitchFamily="34" charset="0"/>
            </a:endParaRPr>
          </a:p>
          <a:p>
            <a:pPr algn="ctr">
              <a:lnSpc>
                <a:spcPct val="115000"/>
              </a:lnSpc>
              <a:spcBef>
                <a:spcPts val="2400"/>
              </a:spcBef>
              <a:spcAft>
                <a:spcPts val="1200"/>
              </a:spcAft>
            </a:pPr>
            <a:r>
              <a:rPr lang="es-PE" sz="1800" b="1" kern="0">
                <a:solidFill>
                  <a:sysClr val="windowText" lastClr="000000"/>
                </a:solidFill>
                <a:effectLst/>
                <a:latin typeface="+mn-lt"/>
                <a:ea typeface="Times New Roman"/>
                <a:cs typeface="Arial" pitchFamily="34" charset="0"/>
              </a:rPr>
              <a:t>IV.- Calificación de la huelga</a:t>
            </a:r>
            <a:endParaRPr lang="es-PE" sz="1800" b="0" kern="0">
              <a:solidFill>
                <a:sysClr val="windowText" lastClr="000000"/>
              </a:solidFill>
              <a:effectLst/>
              <a:latin typeface="+mn-lt"/>
              <a:ea typeface="Times New Roman"/>
              <a:cs typeface="Arial" pitchFamily="34" charset="0"/>
            </a:endParaRPr>
          </a:p>
          <a:p>
            <a:pPr algn="just">
              <a:lnSpc>
                <a:spcPct val="115000"/>
              </a:lnSpc>
              <a:spcBef>
                <a:spcPts val="2400"/>
              </a:spcBef>
              <a:spcAft>
                <a:spcPts val="1200"/>
              </a:spcAft>
            </a:pPr>
            <a:r>
              <a:rPr lang="es-PE" sz="1200" b="0" kern="0">
                <a:solidFill>
                  <a:sysClr val="windowText" lastClr="000000"/>
                </a:solidFill>
                <a:effectLst/>
                <a:latin typeface="Arial" panose="020B0604020202020204" pitchFamily="34" charset="0"/>
                <a:ea typeface="Times New Roman"/>
                <a:cs typeface="Arial" panose="020B0604020202020204" pitchFamily="34" charset="0"/>
              </a:rPr>
              <a:t>Teniendo en cuenta lo normado en el Texto Único Ordenado de la Ley</a:t>
            </a:r>
            <a:r>
              <a:rPr lang="es-PE" sz="1200" b="0" kern="0" baseline="0">
                <a:solidFill>
                  <a:sysClr val="windowText" lastClr="000000"/>
                </a:solidFill>
                <a:effectLst/>
                <a:latin typeface="Arial" panose="020B0604020202020204" pitchFamily="34" charset="0"/>
                <a:ea typeface="Times New Roman"/>
                <a:cs typeface="Arial" panose="020B0604020202020204" pitchFamily="34" charset="0"/>
              </a:rPr>
              <a:t> de Relaciones Colectivas de Trabajo, califica las huelgas como procedentes - conformidad o improcedente - ilegalidad.</a:t>
            </a:r>
          </a:p>
          <a:p>
            <a:pPr marL="0" marR="0" lvl="0" indent="0" algn="just" defTabSz="914400" eaLnBrk="1" fontAlgn="auto" latinLnBrk="0" hangingPunct="1">
              <a:lnSpc>
                <a:spcPct val="115000"/>
              </a:lnSpc>
              <a:spcBef>
                <a:spcPts val="2400"/>
              </a:spcBef>
              <a:spcAft>
                <a:spcPts val="1200"/>
              </a:spcAft>
              <a:buClrTx/>
              <a:buSzTx/>
              <a:buFontTx/>
              <a:buNone/>
              <a:tabLst/>
              <a:defRPr/>
            </a:pPr>
            <a:r>
              <a:rPr lang="es-PE" sz="1200" b="0" kern="0" baseline="0">
                <a:solidFill>
                  <a:sysClr val="windowText" lastClr="000000"/>
                </a:solidFill>
                <a:effectLst/>
                <a:latin typeface="Arial" panose="020B0604020202020204" pitchFamily="34" charset="0"/>
                <a:ea typeface="Times New Roman"/>
                <a:cs typeface="Arial" panose="020B0604020202020204" pitchFamily="34" charset="0"/>
              </a:rPr>
              <a:t>El registro de huelgas en el año 2024 fue declarada </a:t>
            </a:r>
            <a:r>
              <a:rPr lang="es-PE" sz="1200" b="0" baseline="0">
                <a:effectLst/>
                <a:latin typeface="Arial" panose="020B0604020202020204" pitchFamily="34" charset="0"/>
                <a:ea typeface="+mj-ea"/>
                <a:cs typeface="Arial" panose="020B0604020202020204" pitchFamily="34" charset="0"/>
              </a:rPr>
              <a:t>Improcedente - Ilegalidad, la mayoría  de las huelgas 47 (74.60%)  comprendiendo a 74 750  trabajadores  (97.45%)   y   generó    2 130 660 hora-hombre perdidas (92.82%).</a:t>
            </a:r>
            <a:endParaRPr lang="es-PE" sz="1200">
              <a:effectLst/>
              <a:latin typeface="Arial" panose="020B0604020202020204" pitchFamily="34" charset="0"/>
              <a:cs typeface="Arial" panose="020B0604020202020204" pitchFamily="34" charset="0"/>
            </a:endParaRPr>
          </a:p>
          <a:p>
            <a:pPr algn="just">
              <a:lnSpc>
                <a:spcPct val="115000"/>
              </a:lnSpc>
              <a:spcBef>
                <a:spcPts val="2400"/>
              </a:spcBef>
              <a:spcAft>
                <a:spcPts val="1200"/>
              </a:spcAft>
            </a:pPr>
            <a:r>
              <a:rPr lang="es-PE" sz="1200" b="0" kern="0" baseline="0">
                <a:solidFill>
                  <a:sysClr val="windowText" lastClr="000000"/>
                </a:solidFill>
                <a:effectLst/>
                <a:latin typeface="Arial" panose="020B0604020202020204" pitchFamily="34" charset="0"/>
                <a:ea typeface="Times New Roman"/>
                <a:cs typeface="Arial" panose="020B0604020202020204" pitchFamily="34" charset="0"/>
              </a:rPr>
              <a:t>Fueron 16 (25.40%) huelgas registradas que calificaron cumpliendo todos los requisitos exigidos por la Ley y la Autoridad Administrativa de Trabajo y por lo que fueron declaradas Procedente - Conformidad, comprendió a  1 954 trabajadores (2.55%) y generó 164 856 horas-hombre perdidas (7.18%).</a:t>
            </a:r>
          </a:p>
        </xdr:txBody>
      </xdr:sp>
      <xdr:sp macro="" textlink="">
        <xdr:nvSpPr>
          <xdr:cNvPr id="13" name="Rectangle 45">
            <a:extLst>
              <a:ext uri="{FF2B5EF4-FFF2-40B4-BE49-F238E27FC236}">
                <a16:creationId xmlns:a16="http://schemas.microsoft.com/office/drawing/2014/main" id="{00000000-0008-0000-0300-00000D000000}"/>
              </a:ext>
            </a:extLst>
          </xdr:cNvPr>
          <xdr:cNvSpPr/>
        </xdr:nvSpPr>
        <xdr:spPr>
          <a:xfrm>
            <a:off x="88250" y="322327"/>
            <a:ext cx="2475723" cy="738034"/>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82880" tIns="182880" rIns="182880" bIns="365760" numCol="1" spcCol="0" rtlCol="0" fromWordArt="0" anchor="b" anchorCtr="0" forceAA="0" compatLnSpc="1">
            <a:prstTxWarp prst="textNoShape">
              <a:avLst/>
            </a:prstTxWarp>
            <a:noAutofit/>
          </a:bodyPr>
          <a:lstStyle/>
          <a:p>
            <a:pPr>
              <a:lnSpc>
                <a:spcPct val="115000"/>
              </a:lnSpc>
              <a:spcBef>
                <a:spcPts val="1200"/>
              </a:spcBef>
              <a:spcAft>
                <a:spcPts val="1000"/>
              </a:spcAft>
            </a:pPr>
            <a:r>
              <a:rPr lang="es-PE" sz="1100">
                <a:solidFill>
                  <a:srgbClr val="FFFFFF"/>
                </a:solidFill>
                <a:effectLst/>
                <a:ea typeface="Calibri"/>
                <a:cs typeface="Times New Roman"/>
              </a:rPr>
              <a:t> </a:t>
            </a:r>
            <a:endParaRPr lang="es-PE" sz="1100">
              <a:effectLst/>
              <a:ea typeface="Calibri"/>
              <a:cs typeface="Times New Roman"/>
            </a:endParaRPr>
          </a:p>
        </xdr:txBody>
      </xdr:sp>
      <xdr:sp macro="" textlink="">
        <xdr:nvSpPr>
          <xdr:cNvPr id="15" name="Rectangle 46">
            <a:extLst>
              <a:ext uri="{FF2B5EF4-FFF2-40B4-BE49-F238E27FC236}">
                <a16:creationId xmlns:a16="http://schemas.microsoft.com/office/drawing/2014/main" id="{00000000-0008-0000-0300-00000F000000}"/>
              </a:ext>
            </a:extLst>
          </xdr:cNvPr>
          <xdr:cNvSpPr/>
        </xdr:nvSpPr>
        <xdr:spPr>
          <a:xfrm>
            <a:off x="158328" y="8714979"/>
            <a:ext cx="2331720" cy="661414"/>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82880" tIns="182880" rIns="182880" bIns="365760" numCol="1" spcCol="0" rtlCol="0" fromWordArt="0" anchor="b" anchorCtr="0" forceAA="0" compatLnSpc="1">
            <a:prstTxWarp prst="textNoShape">
              <a:avLst/>
            </a:prstTxWarp>
            <a:noAutofit/>
          </a:bodyPr>
          <a:lstStyle/>
          <a:p>
            <a:pPr>
              <a:lnSpc>
                <a:spcPct val="115000"/>
              </a:lnSpc>
              <a:spcBef>
                <a:spcPts val="1200"/>
              </a:spcBef>
              <a:spcAft>
                <a:spcPts val="1000"/>
              </a:spcAft>
            </a:pPr>
            <a:r>
              <a:rPr lang="es-PE" sz="1100">
                <a:solidFill>
                  <a:srgbClr val="FFFFFF"/>
                </a:solidFill>
                <a:effectLst/>
                <a:ea typeface="Calibri"/>
                <a:cs typeface="Times New Roman"/>
              </a:rPr>
              <a:t> </a:t>
            </a:r>
            <a:endParaRPr lang="es-PE" sz="1100">
              <a:effectLst/>
              <a:ea typeface="Calibri"/>
              <a:cs typeface="Times New Roman"/>
            </a:endParaRPr>
          </a:p>
        </xdr:txBody>
      </xdr:sp>
    </xdr:grpSp>
    <xdr:clientData/>
  </xdr:twoCellAnchor>
  <xdr:twoCellAnchor editAs="oneCell">
    <xdr:from>
      <xdr:col>6</xdr:col>
      <xdr:colOff>47624</xdr:colOff>
      <xdr:row>0</xdr:row>
      <xdr:rowOff>342899</xdr:rowOff>
    </xdr:from>
    <xdr:to>
      <xdr:col>10</xdr:col>
      <xdr:colOff>495299</xdr:colOff>
      <xdr:row>10</xdr:row>
      <xdr:rowOff>152400</xdr:rowOff>
    </xdr:to>
    <xdr:pic>
      <xdr:nvPicPr>
        <xdr:cNvPr id="3" name="Imagen 2">
          <a:extLst>
            <a:ext uri="{FF2B5EF4-FFF2-40B4-BE49-F238E27FC236}">
              <a16:creationId xmlns:a16="http://schemas.microsoft.com/office/drawing/2014/main" id="{D194190D-7DF0-138F-7312-28B1FA78AE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7749" y="342899"/>
          <a:ext cx="3800475" cy="2514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47625</xdr:colOff>
      <xdr:row>11</xdr:row>
      <xdr:rowOff>133350</xdr:rowOff>
    </xdr:from>
    <xdr:to>
      <xdr:col>10</xdr:col>
      <xdr:colOff>485775</xdr:colOff>
      <xdr:row>26</xdr:row>
      <xdr:rowOff>123825</xdr:rowOff>
    </xdr:to>
    <xdr:pic>
      <xdr:nvPicPr>
        <xdr:cNvPr id="4" name="Imagen 3">
          <a:extLst>
            <a:ext uri="{FF2B5EF4-FFF2-40B4-BE49-F238E27FC236}">
              <a16:creationId xmlns:a16="http://schemas.microsoft.com/office/drawing/2014/main" id="{DFBE1B6F-5E87-1975-41FA-00ADD1B336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57750" y="3028950"/>
          <a:ext cx="3790950" cy="2419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409575</xdr:colOff>
      <xdr:row>28</xdr:row>
      <xdr:rowOff>57149</xdr:rowOff>
    </xdr:from>
    <xdr:to>
      <xdr:col>10</xdr:col>
      <xdr:colOff>485775</xdr:colOff>
      <xdr:row>43</xdr:row>
      <xdr:rowOff>114299</xdr:rowOff>
    </xdr:to>
    <xdr:pic>
      <xdr:nvPicPr>
        <xdr:cNvPr id="6" name="Imagen 5">
          <a:extLst>
            <a:ext uri="{FF2B5EF4-FFF2-40B4-BE49-F238E27FC236}">
              <a16:creationId xmlns:a16="http://schemas.microsoft.com/office/drawing/2014/main" id="{76CD6AD8-0FAF-3395-5467-E2A036792D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00600" y="5705474"/>
          <a:ext cx="3848100" cy="2486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131097</xdr:colOff>
      <xdr:row>3</xdr:row>
      <xdr:rowOff>63500</xdr:rowOff>
    </xdr:from>
    <xdr:to>
      <xdr:col>10</xdr:col>
      <xdr:colOff>602227</xdr:colOff>
      <xdr:row>51</xdr:row>
      <xdr:rowOff>112660</xdr:rowOff>
    </xdr:to>
    <xdr:grpSp>
      <xdr:nvGrpSpPr>
        <xdr:cNvPr id="12" name="1 Grupo">
          <a:extLst>
            <a:ext uri="{FF2B5EF4-FFF2-40B4-BE49-F238E27FC236}">
              <a16:creationId xmlns:a16="http://schemas.microsoft.com/office/drawing/2014/main" id="{00000000-0008-0000-0400-00000C000000}"/>
            </a:ext>
          </a:extLst>
        </xdr:cNvPr>
        <xdr:cNvGrpSpPr/>
      </xdr:nvGrpSpPr>
      <xdr:grpSpPr>
        <a:xfrm>
          <a:off x="5722272" y="682625"/>
          <a:ext cx="4214455" cy="8364485"/>
          <a:chOff x="12098" y="165395"/>
          <a:chExt cx="2486181" cy="9239924"/>
        </a:xfrm>
      </xdr:grpSpPr>
      <xdr:sp macro="" textlink="">
        <xdr:nvSpPr>
          <xdr:cNvPr id="13" name="AutoShape 14">
            <a:extLst>
              <a:ext uri="{FF2B5EF4-FFF2-40B4-BE49-F238E27FC236}">
                <a16:creationId xmlns:a16="http://schemas.microsoft.com/office/drawing/2014/main" id="{00000000-0008-0000-0400-00000D000000}"/>
              </a:ext>
            </a:extLst>
          </xdr:cNvPr>
          <xdr:cNvSpPr>
            <a:spLocks noChangeArrowheads="1"/>
          </xdr:cNvSpPr>
        </xdr:nvSpPr>
        <xdr:spPr bwMode="auto">
          <a:xfrm>
            <a:off x="12098" y="165395"/>
            <a:ext cx="2486181" cy="9239924"/>
          </a:xfrm>
          <a:prstGeom prst="rect">
            <a:avLst/>
          </a:prstGeom>
          <a:solidFill>
            <a:schemeClr val="bg1"/>
          </a:solidFill>
          <a:ln w="15875">
            <a:solidFill>
              <a:schemeClr val="bg2">
                <a:lumMod val="50000"/>
              </a:schemeClr>
            </a:solidFill>
          </a:ln>
        </xdr:spPr>
        <xdr:style>
          <a:lnRef idx="0">
            <a:scrgbClr r="0" g="0" b="0"/>
          </a:lnRef>
          <a:fillRef idx="1002">
            <a:schemeClr val="lt2"/>
          </a:fillRef>
          <a:effectRef idx="0">
            <a:scrgbClr r="0" g="0" b="0"/>
          </a:effectRef>
          <a:fontRef idx="major"/>
        </xdr:style>
        <xdr:txBody>
          <a:bodyPr rot="0" vert="horz" wrap="square" lIns="182880" tIns="457200" rIns="182880" bIns="73152" anchor="t" anchorCtr="0" upright="1">
            <a:noAutofit/>
          </a:bodyPr>
          <a:lstStyle/>
          <a:p>
            <a:pPr algn="ctr">
              <a:lnSpc>
                <a:spcPct val="115000"/>
              </a:lnSpc>
              <a:spcBef>
                <a:spcPts val="2400"/>
              </a:spcBef>
              <a:spcAft>
                <a:spcPts val="1200"/>
              </a:spcAft>
            </a:pPr>
            <a:endParaRPr lang="es-PE" sz="2000" b="1" kern="0">
              <a:solidFill>
                <a:sysClr val="windowText" lastClr="000000"/>
              </a:solidFill>
              <a:effectLst/>
              <a:latin typeface="Arial" pitchFamily="34" charset="0"/>
              <a:ea typeface="Times New Roman"/>
              <a:cs typeface="Arial" pitchFamily="34" charset="0"/>
            </a:endParaRPr>
          </a:p>
          <a:p>
            <a:pPr algn="ctr">
              <a:lnSpc>
                <a:spcPct val="115000"/>
              </a:lnSpc>
              <a:spcBef>
                <a:spcPts val="2400"/>
              </a:spcBef>
              <a:spcAft>
                <a:spcPts val="1200"/>
              </a:spcAft>
            </a:pPr>
            <a:r>
              <a:rPr lang="es-PE" sz="1800" b="1" kern="0">
                <a:solidFill>
                  <a:sysClr val="windowText" lastClr="000000"/>
                </a:solidFill>
                <a:effectLst/>
                <a:latin typeface="Arial" panose="020B0604020202020204" pitchFamily="34" charset="0"/>
                <a:ea typeface="Times New Roman"/>
                <a:cs typeface="Arial" panose="020B0604020202020204" pitchFamily="34" charset="0"/>
              </a:rPr>
              <a:t>V.- Plazos</a:t>
            </a:r>
          </a:p>
          <a:p>
            <a:pPr algn="just">
              <a:lnSpc>
                <a:spcPct val="200000"/>
              </a:lnSpc>
              <a:spcAft>
                <a:spcPts val="1000"/>
              </a:spcAft>
            </a:pPr>
            <a:r>
              <a:rPr lang="es-PE" sz="1200" b="0" kern="0" baseline="0">
                <a:solidFill>
                  <a:sysClr val="windowText" lastClr="000000"/>
                </a:solidFill>
                <a:effectLst/>
                <a:latin typeface="Arial" panose="020B0604020202020204" pitchFamily="34" charset="0"/>
                <a:ea typeface="Times New Roman"/>
                <a:cs typeface="Arial" panose="020B0604020202020204" pitchFamily="34" charset="0"/>
              </a:rPr>
              <a:t>En el art. 76 del  Texto Único Ordenado de la Ley de Relaciones Colectivas de Trabajo señala los plazos que tienen el registro de las huelgas las que pueden ser declaradas por tiempo determinado o indefinido; si no se indica previamente su duración, se entenderá que se declara por tiempo indefinido".</a:t>
            </a:r>
          </a:p>
          <a:p>
            <a:pPr marL="0" marR="0" lvl="0" indent="0" algn="just" defTabSz="914400" eaLnBrk="1" fontAlgn="auto" latinLnBrk="0" hangingPunct="1">
              <a:lnSpc>
                <a:spcPct val="200000"/>
              </a:lnSpc>
              <a:spcBef>
                <a:spcPts val="0"/>
              </a:spcBef>
              <a:spcAft>
                <a:spcPts val="1000"/>
              </a:spcAft>
              <a:buClrTx/>
              <a:buSzTx/>
              <a:buFontTx/>
              <a:buNone/>
              <a:tabLst/>
              <a:defRPr/>
            </a:pPr>
            <a:r>
              <a:rPr lang="es-PE" sz="1200" b="0" kern="0" baseline="0">
                <a:solidFill>
                  <a:sysClr val="windowText" lastClr="000000"/>
                </a:solidFill>
                <a:effectLst/>
                <a:latin typeface="Arial" panose="020B0604020202020204" pitchFamily="34" charset="0"/>
                <a:ea typeface="Times New Roman"/>
                <a:cs typeface="Arial" panose="020B0604020202020204" pitchFamily="34" charset="0"/>
              </a:rPr>
              <a:t>En el año 2024 </a:t>
            </a:r>
            <a:r>
              <a:rPr lang="es-PE" sz="1200" b="0" kern="0" baseline="0">
                <a:solidFill>
                  <a:sysClr val="windowText" lastClr="000000"/>
                </a:solidFill>
                <a:effectLst/>
                <a:latin typeface="Arial" panose="020B0604020202020204" pitchFamily="34" charset="0"/>
                <a:ea typeface="+mj-ea"/>
                <a:cs typeface="Arial" panose="020B0604020202020204" pitchFamily="34" charset="0"/>
              </a:rPr>
              <a:t>s</a:t>
            </a:r>
            <a:r>
              <a:rPr lang="es-PE" sz="1200" b="0" baseline="0">
                <a:effectLst/>
                <a:latin typeface="Arial" panose="020B0604020202020204" pitchFamily="34" charset="0"/>
                <a:ea typeface="+mj-ea"/>
                <a:cs typeface="Arial" panose="020B0604020202020204" pitchFamily="34" charset="0"/>
              </a:rPr>
              <a:t>e registró 35 huelgas por plazo INDEFINIDO (55.56%), comprendió a 39 295 trabajadores (51.23%) y generó 1 967 108 horas-hombre perdidas (85.69%).</a:t>
            </a:r>
            <a:endParaRPr lang="es-PE" sz="1200" b="0" kern="0" baseline="0">
              <a:solidFill>
                <a:sysClr val="windowText" lastClr="000000"/>
              </a:solidFill>
              <a:effectLst/>
              <a:latin typeface="Arial" panose="020B0604020202020204" pitchFamily="34" charset="0"/>
              <a:ea typeface="Times New Roman"/>
              <a:cs typeface="Arial" panose="020B0604020202020204" pitchFamily="34" charset="0"/>
            </a:endParaRPr>
          </a:p>
          <a:p>
            <a:pPr algn="just">
              <a:lnSpc>
                <a:spcPct val="200000"/>
              </a:lnSpc>
              <a:spcAft>
                <a:spcPts val="1000"/>
              </a:spcAft>
            </a:pPr>
            <a:r>
              <a:rPr lang="es-PE" sz="1200" b="0" kern="0" baseline="0">
                <a:solidFill>
                  <a:sysClr val="windowText" lastClr="000000"/>
                </a:solidFill>
                <a:effectLst/>
                <a:latin typeface="Arial" panose="020B0604020202020204" pitchFamily="34" charset="0"/>
                <a:ea typeface="Times New Roman"/>
                <a:cs typeface="Arial" panose="020B0604020202020204" pitchFamily="34" charset="0"/>
              </a:rPr>
              <a:t> Las huelgas con plazo DETERMINADO tuvo un registro de 28 huelgas (44.44%), comprendiendo a 37 409 trabajadores (48.77%) y generó 328 408 horas-hombre perdidas (14.31%).</a:t>
            </a:r>
          </a:p>
          <a:p>
            <a:pPr>
              <a:lnSpc>
                <a:spcPct val="200000"/>
              </a:lnSpc>
              <a:spcAft>
                <a:spcPts val="1000"/>
              </a:spcAft>
            </a:pPr>
            <a:endParaRPr lang="es-PE" sz="1100">
              <a:effectLst/>
              <a:latin typeface="Calibri"/>
              <a:ea typeface="Calibri"/>
              <a:cs typeface="Times New Roman"/>
            </a:endParaRPr>
          </a:p>
          <a:p>
            <a:pPr>
              <a:lnSpc>
                <a:spcPct val="200000"/>
              </a:lnSpc>
              <a:spcAft>
                <a:spcPts val="1000"/>
              </a:spcAft>
            </a:pPr>
            <a:endParaRPr lang="es-PE" sz="1100">
              <a:effectLst/>
              <a:latin typeface="Calibri"/>
              <a:ea typeface="Calibri"/>
              <a:cs typeface="Times New Roman"/>
            </a:endParaRPr>
          </a:p>
          <a:p>
            <a:pPr>
              <a:lnSpc>
                <a:spcPct val="200000"/>
              </a:lnSpc>
              <a:spcAft>
                <a:spcPts val="1000"/>
              </a:spcAft>
            </a:pPr>
            <a:r>
              <a:rPr lang="es-PE" sz="1100">
                <a:solidFill>
                  <a:srgbClr val="1F497D"/>
                </a:solidFill>
                <a:effectLst/>
                <a:latin typeface="Calibri"/>
                <a:ea typeface="Calibri"/>
                <a:cs typeface="Times New Roman"/>
              </a:rPr>
              <a:t> </a:t>
            </a:r>
            <a:endParaRPr lang="es-PE" sz="1100">
              <a:effectLst/>
              <a:latin typeface="Calibri"/>
              <a:ea typeface="Calibri"/>
              <a:cs typeface="Times New Roman"/>
            </a:endParaRPr>
          </a:p>
          <a:p>
            <a:pPr>
              <a:lnSpc>
                <a:spcPct val="200000"/>
              </a:lnSpc>
              <a:spcAft>
                <a:spcPts val="1000"/>
              </a:spcAft>
            </a:pPr>
            <a:r>
              <a:rPr lang="es-PE" sz="1100">
                <a:solidFill>
                  <a:srgbClr val="1F497D"/>
                </a:solidFill>
                <a:effectLst/>
                <a:latin typeface="Calibri"/>
                <a:ea typeface="Calibri"/>
                <a:cs typeface="Times New Roman"/>
              </a:rPr>
              <a:t> </a:t>
            </a:r>
            <a:endParaRPr lang="es-PE" sz="1100">
              <a:effectLst/>
              <a:latin typeface="Calibri"/>
              <a:ea typeface="Calibri"/>
              <a:cs typeface="Times New Roman"/>
            </a:endParaRPr>
          </a:p>
        </xdr:txBody>
      </xdr:sp>
      <xdr:sp macro="" textlink="">
        <xdr:nvSpPr>
          <xdr:cNvPr id="14" name="Rectangle 45">
            <a:extLst>
              <a:ext uri="{FF2B5EF4-FFF2-40B4-BE49-F238E27FC236}">
                <a16:creationId xmlns:a16="http://schemas.microsoft.com/office/drawing/2014/main" id="{00000000-0008-0000-0400-00000E000000}"/>
              </a:ext>
            </a:extLst>
          </xdr:cNvPr>
          <xdr:cNvSpPr/>
        </xdr:nvSpPr>
        <xdr:spPr>
          <a:xfrm>
            <a:off x="97645" y="451426"/>
            <a:ext cx="2331720" cy="56975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82880" tIns="182880" rIns="182880" bIns="365760" numCol="1" spcCol="0" rtlCol="0" fromWordArt="0" anchor="b" anchorCtr="0" forceAA="0" compatLnSpc="1">
            <a:prstTxWarp prst="textNoShape">
              <a:avLst/>
            </a:prstTxWarp>
            <a:noAutofit/>
          </a:bodyPr>
          <a:lstStyle/>
          <a:p>
            <a:pPr>
              <a:lnSpc>
                <a:spcPct val="115000"/>
              </a:lnSpc>
              <a:spcBef>
                <a:spcPts val="1200"/>
              </a:spcBef>
              <a:spcAft>
                <a:spcPts val="1000"/>
              </a:spcAft>
            </a:pPr>
            <a:r>
              <a:rPr lang="es-PE" sz="1100">
                <a:solidFill>
                  <a:srgbClr val="FFFFFF"/>
                </a:solidFill>
                <a:effectLst/>
                <a:ea typeface="Calibri"/>
                <a:cs typeface="Times New Roman"/>
              </a:rPr>
              <a:t> </a:t>
            </a:r>
            <a:endParaRPr lang="es-PE" sz="1100">
              <a:effectLst/>
              <a:ea typeface="Calibri"/>
              <a:cs typeface="Times New Roman"/>
            </a:endParaRPr>
          </a:p>
        </xdr:txBody>
      </xdr:sp>
    </xdr:grpSp>
    <xdr:clientData/>
  </xdr:twoCellAnchor>
  <xdr:oneCellAnchor>
    <xdr:from>
      <xdr:col>7</xdr:col>
      <xdr:colOff>696452</xdr:colOff>
      <xdr:row>4</xdr:row>
      <xdr:rowOff>399435</xdr:rowOff>
    </xdr:from>
    <xdr:ext cx="184731" cy="264560"/>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6903065" y="10958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E" sz="1100"/>
        </a:p>
      </xdr:txBody>
    </xdr:sp>
    <xdr:clientData/>
  </xdr:oneCellAnchor>
  <xdr:twoCellAnchor>
    <xdr:from>
      <xdr:col>6</xdr:col>
      <xdr:colOff>262398</xdr:colOff>
      <xdr:row>46</xdr:row>
      <xdr:rowOff>114300</xdr:rowOff>
    </xdr:from>
    <xdr:to>
      <xdr:col>10</xdr:col>
      <xdr:colOff>464496</xdr:colOff>
      <xdr:row>50</xdr:row>
      <xdr:rowOff>69299</xdr:rowOff>
    </xdr:to>
    <xdr:sp macro="" textlink="">
      <xdr:nvSpPr>
        <xdr:cNvPr id="16" name="Rectangle 45">
          <a:extLst>
            <a:ext uri="{FF2B5EF4-FFF2-40B4-BE49-F238E27FC236}">
              <a16:creationId xmlns:a16="http://schemas.microsoft.com/office/drawing/2014/main" id="{00000000-0008-0000-0400-000010000000}"/>
            </a:ext>
          </a:extLst>
        </xdr:cNvPr>
        <xdr:cNvSpPr/>
      </xdr:nvSpPr>
      <xdr:spPr>
        <a:xfrm>
          <a:off x="5853573" y="8239125"/>
          <a:ext cx="3945423" cy="602699"/>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82880" tIns="182880" rIns="182880" bIns="365760" numCol="1" spcCol="0" rtlCol="0" fromWordArt="0" anchor="b" anchorCtr="0" forceAA="0" compatLnSpc="1">
          <a:prstTxWarp prst="textNoShape">
            <a:avLst/>
          </a:prstTxWarp>
          <a:noAutofit/>
        </a:bodyPr>
        <a:lstStyle/>
        <a:p>
          <a:pPr>
            <a:lnSpc>
              <a:spcPct val="115000"/>
            </a:lnSpc>
            <a:spcBef>
              <a:spcPts val="1200"/>
            </a:spcBef>
            <a:spcAft>
              <a:spcPts val="1000"/>
            </a:spcAft>
          </a:pPr>
          <a:r>
            <a:rPr lang="es-PE" sz="1100">
              <a:solidFill>
                <a:srgbClr val="FFFFFF"/>
              </a:solidFill>
              <a:effectLst/>
              <a:ea typeface="Calibri"/>
              <a:cs typeface="Times New Roman"/>
            </a:rPr>
            <a:t> </a:t>
          </a:r>
          <a:endParaRPr lang="es-PE" sz="1100">
            <a:effectLst/>
            <a:ea typeface="Calibri"/>
            <a:cs typeface="Times New Roman"/>
          </a:endParaRPr>
        </a:p>
      </xdr:txBody>
    </xdr:sp>
    <xdr:clientData/>
  </xdr:twoCellAnchor>
  <xdr:twoCellAnchor editAs="oneCell">
    <xdr:from>
      <xdr:col>2</xdr:col>
      <xdr:colOff>204107</xdr:colOff>
      <xdr:row>4</xdr:row>
      <xdr:rowOff>54429</xdr:rowOff>
    </xdr:from>
    <xdr:to>
      <xdr:col>5</xdr:col>
      <xdr:colOff>966107</xdr:colOff>
      <xdr:row>15</xdr:row>
      <xdr:rowOff>0</xdr:rowOff>
    </xdr:to>
    <xdr:pic>
      <xdr:nvPicPr>
        <xdr:cNvPr id="2" name="Imagen 1">
          <a:extLst>
            <a:ext uri="{FF2B5EF4-FFF2-40B4-BE49-F238E27FC236}">
              <a16:creationId xmlns:a16="http://schemas.microsoft.com/office/drawing/2014/main" id="{361EDE0B-1C2B-8B63-AAA0-F4D0086927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1036" y="762000"/>
          <a:ext cx="4381500" cy="2394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190500</xdr:colOff>
      <xdr:row>15</xdr:row>
      <xdr:rowOff>149680</xdr:rowOff>
    </xdr:from>
    <xdr:to>
      <xdr:col>5</xdr:col>
      <xdr:colOff>966107</xdr:colOff>
      <xdr:row>31</xdr:row>
      <xdr:rowOff>95250</xdr:rowOff>
    </xdr:to>
    <xdr:pic>
      <xdr:nvPicPr>
        <xdr:cNvPr id="4" name="Imagen 3">
          <a:extLst>
            <a:ext uri="{FF2B5EF4-FFF2-40B4-BE49-F238E27FC236}">
              <a16:creationId xmlns:a16="http://schemas.microsoft.com/office/drawing/2014/main" id="{5892BBBE-A7CC-B3DF-0D1D-C35861C82D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7429" y="3306537"/>
          <a:ext cx="4395107" cy="2558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190500</xdr:colOff>
      <xdr:row>32</xdr:row>
      <xdr:rowOff>40822</xdr:rowOff>
    </xdr:from>
    <xdr:to>
      <xdr:col>5</xdr:col>
      <xdr:colOff>966107</xdr:colOff>
      <xdr:row>48</xdr:row>
      <xdr:rowOff>40821</xdr:rowOff>
    </xdr:to>
    <xdr:pic>
      <xdr:nvPicPr>
        <xdr:cNvPr id="7" name="Imagen 6">
          <a:extLst>
            <a:ext uri="{FF2B5EF4-FFF2-40B4-BE49-F238E27FC236}">
              <a16:creationId xmlns:a16="http://schemas.microsoft.com/office/drawing/2014/main" id="{F4345FB9-3DB9-0CDD-B6A7-E4BC1B0E36E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7429" y="5973536"/>
          <a:ext cx="4395107" cy="2598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155864</xdr:colOff>
      <xdr:row>0</xdr:row>
      <xdr:rowOff>23430</xdr:rowOff>
    </xdr:from>
    <xdr:to>
      <xdr:col>4</xdr:col>
      <xdr:colOff>1177636</xdr:colOff>
      <xdr:row>84</xdr:row>
      <xdr:rowOff>19520</xdr:rowOff>
    </xdr:to>
    <xdr:grpSp>
      <xdr:nvGrpSpPr>
        <xdr:cNvPr id="12" name="1 Grupo">
          <a:extLst>
            <a:ext uri="{FF2B5EF4-FFF2-40B4-BE49-F238E27FC236}">
              <a16:creationId xmlns:a16="http://schemas.microsoft.com/office/drawing/2014/main" id="{00000000-0008-0000-0500-00000C000000}"/>
            </a:ext>
          </a:extLst>
        </xdr:cNvPr>
        <xdr:cNvGrpSpPr/>
      </xdr:nvGrpSpPr>
      <xdr:grpSpPr>
        <a:xfrm>
          <a:off x="1153188" y="23430"/>
          <a:ext cx="3968919" cy="14104296"/>
          <a:chOff x="28769" y="348792"/>
          <a:chExt cx="2657606" cy="14825836"/>
        </a:xfrm>
      </xdr:grpSpPr>
      <xdr:sp macro="" textlink="">
        <xdr:nvSpPr>
          <xdr:cNvPr id="13" name="AutoShape 14">
            <a:extLst>
              <a:ext uri="{FF2B5EF4-FFF2-40B4-BE49-F238E27FC236}">
                <a16:creationId xmlns:a16="http://schemas.microsoft.com/office/drawing/2014/main" id="{00000000-0008-0000-0500-00000D000000}"/>
              </a:ext>
            </a:extLst>
          </xdr:cNvPr>
          <xdr:cNvSpPr>
            <a:spLocks noChangeArrowheads="1"/>
          </xdr:cNvSpPr>
        </xdr:nvSpPr>
        <xdr:spPr bwMode="auto">
          <a:xfrm>
            <a:off x="28769" y="348792"/>
            <a:ext cx="2657606" cy="14825836"/>
          </a:xfrm>
          <a:prstGeom prst="rect">
            <a:avLst/>
          </a:prstGeom>
          <a:solidFill>
            <a:schemeClr val="bg1"/>
          </a:solidFill>
          <a:ln w="15875">
            <a:solidFill>
              <a:schemeClr val="bg2">
                <a:lumMod val="50000"/>
              </a:schemeClr>
            </a:solidFill>
          </a:ln>
        </xdr:spPr>
        <xdr:style>
          <a:lnRef idx="0">
            <a:scrgbClr r="0" g="0" b="0"/>
          </a:lnRef>
          <a:fillRef idx="1002">
            <a:schemeClr val="lt2"/>
          </a:fillRef>
          <a:effectRef idx="0">
            <a:scrgbClr r="0" g="0" b="0"/>
          </a:effectRef>
          <a:fontRef idx="major"/>
        </xdr:style>
        <xdr:txBody>
          <a:bodyPr rot="0" vert="horz" wrap="square" lIns="182880" tIns="457200" rIns="182880" bIns="73152" anchor="t" anchorCtr="0" upright="1">
            <a:noAutofit/>
          </a:bodyPr>
          <a:lstStyle/>
          <a:p>
            <a:pPr algn="ctr">
              <a:lnSpc>
                <a:spcPct val="115000"/>
              </a:lnSpc>
              <a:spcBef>
                <a:spcPts val="2400"/>
              </a:spcBef>
              <a:spcAft>
                <a:spcPts val="1200"/>
              </a:spcAft>
            </a:pPr>
            <a:r>
              <a:rPr lang="es-PE" sz="1800" b="1" kern="0">
                <a:solidFill>
                  <a:sysClr val="windowText" lastClr="000000"/>
                </a:solidFill>
                <a:effectLst/>
                <a:latin typeface="Arial" panose="020B0604020202020204" pitchFamily="34" charset="0"/>
                <a:ea typeface="Times New Roman"/>
                <a:cs typeface="Arial" panose="020B0604020202020204" pitchFamily="34" charset="0"/>
              </a:rPr>
              <a:t>VI.- Actividad Económica</a:t>
            </a:r>
          </a:p>
          <a:p>
            <a:pPr algn="just">
              <a:lnSpc>
                <a:spcPct val="200000"/>
              </a:lnSpc>
              <a:spcAft>
                <a:spcPts val="1000"/>
              </a:spcAft>
            </a:pPr>
            <a:r>
              <a:rPr lang="es-PE" sz="1200">
                <a:solidFill>
                  <a:sysClr val="windowText" lastClr="000000"/>
                </a:solidFill>
                <a:effectLst/>
                <a:latin typeface="Arial" panose="020B0604020202020204" pitchFamily="34" charset="0"/>
                <a:ea typeface="Calibri"/>
                <a:cs typeface="Arial" panose="020B0604020202020204" pitchFamily="34" charset="0"/>
              </a:rPr>
              <a:t>En el registro de las huelgas por</a:t>
            </a:r>
            <a:r>
              <a:rPr lang="es-PE" sz="1200" baseline="0">
                <a:solidFill>
                  <a:sysClr val="windowText" lastClr="000000"/>
                </a:solidFill>
                <a:effectLst/>
                <a:latin typeface="Arial" panose="020B0604020202020204" pitchFamily="34" charset="0"/>
                <a:ea typeface="Calibri"/>
                <a:cs typeface="Arial" panose="020B0604020202020204" pitchFamily="34" charset="0"/>
              </a:rPr>
              <a:t> actividad  económica son  4 las que sobresalieron en el año 2024.</a:t>
            </a:r>
          </a:p>
          <a:p>
            <a:pPr marL="0" marR="0" lvl="0" indent="0" algn="just" defTabSz="914400" eaLnBrk="1" fontAlgn="auto" latinLnBrk="0" hangingPunct="1">
              <a:lnSpc>
                <a:spcPct val="200000"/>
              </a:lnSpc>
              <a:spcBef>
                <a:spcPts val="0"/>
              </a:spcBef>
              <a:spcAft>
                <a:spcPts val="1000"/>
              </a:spcAft>
              <a:buClrTx/>
              <a:buSzTx/>
              <a:buFontTx/>
              <a:buNone/>
              <a:tabLst/>
              <a:defRPr/>
            </a:pPr>
            <a:r>
              <a:rPr lang="es-PE" sz="1200" baseline="0">
                <a:solidFill>
                  <a:sysClr val="windowText" lastClr="000000"/>
                </a:solidFill>
                <a:effectLst/>
                <a:latin typeface="Arial" panose="020B0604020202020204" pitchFamily="34" charset="0"/>
                <a:ea typeface="Calibri"/>
                <a:cs typeface="Arial" panose="020B0604020202020204" pitchFamily="34" charset="0"/>
              </a:rPr>
              <a:t>Ocupa el primer lugar la actividad económica de Administración Pública y Defensa con 33 huelgas (52.38%), comprendió a 47 178 trabajadores  (61.51%) y generó         1 950 976 Horas-Hombre perdidas</a:t>
            </a:r>
            <a:r>
              <a:rPr lang="es-PE" sz="1200">
                <a:solidFill>
                  <a:sysClr val="windowText" lastClr="000000"/>
                </a:solidFill>
                <a:effectLst/>
                <a:latin typeface="Arial" panose="020B0604020202020204" pitchFamily="34" charset="0"/>
                <a:ea typeface="Calibri"/>
                <a:cs typeface="Arial" panose="020B0604020202020204" pitchFamily="34" charset="0"/>
              </a:rPr>
              <a:t> (84.99%),</a:t>
            </a:r>
            <a:r>
              <a:rPr lang="es-PE" sz="1200" baseline="0">
                <a:solidFill>
                  <a:sysClr val="windowText" lastClr="000000"/>
                </a:solidFill>
                <a:effectLst/>
                <a:latin typeface="Arial" panose="020B0604020202020204" pitchFamily="34" charset="0"/>
                <a:ea typeface="Calibri"/>
                <a:cs typeface="Arial" panose="020B0604020202020204" pitchFamily="34" charset="0"/>
              </a:rPr>
              <a:t> se puede observar las huelgas realizadas por la Federación Nacional de Sindicatos del Poder Judicial, Sindicato Nacional de Trabajadores Penitenciarios del INPE, Federación de Enfermeros del Perú, Federación de Trabajadores del Ministerio Público, entre las principales. </a:t>
            </a:r>
          </a:p>
          <a:p>
            <a:pPr marL="0" marR="0" lvl="0" indent="0" algn="just" defTabSz="914400" eaLnBrk="1" fontAlgn="auto" latinLnBrk="0" hangingPunct="1">
              <a:lnSpc>
                <a:spcPct val="200000"/>
              </a:lnSpc>
              <a:spcBef>
                <a:spcPts val="0"/>
              </a:spcBef>
              <a:spcAft>
                <a:spcPts val="1000"/>
              </a:spcAft>
              <a:buClrTx/>
              <a:buSzTx/>
              <a:buFontTx/>
              <a:buNone/>
              <a:tabLst/>
              <a:defRPr/>
            </a:pPr>
            <a:r>
              <a:rPr lang="es-PE" sz="1200">
                <a:effectLst/>
                <a:latin typeface="Arial" panose="020B0604020202020204" pitchFamily="34" charset="0"/>
                <a:ea typeface="+mj-ea"/>
                <a:cs typeface="Arial" panose="020B0604020202020204" pitchFamily="34" charset="0"/>
              </a:rPr>
              <a:t>La actividad económica de Servicios Sociales y de Salud, ocupó el segundo</a:t>
            </a:r>
            <a:r>
              <a:rPr lang="es-PE" sz="1200" baseline="0">
                <a:effectLst/>
                <a:latin typeface="Arial" panose="020B0604020202020204" pitchFamily="34" charset="0"/>
                <a:ea typeface="+mj-ea"/>
                <a:cs typeface="Arial" panose="020B0604020202020204" pitchFamily="34" charset="0"/>
              </a:rPr>
              <a:t> lugar registró 8 huelgas,  comprendió a   19 174  trabajadores (25.00%) y generó a 102 084 horas-hombre perdidas </a:t>
            </a:r>
            <a:r>
              <a:rPr lang="es-PE" sz="1200">
                <a:effectLst/>
                <a:latin typeface="Arial" panose="020B0604020202020204" pitchFamily="34" charset="0"/>
                <a:ea typeface="+mj-ea"/>
                <a:cs typeface="Arial" panose="020B0604020202020204" pitchFamily="34" charset="0"/>
              </a:rPr>
              <a:t>(4.45%).</a:t>
            </a:r>
            <a:endParaRPr lang="es-PE" sz="1200" baseline="0">
              <a:solidFill>
                <a:sysClr val="windowText" lastClr="000000"/>
              </a:solidFill>
              <a:effectLst/>
              <a:latin typeface="Arial" panose="020B0604020202020204" pitchFamily="34" charset="0"/>
              <a:ea typeface="Calibri"/>
              <a:cs typeface="Arial" panose="020B0604020202020204" pitchFamily="34" charset="0"/>
            </a:endParaRPr>
          </a:p>
          <a:p>
            <a:pPr marL="0" marR="0" lvl="0" indent="0" algn="just" defTabSz="914400" eaLnBrk="1" fontAlgn="auto" latinLnBrk="0" hangingPunct="1">
              <a:lnSpc>
                <a:spcPct val="200000"/>
              </a:lnSpc>
              <a:spcBef>
                <a:spcPts val="0"/>
              </a:spcBef>
              <a:spcAft>
                <a:spcPts val="1000"/>
              </a:spcAft>
              <a:buClrTx/>
              <a:buSzTx/>
              <a:buFontTx/>
              <a:buNone/>
              <a:tabLst/>
              <a:defRPr/>
            </a:pPr>
            <a:r>
              <a:rPr lang="es-PE" sz="1200" baseline="0">
                <a:solidFill>
                  <a:sysClr val="windowText" lastClr="000000"/>
                </a:solidFill>
                <a:effectLst/>
                <a:latin typeface="Arial" panose="020B0604020202020204" pitchFamily="34" charset="0"/>
                <a:ea typeface="Calibri"/>
                <a:cs typeface="Arial" panose="020B0604020202020204" pitchFamily="34" charset="0"/>
              </a:rPr>
              <a:t> </a:t>
            </a:r>
            <a:r>
              <a:rPr lang="es-PE" sz="1200">
                <a:effectLst/>
                <a:latin typeface="Arial" panose="020B0604020202020204" pitchFamily="34" charset="0"/>
                <a:ea typeface="+mj-ea"/>
                <a:cs typeface="Arial" panose="020B0604020202020204" pitchFamily="34" charset="0"/>
              </a:rPr>
              <a:t>Sigue en importancia la actividad económica </a:t>
            </a:r>
            <a:r>
              <a:rPr lang="es-PE" sz="1200" baseline="0">
                <a:effectLst/>
                <a:latin typeface="Arial" panose="020B0604020202020204" pitchFamily="34" charset="0"/>
                <a:ea typeface="+mj-ea"/>
                <a:cs typeface="Arial" panose="020B0604020202020204" pitchFamily="34" charset="0"/>
              </a:rPr>
              <a:t>de Explotación de Minas y Cantera con un registro de  7 huelgas (11.11%), comprendió a 818 trabajadores (1.07%) y generó 56 664 horas-hombre perdidas (2.47%).</a:t>
            </a:r>
            <a:endParaRPr lang="es-PE" sz="1200">
              <a:solidFill>
                <a:sysClr val="windowText" lastClr="000000"/>
              </a:solidFill>
              <a:effectLst/>
              <a:latin typeface="Arial" panose="020B0604020202020204" pitchFamily="34" charset="0"/>
              <a:ea typeface="Calibri"/>
              <a:cs typeface="Arial" panose="020B0604020202020204" pitchFamily="34" charset="0"/>
            </a:endParaRPr>
          </a:p>
          <a:p>
            <a:pPr algn="just">
              <a:lnSpc>
                <a:spcPct val="200000"/>
              </a:lnSpc>
              <a:spcAft>
                <a:spcPts val="1000"/>
              </a:spcAft>
            </a:pPr>
            <a:r>
              <a:rPr lang="es-PE" sz="1200" baseline="0">
                <a:solidFill>
                  <a:sysClr val="windowText" lastClr="000000"/>
                </a:solidFill>
                <a:effectLst/>
                <a:latin typeface="Arial" panose="020B0604020202020204" pitchFamily="34" charset="0"/>
                <a:ea typeface="Calibri"/>
                <a:cs typeface="Arial" panose="020B0604020202020204" pitchFamily="34" charset="0"/>
              </a:rPr>
              <a:t> Por último, sobresale la actividad económica de Industrias Manufactureras con 6  huelgas (9.52%), comprendió a  487  trabajadores  (0.63%)  y   generó  80 480  horas-hombre perdidas (3.51%).</a:t>
            </a:r>
          </a:p>
          <a:p>
            <a:pPr algn="just">
              <a:lnSpc>
                <a:spcPct val="200000"/>
              </a:lnSpc>
              <a:spcAft>
                <a:spcPts val="1000"/>
              </a:spcAft>
            </a:pPr>
            <a:r>
              <a:rPr lang="es-PE" sz="1200" baseline="0">
                <a:solidFill>
                  <a:sysClr val="windowText" lastClr="000000"/>
                </a:solidFill>
                <a:effectLst/>
                <a:latin typeface="Arial" panose="020B0604020202020204" pitchFamily="34" charset="0"/>
                <a:ea typeface="Calibri"/>
                <a:cs typeface="Arial" panose="020B0604020202020204" pitchFamily="34" charset="0"/>
              </a:rPr>
              <a:t> En esta actividad económica, según el uso o destino económico de los bienes producidos, las empresas manufactureras que producen bienes de consumo registraron 2 huelgas, comprendió a 310 trabajadores y generó 53 600 hora-hombre perdidas.</a:t>
            </a:r>
          </a:p>
          <a:p>
            <a:pPr algn="just">
              <a:lnSpc>
                <a:spcPct val="200000"/>
              </a:lnSpc>
              <a:spcAft>
                <a:spcPts val="1000"/>
              </a:spcAft>
            </a:pPr>
            <a:r>
              <a:rPr lang="es-PE" sz="1200" baseline="0">
                <a:solidFill>
                  <a:sysClr val="windowText" lastClr="000000"/>
                </a:solidFill>
                <a:effectLst/>
                <a:latin typeface="Arial" panose="020B0604020202020204" pitchFamily="34" charset="0"/>
                <a:ea typeface="Calibri"/>
                <a:cs typeface="Arial" panose="020B0604020202020204" pitchFamily="34" charset="0"/>
              </a:rPr>
              <a:t> Los bienes intermedios producidos registró 3 huelgas,  comprendió a  152 trabajadores y generó 21 080 horas-hombre perdidas.</a:t>
            </a:r>
            <a:endParaRPr lang="es-PE" sz="1200">
              <a:solidFill>
                <a:sysClr val="windowText" lastClr="000000"/>
              </a:solidFill>
              <a:effectLst/>
              <a:latin typeface="Arial" panose="020B0604020202020204" pitchFamily="34" charset="0"/>
              <a:ea typeface="Calibri"/>
              <a:cs typeface="Arial" panose="020B0604020202020204" pitchFamily="34" charset="0"/>
            </a:endParaRPr>
          </a:p>
          <a:p>
            <a:pPr>
              <a:lnSpc>
                <a:spcPct val="200000"/>
              </a:lnSpc>
              <a:spcAft>
                <a:spcPts val="1000"/>
              </a:spcAft>
            </a:pPr>
            <a:r>
              <a:rPr lang="es-PE" sz="1100">
                <a:solidFill>
                  <a:srgbClr val="1F497D"/>
                </a:solidFill>
                <a:effectLst/>
                <a:latin typeface="Calibri"/>
                <a:ea typeface="Calibri"/>
                <a:cs typeface="Times New Roman"/>
              </a:rPr>
              <a:t> </a:t>
            </a:r>
            <a:endParaRPr lang="es-PE" sz="1100">
              <a:effectLst/>
              <a:latin typeface="Calibri"/>
              <a:ea typeface="Calibri"/>
              <a:cs typeface="Times New Roman"/>
            </a:endParaRPr>
          </a:p>
          <a:p>
            <a:pPr>
              <a:lnSpc>
                <a:spcPct val="200000"/>
              </a:lnSpc>
              <a:spcAft>
                <a:spcPts val="1000"/>
              </a:spcAft>
            </a:pPr>
            <a:r>
              <a:rPr lang="es-PE" sz="1100">
                <a:solidFill>
                  <a:srgbClr val="1F497D"/>
                </a:solidFill>
                <a:effectLst/>
                <a:latin typeface="Calibri"/>
                <a:ea typeface="Calibri"/>
                <a:cs typeface="Times New Roman"/>
              </a:rPr>
              <a:t> </a:t>
            </a:r>
            <a:endParaRPr lang="es-PE" sz="1100">
              <a:effectLst/>
              <a:latin typeface="Calibri"/>
              <a:ea typeface="Calibri"/>
              <a:cs typeface="Times New Roman"/>
            </a:endParaRPr>
          </a:p>
        </xdr:txBody>
      </xdr:sp>
      <xdr:sp macro="" textlink="">
        <xdr:nvSpPr>
          <xdr:cNvPr id="14" name="Rectangle 45">
            <a:extLst>
              <a:ext uri="{FF2B5EF4-FFF2-40B4-BE49-F238E27FC236}">
                <a16:creationId xmlns:a16="http://schemas.microsoft.com/office/drawing/2014/main" id="{00000000-0008-0000-0500-00000E000000}"/>
              </a:ext>
            </a:extLst>
          </xdr:cNvPr>
          <xdr:cNvSpPr/>
        </xdr:nvSpPr>
        <xdr:spPr>
          <a:xfrm>
            <a:off x="230879" y="441956"/>
            <a:ext cx="2300132" cy="329815"/>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82880" tIns="182880" rIns="182880" bIns="365760" numCol="1" spcCol="0" rtlCol="0" fromWordArt="0" anchor="b" anchorCtr="0" forceAA="0" compatLnSpc="1">
            <a:prstTxWarp prst="textNoShape">
              <a:avLst/>
            </a:prstTxWarp>
            <a:noAutofit/>
          </a:bodyPr>
          <a:lstStyle/>
          <a:p>
            <a:pPr>
              <a:lnSpc>
                <a:spcPct val="115000"/>
              </a:lnSpc>
              <a:spcBef>
                <a:spcPts val="1200"/>
              </a:spcBef>
              <a:spcAft>
                <a:spcPts val="1000"/>
              </a:spcAft>
            </a:pPr>
            <a:r>
              <a:rPr lang="es-PE" sz="1100">
                <a:solidFill>
                  <a:srgbClr val="FFFFFF"/>
                </a:solidFill>
                <a:effectLst/>
                <a:ea typeface="Calibri"/>
                <a:cs typeface="Times New Roman"/>
              </a:rPr>
              <a:t> </a:t>
            </a:r>
            <a:endParaRPr lang="es-PE" sz="1100">
              <a:effectLst/>
              <a:ea typeface="Calibri"/>
              <a:cs typeface="Times New Roman"/>
            </a:endParaRPr>
          </a:p>
        </xdr:txBody>
      </xdr:sp>
      <xdr:sp macro="" textlink="">
        <xdr:nvSpPr>
          <xdr:cNvPr id="15" name="Rectangle 46">
            <a:extLst>
              <a:ext uri="{FF2B5EF4-FFF2-40B4-BE49-F238E27FC236}">
                <a16:creationId xmlns:a16="http://schemas.microsoft.com/office/drawing/2014/main" id="{00000000-0008-0000-0500-00000F000000}"/>
              </a:ext>
            </a:extLst>
          </xdr:cNvPr>
          <xdr:cNvSpPr/>
        </xdr:nvSpPr>
        <xdr:spPr>
          <a:xfrm>
            <a:off x="204003" y="14788956"/>
            <a:ext cx="2253547" cy="337876"/>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82880" tIns="182880" rIns="182880" bIns="365760" numCol="1" spcCol="0" rtlCol="0" fromWordArt="0" anchor="b" anchorCtr="0" forceAA="0" compatLnSpc="1">
            <a:prstTxWarp prst="textNoShape">
              <a:avLst/>
            </a:prstTxWarp>
            <a:noAutofit/>
          </a:bodyPr>
          <a:lstStyle/>
          <a:p>
            <a:pPr>
              <a:lnSpc>
                <a:spcPct val="115000"/>
              </a:lnSpc>
              <a:spcBef>
                <a:spcPts val="1200"/>
              </a:spcBef>
              <a:spcAft>
                <a:spcPts val="1000"/>
              </a:spcAft>
            </a:pPr>
            <a:r>
              <a:rPr lang="es-PE" sz="1100">
                <a:solidFill>
                  <a:srgbClr val="FFFFFF"/>
                </a:solidFill>
                <a:effectLst/>
                <a:ea typeface="Calibri"/>
                <a:cs typeface="Times New Roman"/>
              </a:rPr>
              <a:t> </a:t>
            </a:r>
            <a:endParaRPr lang="es-PE" sz="1100">
              <a:effectLst/>
              <a:ea typeface="Calibri"/>
              <a:cs typeface="Times New Roman"/>
            </a:endParaRPr>
          </a:p>
        </xdr:txBody>
      </xdr:sp>
    </xdr:grpSp>
    <xdr:clientData/>
  </xdr:twoCellAnchor>
  <xdr:twoCellAnchor>
    <xdr:from>
      <xdr:col>5</xdr:col>
      <xdr:colOff>86196</xdr:colOff>
      <xdr:row>4</xdr:row>
      <xdr:rowOff>245807</xdr:rowOff>
    </xdr:from>
    <xdr:to>
      <xdr:col>10</xdr:col>
      <xdr:colOff>650485</xdr:colOff>
      <xdr:row>24</xdr:row>
      <xdr:rowOff>112416</xdr:rowOff>
    </xdr:to>
    <xdr:graphicFrame macro="">
      <xdr:nvGraphicFramePr>
        <xdr:cNvPr id="16" name="8 Gráfico">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14256</xdr:colOff>
      <xdr:row>28</xdr:row>
      <xdr:rowOff>20484</xdr:rowOff>
    </xdr:from>
    <xdr:to>
      <xdr:col>10</xdr:col>
      <xdr:colOff>583850</xdr:colOff>
      <xdr:row>52</xdr:row>
      <xdr:rowOff>118620</xdr:rowOff>
    </xdr:to>
    <xdr:graphicFrame macro="">
      <xdr:nvGraphicFramePr>
        <xdr:cNvPr id="17" name="9 Gráfico">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58073</xdr:colOff>
      <xdr:row>56</xdr:row>
      <xdr:rowOff>122903</xdr:rowOff>
    </xdr:from>
    <xdr:to>
      <xdr:col>10</xdr:col>
      <xdr:colOff>573549</xdr:colOff>
      <xdr:row>77</xdr:row>
      <xdr:rowOff>153629</xdr:rowOff>
    </xdr:to>
    <xdr:graphicFrame macro="">
      <xdr:nvGraphicFramePr>
        <xdr:cNvPr id="18" name="10 Gráfico">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666355</xdr:colOff>
      <xdr:row>1</xdr:row>
      <xdr:rowOff>42197</xdr:rowOff>
    </xdr:from>
    <xdr:to>
      <xdr:col>10</xdr:col>
      <xdr:colOff>579121</xdr:colOff>
      <xdr:row>52</xdr:row>
      <xdr:rowOff>95250</xdr:rowOff>
    </xdr:to>
    <xdr:grpSp>
      <xdr:nvGrpSpPr>
        <xdr:cNvPr id="12" name="1 Grupo">
          <a:extLst>
            <a:ext uri="{FF2B5EF4-FFF2-40B4-BE49-F238E27FC236}">
              <a16:creationId xmlns:a16="http://schemas.microsoft.com/office/drawing/2014/main" id="{00000000-0008-0000-0600-00000C000000}"/>
            </a:ext>
          </a:extLst>
        </xdr:cNvPr>
        <xdr:cNvGrpSpPr/>
      </xdr:nvGrpSpPr>
      <xdr:grpSpPr>
        <a:xfrm>
          <a:off x="1666480" y="108872"/>
          <a:ext cx="8142366" cy="9406603"/>
          <a:chOff x="71919" y="229358"/>
          <a:chExt cx="4915188" cy="9436396"/>
        </a:xfrm>
      </xdr:grpSpPr>
      <xdr:sp macro="" textlink="">
        <xdr:nvSpPr>
          <xdr:cNvPr id="13" name="AutoShape 14">
            <a:extLst>
              <a:ext uri="{FF2B5EF4-FFF2-40B4-BE49-F238E27FC236}">
                <a16:creationId xmlns:a16="http://schemas.microsoft.com/office/drawing/2014/main" id="{00000000-0008-0000-0600-00000D000000}"/>
              </a:ext>
            </a:extLst>
          </xdr:cNvPr>
          <xdr:cNvSpPr>
            <a:spLocks noChangeArrowheads="1"/>
          </xdr:cNvSpPr>
        </xdr:nvSpPr>
        <xdr:spPr bwMode="auto">
          <a:xfrm>
            <a:off x="2651357" y="229358"/>
            <a:ext cx="2335750" cy="9436396"/>
          </a:xfrm>
          <a:prstGeom prst="rect">
            <a:avLst/>
          </a:prstGeom>
          <a:solidFill>
            <a:schemeClr val="bg1"/>
          </a:solidFill>
          <a:ln w="15875">
            <a:solidFill>
              <a:schemeClr val="bg2">
                <a:lumMod val="50000"/>
              </a:schemeClr>
            </a:solidFill>
          </a:ln>
        </xdr:spPr>
        <xdr:style>
          <a:lnRef idx="0">
            <a:scrgbClr r="0" g="0" b="0"/>
          </a:lnRef>
          <a:fillRef idx="1002">
            <a:schemeClr val="lt2"/>
          </a:fillRef>
          <a:effectRef idx="0">
            <a:scrgbClr r="0" g="0" b="0"/>
          </a:effectRef>
          <a:fontRef idx="major"/>
        </xdr:style>
        <xdr:txBody>
          <a:bodyPr rot="0" vert="horz" wrap="square" lIns="182880" tIns="457200" rIns="182880" bIns="73152" anchor="t" anchorCtr="0" upright="1">
            <a:noAutofit/>
          </a:bodyPr>
          <a:lstStyle/>
          <a:p>
            <a:pPr algn="ctr">
              <a:lnSpc>
                <a:spcPct val="115000"/>
              </a:lnSpc>
              <a:spcBef>
                <a:spcPts val="2400"/>
              </a:spcBef>
              <a:spcAft>
                <a:spcPts val="1200"/>
              </a:spcAft>
            </a:pPr>
            <a:endParaRPr lang="es-PE" sz="2000" b="1" kern="0">
              <a:solidFill>
                <a:sysClr val="windowText" lastClr="000000"/>
              </a:solidFill>
              <a:effectLst/>
              <a:latin typeface="Arial" pitchFamily="34" charset="0"/>
              <a:ea typeface="Times New Roman"/>
              <a:cs typeface="Arial" pitchFamily="34" charset="0"/>
            </a:endParaRPr>
          </a:p>
          <a:p>
            <a:pPr algn="ctr">
              <a:lnSpc>
                <a:spcPct val="115000"/>
              </a:lnSpc>
              <a:spcBef>
                <a:spcPts val="2400"/>
              </a:spcBef>
              <a:spcAft>
                <a:spcPts val="1200"/>
              </a:spcAft>
            </a:pPr>
            <a:r>
              <a:rPr lang="es-PE" sz="1800" b="1" kern="0">
                <a:solidFill>
                  <a:sysClr val="windowText" lastClr="000000"/>
                </a:solidFill>
                <a:effectLst/>
                <a:latin typeface="Arial" panose="020B0604020202020204" pitchFamily="34" charset="0"/>
                <a:ea typeface="Times New Roman"/>
                <a:cs typeface="Arial" panose="020B0604020202020204" pitchFamily="34" charset="0"/>
              </a:rPr>
              <a:t>VII.- Organización Sindical</a:t>
            </a:r>
          </a:p>
          <a:p>
            <a:pPr algn="just">
              <a:lnSpc>
                <a:spcPct val="200000"/>
              </a:lnSpc>
              <a:spcAft>
                <a:spcPts val="1000"/>
              </a:spcAft>
            </a:pPr>
            <a:r>
              <a:rPr lang="es-PE" sz="1100">
                <a:solidFill>
                  <a:sysClr val="windowText" lastClr="000000"/>
                </a:solidFill>
                <a:effectLst/>
                <a:latin typeface="Arial" panose="020B0604020202020204" pitchFamily="34" charset="0"/>
                <a:ea typeface="Calibri"/>
                <a:cs typeface="Arial" panose="020B0604020202020204" pitchFamily="34" charset="0"/>
              </a:rPr>
              <a:t>La organización Sindical que agrupa a los Sindicatos de Empleados fueron las que registraron mayor número de huelgas, que sumaron 27 (42.86%), comprendió a 34 269 trabajadores (44.68%), generó 1 192 604 (51.95%)</a:t>
            </a:r>
            <a:r>
              <a:rPr lang="es-PE" sz="1100" baseline="0">
                <a:solidFill>
                  <a:sysClr val="windowText" lastClr="000000"/>
                </a:solidFill>
                <a:effectLst/>
                <a:latin typeface="Arial" panose="020B0604020202020204" pitchFamily="34" charset="0"/>
                <a:ea typeface="Calibri"/>
                <a:cs typeface="Arial" panose="020B0604020202020204" pitchFamily="34" charset="0"/>
              </a:rPr>
              <a:t> horas-hombre perdidas.</a:t>
            </a:r>
            <a:endParaRPr lang="es-PE" sz="1100">
              <a:solidFill>
                <a:sysClr val="windowText" lastClr="000000"/>
              </a:solidFill>
              <a:effectLst/>
              <a:latin typeface="Arial" panose="020B0604020202020204" pitchFamily="34" charset="0"/>
              <a:ea typeface="Calibri"/>
              <a:cs typeface="Arial" panose="020B0604020202020204" pitchFamily="34" charset="0"/>
            </a:endParaRPr>
          </a:p>
          <a:p>
            <a:pPr algn="just">
              <a:lnSpc>
                <a:spcPct val="200000"/>
              </a:lnSpc>
              <a:spcAft>
                <a:spcPts val="1000"/>
              </a:spcAft>
            </a:pPr>
            <a:r>
              <a:rPr lang="es-PE" sz="1100">
                <a:solidFill>
                  <a:sysClr val="windowText" lastClr="000000"/>
                </a:solidFill>
                <a:effectLst/>
                <a:latin typeface="Arial" panose="020B0604020202020204" pitchFamily="34" charset="0"/>
                <a:ea typeface="Calibri"/>
                <a:cs typeface="Arial" panose="020B0604020202020204" pitchFamily="34" charset="0"/>
              </a:rPr>
              <a:t>Sigue en importancia </a:t>
            </a:r>
            <a:r>
              <a:rPr lang="es-PE" sz="1100" baseline="0">
                <a:solidFill>
                  <a:sysClr val="windowText" lastClr="000000"/>
                </a:solidFill>
                <a:effectLst/>
                <a:latin typeface="Arial" panose="020B0604020202020204" pitchFamily="34" charset="0"/>
                <a:ea typeface="Calibri"/>
                <a:cs typeface="Arial" panose="020B0604020202020204" pitchFamily="34" charset="0"/>
              </a:rPr>
              <a:t>el registro de huelgas realizadas por las</a:t>
            </a:r>
            <a:r>
              <a:rPr lang="es-PE" sz="1100">
                <a:solidFill>
                  <a:sysClr val="windowText" lastClr="000000"/>
                </a:solidFill>
                <a:effectLst/>
                <a:latin typeface="Arial" panose="020B0604020202020204" pitchFamily="34" charset="0"/>
                <a:ea typeface="Calibri"/>
                <a:cs typeface="Arial" panose="020B0604020202020204" pitchFamily="34" charset="0"/>
              </a:rPr>
              <a:t> FEDERACIONES, aún cuando solo registró 9 huelgas (14.29%), su importancia radica en el número</a:t>
            </a:r>
            <a:r>
              <a:rPr lang="es-PE" sz="1100" baseline="0">
                <a:solidFill>
                  <a:sysClr val="windowText" lastClr="000000"/>
                </a:solidFill>
                <a:effectLst/>
                <a:latin typeface="Arial" panose="020B0604020202020204" pitchFamily="34" charset="0"/>
                <a:ea typeface="Calibri"/>
                <a:cs typeface="Arial" panose="020B0604020202020204" pitchFamily="34" charset="0"/>
              </a:rPr>
              <a:t> de trabajadores que</a:t>
            </a:r>
            <a:r>
              <a:rPr lang="es-PE" sz="1100">
                <a:solidFill>
                  <a:sysClr val="windowText" lastClr="000000"/>
                </a:solidFill>
                <a:effectLst/>
                <a:latin typeface="Arial" panose="020B0604020202020204" pitchFamily="34" charset="0"/>
                <a:ea typeface="Calibri"/>
                <a:cs typeface="Arial" panose="020B0604020202020204" pitchFamily="34" charset="0"/>
              </a:rPr>
              <a:t> comprendió a 34 100 trabajadores (44.46%)</a:t>
            </a:r>
            <a:r>
              <a:rPr lang="es-PE" sz="1100" baseline="0">
                <a:solidFill>
                  <a:sysClr val="windowText" lastClr="000000"/>
                </a:solidFill>
                <a:effectLst/>
                <a:latin typeface="Arial" panose="020B0604020202020204" pitchFamily="34" charset="0"/>
                <a:ea typeface="Calibri"/>
                <a:cs typeface="Arial" panose="020B0604020202020204" pitchFamily="34" charset="0"/>
              </a:rPr>
              <a:t> y generó 757 000 horas-hombre perdidas (32.98%).</a:t>
            </a:r>
          </a:p>
          <a:p>
            <a:pPr algn="just">
              <a:lnSpc>
                <a:spcPct val="200000"/>
              </a:lnSpc>
              <a:spcAft>
                <a:spcPts val="1000"/>
              </a:spcAft>
            </a:pPr>
            <a:r>
              <a:rPr lang="es-PE" sz="1100">
                <a:solidFill>
                  <a:sysClr val="windowText" lastClr="000000"/>
                </a:solidFill>
                <a:effectLst/>
                <a:latin typeface="Arial" panose="020B0604020202020204" pitchFamily="34" charset="0"/>
                <a:ea typeface="Calibri"/>
                <a:cs typeface="Arial" panose="020B0604020202020204" pitchFamily="34" charset="0"/>
              </a:rPr>
              <a:t>Las huelgas registradas por los Sindicatos de Obreros con 17 huelgas (26.98%),</a:t>
            </a:r>
            <a:r>
              <a:rPr lang="es-PE" sz="1100" baseline="0">
                <a:solidFill>
                  <a:sysClr val="windowText" lastClr="000000"/>
                </a:solidFill>
                <a:effectLst/>
                <a:latin typeface="Arial" panose="020B0604020202020204" pitchFamily="34" charset="0"/>
                <a:ea typeface="Calibri"/>
                <a:cs typeface="Arial" panose="020B0604020202020204" pitchFamily="34" charset="0"/>
              </a:rPr>
              <a:t> comprendió a 5 791 t</a:t>
            </a:r>
            <a:r>
              <a:rPr lang="es-PE" sz="1100">
                <a:solidFill>
                  <a:sysClr val="windowText" lastClr="000000"/>
                </a:solidFill>
                <a:effectLst/>
                <a:latin typeface="Arial" panose="020B0604020202020204" pitchFamily="34" charset="0"/>
                <a:ea typeface="Calibri"/>
                <a:cs typeface="Arial" panose="020B0604020202020204" pitchFamily="34" charset="0"/>
              </a:rPr>
              <a:t>rabajadores (7.55%) y generó 244 768 horas-hombre perdidas (10.66%). </a:t>
            </a:r>
          </a:p>
          <a:p>
            <a:pPr algn="just">
              <a:lnSpc>
                <a:spcPct val="200000"/>
              </a:lnSpc>
              <a:spcAft>
                <a:spcPts val="1000"/>
              </a:spcAft>
            </a:pPr>
            <a:r>
              <a:rPr lang="es-PE" sz="1100" baseline="0">
                <a:solidFill>
                  <a:sysClr val="windowText" lastClr="000000"/>
                </a:solidFill>
                <a:effectLst/>
                <a:latin typeface="Arial" panose="020B0604020202020204" pitchFamily="34" charset="0"/>
                <a:ea typeface="Calibri"/>
                <a:cs typeface="Arial" panose="020B0604020202020204" pitchFamily="34" charset="0"/>
              </a:rPr>
              <a:t> Finalmente, los SINDICATOS ÚNICOS registró 10 huelgas  (15.87%), comprendió a 2 544 trabajadores  (3.32%) y generó 101 144 Horas-Hombre Perdidas (4.41%). </a:t>
            </a:r>
          </a:p>
          <a:p>
            <a:pPr>
              <a:lnSpc>
                <a:spcPct val="200000"/>
              </a:lnSpc>
              <a:spcAft>
                <a:spcPts val="1000"/>
              </a:spcAft>
            </a:pPr>
            <a:r>
              <a:rPr lang="es-PE" sz="1200">
                <a:solidFill>
                  <a:srgbClr val="1F497D"/>
                </a:solidFill>
                <a:effectLst/>
                <a:latin typeface="+mn-lt"/>
                <a:ea typeface="Calibri"/>
                <a:cs typeface="Arial" panose="020B0604020202020204" pitchFamily="34" charset="0"/>
              </a:rPr>
              <a:t> </a:t>
            </a:r>
            <a:endParaRPr lang="es-PE" sz="1200">
              <a:effectLst/>
              <a:latin typeface="+mn-lt"/>
              <a:ea typeface="Calibri"/>
              <a:cs typeface="Arial" panose="020B0604020202020204" pitchFamily="34" charset="0"/>
            </a:endParaRPr>
          </a:p>
        </xdr:txBody>
      </xdr:sp>
      <xdr:sp macro="" textlink="">
        <xdr:nvSpPr>
          <xdr:cNvPr id="14" name="Rectangle 45">
            <a:extLst>
              <a:ext uri="{FF2B5EF4-FFF2-40B4-BE49-F238E27FC236}">
                <a16:creationId xmlns:a16="http://schemas.microsoft.com/office/drawing/2014/main" id="{00000000-0008-0000-0600-00000E000000}"/>
              </a:ext>
            </a:extLst>
          </xdr:cNvPr>
          <xdr:cNvSpPr/>
        </xdr:nvSpPr>
        <xdr:spPr>
          <a:xfrm>
            <a:off x="2692374" y="410939"/>
            <a:ext cx="2257407" cy="704215"/>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82880" tIns="182880" rIns="182880" bIns="365760" numCol="1" spcCol="0" rtlCol="0" fromWordArt="0" anchor="b" anchorCtr="0" forceAA="0" compatLnSpc="1">
            <a:prstTxWarp prst="textNoShape">
              <a:avLst/>
            </a:prstTxWarp>
            <a:noAutofit/>
          </a:bodyPr>
          <a:lstStyle/>
          <a:p>
            <a:pPr>
              <a:lnSpc>
                <a:spcPct val="115000"/>
              </a:lnSpc>
              <a:spcBef>
                <a:spcPts val="1200"/>
              </a:spcBef>
              <a:spcAft>
                <a:spcPts val="1000"/>
              </a:spcAft>
            </a:pPr>
            <a:r>
              <a:rPr lang="es-PE" sz="1100">
                <a:solidFill>
                  <a:srgbClr val="FFFFFF"/>
                </a:solidFill>
                <a:effectLst/>
                <a:ea typeface="Calibri"/>
                <a:cs typeface="Times New Roman"/>
              </a:rPr>
              <a:t> </a:t>
            </a:r>
            <a:endParaRPr lang="es-PE" sz="1100">
              <a:effectLst/>
              <a:ea typeface="Calibri"/>
              <a:cs typeface="Times New Roman"/>
            </a:endParaRPr>
          </a:p>
        </xdr:txBody>
      </xdr:sp>
      <xdr:sp macro="" textlink="">
        <xdr:nvSpPr>
          <xdr:cNvPr id="15" name="Rectangle 46">
            <a:extLst>
              <a:ext uri="{FF2B5EF4-FFF2-40B4-BE49-F238E27FC236}">
                <a16:creationId xmlns:a16="http://schemas.microsoft.com/office/drawing/2014/main" id="{00000000-0008-0000-0600-00000F000000}"/>
              </a:ext>
            </a:extLst>
          </xdr:cNvPr>
          <xdr:cNvSpPr/>
        </xdr:nvSpPr>
        <xdr:spPr>
          <a:xfrm>
            <a:off x="71919" y="8902745"/>
            <a:ext cx="2275491" cy="419262"/>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82880" tIns="182880" rIns="182880" bIns="365760" numCol="1" spcCol="0" rtlCol="0" fromWordArt="0" anchor="b" anchorCtr="0" forceAA="0" compatLnSpc="1">
            <a:prstTxWarp prst="textNoShape">
              <a:avLst/>
            </a:prstTxWarp>
            <a:noAutofit/>
          </a:bodyPr>
          <a:lstStyle/>
          <a:p>
            <a:pPr>
              <a:lnSpc>
                <a:spcPct val="115000"/>
              </a:lnSpc>
              <a:spcBef>
                <a:spcPts val="1200"/>
              </a:spcBef>
              <a:spcAft>
                <a:spcPts val="1000"/>
              </a:spcAft>
            </a:pPr>
            <a:r>
              <a:rPr lang="es-PE" sz="1100">
                <a:solidFill>
                  <a:srgbClr val="FFFFFF"/>
                </a:solidFill>
                <a:effectLst/>
                <a:ea typeface="Calibri"/>
                <a:cs typeface="Times New Roman"/>
              </a:rPr>
              <a:t> </a:t>
            </a:r>
            <a:endParaRPr lang="es-PE" sz="1100">
              <a:effectLst/>
              <a:ea typeface="Calibri"/>
              <a:cs typeface="Times New Roman"/>
            </a:endParaRPr>
          </a:p>
        </xdr:txBody>
      </xdr:sp>
    </xdr:grpSp>
    <xdr:clientData/>
  </xdr:twoCellAnchor>
  <xdr:twoCellAnchor>
    <xdr:from>
      <xdr:col>2</xdr:col>
      <xdr:colOff>174113</xdr:colOff>
      <xdr:row>1</xdr:row>
      <xdr:rowOff>304801</xdr:rowOff>
    </xdr:from>
    <xdr:to>
      <xdr:col>6</xdr:col>
      <xdr:colOff>99060</xdr:colOff>
      <xdr:row>12</xdr:row>
      <xdr:rowOff>99061</xdr:rowOff>
    </xdr:to>
    <xdr:graphicFrame macro="">
      <xdr:nvGraphicFramePr>
        <xdr:cNvPr id="16" name="8 Gráfico">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167640</xdr:colOff>
      <xdr:row>14</xdr:row>
      <xdr:rowOff>45720</xdr:rowOff>
    </xdr:from>
    <xdr:to>
      <xdr:col>6</xdr:col>
      <xdr:colOff>69071</xdr:colOff>
      <xdr:row>32</xdr:row>
      <xdr:rowOff>64321</xdr:rowOff>
    </xdr:to>
    <xdr:graphicFrame macro="">
      <xdr:nvGraphicFramePr>
        <xdr:cNvPr id="17" name="9 Gráfico">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153628</xdr:colOff>
      <xdr:row>33</xdr:row>
      <xdr:rowOff>152400</xdr:rowOff>
    </xdr:from>
    <xdr:to>
      <xdr:col>6</xdr:col>
      <xdr:colOff>51208</xdr:colOff>
      <xdr:row>52</xdr:row>
      <xdr:rowOff>20483</xdr:rowOff>
    </xdr:to>
    <xdr:graphicFrame macro="">
      <xdr:nvGraphicFramePr>
        <xdr:cNvPr id="18" name="10 Gráfico">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7</xdr:col>
      <xdr:colOff>137160</xdr:colOff>
      <xdr:row>46</xdr:row>
      <xdr:rowOff>76199</xdr:rowOff>
    </xdr:from>
    <xdr:to>
      <xdr:col>10</xdr:col>
      <xdr:colOff>280035</xdr:colOff>
      <xdr:row>49</xdr:row>
      <xdr:rowOff>95015</xdr:rowOff>
    </xdr:to>
    <xdr:sp macro="" textlink="">
      <xdr:nvSpPr>
        <xdr:cNvPr id="21" name="Rectangle 46">
          <a:extLst>
            <a:ext uri="{FF2B5EF4-FFF2-40B4-BE49-F238E27FC236}">
              <a16:creationId xmlns:a16="http://schemas.microsoft.com/office/drawing/2014/main" id="{00000000-0008-0000-0600-000015000000}"/>
            </a:ext>
          </a:extLst>
        </xdr:cNvPr>
        <xdr:cNvSpPr/>
      </xdr:nvSpPr>
      <xdr:spPr>
        <a:xfrm>
          <a:off x="6214110" y="8524874"/>
          <a:ext cx="3295650" cy="504591"/>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82880" tIns="182880" rIns="182880" bIns="365760" numCol="1" spcCol="0" rtlCol="0" fromWordArt="0" anchor="b" anchorCtr="0" forceAA="0" compatLnSpc="1">
          <a:prstTxWarp prst="textNoShape">
            <a:avLst/>
          </a:prstTxWarp>
          <a:noAutofit/>
        </a:bodyPr>
        <a:lstStyle/>
        <a:p>
          <a:pPr>
            <a:lnSpc>
              <a:spcPct val="115000"/>
            </a:lnSpc>
            <a:spcBef>
              <a:spcPts val="1200"/>
            </a:spcBef>
            <a:spcAft>
              <a:spcPts val="1000"/>
            </a:spcAft>
          </a:pPr>
          <a:r>
            <a:rPr lang="es-PE" sz="1100">
              <a:solidFill>
                <a:srgbClr val="FFFFFF"/>
              </a:solidFill>
              <a:effectLst/>
              <a:ea typeface="Calibri"/>
              <a:cs typeface="Times New Roman"/>
            </a:rPr>
            <a:t> </a:t>
          </a:r>
          <a:endParaRPr lang="es-PE" sz="1100">
            <a:effectLst/>
            <a:ea typeface="Calibri"/>
            <a:cs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285748</xdr:colOff>
      <xdr:row>0</xdr:row>
      <xdr:rowOff>277209</xdr:rowOff>
    </xdr:from>
    <xdr:to>
      <xdr:col>5</xdr:col>
      <xdr:colOff>266698</xdr:colOff>
      <xdr:row>63</xdr:row>
      <xdr:rowOff>70485</xdr:rowOff>
    </xdr:to>
    <xdr:grpSp>
      <xdr:nvGrpSpPr>
        <xdr:cNvPr id="12" name="1 Grupo">
          <a:extLst>
            <a:ext uri="{FF2B5EF4-FFF2-40B4-BE49-F238E27FC236}">
              <a16:creationId xmlns:a16="http://schemas.microsoft.com/office/drawing/2014/main" id="{00000000-0008-0000-0700-00000C000000}"/>
            </a:ext>
          </a:extLst>
        </xdr:cNvPr>
        <xdr:cNvGrpSpPr/>
      </xdr:nvGrpSpPr>
      <xdr:grpSpPr>
        <a:xfrm>
          <a:off x="1285873" y="277209"/>
          <a:ext cx="4238625" cy="9394476"/>
          <a:chOff x="61129" y="-35088"/>
          <a:chExt cx="2533538" cy="11479055"/>
        </a:xfrm>
      </xdr:grpSpPr>
      <xdr:sp macro="" textlink="">
        <xdr:nvSpPr>
          <xdr:cNvPr id="13" name="AutoShape 14">
            <a:extLst>
              <a:ext uri="{FF2B5EF4-FFF2-40B4-BE49-F238E27FC236}">
                <a16:creationId xmlns:a16="http://schemas.microsoft.com/office/drawing/2014/main" id="{00000000-0008-0000-0700-00000D000000}"/>
              </a:ext>
            </a:extLst>
          </xdr:cNvPr>
          <xdr:cNvSpPr>
            <a:spLocks noChangeArrowheads="1"/>
          </xdr:cNvSpPr>
        </xdr:nvSpPr>
        <xdr:spPr bwMode="auto">
          <a:xfrm>
            <a:off x="61129" y="-35088"/>
            <a:ext cx="2533538" cy="11479055"/>
          </a:xfrm>
          <a:prstGeom prst="rect">
            <a:avLst/>
          </a:prstGeom>
          <a:solidFill>
            <a:schemeClr val="bg1"/>
          </a:solidFill>
          <a:ln w="15875">
            <a:solidFill>
              <a:schemeClr val="bg2">
                <a:lumMod val="50000"/>
              </a:schemeClr>
            </a:solidFill>
          </a:ln>
        </xdr:spPr>
        <xdr:style>
          <a:lnRef idx="0">
            <a:scrgbClr r="0" g="0" b="0"/>
          </a:lnRef>
          <a:fillRef idx="1002">
            <a:schemeClr val="lt2"/>
          </a:fillRef>
          <a:effectRef idx="0">
            <a:scrgbClr r="0" g="0" b="0"/>
          </a:effectRef>
          <a:fontRef idx="major"/>
        </xdr:style>
        <xdr:txBody>
          <a:bodyPr rot="0" vert="horz" wrap="square" lIns="182880" tIns="457200" rIns="182880" bIns="73152" anchor="t" anchorCtr="0" upright="1">
            <a:noAutofit/>
          </a:bodyPr>
          <a:lstStyle/>
          <a:p>
            <a:pPr algn="ctr">
              <a:lnSpc>
                <a:spcPct val="115000"/>
              </a:lnSpc>
              <a:spcBef>
                <a:spcPts val="2400"/>
              </a:spcBef>
              <a:spcAft>
                <a:spcPts val="1200"/>
              </a:spcAft>
            </a:pPr>
            <a:endParaRPr lang="es-PE" sz="2000" b="1" kern="0">
              <a:solidFill>
                <a:sysClr val="windowText" lastClr="000000"/>
              </a:solidFill>
              <a:effectLst/>
              <a:latin typeface="Arial" pitchFamily="34" charset="0"/>
              <a:ea typeface="Times New Roman"/>
              <a:cs typeface="Arial" pitchFamily="34" charset="0"/>
            </a:endParaRPr>
          </a:p>
          <a:p>
            <a:pPr algn="ctr">
              <a:lnSpc>
                <a:spcPct val="115000"/>
              </a:lnSpc>
              <a:spcBef>
                <a:spcPts val="2400"/>
              </a:spcBef>
              <a:spcAft>
                <a:spcPts val="1200"/>
              </a:spcAft>
            </a:pPr>
            <a:endParaRPr lang="es-PE" sz="2000" b="1" kern="0">
              <a:solidFill>
                <a:sysClr val="windowText" lastClr="000000"/>
              </a:solidFill>
              <a:effectLst/>
              <a:latin typeface="Arial" pitchFamily="34" charset="0"/>
              <a:ea typeface="Times New Roman"/>
              <a:cs typeface="Arial" pitchFamily="34" charset="0"/>
            </a:endParaRPr>
          </a:p>
          <a:p>
            <a:pPr algn="ctr">
              <a:lnSpc>
                <a:spcPct val="115000"/>
              </a:lnSpc>
              <a:spcBef>
                <a:spcPts val="2400"/>
              </a:spcBef>
              <a:spcAft>
                <a:spcPts val="1200"/>
              </a:spcAft>
            </a:pPr>
            <a:r>
              <a:rPr lang="es-PE" sz="1800" b="1" kern="0">
                <a:solidFill>
                  <a:sysClr val="windowText" lastClr="000000"/>
                </a:solidFill>
                <a:effectLst/>
                <a:latin typeface="Arial" pitchFamily="34" charset="0"/>
                <a:ea typeface="Times New Roman"/>
                <a:cs typeface="Arial" pitchFamily="34" charset="0"/>
              </a:rPr>
              <a:t>VIII.- Ámbito Geográfico      </a:t>
            </a:r>
            <a:endParaRPr lang="es-PE" sz="1800" baseline="0">
              <a:solidFill>
                <a:sysClr val="windowText" lastClr="000000"/>
              </a:solidFill>
              <a:effectLst/>
              <a:latin typeface="Arial" panose="020B0604020202020204" pitchFamily="34" charset="0"/>
              <a:ea typeface="Calibri"/>
              <a:cs typeface="Arial" panose="020B0604020202020204" pitchFamily="34" charset="0"/>
            </a:endParaRPr>
          </a:p>
          <a:p>
            <a:pPr algn="just">
              <a:lnSpc>
                <a:spcPct val="150000"/>
              </a:lnSpc>
              <a:spcAft>
                <a:spcPts val="1000"/>
              </a:spcAft>
            </a:pPr>
            <a:endParaRPr lang="es-PE" sz="1200" baseline="0">
              <a:solidFill>
                <a:sysClr val="windowText" lastClr="000000"/>
              </a:solidFill>
              <a:effectLst/>
              <a:latin typeface="+mn-lt"/>
              <a:ea typeface="Calibri"/>
              <a:cs typeface="Arial" pitchFamily="34" charset="0"/>
            </a:endParaRPr>
          </a:p>
          <a:p>
            <a:pPr algn="just">
              <a:lnSpc>
                <a:spcPct val="150000"/>
              </a:lnSpc>
              <a:spcAft>
                <a:spcPts val="1000"/>
              </a:spcAft>
            </a:pPr>
            <a:r>
              <a:rPr lang="es-PE" sz="1200" baseline="0">
                <a:solidFill>
                  <a:sysClr val="windowText" lastClr="000000"/>
                </a:solidFill>
                <a:effectLst/>
                <a:latin typeface="Arial" panose="020B0604020202020204" pitchFamily="34" charset="0"/>
                <a:ea typeface="Calibri"/>
                <a:cs typeface="Arial" panose="020B0604020202020204" pitchFamily="34" charset="0"/>
              </a:rPr>
              <a:t>Las huelgas registradas según el ámbito geográfico al igual que los años anteriores es la </a:t>
            </a:r>
            <a:r>
              <a:rPr lang="es-PE" sz="1200" baseline="0">
                <a:effectLst/>
                <a:latin typeface="Arial" panose="020B0604020202020204" pitchFamily="34" charset="0"/>
                <a:ea typeface="+mj-ea"/>
                <a:cs typeface="Arial" panose="020B0604020202020204" pitchFamily="34" charset="0"/>
              </a:rPr>
              <a:t>Dirección Regional de Trabajo y Promoción del Empleo de Lima Metropolitana -</a:t>
            </a:r>
            <a:r>
              <a:rPr lang="es-PE" sz="1200" baseline="0">
                <a:solidFill>
                  <a:sysClr val="windowText" lastClr="000000"/>
                </a:solidFill>
                <a:effectLst/>
                <a:latin typeface="Arial" panose="020B0604020202020204" pitchFamily="34" charset="0"/>
                <a:ea typeface="Calibri"/>
                <a:cs typeface="Arial" panose="020B0604020202020204" pitchFamily="34" charset="0"/>
              </a:rPr>
              <a:t> DRTPE-LM quien concentró el mayor número de huelgas (42), comprendiendo a 72 555 trabajadores y generó 2 158 020 horas-hombre perdidas.</a:t>
            </a:r>
          </a:p>
          <a:p>
            <a:pPr algn="just">
              <a:lnSpc>
                <a:spcPct val="150000"/>
              </a:lnSpc>
              <a:spcAft>
                <a:spcPts val="1000"/>
              </a:spcAft>
            </a:pPr>
            <a:r>
              <a:rPr lang="es-PE" sz="1200" baseline="0">
                <a:solidFill>
                  <a:sysClr val="windowText" lastClr="000000"/>
                </a:solidFill>
                <a:effectLst/>
                <a:latin typeface="Arial" panose="020B0604020202020204" pitchFamily="34" charset="0"/>
                <a:ea typeface="Calibri"/>
                <a:cs typeface="Arial" panose="020B0604020202020204" pitchFamily="34" charset="0"/>
              </a:rPr>
              <a:t>Esta concentración de huelgas se debió básicamente a que las huelgas realizadas a nivel nacional fueron registradas en la DRTPE - Lima Metropolitana</a:t>
            </a:r>
          </a:p>
          <a:p>
            <a:pPr algn="just">
              <a:lnSpc>
                <a:spcPct val="150000"/>
              </a:lnSpc>
              <a:spcAft>
                <a:spcPts val="1000"/>
              </a:spcAft>
            </a:pPr>
            <a:r>
              <a:rPr lang="es-PE" sz="1200" baseline="0">
                <a:solidFill>
                  <a:sysClr val="windowText" lastClr="000000"/>
                </a:solidFill>
                <a:effectLst/>
                <a:latin typeface="Arial" panose="020B0604020202020204" pitchFamily="34" charset="0"/>
                <a:ea typeface="Calibri"/>
                <a:cs typeface="Arial" panose="020B0604020202020204" pitchFamily="34" charset="0"/>
              </a:rPr>
              <a:t>Sigue en importancia la </a:t>
            </a:r>
            <a:r>
              <a:rPr lang="es-PE" sz="1200" baseline="0">
                <a:effectLst/>
                <a:latin typeface="Arial" panose="020B0604020202020204" pitchFamily="34" charset="0"/>
                <a:ea typeface="+mj-ea"/>
                <a:cs typeface="Arial" panose="020B0604020202020204" pitchFamily="34" charset="0"/>
              </a:rPr>
              <a:t>Dirección Regional de Trabajo y Promoción del Empleo -Cajamarca con un registro de 6 huelgas,  comprendió  a  2 725  trabajadores  y generó 39 032 horas-hombre perdidas.</a:t>
            </a:r>
          </a:p>
          <a:p>
            <a:pPr marL="0" marR="0" lvl="0" indent="0" algn="just" defTabSz="914400" eaLnBrk="1" fontAlgn="auto" latinLnBrk="0" hangingPunct="1">
              <a:lnSpc>
                <a:spcPct val="150000"/>
              </a:lnSpc>
              <a:spcBef>
                <a:spcPts val="0"/>
              </a:spcBef>
              <a:spcAft>
                <a:spcPts val="1000"/>
              </a:spcAft>
              <a:buClrTx/>
              <a:buSzTx/>
              <a:buFontTx/>
              <a:buNone/>
              <a:tabLst/>
              <a:defRPr/>
            </a:pPr>
            <a:r>
              <a:rPr lang="es-PE" sz="1200" baseline="0">
                <a:solidFill>
                  <a:sysClr val="windowText" lastClr="000000"/>
                </a:solidFill>
                <a:effectLst/>
                <a:latin typeface="Arial" panose="020B0604020202020204" pitchFamily="34" charset="0"/>
                <a:ea typeface="Calibri"/>
                <a:cs typeface="Arial" panose="020B0604020202020204" pitchFamily="34" charset="0"/>
              </a:rPr>
              <a:t>Finalmente las </a:t>
            </a:r>
            <a:r>
              <a:rPr lang="es-PE" sz="1200" baseline="0">
                <a:effectLst/>
                <a:latin typeface="Arial" panose="020B0604020202020204" pitchFamily="34" charset="0"/>
                <a:ea typeface="+mj-ea"/>
                <a:cs typeface="Arial" panose="020B0604020202020204" pitchFamily="34" charset="0"/>
              </a:rPr>
              <a:t>Direcciones Regionales de Trabajo y Promoción del  Empleo - Tumbes  con 2 huelgas, 146 trabajadores comprendidos y generó 18 224  </a:t>
            </a:r>
            <a:r>
              <a:rPr lang="es-PE" sz="1200" baseline="0">
                <a:solidFill>
                  <a:sysClr val="windowText" lastClr="000000"/>
                </a:solidFill>
                <a:effectLst/>
                <a:latin typeface="Arial" panose="020B0604020202020204" pitchFamily="34" charset="0"/>
                <a:ea typeface="Calibri"/>
                <a:cs typeface="Arial" panose="020B0604020202020204" pitchFamily="34" charset="0"/>
              </a:rPr>
              <a:t>Horas-Hombre Perdidas; </a:t>
            </a:r>
            <a:r>
              <a:rPr lang="es-PE" sz="1200" baseline="0">
                <a:effectLst/>
                <a:latin typeface="Arial" panose="020B0604020202020204" pitchFamily="34" charset="0"/>
                <a:ea typeface="+mj-ea"/>
                <a:cs typeface="Arial" panose="020B0604020202020204" pitchFamily="34" charset="0"/>
              </a:rPr>
              <a:t>Huacho con 1 huelga 65 trabajadores, 34 352 horas-hombre perdidas, Cañete con 1 huelga 57 trabajadores, 2 736 horas-hombre perdidas.</a:t>
            </a:r>
            <a:endParaRPr lang="es-PE" sz="1200">
              <a:effectLst/>
              <a:latin typeface="Arial" panose="020B0604020202020204" pitchFamily="34" charset="0"/>
              <a:cs typeface="Arial" panose="020B0604020202020204" pitchFamily="34" charset="0"/>
            </a:endParaRPr>
          </a:p>
          <a:p>
            <a:pPr algn="just">
              <a:lnSpc>
                <a:spcPct val="150000"/>
              </a:lnSpc>
              <a:spcAft>
                <a:spcPts val="1000"/>
              </a:spcAft>
            </a:pPr>
            <a:r>
              <a:rPr lang="es-PE" sz="1200" baseline="0">
                <a:solidFill>
                  <a:sysClr val="windowText" lastClr="000000"/>
                </a:solidFill>
                <a:effectLst/>
                <a:latin typeface="Arial" panose="020B0604020202020204" pitchFamily="34" charset="0"/>
                <a:ea typeface="Calibri"/>
                <a:cs typeface="Arial" panose="020B0604020202020204" pitchFamily="34" charset="0"/>
              </a:rPr>
              <a:t> .</a:t>
            </a:r>
          </a:p>
          <a:p>
            <a:pPr algn="just">
              <a:lnSpc>
                <a:spcPct val="200000"/>
              </a:lnSpc>
              <a:spcAft>
                <a:spcPts val="1000"/>
              </a:spcAft>
            </a:pPr>
            <a:endParaRPr lang="es-PE" sz="1400">
              <a:solidFill>
                <a:sysClr val="windowText" lastClr="000000"/>
              </a:solidFill>
              <a:effectLst/>
              <a:latin typeface="Arial" pitchFamily="34" charset="0"/>
              <a:ea typeface="Calibri"/>
              <a:cs typeface="Arial" pitchFamily="34" charset="0"/>
            </a:endParaRPr>
          </a:p>
          <a:p>
            <a:pPr>
              <a:lnSpc>
                <a:spcPct val="200000"/>
              </a:lnSpc>
              <a:spcAft>
                <a:spcPts val="1000"/>
              </a:spcAft>
            </a:pPr>
            <a:r>
              <a:rPr lang="es-PE" sz="1100">
                <a:solidFill>
                  <a:srgbClr val="1F497D"/>
                </a:solidFill>
                <a:effectLst/>
                <a:latin typeface="Calibri"/>
                <a:ea typeface="Calibri"/>
                <a:cs typeface="Times New Roman"/>
              </a:rPr>
              <a:t> </a:t>
            </a:r>
            <a:endParaRPr lang="es-PE" sz="1100">
              <a:effectLst/>
              <a:latin typeface="Calibri"/>
              <a:ea typeface="Calibri"/>
              <a:cs typeface="Times New Roman"/>
            </a:endParaRPr>
          </a:p>
          <a:p>
            <a:pPr>
              <a:lnSpc>
                <a:spcPct val="200000"/>
              </a:lnSpc>
              <a:spcAft>
                <a:spcPts val="1000"/>
              </a:spcAft>
            </a:pPr>
            <a:r>
              <a:rPr lang="es-PE" sz="1100">
                <a:solidFill>
                  <a:srgbClr val="1F497D"/>
                </a:solidFill>
                <a:effectLst/>
                <a:latin typeface="Calibri"/>
                <a:ea typeface="Calibri"/>
                <a:cs typeface="Times New Roman"/>
              </a:rPr>
              <a:t> </a:t>
            </a:r>
            <a:endParaRPr lang="es-PE" sz="1100">
              <a:effectLst/>
              <a:latin typeface="Calibri"/>
              <a:ea typeface="Calibri"/>
              <a:cs typeface="Times New Roman"/>
            </a:endParaRPr>
          </a:p>
        </xdr:txBody>
      </xdr:sp>
      <xdr:sp macro="" textlink="">
        <xdr:nvSpPr>
          <xdr:cNvPr id="14" name="Rectangle 45">
            <a:extLst>
              <a:ext uri="{FF2B5EF4-FFF2-40B4-BE49-F238E27FC236}">
                <a16:creationId xmlns:a16="http://schemas.microsoft.com/office/drawing/2014/main" id="{00000000-0008-0000-0700-00000E000000}"/>
              </a:ext>
            </a:extLst>
          </xdr:cNvPr>
          <xdr:cNvSpPr/>
        </xdr:nvSpPr>
        <xdr:spPr>
          <a:xfrm>
            <a:off x="194653" y="511967"/>
            <a:ext cx="2254389" cy="75927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82880" tIns="182880" rIns="182880" bIns="365760" numCol="1" spcCol="0" rtlCol="0" fromWordArt="0" anchor="ctr" anchorCtr="0" forceAA="0" compatLnSpc="1">
            <a:prstTxWarp prst="textNoShape">
              <a:avLst/>
            </a:prstTxWarp>
            <a:noAutofit/>
          </a:bodyPr>
          <a:lstStyle/>
          <a:p>
            <a:pPr>
              <a:lnSpc>
                <a:spcPct val="115000"/>
              </a:lnSpc>
              <a:spcBef>
                <a:spcPts val="1200"/>
              </a:spcBef>
              <a:spcAft>
                <a:spcPts val="1000"/>
              </a:spcAft>
            </a:pPr>
            <a:r>
              <a:rPr lang="es-PE" sz="1100">
                <a:solidFill>
                  <a:srgbClr val="FFFFFF"/>
                </a:solidFill>
                <a:effectLst/>
                <a:ea typeface="Calibri"/>
                <a:cs typeface="Times New Roman"/>
              </a:rPr>
              <a:t> </a:t>
            </a:r>
            <a:endParaRPr lang="es-PE" sz="1100">
              <a:effectLst/>
              <a:ea typeface="Calibri"/>
              <a:cs typeface="Times New Roman"/>
            </a:endParaRPr>
          </a:p>
        </xdr:txBody>
      </xdr:sp>
      <xdr:sp macro="" textlink="">
        <xdr:nvSpPr>
          <xdr:cNvPr id="15" name="Rectangle 46">
            <a:extLst>
              <a:ext uri="{FF2B5EF4-FFF2-40B4-BE49-F238E27FC236}">
                <a16:creationId xmlns:a16="http://schemas.microsoft.com/office/drawing/2014/main" id="{00000000-0008-0000-0700-00000F000000}"/>
              </a:ext>
            </a:extLst>
          </xdr:cNvPr>
          <xdr:cNvSpPr/>
        </xdr:nvSpPr>
        <xdr:spPr>
          <a:xfrm>
            <a:off x="189292" y="10345287"/>
            <a:ext cx="2257261" cy="65283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82880" tIns="182880" rIns="182880" bIns="365760" numCol="1" spcCol="0" rtlCol="0" fromWordArt="0" anchor="b" anchorCtr="0" forceAA="0" compatLnSpc="1">
            <a:prstTxWarp prst="textNoShape">
              <a:avLst/>
            </a:prstTxWarp>
            <a:noAutofit/>
          </a:bodyPr>
          <a:lstStyle/>
          <a:p>
            <a:pPr>
              <a:lnSpc>
                <a:spcPct val="115000"/>
              </a:lnSpc>
              <a:spcBef>
                <a:spcPts val="1200"/>
              </a:spcBef>
              <a:spcAft>
                <a:spcPts val="1000"/>
              </a:spcAft>
            </a:pPr>
            <a:r>
              <a:rPr lang="es-PE" sz="1100">
                <a:solidFill>
                  <a:srgbClr val="FFFFFF"/>
                </a:solidFill>
                <a:effectLst/>
                <a:ea typeface="Calibri"/>
                <a:cs typeface="Times New Roman"/>
              </a:rPr>
              <a:t> </a:t>
            </a:r>
            <a:endParaRPr lang="es-PE" sz="1100">
              <a:effectLst/>
              <a:ea typeface="Calibri"/>
              <a:cs typeface="Times New Roman"/>
            </a:endParaRPr>
          </a:p>
        </xdr:txBody>
      </xdr:sp>
    </xdr:grpSp>
    <xdr:clientData/>
  </xdr:twoCellAnchor>
  <xdr:twoCellAnchor>
    <xdr:from>
      <xdr:col>6</xdr:col>
      <xdr:colOff>30480</xdr:colOff>
      <xdr:row>2</xdr:row>
      <xdr:rowOff>123826</xdr:rowOff>
    </xdr:from>
    <xdr:to>
      <xdr:col>10</xdr:col>
      <xdr:colOff>757903</xdr:colOff>
      <xdr:row>18</xdr:row>
      <xdr:rowOff>28575</xdr:rowOff>
    </xdr:to>
    <xdr:graphicFrame macro="">
      <xdr:nvGraphicFramePr>
        <xdr:cNvPr id="16" name="8 Gráfico">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389194</xdr:colOff>
      <xdr:row>21</xdr:row>
      <xdr:rowOff>104776</xdr:rowOff>
    </xdr:from>
    <xdr:to>
      <xdr:col>10</xdr:col>
      <xdr:colOff>921774</xdr:colOff>
      <xdr:row>39</xdr:row>
      <xdr:rowOff>1230</xdr:rowOff>
    </xdr:to>
    <xdr:graphicFrame macro="">
      <xdr:nvGraphicFramePr>
        <xdr:cNvPr id="17" name="9 Gráfico">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399435</xdr:colOff>
      <xdr:row>41</xdr:row>
      <xdr:rowOff>76201</xdr:rowOff>
    </xdr:from>
    <xdr:to>
      <xdr:col>11</xdr:col>
      <xdr:colOff>0</xdr:colOff>
      <xdr:row>62</xdr:row>
      <xdr:rowOff>112663</xdr:rowOff>
    </xdr:to>
    <xdr:graphicFrame macro="">
      <xdr:nvGraphicFramePr>
        <xdr:cNvPr id="18" name="10 Gráfico">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xdr:col>
      <xdr:colOff>700855</xdr:colOff>
      <xdr:row>0</xdr:row>
      <xdr:rowOff>95250</xdr:rowOff>
    </xdr:from>
    <xdr:to>
      <xdr:col>10</xdr:col>
      <xdr:colOff>173752</xdr:colOff>
      <xdr:row>54</xdr:row>
      <xdr:rowOff>155924</xdr:rowOff>
    </xdr:to>
    <xdr:grpSp>
      <xdr:nvGrpSpPr>
        <xdr:cNvPr id="2" name="4 Grupo">
          <a:extLst>
            <a:ext uri="{FF2B5EF4-FFF2-40B4-BE49-F238E27FC236}">
              <a16:creationId xmlns:a16="http://schemas.microsoft.com/office/drawing/2014/main" id="{00000000-0008-0000-0800-000002000000}"/>
            </a:ext>
          </a:extLst>
        </xdr:cNvPr>
        <xdr:cNvGrpSpPr/>
      </xdr:nvGrpSpPr>
      <xdr:grpSpPr>
        <a:xfrm>
          <a:off x="3948880" y="95250"/>
          <a:ext cx="3482922" cy="8804624"/>
          <a:chOff x="-1" y="-1"/>
          <a:chExt cx="2395687" cy="9678149"/>
        </a:xfrm>
      </xdr:grpSpPr>
      <xdr:sp macro="" textlink="">
        <xdr:nvSpPr>
          <xdr:cNvPr id="3" name="AutoShape 14">
            <a:extLst>
              <a:ext uri="{FF2B5EF4-FFF2-40B4-BE49-F238E27FC236}">
                <a16:creationId xmlns:a16="http://schemas.microsoft.com/office/drawing/2014/main" id="{00000000-0008-0000-0800-000003000000}"/>
              </a:ext>
            </a:extLst>
          </xdr:cNvPr>
          <xdr:cNvSpPr>
            <a:spLocks noChangeArrowheads="1"/>
          </xdr:cNvSpPr>
        </xdr:nvSpPr>
        <xdr:spPr bwMode="auto">
          <a:xfrm>
            <a:off x="-1" y="-1"/>
            <a:ext cx="2395687" cy="9678149"/>
          </a:xfrm>
          <a:prstGeom prst="rect">
            <a:avLst/>
          </a:prstGeom>
          <a:solidFill>
            <a:schemeClr val="bg1"/>
          </a:solidFill>
          <a:ln w="15875">
            <a:solidFill>
              <a:schemeClr val="bg2">
                <a:lumMod val="50000"/>
              </a:schemeClr>
            </a:solidFill>
          </a:ln>
        </xdr:spPr>
        <xdr:style>
          <a:lnRef idx="0">
            <a:scrgbClr r="0" g="0" b="0"/>
          </a:lnRef>
          <a:fillRef idx="1002">
            <a:schemeClr val="lt2"/>
          </a:fillRef>
          <a:effectRef idx="0">
            <a:scrgbClr r="0" g="0" b="0"/>
          </a:effectRef>
          <a:fontRef idx="major"/>
        </xdr:style>
        <xdr:txBody>
          <a:bodyPr rot="0" vert="horz" wrap="square" lIns="182880" tIns="457200" rIns="182880" bIns="73152" anchor="t" anchorCtr="0" upright="1">
            <a:noAutofit/>
          </a:bodyPr>
          <a:lstStyle/>
          <a:p>
            <a:pPr>
              <a:lnSpc>
                <a:spcPct val="115000"/>
              </a:lnSpc>
              <a:spcBef>
                <a:spcPts val="2400"/>
              </a:spcBef>
              <a:spcAft>
                <a:spcPts val="1200"/>
              </a:spcAft>
            </a:pPr>
            <a:endParaRPr lang="es-PE" sz="2000" b="1" kern="0">
              <a:solidFill>
                <a:srgbClr val="365F91"/>
              </a:solidFill>
              <a:effectLst/>
              <a:ea typeface="Times New Roman"/>
              <a:cs typeface="Times New Roman"/>
            </a:endParaRPr>
          </a:p>
          <a:p>
            <a:pPr algn="ctr">
              <a:lnSpc>
                <a:spcPct val="115000"/>
              </a:lnSpc>
              <a:spcBef>
                <a:spcPts val="2400"/>
              </a:spcBef>
              <a:spcAft>
                <a:spcPts val="1200"/>
              </a:spcAft>
            </a:pPr>
            <a:r>
              <a:rPr lang="es-PE" sz="1600" b="1" kern="0">
                <a:solidFill>
                  <a:sysClr val="windowText" lastClr="000000"/>
                </a:solidFill>
                <a:effectLst/>
                <a:latin typeface="Arial" panose="020B0604020202020204" pitchFamily="34" charset="0"/>
                <a:ea typeface="Times New Roman"/>
                <a:cs typeface="Arial" panose="020B0604020202020204" pitchFamily="34" charset="0"/>
              </a:rPr>
              <a:t>IX.- Número de Trabajadores</a:t>
            </a:r>
          </a:p>
          <a:p>
            <a:pPr algn="just">
              <a:lnSpc>
                <a:spcPct val="150000"/>
              </a:lnSpc>
              <a:spcAft>
                <a:spcPts val="1000"/>
              </a:spcAft>
            </a:pPr>
            <a:r>
              <a:rPr lang="es-PE" sz="1200">
                <a:solidFill>
                  <a:sysClr val="windowText" lastClr="000000"/>
                </a:solidFill>
                <a:effectLst/>
                <a:latin typeface="Arial" panose="020B0604020202020204" pitchFamily="34" charset="0"/>
                <a:ea typeface="Calibri"/>
                <a:cs typeface="Arial" panose="020B0604020202020204" pitchFamily="34" charset="0"/>
              </a:rPr>
              <a:t>En</a:t>
            </a:r>
            <a:r>
              <a:rPr lang="es-PE" sz="1200" baseline="0">
                <a:solidFill>
                  <a:sysClr val="windowText" lastClr="000000"/>
                </a:solidFill>
                <a:effectLst/>
                <a:latin typeface="Arial" panose="020B0604020202020204" pitchFamily="34" charset="0"/>
                <a:ea typeface="Calibri"/>
                <a:cs typeface="Arial" panose="020B0604020202020204" pitchFamily="34" charset="0"/>
              </a:rPr>
              <a:t> el año 2024, de acuerdo al número de trabajadores las huelgas se concentraron en el rango de 1 000  a más trabajadores; tuvo un registro de 16 huelgas (25.40%), comprendió 65 782 trabajadores (85.76%) y generó 1 846 328 Horas-Hombre perdidas (80.43%).</a:t>
            </a:r>
          </a:p>
          <a:p>
            <a:pPr algn="just">
              <a:lnSpc>
                <a:spcPct val="150000"/>
              </a:lnSpc>
              <a:spcAft>
                <a:spcPts val="1000"/>
              </a:spcAft>
            </a:pPr>
            <a:r>
              <a:rPr lang="es-PE" sz="1200" baseline="0">
                <a:solidFill>
                  <a:sysClr val="windowText" lastClr="000000"/>
                </a:solidFill>
                <a:effectLst/>
                <a:latin typeface="Arial" panose="020B0604020202020204" pitchFamily="34" charset="0"/>
                <a:ea typeface="Calibri"/>
                <a:cs typeface="Arial" panose="020B0604020202020204" pitchFamily="34" charset="0"/>
              </a:rPr>
              <a:t>Sigue en importancia el rango de trabajadores de 50 - 99 trabajadores, con 10 huelgas (15.87%), comprendió a 675 trabajadores</a:t>
            </a:r>
            <a:r>
              <a:rPr lang="es-PE" sz="1200">
                <a:solidFill>
                  <a:sysClr val="windowText" lastClr="000000"/>
                </a:solidFill>
                <a:effectLst/>
                <a:latin typeface="Arial" panose="020B0604020202020204" pitchFamily="34" charset="0"/>
                <a:ea typeface="Calibri"/>
                <a:cs typeface="Arial" panose="020B0604020202020204" pitchFamily="34" charset="0"/>
              </a:rPr>
              <a:t> (0.88%) y generó</a:t>
            </a:r>
            <a:r>
              <a:rPr lang="es-PE" sz="1200" baseline="0">
                <a:solidFill>
                  <a:sysClr val="windowText" lastClr="000000"/>
                </a:solidFill>
                <a:effectLst/>
                <a:latin typeface="Arial" panose="020B0604020202020204" pitchFamily="34" charset="0"/>
                <a:ea typeface="Calibri"/>
                <a:cs typeface="Arial" panose="020B0604020202020204" pitchFamily="34" charset="0"/>
              </a:rPr>
              <a:t> 108 600 Horas-Hombre Perdidas (4.73%).</a:t>
            </a:r>
          </a:p>
          <a:p>
            <a:pPr algn="just">
              <a:lnSpc>
                <a:spcPct val="150000"/>
              </a:lnSpc>
              <a:spcAft>
                <a:spcPts val="1000"/>
              </a:spcAft>
            </a:pPr>
            <a:r>
              <a:rPr lang="es-PE" sz="1200" baseline="0">
                <a:solidFill>
                  <a:sysClr val="windowText" lastClr="000000"/>
                </a:solidFill>
                <a:effectLst/>
                <a:latin typeface="Arial" panose="020B0604020202020204" pitchFamily="34" charset="0"/>
                <a:ea typeface="Calibri"/>
                <a:cs typeface="Arial" panose="020B0604020202020204" pitchFamily="34" charset="0"/>
              </a:rPr>
              <a:t>Sobresalen también las huelgas que estuvieron en el rango de 500 - 799 trabajadores aún con un registro de 4 huelgas (6.35%), comprendió a 2 100 trabajadores (2.74%) generando 173 600 Horas-Hombre Perdidas (7.56%).</a:t>
            </a:r>
          </a:p>
          <a:p>
            <a:pPr algn="just">
              <a:lnSpc>
                <a:spcPct val="200000"/>
              </a:lnSpc>
              <a:spcAft>
                <a:spcPts val="1000"/>
              </a:spcAft>
            </a:pPr>
            <a:r>
              <a:rPr lang="es-PE" sz="1200">
                <a:solidFill>
                  <a:srgbClr val="1F497D"/>
                </a:solidFill>
                <a:effectLst/>
                <a:latin typeface="Arial" panose="020B0604020202020204" pitchFamily="34" charset="0"/>
                <a:ea typeface="Calibri"/>
                <a:cs typeface="Arial" panose="020B0604020202020204" pitchFamily="34" charset="0"/>
              </a:rPr>
              <a:t> </a:t>
            </a:r>
            <a:endParaRPr lang="es-PE" sz="1200">
              <a:effectLst/>
              <a:latin typeface="Arial" panose="020B0604020202020204" pitchFamily="34" charset="0"/>
              <a:ea typeface="Calibri"/>
              <a:cs typeface="Arial" panose="020B0604020202020204" pitchFamily="34" charset="0"/>
            </a:endParaRPr>
          </a:p>
          <a:p>
            <a:pPr>
              <a:lnSpc>
                <a:spcPct val="200000"/>
              </a:lnSpc>
              <a:spcAft>
                <a:spcPts val="1000"/>
              </a:spcAft>
            </a:pPr>
            <a:r>
              <a:rPr lang="es-PE" sz="1100">
                <a:solidFill>
                  <a:srgbClr val="1F497D"/>
                </a:solidFill>
                <a:effectLst/>
                <a:latin typeface="Calibri"/>
                <a:ea typeface="Calibri"/>
                <a:cs typeface="Times New Roman"/>
              </a:rPr>
              <a:t> </a:t>
            </a:r>
            <a:endParaRPr lang="es-PE" sz="1100">
              <a:effectLst/>
              <a:latin typeface="Calibri"/>
              <a:ea typeface="Calibri"/>
              <a:cs typeface="Times New Roman"/>
            </a:endParaRPr>
          </a:p>
          <a:p>
            <a:pPr>
              <a:lnSpc>
                <a:spcPct val="200000"/>
              </a:lnSpc>
              <a:spcAft>
                <a:spcPts val="1000"/>
              </a:spcAft>
            </a:pPr>
            <a:r>
              <a:rPr lang="es-PE" sz="1100">
                <a:solidFill>
                  <a:srgbClr val="1F497D"/>
                </a:solidFill>
                <a:effectLst/>
                <a:latin typeface="Calibri"/>
                <a:ea typeface="Calibri"/>
                <a:cs typeface="Times New Roman"/>
              </a:rPr>
              <a:t> </a:t>
            </a:r>
            <a:endParaRPr lang="es-PE" sz="1100">
              <a:effectLst/>
              <a:latin typeface="Calibri"/>
              <a:ea typeface="Calibri"/>
              <a:cs typeface="Times New Roman"/>
            </a:endParaRPr>
          </a:p>
        </xdr:txBody>
      </xdr:sp>
      <xdr:sp macro="" textlink="">
        <xdr:nvSpPr>
          <xdr:cNvPr id="4" name="Rectangle 45">
            <a:extLst>
              <a:ext uri="{FF2B5EF4-FFF2-40B4-BE49-F238E27FC236}">
                <a16:creationId xmlns:a16="http://schemas.microsoft.com/office/drawing/2014/main" id="{00000000-0008-0000-0800-000004000000}"/>
              </a:ext>
            </a:extLst>
          </xdr:cNvPr>
          <xdr:cNvSpPr/>
        </xdr:nvSpPr>
        <xdr:spPr>
          <a:xfrm>
            <a:off x="58815" y="334962"/>
            <a:ext cx="2331720" cy="571424"/>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82880" tIns="182880" rIns="182880" bIns="365760" numCol="1" spcCol="0" rtlCol="0" fromWordArt="0" anchor="b" anchorCtr="0" forceAA="0" compatLnSpc="1">
            <a:prstTxWarp prst="textNoShape">
              <a:avLst/>
            </a:prstTxWarp>
            <a:noAutofit/>
          </a:bodyPr>
          <a:lstStyle/>
          <a:p>
            <a:pPr>
              <a:lnSpc>
                <a:spcPct val="115000"/>
              </a:lnSpc>
              <a:spcBef>
                <a:spcPts val="1200"/>
              </a:spcBef>
              <a:spcAft>
                <a:spcPts val="1000"/>
              </a:spcAft>
            </a:pPr>
            <a:r>
              <a:rPr lang="es-PE" sz="1100">
                <a:solidFill>
                  <a:srgbClr val="FFFFFF"/>
                </a:solidFill>
                <a:effectLst/>
                <a:ea typeface="Calibri"/>
                <a:cs typeface="Times New Roman"/>
              </a:rPr>
              <a:t> </a:t>
            </a:r>
            <a:endParaRPr lang="es-PE" sz="1100">
              <a:effectLst/>
              <a:ea typeface="Calibri"/>
              <a:cs typeface="Times New Roman"/>
            </a:endParaRPr>
          </a:p>
        </xdr:txBody>
      </xdr:sp>
      <xdr:sp macro="" textlink="">
        <xdr:nvSpPr>
          <xdr:cNvPr id="5" name="Rectangle 46">
            <a:extLst>
              <a:ext uri="{FF2B5EF4-FFF2-40B4-BE49-F238E27FC236}">
                <a16:creationId xmlns:a16="http://schemas.microsoft.com/office/drawing/2014/main" id="{00000000-0008-0000-0800-000005000000}"/>
              </a:ext>
            </a:extLst>
          </xdr:cNvPr>
          <xdr:cNvSpPr/>
        </xdr:nvSpPr>
        <xdr:spPr>
          <a:xfrm>
            <a:off x="90674" y="8503474"/>
            <a:ext cx="2237654" cy="589756"/>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182880" tIns="182880" rIns="182880" bIns="365760" numCol="1" spcCol="0" rtlCol="0" fromWordArt="0" anchor="b" anchorCtr="0" forceAA="0" compatLnSpc="1">
            <a:prstTxWarp prst="textNoShape">
              <a:avLst/>
            </a:prstTxWarp>
            <a:noAutofit/>
          </a:bodyPr>
          <a:lstStyle/>
          <a:p>
            <a:pPr>
              <a:lnSpc>
                <a:spcPct val="115000"/>
              </a:lnSpc>
              <a:spcBef>
                <a:spcPts val="1200"/>
              </a:spcBef>
              <a:spcAft>
                <a:spcPts val="1000"/>
              </a:spcAft>
            </a:pPr>
            <a:r>
              <a:rPr lang="es-PE" sz="1100">
                <a:solidFill>
                  <a:srgbClr val="FFFFFF"/>
                </a:solidFill>
                <a:effectLst/>
                <a:ea typeface="Calibri"/>
                <a:cs typeface="Times New Roman"/>
              </a:rPr>
              <a:t> </a:t>
            </a:r>
            <a:endParaRPr lang="es-PE" sz="1100">
              <a:effectLst/>
              <a:ea typeface="Calibri"/>
              <a:cs typeface="Times New Roman"/>
            </a:endParaRPr>
          </a:p>
        </xdr:txBody>
      </xdr:sp>
    </xdr:grpSp>
    <xdr:clientData/>
  </xdr:twoCellAnchor>
  <xdr:twoCellAnchor>
    <xdr:from>
      <xdr:col>1</xdr:col>
      <xdr:colOff>1</xdr:colOff>
      <xdr:row>1</xdr:row>
      <xdr:rowOff>0</xdr:rowOff>
    </xdr:from>
    <xdr:to>
      <xdr:col>5</xdr:col>
      <xdr:colOff>352425</xdr:colOff>
      <xdr:row>17</xdr:row>
      <xdr:rowOff>142875</xdr:rowOff>
    </xdr:to>
    <xdr:graphicFrame macro="">
      <xdr:nvGraphicFramePr>
        <xdr:cNvPr id="6" name="Gráfico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19</xdr:row>
      <xdr:rowOff>28575</xdr:rowOff>
    </xdr:from>
    <xdr:to>
      <xdr:col>5</xdr:col>
      <xdr:colOff>323850</xdr:colOff>
      <xdr:row>36</xdr:row>
      <xdr:rowOff>50800</xdr:rowOff>
    </xdr:to>
    <xdr:graphicFrame macro="">
      <xdr:nvGraphicFramePr>
        <xdr:cNvPr id="7" name="Gráfico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38</xdr:row>
      <xdr:rowOff>0</xdr:rowOff>
    </xdr:from>
    <xdr:to>
      <xdr:col>5</xdr:col>
      <xdr:colOff>304799</xdr:colOff>
      <xdr:row>54</xdr:row>
      <xdr:rowOff>127000</xdr:rowOff>
    </xdr:to>
    <xdr:graphicFrame macro="">
      <xdr:nvGraphicFramePr>
        <xdr:cNvPr id="8" name="Gráfico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W63"/>
  <sheetViews>
    <sheetView showGridLines="0" view="pageBreakPreview" zoomScale="68" zoomScaleNormal="100" zoomScaleSheetLayoutView="68" workbookViewId="0">
      <selection activeCell="D63" sqref="D63"/>
    </sheetView>
  </sheetViews>
  <sheetFormatPr baseColWidth="10" defaultColWidth="11.5703125" defaultRowHeight="12.75" x14ac:dyDescent="0.2"/>
  <cols>
    <col min="1" max="1" width="11.5703125" style="6"/>
    <col min="2" max="2" width="3.42578125" style="6" customWidth="1"/>
    <col min="3" max="3" width="13.7109375" style="6" customWidth="1"/>
    <col min="4" max="4" width="15" style="6" customWidth="1"/>
    <col min="5" max="5" width="25.42578125" style="6" customWidth="1"/>
    <col min="6" max="6" width="24" style="6" customWidth="1"/>
    <col min="7" max="7" width="1.7109375" style="6" customWidth="1"/>
    <col min="8" max="11" width="11.42578125" style="6" customWidth="1"/>
    <col min="12" max="16384" width="11.5703125" style="6"/>
  </cols>
  <sheetData>
    <row r="1" spans="3:23" ht="5.25" customHeight="1" x14ac:dyDescent="0.2"/>
    <row r="2" spans="3:23" ht="38.25" customHeight="1" x14ac:dyDescent="0.2">
      <c r="C2" s="108" t="s">
        <v>145</v>
      </c>
      <c r="D2" s="29"/>
      <c r="E2" s="29"/>
      <c r="F2" s="29"/>
      <c r="H2" s="7"/>
      <c r="I2" s="7"/>
      <c r="J2" s="7"/>
      <c r="K2" s="7"/>
    </row>
    <row r="3" spans="3:23" ht="6" customHeight="1" x14ac:dyDescent="0.2">
      <c r="C3" s="29"/>
      <c r="D3" s="29"/>
      <c r="E3" s="29"/>
      <c r="F3" s="29"/>
      <c r="H3" s="7"/>
      <c r="I3" s="7"/>
      <c r="J3" s="7"/>
      <c r="K3" s="7"/>
    </row>
    <row r="4" spans="3:23" ht="37.5" customHeight="1" x14ac:dyDescent="0.2">
      <c r="C4" s="801" t="s">
        <v>315</v>
      </c>
      <c r="D4" s="801"/>
      <c r="E4" s="801"/>
      <c r="F4" s="801"/>
      <c r="H4" s="7"/>
      <c r="I4" s="7"/>
      <c r="J4" s="7"/>
      <c r="K4" s="7"/>
    </row>
    <row r="5" spans="3:23" ht="6" customHeight="1" thickBot="1" x14ac:dyDescent="0.25">
      <c r="C5" s="1"/>
      <c r="D5" s="1"/>
      <c r="E5" s="1"/>
      <c r="F5" s="1"/>
      <c r="H5" s="7"/>
      <c r="I5" s="7"/>
      <c r="J5" s="7"/>
      <c r="K5" s="7"/>
    </row>
    <row r="6" spans="3:23" ht="36" customHeight="1" thickBot="1" x14ac:dyDescent="0.25">
      <c r="C6" s="109" t="s">
        <v>1</v>
      </c>
      <c r="D6" s="109" t="s">
        <v>2</v>
      </c>
      <c r="E6" s="109" t="s">
        <v>176</v>
      </c>
      <c r="F6" s="109" t="s">
        <v>61</v>
      </c>
      <c r="H6" s="7"/>
      <c r="I6" s="7"/>
      <c r="J6" s="7"/>
      <c r="K6" s="7"/>
    </row>
    <row r="7" spans="3:23" ht="9.75" customHeight="1" x14ac:dyDescent="0.2">
      <c r="C7" s="45"/>
      <c r="D7" s="45"/>
      <c r="E7" s="45"/>
      <c r="F7" s="45"/>
      <c r="H7" s="7"/>
      <c r="I7" s="7"/>
      <c r="J7" s="7"/>
      <c r="K7" s="7"/>
    </row>
    <row r="8" spans="3:23" ht="18.75" customHeight="1" x14ac:dyDescent="0.2">
      <c r="C8" s="36">
        <v>2023</v>
      </c>
      <c r="D8" s="110">
        <v>55</v>
      </c>
      <c r="E8" s="111">
        <v>77883</v>
      </c>
      <c r="F8" s="111">
        <v>1462009</v>
      </c>
      <c r="H8" s="7"/>
      <c r="I8" s="7"/>
      <c r="J8" s="7"/>
      <c r="K8" s="7"/>
    </row>
    <row r="9" spans="3:23" ht="20.25" customHeight="1" x14ac:dyDescent="0.2">
      <c r="C9" s="36">
        <v>2024</v>
      </c>
      <c r="D9" s="110">
        <v>63</v>
      </c>
      <c r="E9" s="111">
        <v>76704</v>
      </c>
      <c r="F9" s="111">
        <v>2295516</v>
      </c>
      <c r="H9" s="7"/>
      <c r="I9" s="7"/>
      <c r="J9" s="7"/>
      <c r="K9" s="7"/>
    </row>
    <row r="10" spans="3:23" ht="21.75" customHeight="1" x14ac:dyDescent="0.2">
      <c r="C10" s="27" t="s">
        <v>177</v>
      </c>
      <c r="D10" s="112">
        <f>+(D9-D8)/D8</f>
        <v>0.14545454545454545</v>
      </c>
      <c r="E10" s="113">
        <f>+(E9-E8)/E8</f>
        <v>-1.5138091753014137E-2</v>
      </c>
      <c r="F10" s="113">
        <f>+(F9-F8)/F8</f>
        <v>0.57011071751268294</v>
      </c>
      <c r="H10" s="7"/>
      <c r="I10" s="7"/>
      <c r="J10" s="7"/>
      <c r="K10" s="7"/>
    </row>
    <row r="11" spans="3:23" ht="18.75" customHeight="1" thickBot="1" x14ac:dyDescent="0.25">
      <c r="C11" s="114" t="s">
        <v>316</v>
      </c>
      <c r="D11" s="115"/>
      <c r="E11" s="115"/>
      <c r="F11" s="115"/>
      <c r="H11" s="7"/>
      <c r="I11" s="7"/>
      <c r="J11" s="7"/>
      <c r="K11" s="7"/>
    </row>
    <row r="12" spans="3:23" ht="24" customHeight="1" x14ac:dyDescent="0.2">
      <c r="C12" s="2" t="s">
        <v>178</v>
      </c>
      <c r="D12" s="1"/>
      <c r="E12" s="1"/>
      <c r="F12" s="1"/>
      <c r="H12" s="7"/>
      <c r="I12" s="7"/>
      <c r="J12" s="7"/>
      <c r="K12" s="7"/>
    </row>
    <row r="13" spans="3:23" x14ac:dyDescent="0.2">
      <c r="C13" s="4"/>
      <c r="D13" s="4"/>
      <c r="E13" s="4"/>
      <c r="F13" s="4"/>
      <c r="H13" s="7"/>
      <c r="I13" s="7"/>
      <c r="J13" s="7"/>
      <c r="K13" s="7"/>
    </row>
    <row r="14" spans="3:23" x14ac:dyDescent="0.2">
      <c r="H14" s="7"/>
      <c r="I14" s="7"/>
      <c r="J14" s="7"/>
      <c r="K14" s="7"/>
      <c r="L14" s="711"/>
      <c r="M14" s="711"/>
      <c r="N14" s="711"/>
      <c r="O14" s="711"/>
      <c r="P14" s="711"/>
      <c r="Q14" s="711"/>
      <c r="R14" s="711"/>
      <c r="S14" s="711"/>
      <c r="T14" s="711"/>
      <c r="U14" s="711"/>
      <c r="V14" s="711"/>
      <c r="W14" s="711"/>
    </row>
    <row r="15" spans="3:23" x14ac:dyDescent="0.2">
      <c r="H15" s="7"/>
      <c r="I15" s="7"/>
      <c r="J15" s="7"/>
      <c r="K15" s="7"/>
      <c r="L15" s="711"/>
      <c r="M15" s="711"/>
      <c r="N15" s="711"/>
      <c r="O15" s="711"/>
      <c r="P15" s="711"/>
      <c r="Q15" s="711"/>
      <c r="R15" s="711"/>
      <c r="S15" s="711"/>
      <c r="T15" s="711"/>
      <c r="U15" s="711"/>
      <c r="V15" s="711"/>
      <c r="W15" s="711"/>
    </row>
    <row r="16" spans="3:23" x14ac:dyDescent="0.2">
      <c r="H16" s="7"/>
      <c r="I16" s="7"/>
      <c r="J16" s="7"/>
      <c r="K16" s="7"/>
      <c r="L16" s="711"/>
      <c r="M16" s="711"/>
      <c r="N16" s="711"/>
      <c r="O16" s="711"/>
      <c r="P16" s="711"/>
      <c r="Q16" s="711"/>
      <c r="R16" s="711"/>
      <c r="S16" s="711"/>
      <c r="T16" s="711"/>
      <c r="U16" s="711"/>
      <c r="V16" s="711"/>
      <c r="W16" s="711"/>
    </row>
    <row r="17" spans="8:23" x14ac:dyDescent="0.2">
      <c r="H17" s="7"/>
      <c r="I17" s="7"/>
      <c r="J17" s="7"/>
      <c r="K17" s="7"/>
      <c r="L17" s="711"/>
      <c r="M17" s="711"/>
      <c r="N17" s="711"/>
      <c r="O17" s="711"/>
      <c r="P17" s="711"/>
      <c r="Q17" s="711"/>
      <c r="R17" s="711"/>
      <c r="S17" s="711"/>
      <c r="T17" s="711"/>
      <c r="U17" s="711"/>
      <c r="V17" s="711"/>
      <c r="W17" s="711"/>
    </row>
    <row r="18" spans="8:23" x14ac:dyDescent="0.2">
      <c r="H18" s="7"/>
      <c r="I18" s="7"/>
      <c r="J18" s="7"/>
      <c r="K18" s="7"/>
      <c r="L18" s="711"/>
      <c r="M18" s="711"/>
      <c r="N18" s="711"/>
      <c r="O18" s="711"/>
      <c r="P18" s="711"/>
      <c r="Q18" s="711"/>
      <c r="R18" s="711"/>
      <c r="S18" s="711"/>
      <c r="T18" s="711"/>
      <c r="U18" s="711"/>
      <c r="V18" s="711"/>
      <c r="W18" s="711"/>
    </row>
    <row r="19" spans="8:23" x14ac:dyDescent="0.2">
      <c r="H19" s="7"/>
      <c r="I19" s="7"/>
      <c r="J19" s="7"/>
      <c r="K19" s="7"/>
      <c r="L19" s="711"/>
      <c r="M19" s="711"/>
      <c r="N19" s="711"/>
      <c r="O19" s="711"/>
      <c r="P19" s="711"/>
      <c r="Q19" s="711"/>
      <c r="R19" s="711"/>
      <c r="S19" s="711"/>
      <c r="T19" s="711"/>
      <c r="U19" s="711"/>
      <c r="V19" s="711"/>
      <c r="W19" s="711"/>
    </row>
    <row r="20" spans="8:23" x14ac:dyDescent="0.2">
      <c r="H20" s="7"/>
      <c r="I20" s="7"/>
      <c r="J20" s="7"/>
      <c r="K20" s="7"/>
      <c r="L20" s="711"/>
      <c r="M20" s="711"/>
      <c r="N20" s="711"/>
      <c r="O20" s="711"/>
      <c r="P20" s="711"/>
      <c r="Q20" s="711"/>
      <c r="R20" s="711"/>
      <c r="S20" s="711"/>
      <c r="T20" s="711"/>
      <c r="U20" s="711"/>
      <c r="V20" s="711"/>
      <c r="W20" s="711"/>
    </row>
    <row r="21" spans="8:23" x14ac:dyDescent="0.2">
      <c r="H21" s="7"/>
      <c r="I21" s="7"/>
      <c r="J21" s="7"/>
      <c r="K21" s="7"/>
      <c r="L21" s="711"/>
      <c r="M21" s="711"/>
      <c r="N21" s="711"/>
      <c r="O21" s="711"/>
      <c r="P21" s="711"/>
      <c r="Q21" s="711"/>
      <c r="R21" s="711"/>
      <c r="S21" s="711"/>
      <c r="T21" s="711"/>
      <c r="U21" s="711"/>
      <c r="V21" s="711"/>
      <c r="W21" s="711"/>
    </row>
    <row r="22" spans="8:23" x14ac:dyDescent="0.2">
      <c r="H22" s="7"/>
      <c r="I22" s="7"/>
      <c r="J22" s="7"/>
      <c r="K22" s="7"/>
      <c r="L22" s="711"/>
      <c r="M22" s="711"/>
      <c r="N22" s="711"/>
      <c r="O22" s="711"/>
      <c r="P22" s="711"/>
      <c r="Q22" s="711"/>
      <c r="R22" s="711"/>
      <c r="S22" s="711"/>
      <c r="T22" s="711"/>
      <c r="U22" s="711"/>
      <c r="V22" s="711"/>
      <c r="W22" s="711"/>
    </row>
    <row r="23" spans="8:23" x14ac:dyDescent="0.2">
      <c r="H23" s="7"/>
      <c r="I23" s="7"/>
      <c r="J23" s="7"/>
      <c r="K23" s="7"/>
      <c r="L23" s="711"/>
      <c r="M23" s="711"/>
      <c r="N23" s="711"/>
      <c r="O23" s="711"/>
      <c r="P23" s="711"/>
      <c r="Q23" s="711"/>
      <c r="R23" s="711"/>
      <c r="S23" s="711"/>
      <c r="T23" s="711"/>
      <c r="U23" s="711"/>
      <c r="V23" s="711"/>
      <c r="W23" s="711"/>
    </row>
    <row r="24" spans="8:23" x14ac:dyDescent="0.2">
      <c r="H24" s="7"/>
      <c r="I24" s="7"/>
      <c r="J24" s="7"/>
      <c r="K24" s="7"/>
      <c r="L24" s="711"/>
      <c r="M24" s="711"/>
      <c r="N24" s="711"/>
      <c r="O24" s="711"/>
      <c r="P24" s="711"/>
      <c r="Q24" s="711"/>
      <c r="R24" s="711"/>
      <c r="S24" s="711"/>
      <c r="T24" s="711"/>
      <c r="U24" s="711"/>
      <c r="V24" s="711"/>
      <c r="W24" s="711"/>
    </row>
    <row r="25" spans="8:23" x14ac:dyDescent="0.2">
      <c r="H25" s="7"/>
      <c r="I25" s="7"/>
      <c r="J25" s="7"/>
      <c r="K25" s="7"/>
      <c r="L25" s="711"/>
      <c r="M25" s="712"/>
      <c r="N25" s="711"/>
      <c r="O25" s="711"/>
      <c r="P25" s="711"/>
      <c r="Q25" s="711"/>
      <c r="R25" s="711"/>
      <c r="S25" s="711"/>
      <c r="T25" s="711"/>
      <c r="U25" s="711"/>
      <c r="V25" s="711"/>
      <c r="W25" s="711"/>
    </row>
    <row r="26" spans="8:23" x14ac:dyDescent="0.2">
      <c r="H26" s="7"/>
      <c r="I26" s="7"/>
      <c r="J26" s="7"/>
      <c r="K26" s="7"/>
      <c r="L26" s="711"/>
      <c r="M26" s="711"/>
      <c r="N26" s="711"/>
      <c r="O26" s="711"/>
      <c r="P26" s="711"/>
      <c r="Q26" s="711"/>
      <c r="R26" s="711"/>
      <c r="S26" s="711"/>
      <c r="T26" s="711"/>
      <c r="U26" s="711"/>
      <c r="V26" s="711"/>
      <c r="W26" s="711"/>
    </row>
    <row r="27" spans="8:23" x14ac:dyDescent="0.2">
      <c r="H27" s="7"/>
      <c r="I27" s="7"/>
      <c r="J27" s="7"/>
      <c r="K27" s="7"/>
      <c r="L27" s="711"/>
      <c r="M27" s="711"/>
      <c r="N27" s="711"/>
      <c r="O27" s="711"/>
      <c r="P27" s="711"/>
      <c r="Q27" s="711"/>
      <c r="R27" s="711"/>
      <c r="S27" s="711"/>
      <c r="T27" s="711"/>
      <c r="U27" s="711"/>
      <c r="V27" s="711"/>
      <c r="W27" s="711"/>
    </row>
    <row r="28" spans="8:23" x14ac:dyDescent="0.2">
      <c r="H28" s="7"/>
      <c r="I28" s="7"/>
      <c r="J28" s="7"/>
      <c r="K28" s="7"/>
      <c r="L28" s="711"/>
      <c r="M28" s="711"/>
      <c r="N28" s="711"/>
      <c r="O28" s="711"/>
      <c r="P28" s="711"/>
      <c r="Q28" s="711"/>
      <c r="R28" s="711"/>
      <c r="S28" s="711"/>
      <c r="T28" s="711"/>
      <c r="U28" s="711"/>
      <c r="V28" s="711"/>
      <c r="W28" s="711"/>
    </row>
    <row r="29" spans="8:23" x14ac:dyDescent="0.2">
      <c r="H29" s="7"/>
      <c r="I29" s="7"/>
      <c r="J29" s="7"/>
      <c r="K29" s="7"/>
      <c r="L29" s="711"/>
      <c r="M29" s="711"/>
      <c r="N29" s="711"/>
      <c r="O29" s="711"/>
      <c r="P29" s="711"/>
      <c r="Q29" s="711"/>
      <c r="R29" s="711"/>
      <c r="S29" s="711"/>
      <c r="T29" s="711"/>
      <c r="U29" s="711"/>
      <c r="V29" s="711"/>
      <c r="W29" s="711"/>
    </row>
    <row r="30" spans="8:23" x14ac:dyDescent="0.2">
      <c r="H30" s="7"/>
      <c r="I30" s="7"/>
      <c r="J30" s="7"/>
      <c r="K30" s="7"/>
      <c r="L30" s="711"/>
      <c r="M30" s="711"/>
      <c r="N30" s="711"/>
      <c r="O30" s="711"/>
      <c r="P30" s="711"/>
      <c r="Q30" s="711"/>
      <c r="R30" s="711"/>
      <c r="S30" s="711"/>
      <c r="T30" s="711"/>
      <c r="U30" s="711"/>
      <c r="V30" s="711"/>
      <c r="W30" s="711"/>
    </row>
    <row r="31" spans="8:23" x14ac:dyDescent="0.2">
      <c r="H31" s="7"/>
      <c r="I31" s="7"/>
      <c r="J31" s="7"/>
      <c r="K31" s="7"/>
      <c r="L31" s="711"/>
      <c r="M31" s="711"/>
      <c r="N31" s="711"/>
      <c r="O31" s="711"/>
      <c r="P31" s="711"/>
      <c r="Q31" s="711"/>
      <c r="R31" s="711"/>
      <c r="S31" s="711"/>
      <c r="T31" s="711"/>
      <c r="U31" s="711"/>
      <c r="V31" s="711"/>
      <c r="W31" s="711"/>
    </row>
    <row r="32" spans="8:23" x14ac:dyDescent="0.2">
      <c r="H32" s="7"/>
      <c r="I32" s="7"/>
      <c r="J32" s="7"/>
      <c r="K32" s="7"/>
      <c r="L32" s="711"/>
      <c r="M32" s="711"/>
      <c r="N32" s="711"/>
      <c r="O32" s="711"/>
      <c r="P32" s="711"/>
      <c r="Q32" s="711"/>
      <c r="R32" s="711"/>
      <c r="S32" s="711"/>
      <c r="T32" s="711"/>
      <c r="U32" s="711"/>
      <c r="V32" s="711"/>
      <c r="W32" s="711"/>
    </row>
    <row r="33" spans="8:23" x14ac:dyDescent="0.2">
      <c r="H33" s="7"/>
      <c r="I33" s="7"/>
      <c r="J33" s="7"/>
      <c r="K33" s="7"/>
      <c r="L33" s="711"/>
      <c r="M33" s="711"/>
      <c r="N33" s="711"/>
      <c r="O33" s="711"/>
      <c r="P33" s="711"/>
      <c r="Q33" s="711"/>
      <c r="R33" s="711"/>
      <c r="S33" s="711"/>
      <c r="T33" s="711"/>
      <c r="U33" s="711"/>
      <c r="V33" s="711"/>
      <c r="W33" s="711"/>
    </row>
    <row r="34" spans="8:23" x14ac:dyDescent="0.2">
      <c r="H34" s="7"/>
      <c r="I34" s="7"/>
      <c r="J34" s="7"/>
      <c r="K34" s="7"/>
      <c r="L34" s="711"/>
      <c r="M34" s="711"/>
      <c r="N34" s="711"/>
      <c r="O34" s="711"/>
      <c r="P34" s="711"/>
      <c r="Q34" s="711"/>
      <c r="R34" s="711"/>
      <c r="S34" s="711"/>
      <c r="T34" s="711"/>
      <c r="U34" s="711"/>
      <c r="V34" s="711"/>
      <c r="W34" s="711"/>
    </row>
    <row r="35" spans="8:23" x14ac:dyDescent="0.2">
      <c r="H35" s="7"/>
      <c r="I35" s="7"/>
      <c r="J35" s="7"/>
      <c r="K35" s="7"/>
      <c r="L35" s="711"/>
      <c r="M35" s="711"/>
      <c r="N35" s="711"/>
      <c r="O35" s="711"/>
      <c r="P35" s="711"/>
      <c r="Q35" s="711"/>
      <c r="R35" s="711"/>
      <c r="S35" s="711"/>
      <c r="T35" s="711"/>
      <c r="U35" s="711"/>
      <c r="V35" s="711"/>
      <c r="W35" s="711"/>
    </row>
    <row r="36" spans="8:23" x14ac:dyDescent="0.2">
      <c r="H36" s="7"/>
      <c r="I36" s="7"/>
      <c r="J36" s="7"/>
      <c r="K36" s="7"/>
      <c r="L36" s="711"/>
      <c r="M36" s="711"/>
      <c r="N36" s="711"/>
      <c r="O36" s="711"/>
      <c r="P36" s="711"/>
      <c r="Q36" s="711"/>
      <c r="R36" s="711"/>
      <c r="S36" s="711"/>
      <c r="T36" s="711"/>
      <c r="U36" s="711"/>
      <c r="V36" s="711"/>
      <c r="W36" s="711"/>
    </row>
    <row r="37" spans="8:23" x14ac:dyDescent="0.2">
      <c r="H37" s="7"/>
      <c r="I37" s="7"/>
      <c r="J37" s="7"/>
      <c r="K37" s="7"/>
      <c r="L37" s="711"/>
      <c r="M37" s="711"/>
      <c r="N37" s="711"/>
      <c r="O37" s="711"/>
      <c r="P37" s="711"/>
      <c r="Q37" s="711"/>
      <c r="R37" s="711"/>
      <c r="S37" s="711"/>
      <c r="T37" s="711"/>
      <c r="U37" s="711"/>
      <c r="V37" s="711"/>
      <c r="W37" s="711"/>
    </row>
    <row r="38" spans="8:23" x14ac:dyDescent="0.2">
      <c r="H38" s="7"/>
      <c r="I38" s="7"/>
      <c r="J38" s="7"/>
      <c r="K38" s="7"/>
      <c r="L38" s="711"/>
      <c r="M38" s="711"/>
      <c r="N38" s="711"/>
      <c r="O38" s="711"/>
      <c r="P38" s="711"/>
      <c r="Q38" s="711"/>
      <c r="R38" s="711"/>
      <c r="S38" s="711"/>
      <c r="T38" s="711"/>
      <c r="U38" s="711"/>
      <c r="V38" s="711"/>
      <c r="W38" s="711"/>
    </row>
    <row r="39" spans="8:23" x14ac:dyDescent="0.2">
      <c r="H39" s="7"/>
      <c r="I39" s="7"/>
      <c r="J39" s="7"/>
      <c r="K39" s="7"/>
      <c r="L39" s="711"/>
      <c r="M39" s="711"/>
      <c r="N39" s="711"/>
      <c r="O39" s="711"/>
      <c r="P39" s="711"/>
      <c r="Q39" s="711"/>
      <c r="R39" s="711"/>
      <c r="S39" s="711"/>
      <c r="T39" s="711"/>
      <c r="U39" s="711"/>
      <c r="V39" s="711"/>
      <c r="W39" s="711"/>
    </row>
    <row r="40" spans="8:23" x14ac:dyDescent="0.2">
      <c r="H40" s="7"/>
      <c r="I40" s="7"/>
      <c r="J40" s="7"/>
      <c r="K40" s="7"/>
      <c r="L40" s="711"/>
      <c r="M40" s="711"/>
      <c r="N40" s="711"/>
      <c r="O40" s="711"/>
      <c r="P40" s="711"/>
      <c r="Q40" s="711"/>
      <c r="R40" s="711"/>
      <c r="S40" s="711"/>
      <c r="T40" s="711"/>
      <c r="U40" s="711"/>
      <c r="V40" s="711"/>
      <c r="W40" s="711"/>
    </row>
    <row r="41" spans="8:23" x14ac:dyDescent="0.2">
      <c r="H41" s="7"/>
      <c r="I41" s="7"/>
      <c r="J41" s="7"/>
      <c r="K41" s="7"/>
      <c r="L41" s="711"/>
      <c r="M41" s="711"/>
      <c r="N41" s="711"/>
      <c r="O41" s="711"/>
      <c r="P41" s="711"/>
      <c r="Q41" s="711"/>
      <c r="R41" s="711"/>
      <c r="S41" s="711"/>
      <c r="T41" s="711"/>
      <c r="U41" s="711"/>
      <c r="V41" s="711"/>
      <c r="W41" s="711"/>
    </row>
    <row r="42" spans="8:23" x14ac:dyDescent="0.2">
      <c r="H42" s="7"/>
      <c r="I42" s="7"/>
      <c r="J42" s="7"/>
      <c r="K42" s="7"/>
      <c r="L42" s="711"/>
      <c r="M42" s="711"/>
      <c r="N42" s="711"/>
      <c r="O42" s="711"/>
      <c r="P42" s="711"/>
      <c r="Q42" s="711"/>
      <c r="R42" s="711"/>
      <c r="S42" s="711"/>
      <c r="T42" s="711"/>
      <c r="U42" s="711"/>
      <c r="V42" s="711"/>
      <c r="W42" s="711"/>
    </row>
    <row r="43" spans="8:23" x14ac:dyDescent="0.2">
      <c r="H43" s="7"/>
      <c r="I43" s="7"/>
      <c r="J43" s="7"/>
      <c r="K43" s="7"/>
      <c r="L43" s="711"/>
      <c r="M43" s="711"/>
      <c r="N43" s="711"/>
      <c r="O43" s="711"/>
      <c r="P43" s="711"/>
      <c r="Q43" s="711"/>
      <c r="R43" s="711"/>
      <c r="S43" s="711"/>
      <c r="T43" s="711"/>
      <c r="U43" s="711"/>
      <c r="V43" s="711"/>
      <c r="W43" s="711"/>
    </row>
    <row r="44" spans="8:23" x14ac:dyDescent="0.2">
      <c r="H44" s="7"/>
      <c r="I44" s="7"/>
      <c r="J44" s="7"/>
      <c r="K44" s="7"/>
      <c r="L44" s="711"/>
      <c r="M44" s="711"/>
      <c r="N44" s="711"/>
      <c r="O44" s="711"/>
      <c r="P44" s="711"/>
      <c r="Q44" s="711"/>
      <c r="R44" s="711"/>
      <c r="S44" s="711"/>
      <c r="T44" s="711"/>
      <c r="U44" s="711"/>
      <c r="V44" s="711"/>
      <c r="W44" s="711"/>
    </row>
    <row r="45" spans="8:23" x14ac:dyDescent="0.2">
      <c r="H45" s="7"/>
      <c r="I45" s="7"/>
      <c r="J45" s="7"/>
      <c r="K45" s="7"/>
      <c r="L45" s="711"/>
      <c r="M45" s="711"/>
      <c r="N45" s="711"/>
      <c r="O45" s="711"/>
      <c r="P45" s="711"/>
      <c r="Q45" s="711"/>
      <c r="R45" s="711"/>
      <c r="S45" s="711"/>
      <c r="T45" s="711"/>
      <c r="U45" s="711"/>
      <c r="V45" s="711"/>
      <c r="W45" s="711"/>
    </row>
    <row r="46" spans="8:23" ht="11.25" customHeight="1" x14ac:dyDescent="0.2">
      <c r="H46" s="7"/>
      <c r="I46" s="7"/>
      <c r="J46" s="7"/>
      <c r="K46" s="7"/>
      <c r="L46" s="711"/>
      <c r="M46" s="711"/>
      <c r="N46" s="711"/>
      <c r="O46" s="711"/>
      <c r="P46" s="711"/>
      <c r="Q46" s="711"/>
      <c r="R46" s="711"/>
      <c r="S46" s="711"/>
      <c r="T46" s="711"/>
      <c r="U46" s="711"/>
      <c r="V46" s="711"/>
      <c r="W46" s="711"/>
    </row>
    <row r="47" spans="8:23" x14ac:dyDescent="0.2">
      <c r="H47" s="7"/>
      <c r="I47" s="7"/>
      <c r="J47" s="7"/>
      <c r="K47" s="7"/>
      <c r="L47" s="711"/>
      <c r="M47" s="711"/>
      <c r="N47" s="711"/>
      <c r="O47" s="711"/>
      <c r="P47" s="711"/>
      <c r="Q47" s="711"/>
      <c r="R47" s="711"/>
      <c r="S47" s="711"/>
      <c r="T47" s="711"/>
      <c r="U47" s="711"/>
      <c r="V47" s="711"/>
      <c r="W47" s="711"/>
    </row>
    <row r="48" spans="8:23" x14ac:dyDescent="0.2">
      <c r="H48" s="7"/>
      <c r="I48" s="7"/>
      <c r="J48" s="7"/>
      <c r="K48" s="7"/>
      <c r="L48" s="711"/>
      <c r="M48" s="711"/>
      <c r="N48" s="711"/>
      <c r="O48" s="711"/>
      <c r="P48" s="711"/>
      <c r="Q48" s="711"/>
      <c r="R48" s="711"/>
      <c r="S48" s="711"/>
      <c r="T48" s="711"/>
      <c r="U48" s="711"/>
      <c r="V48" s="711"/>
      <c r="W48" s="711"/>
    </row>
    <row r="49" spans="3:23" x14ac:dyDescent="0.2">
      <c r="H49" s="7"/>
      <c r="I49" s="7"/>
      <c r="J49" s="7"/>
      <c r="K49" s="7"/>
      <c r="L49" s="711"/>
      <c r="M49" s="711"/>
      <c r="N49" s="711"/>
      <c r="O49" s="711"/>
      <c r="P49" s="711"/>
      <c r="Q49" s="711"/>
      <c r="R49" s="711"/>
      <c r="S49" s="711"/>
      <c r="T49" s="711"/>
      <c r="U49" s="711"/>
      <c r="V49" s="711"/>
      <c r="W49" s="711"/>
    </row>
    <row r="50" spans="3:23" x14ac:dyDescent="0.2">
      <c r="H50" s="7"/>
      <c r="I50" s="7"/>
      <c r="J50" s="7"/>
      <c r="K50" s="7"/>
      <c r="L50" s="711"/>
      <c r="M50" s="711"/>
      <c r="N50" s="711"/>
      <c r="O50" s="711"/>
      <c r="P50" s="711"/>
      <c r="Q50" s="711"/>
      <c r="R50" s="711"/>
      <c r="S50" s="711"/>
      <c r="T50" s="711"/>
      <c r="U50" s="711"/>
      <c r="V50" s="711"/>
      <c r="W50" s="711"/>
    </row>
    <row r="51" spans="3:23" x14ac:dyDescent="0.2">
      <c r="H51" s="7"/>
      <c r="I51" s="7"/>
      <c r="J51" s="7"/>
      <c r="K51" s="7"/>
      <c r="L51" s="711"/>
      <c r="M51" s="711"/>
      <c r="N51" s="711"/>
      <c r="O51" s="711"/>
      <c r="P51" s="711"/>
      <c r="Q51" s="711"/>
      <c r="R51" s="711"/>
      <c r="S51" s="711"/>
      <c r="T51" s="711"/>
      <c r="U51" s="711"/>
      <c r="V51" s="711"/>
      <c r="W51" s="711"/>
    </row>
    <row r="52" spans="3:23" x14ac:dyDescent="0.2">
      <c r="H52" s="7"/>
      <c r="I52" s="7"/>
      <c r="J52" s="7"/>
      <c r="K52" s="7"/>
      <c r="L52" s="711"/>
      <c r="M52" s="711"/>
      <c r="N52" s="711"/>
      <c r="O52" s="711"/>
      <c r="P52" s="711"/>
      <c r="Q52" s="711"/>
      <c r="R52" s="711"/>
      <c r="S52" s="711"/>
      <c r="T52" s="711"/>
      <c r="U52" s="711"/>
      <c r="V52" s="711"/>
      <c r="W52" s="711"/>
    </row>
    <row r="53" spans="3:23" x14ac:dyDescent="0.2">
      <c r="H53" s="7"/>
      <c r="I53" s="7"/>
      <c r="J53" s="7"/>
      <c r="K53" s="7"/>
      <c r="L53" s="711"/>
      <c r="M53" s="711"/>
      <c r="N53" s="711"/>
      <c r="O53" s="711"/>
      <c r="P53" s="711"/>
      <c r="Q53" s="711"/>
      <c r="R53" s="711"/>
      <c r="S53" s="711"/>
      <c r="T53" s="711"/>
      <c r="U53" s="711"/>
      <c r="V53" s="711"/>
      <c r="W53" s="711"/>
    </row>
    <row r="54" spans="3:23" x14ac:dyDescent="0.2">
      <c r="H54" s="7"/>
      <c r="I54" s="7"/>
      <c r="J54" s="7"/>
      <c r="K54" s="7"/>
      <c r="L54" s="711"/>
      <c r="M54" s="711"/>
      <c r="N54" s="711"/>
      <c r="O54" s="711"/>
      <c r="P54" s="711"/>
      <c r="Q54" s="711"/>
      <c r="R54" s="711"/>
      <c r="S54" s="711"/>
      <c r="T54" s="711"/>
      <c r="U54" s="711"/>
      <c r="V54" s="711"/>
      <c r="W54" s="711"/>
    </row>
    <row r="55" spans="3:23" x14ac:dyDescent="0.2">
      <c r="H55" s="7"/>
      <c r="I55" s="7"/>
      <c r="J55" s="7"/>
      <c r="K55" s="7"/>
      <c r="L55" s="711"/>
      <c r="M55" s="711"/>
      <c r="N55" s="711"/>
      <c r="O55" s="711"/>
      <c r="P55" s="711"/>
      <c r="Q55" s="711"/>
      <c r="R55" s="711"/>
      <c r="S55" s="711"/>
      <c r="T55" s="711"/>
      <c r="U55" s="711"/>
      <c r="V55" s="711"/>
      <c r="W55" s="711"/>
    </row>
    <row r="56" spans="3:23" x14ac:dyDescent="0.2">
      <c r="H56" s="7"/>
      <c r="I56" s="7"/>
      <c r="J56" s="7"/>
      <c r="K56" s="7"/>
      <c r="L56" s="711"/>
      <c r="M56" s="711"/>
      <c r="N56" s="711"/>
      <c r="O56" s="711"/>
      <c r="P56" s="711"/>
      <c r="Q56" s="711"/>
      <c r="R56" s="711"/>
      <c r="S56" s="711"/>
      <c r="T56" s="711"/>
      <c r="U56" s="711"/>
      <c r="V56" s="711"/>
      <c r="W56" s="711"/>
    </row>
    <row r="57" spans="3:23" x14ac:dyDescent="0.2">
      <c r="H57" s="7"/>
      <c r="I57" s="7"/>
      <c r="J57" s="7"/>
      <c r="K57" s="7"/>
      <c r="L57" s="711"/>
      <c r="M57" s="711"/>
      <c r="N57" s="711"/>
      <c r="O57" s="711"/>
      <c r="P57" s="711"/>
      <c r="Q57" s="711"/>
      <c r="R57" s="711"/>
      <c r="S57" s="711"/>
      <c r="T57" s="711"/>
      <c r="U57" s="711"/>
      <c r="V57" s="711"/>
      <c r="W57" s="711"/>
    </row>
    <row r="58" spans="3:23" x14ac:dyDescent="0.2">
      <c r="H58" s="7"/>
      <c r="I58" s="7"/>
      <c r="J58" s="7"/>
      <c r="K58" s="7"/>
      <c r="L58" s="711"/>
      <c r="M58" s="711"/>
      <c r="N58" s="711"/>
      <c r="O58" s="711"/>
      <c r="P58" s="711"/>
      <c r="Q58" s="711"/>
      <c r="R58" s="711"/>
      <c r="S58" s="711"/>
      <c r="T58" s="711"/>
      <c r="U58" s="711"/>
      <c r="V58" s="711"/>
      <c r="W58" s="711"/>
    </row>
    <row r="59" spans="3:23" ht="21" customHeight="1" x14ac:dyDescent="0.2">
      <c r="C59" s="5" t="s">
        <v>178</v>
      </c>
      <c r="E59" s="49"/>
      <c r="L59" s="711"/>
      <c r="M59" s="711"/>
      <c r="N59" s="711"/>
      <c r="O59" s="711"/>
      <c r="P59" s="711"/>
      <c r="Q59" s="711"/>
      <c r="R59" s="711"/>
      <c r="S59" s="711"/>
      <c r="T59" s="711"/>
      <c r="U59" s="711"/>
      <c r="V59" s="711"/>
      <c r="W59" s="711"/>
    </row>
    <row r="60" spans="3:23" x14ac:dyDescent="0.2">
      <c r="L60" s="711"/>
      <c r="M60" s="711"/>
      <c r="N60" s="711"/>
      <c r="O60" s="711"/>
      <c r="P60" s="711"/>
      <c r="Q60" s="711"/>
      <c r="R60" s="711"/>
      <c r="S60" s="711"/>
      <c r="T60" s="711"/>
      <c r="U60" s="711"/>
      <c r="V60" s="711"/>
      <c r="W60" s="711"/>
    </row>
    <row r="61" spans="3:23" x14ac:dyDescent="0.2">
      <c r="L61" s="711"/>
      <c r="M61" s="711"/>
      <c r="N61" s="711"/>
      <c r="O61" s="711"/>
      <c r="P61" s="711"/>
      <c r="Q61" s="711"/>
      <c r="R61" s="711"/>
      <c r="S61" s="711"/>
      <c r="T61" s="711"/>
      <c r="U61" s="711"/>
      <c r="V61" s="711"/>
      <c r="W61" s="711"/>
    </row>
    <row r="62" spans="3:23" x14ac:dyDescent="0.2">
      <c r="L62" s="711"/>
      <c r="M62" s="711"/>
      <c r="N62" s="711"/>
      <c r="O62" s="711"/>
      <c r="P62" s="711"/>
      <c r="Q62" s="711"/>
      <c r="R62" s="711"/>
      <c r="S62" s="711"/>
      <c r="T62" s="711"/>
      <c r="U62" s="711"/>
      <c r="V62" s="711"/>
      <c r="W62" s="711"/>
    </row>
    <row r="63" spans="3:23" x14ac:dyDescent="0.2">
      <c r="L63" s="711"/>
      <c r="M63" s="711"/>
      <c r="N63" s="711"/>
      <c r="O63" s="711"/>
      <c r="P63" s="711"/>
      <c r="Q63" s="711"/>
      <c r="R63" s="711"/>
      <c r="S63" s="711"/>
      <c r="T63" s="711"/>
      <c r="U63" s="711"/>
      <c r="V63" s="711"/>
      <c r="W63" s="711"/>
    </row>
  </sheetData>
  <mergeCells count="1">
    <mergeCell ref="C4:F4"/>
  </mergeCells>
  <printOptions horizontalCentered="1" verticalCentered="1"/>
  <pageMargins left="0" right="0" top="0" bottom="0" header="0" footer="0"/>
  <pageSetup paperSize="9" scale="8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AD56"/>
  <sheetViews>
    <sheetView showGridLines="0" view="pageBreakPreview" topLeftCell="A7" zoomScale="85" zoomScaleNormal="71" zoomScaleSheetLayoutView="85" workbookViewId="0">
      <selection activeCell="S4" sqref="S4"/>
    </sheetView>
  </sheetViews>
  <sheetFormatPr baseColWidth="10" defaultColWidth="11.42578125" defaultRowHeight="12.75" customHeight="1" x14ac:dyDescent="0.2"/>
  <cols>
    <col min="1" max="1" width="2.7109375" style="1" customWidth="1"/>
    <col min="2" max="3" width="12.7109375" style="1" customWidth="1"/>
    <col min="4" max="4" width="3.7109375" style="1" customWidth="1"/>
    <col min="5" max="5" width="16.7109375" style="1" customWidth="1"/>
    <col min="6" max="6" width="3.7109375" style="1" customWidth="1"/>
    <col min="7" max="7" width="20.7109375" style="1" customWidth="1"/>
    <col min="8" max="9" width="3.7109375" style="1" customWidth="1"/>
    <col min="10" max="10" width="12.5703125" style="1" customWidth="1"/>
    <col min="11" max="11" width="12.7109375" style="1" customWidth="1"/>
    <col min="12" max="12" width="3.7109375" style="1" customWidth="1"/>
    <col min="13" max="13" width="16.7109375" style="1" customWidth="1"/>
    <col min="14" max="14" width="3.7109375" style="1" customWidth="1"/>
    <col min="15" max="15" width="20.7109375" style="1" customWidth="1"/>
    <col min="16" max="16" width="3.7109375" style="1" customWidth="1"/>
    <col min="17" max="17" width="1.7109375" style="1" customWidth="1"/>
    <col min="18" max="23" width="11.42578125" style="1"/>
    <col min="24" max="24" width="10.7109375" style="1" customWidth="1"/>
    <col min="25" max="25" width="12.85546875" style="1" bestFit="1" customWidth="1"/>
    <col min="26" max="16384" width="11.42578125" style="1"/>
  </cols>
  <sheetData>
    <row r="1" spans="2:30" ht="19.5" customHeight="1" x14ac:dyDescent="0.2">
      <c r="B1" s="803" t="s">
        <v>0</v>
      </c>
      <c r="C1" s="803"/>
      <c r="D1" s="803"/>
      <c r="E1" s="803"/>
      <c r="F1" s="803"/>
      <c r="G1" s="803"/>
      <c r="H1" s="803"/>
      <c r="I1" s="803"/>
      <c r="J1" s="803"/>
      <c r="K1" s="803"/>
      <c r="L1" s="803"/>
      <c r="M1" s="803"/>
      <c r="N1" s="803"/>
      <c r="O1" s="803"/>
      <c r="P1" s="803"/>
    </row>
    <row r="2" spans="2:30" ht="21" customHeight="1" x14ac:dyDescent="0.2">
      <c r="B2" s="805" t="s">
        <v>145</v>
      </c>
      <c r="C2" s="805"/>
      <c r="D2" s="805"/>
      <c r="E2" s="805"/>
      <c r="F2" s="805"/>
      <c r="G2" s="805"/>
      <c r="H2" s="805"/>
      <c r="I2" s="32"/>
    </row>
    <row r="3" spans="2:30" ht="33" customHeight="1" x14ac:dyDescent="0.2">
      <c r="B3" s="804" t="s">
        <v>158</v>
      </c>
      <c r="C3" s="804"/>
      <c r="D3" s="804"/>
      <c r="E3" s="804"/>
      <c r="F3" s="804"/>
      <c r="G3" s="804"/>
      <c r="H3" s="804"/>
      <c r="I3" s="804"/>
      <c r="J3" s="804"/>
      <c r="K3" s="804"/>
      <c r="L3" s="804"/>
      <c r="M3" s="804"/>
      <c r="N3" s="804"/>
      <c r="O3" s="804"/>
      <c r="P3" s="804"/>
    </row>
    <row r="4" spans="2:30" ht="23.25" customHeight="1" x14ac:dyDescent="0.2">
      <c r="B4" s="803" t="s">
        <v>314</v>
      </c>
      <c r="C4" s="803"/>
      <c r="D4" s="803"/>
      <c r="E4" s="803"/>
      <c r="F4" s="803"/>
      <c r="G4" s="803"/>
      <c r="H4" s="803"/>
      <c r="I4" s="803"/>
      <c r="J4" s="803"/>
      <c r="K4" s="803"/>
      <c r="L4" s="803"/>
      <c r="M4" s="803"/>
      <c r="N4" s="803"/>
      <c r="O4" s="803"/>
      <c r="P4" s="803"/>
    </row>
    <row r="5" spans="2:30" ht="51.75" customHeight="1" x14ac:dyDescent="0.2">
      <c r="B5" s="255" t="s">
        <v>1</v>
      </c>
      <c r="C5" s="806" t="s">
        <v>2</v>
      </c>
      <c r="D5" s="806"/>
      <c r="E5" s="807" t="s">
        <v>80</v>
      </c>
      <c r="F5" s="807"/>
      <c r="G5" s="808" t="s">
        <v>61</v>
      </c>
      <c r="H5" s="808"/>
      <c r="I5" s="256"/>
      <c r="J5" s="255" t="s">
        <v>1</v>
      </c>
      <c r="K5" s="806" t="s">
        <v>2</v>
      </c>
      <c r="L5" s="806"/>
      <c r="M5" s="807" t="s">
        <v>80</v>
      </c>
      <c r="N5" s="807"/>
      <c r="O5" s="808" t="s">
        <v>61</v>
      </c>
      <c r="P5" s="808"/>
      <c r="T5" s="249"/>
      <c r="U5" s="249"/>
      <c r="V5" s="249"/>
      <c r="W5" s="249"/>
      <c r="X5" s="249"/>
      <c r="Y5" s="249"/>
      <c r="Z5" s="249"/>
      <c r="AA5" s="249"/>
      <c r="AB5" s="249"/>
      <c r="AC5" s="249"/>
      <c r="AD5" s="249"/>
    </row>
    <row r="6" spans="2:30" ht="17.45" customHeight="1" x14ac:dyDescent="0.2">
      <c r="B6" s="412"/>
      <c r="C6" s="257"/>
      <c r="D6" s="257"/>
      <c r="E6" s="258"/>
      <c r="F6" s="258"/>
      <c r="G6" s="258"/>
      <c r="H6" s="258"/>
      <c r="I6" s="259"/>
      <c r="J6" s="412"/>
      <c r="K6" s="257"/>
      <c r="L6" s="257"/>
      <c r="M6" s="258"/>
      <c r="N6" s="258"/>
      <c r="O6" s="258"/>
      <c r="P6" s="258"/>
      <c r="T6" s="249"/>
      <c r="U6" s="249"/>
      <c r="V6" s="249"/>
      <c r="W6" s="249"/>
      <c r="X6" s="249"/>
      <c r="Y6" s="249"/>
      <c r="Z6" s="249"/>
      <c r="AA6" s="249"/>
      <c r="AB6" s="249"/>
      <c r="AC6" s="249"/>
      <c r="AD6" s="249"/>
    </row>
    <row r="7" spans="2:30" s="35" customFormat="1" ht="25.15" customHeight="1" x14ac:dyDescent="0.2">
      <c r="B7" s="413">
        <v>1965</v>
      </c>
      <c r="C7" s="33">
        <v>397</v>
      </c>
      <c r="D7" s="34"/>
      <c r="E7" s="33">
        <v>135582</v>
      </c>
      <c r="F7" s="556"/>
      <c r="G7" s="33">
        <v>6420619</v>
      </c>
      <c r="H7" s="260"/>
      <c r="I7" s="259"/>
      <c r="J7" s="414">
        <v>1995</v>
      </c>
      <c r="K7" s="33">
        <v>102</v>
      </c>
      <c r="L7" s="33"/>
      <c r="M7" s="33">
        <v>28182</v>
      </c>
      <c r="N7" s="33"/>
      <c r="O7" s="33">
        <v>1048753</v>
      </c>
      <c r="T7" s="743"/>
      <c r="U7" s="245" t="s">
        <v>1</v>
      </c>
      <c r="V7" s="245" t="s">
        <v>2</v>
      </c>
      <c r="W7" s="245"/>
      <c r="X7" s="245" t="s">
        <v>1</v>
      </c>
      <c r="Y7" s="245" t="s">
        <v>15</v>
      </c>
      <c r="Z7" s="245"/>
      <c r="AA7" s="245" t="s">
        <v>1</v>
      </c>
      <c r="AB7" s="245" t="s">
        <v>16</v>
      </c>
      <c r="AC7" s="245"/>
      <c r="AD7" s="743"/>
    </row>
    <row r="8" spans="2:30" s="35" customFormat="1" ht="25.15" customHeight="1" x14ac:dyDescent="0.2">
      <c r="B8" s="413">
        <v>1966</v>
      </c>
      <c r="C8" s="33">
        <v>394</v>
      </c>
      <c r="D8" s="34"/>
      <c r="E8" s="33">
        <v>121232</v>
      </c>
      <c r="F8" s="556"/>
      <c r="G8" s="33">
        <v>11688696</v>
      </c>
      <c r="H8" s="260"/>
      <c r="I8" s="259"/>
      <c r="J8" s="414">
        <v>1996</v>
      </c>
      <c r="K8" s="33">
        <v>77</v>
      </c>
      <c r="L8" s="33"/>
      <c r="M8" s="33">
        <v>36242</v>
      </c>
      <c r="N8" s="33"/>
      <c r="O8" s="33">
        <v>1399886</v>
      </c>
      <c r="P8" s="258"/>
      <c r="T8" s="743"/>
      <c r="U8" s="744">
        <v>2002</v>
      </c>
      <c r="V8" s="745">
        <v>64</v>
      </c>
      <c r="W8" s="245"/>
      <c r="X8" s="744">
        <v>2002</v>
      </c>
      <c r="Y8" s="746">
        <f>22925/1000</f>
        <v>22.925000000000001</v>
      </c>
      <c r="Z8" s="245"/>
      <c r="AA8" s="744">
        <v>2002</v>
      </c>
      <c r="AB8" s="745">
        <f>912648/1000</f>
        <v>912.64800000000002</v>
      </c>
      <c r="AC8" s="245"/>
      <c r="AD8" s="743"/>
    </row>
    <row r="9" spans="2:30" s="35" customFormat="1" ht="25.15" customHeight="1" x14ac:dyDescent="0.2">
      <c r="B9" s="413">
        <v>1967</v>
      </c>
      <c r="C9" s="33">
        <v>414</v>
      </c>
      <c r="D9" s="34"/>
      <c r="E9" s="33">
        <v>142282</v>
      </c>
      <c r="F9" s="556"/>
      <c r="G9" s="33">
        <v>8372772</v>
      </c>
      <c r="H9" s="260"/>
      <c r="I9" s="259"/>
      <c r="J9" s="414">
        <v>1997</v>
      </c>
      <c r="K9" s="33">
        <v>66</v>
      </c>
      <c r="L9" s="33"/>
      <c r="M9" s="33">
        <v>19196</v>
      </c>
      <c r="N9" s="33"/>
      <c r="O9" s="33">
        <v>319414</v>
      </c>
      <c r="P9" s="258"/>
      <c r="T9" s="743"/>
      <c r="U9" s="744">
        <v>2003</v>
      </c>
      <c r="V9" s="745">
        <v>68</v>
      </c>
      <c r="W9" s="245"/>
      <c r="X9" s="744">
        <v>2003</v>
      </c>
      <c r="Y9" s="746">
        <f>37323/1000</f>
        <v>37.323</v>
      </c>
      <c r="Z9" s="245"/>
      <c r="AA9" s="744">
        <v>2003</v>
      </c>
      <c r="AB9" s="745">
        <f>881362/1000</f>
        <v>881.36199999999997</v>
      </c>
      <c r="AC9" s="245"/>
      <c r="AD9" s="743"/>
    </row>
    <row r="10" spans="2:30" s="35" customFormat="1" ht="25.15" customHeight="1" x14ac:dyDescent="0.2">
      <c r="B10" s="413">
        <v>1968</v>
      </c>
      <c r="C10" s="33">
        <v>364</v>
      </c>
      <c r="D10" s="34"/>
      <c r="E10" s="33">
        <v>107809</v>
      </c>
      <c r="F10" s="556"/>
      <c r="G10" s="33">
        <v>3377801</v>
      </c>
      <c r="H10" s="260"/>
      <c r="I10" s="259"/>
      <c r="J10" s="414">
        <v>1998</v>
      </c>
      <c r="K10" s="33">
        <v>58</v>
      </c>
      <c r="L10" s="33"/>
      <c r="M10" s="33">
        <v>17333</v>
      </c>
      <c r="N10" s="33"/>
      <c r="O10" s="33">
        <v>323168</v>
      </c>
      <c r="P10" s="258"/>
      <c r="T10" s="743"/>
      <c r="U10" s="744">
        <v>2004</v>
      </c>
      <c r="V10" s="745">
        <v>107</v>
      </c>
      <c r="W10" s="245"/>
      <c r="X10" s="744">
        <v>2004</v>
      </c>
      <c r="Y10" s="746">
        <v>29.273</v>
      </c>
      <c r="Z10" s="245"/>
      <c r="AA10" s="744">
        <v>2004</v>
      </c>
      <c r="AB10" s="745">
        <f>582328/1000</f>
        <v>582.32799999999997</v>
      </c>
      <c r="AC10" s="245"/>
      <c r="AD10" s="743"/>
    </row>
    <row r="11" spans="2:30" ht="25.15" customHeight="1" x14ac:dyDescent="0.2">
      <c r="B11" s="413">
        <v>1969</v>
      </c>
      <c r="C11" s="33">
        <v>372</v>
      </c>
      <c r="D11" s="34"/>
      <c r="E11" s="33">
        <v>91531</v>
      </c>
      <c r="F11" s="556"/>
      <c r="G11" s="33">
        <v>3889300</v>
      </c>
      <c r="H11" s="260"/>
      <c r="I11" s="259"/>
      <c r="J11" s="414">
        <v>1999</v>
      </c>
      <c r="K11" s="33">
        <v>71</v>
      </c>
      <c r="L11" s="33"/>
      <c r="M11" s="33">
        <v>52080</v>
      </c>
      <c r="N11" s="33"/>
      <c r="O11" s="33">
        <v>724260</v>
      </c>
      <c r="P11" s="33"/>
      <c r="T11" s="249"/>
      <c r="U11" s="744">
        <v>2005</v>
      </c>
      <c r="V11" s="745">
        <v>65</v>
      </c>
      <c r="W11" s="245"/>
      <c r="X11" s="744">
        <v>2005</v>
      </c>
      <c r="Y11" s="746">
        <v>19.021999999999998</v>
      </c>
      <c r="Z11" s="245"/>
      <c r="AA11" s="744">
        <v>2005</v>
      </c>
      <c r="AB11" s="745">
        <f>478738/1000</f>
        <v>478.738</v>
      </c>
      <c r="AC11" s="245"/>
      <c r="AD11" s="249"/>
    </row>
    <row r="12" spans="2:30" ht="25.15" customHeight="1" x14ac:dyDescent="0.2">
      <c r="B12" s="414">
        <v>1970</v>
      </c>
      <c r="C12" s="33">
        <v>345</v>
      </c>
      <c r="D12" s="33"/>
      <c r="E12" s="33">
        <v>110990</v>
      </c>
      <c r="F12" s="33"/>
      <c r="G12" s="33">
        <v>5781854</v>
      </c>
      <c r="H12" s="33"/>
      <c r="I12" s="261"/>
      <c r="J12" s="414">
        <v>2000</v>
      </c>
      <c r="K12" s="33">
        <v>37</v>
      </c>
      <c r="L12" s="33"/>
      <c r="M12" s="33">
        <v>5280</v>
      </c>
      <c r="N12" s="33"/>
      <c r="O12" s="33">
        <v>181691</v>
      </c>
      <c r="P12" s="33"/>
      <c r="T12" s="249"/>
      <c r="U12" s="744">
        <v>2006</v>
      </c>
      <c r="V12" s="745">
        <v>67</v>
      </c>
      <c r="W12" s="245"/>
      <c r="X12" s="744">
        <v>2006</v>
      </c>
      <c r="Y12" s="746">
        <v>19.565000000000001</v>
      </c>
      <c r="Z12" s="245"/>
      <c r="AA12" s="744">
        <v>2006</v>
      </c>
      <c r="AB12" s="745">
        <f>446584/1000</f>
        <v>446.584</v>
      </c>
      <c r="AC12" s="245"/>
      <c r="AD12" s="249"/>
    </row>
    <row r="13" spans="2:30" ht="25.15" customHeight="1" x14ac:dyDescent="0.2">
      <c r="B13" s="414">
        <v>1971</v>
      </c>
      <c r="C13" s="33">
        <v>377</v>
      </c>
      <c r="D13" s="33"/>
      <c r="E13" s="33">
        <v>161415</v>
      </c>
      <c r="F13" s="33"/>
      <c r="G13" s="33">
        <v>10881952</v>
      </c>
      <c r="H13" s="33"/>
      <c r="I13" s="261"/>
      <c r="J13" s="414">
        <v>2001</v>
      </c>
      <c r="K13" s="33">
        <v>40</v>
      </c>
      <c r="L13" s="33"/>
      <c r="M13" s="33">
        <v>11050</v>
      </c>
      <c r="N13" s="33"/>
      <c r="O13" s="33">
        <v>488930</v>
      </c>
      <c r="P13" s="33"/>
      <c r="T13" s="249"/>
      <c r="U13" s="744">
        <v>2007</v>
      </c>
      <c r="V13" s="745">
        <v>73</v>
      </c>
      <c r="W13" s="245"/>
      <c r="X13" s="744">
        <v>2007</v>
      </c>
      <c r="Y13" s="746">
        <f>48096/1000</f>
        <v>48.095999999999997</v>
      </c>
      <c r="Z13" s="245"/>
      <c r="AA13" s="744">
        <v>2007</v>
      </c>
      <c r="AB13" s="745">
        <f>2216520/1000</f>
        <v>2216.52</v>
      </c>
      <c r="AC13" s="245"/>
      <c r="AD13" s="249"/>
    </row>
    <row r="14" spans="2:30" ht="25.15" customHeight="1" x14ac:dyDescent="0.2">
      <c r="B14" s="414">
        <v>1972</v>
      </c>
      <c r="C14" s="33">
        <v>409</v>
      </c>
      <c r="D14" s="33"/>
      <c r="E14" s="33">
        <v>130643</v>
      </c>
      <c r="F14" s="33"/>
      <c r="G14" s="33">
        <v>6331012</v>
      </c>
      <c r="H14" s="33"/>
      <c r="I14" s="261"/>
      <c r="J14" s="414">
        <v>2002</v>
      </c>
      <c r="K14" s="33">
        <v>64</v>
      </c>
      <c r="L14" s="33"/>
      <c r="M14" s="33">
        <v>22925</v>
      </c>
      <c r="N14" s="33"/>
      <c r="O14" s="33">
        <v>912648</v>
      </c>
      <c r="P14" s="33"/>
      <c r="T14" s="249"/>
      <c r="U14" s="744">
        <v>2008</v>
      </c>
      <c r="V14" s="745">
        <v>63</v>
      </c>
      <c r="W14" s="245"/>
      <c r="X14" s="744">
        <v>2008</v>
      </c>
      <c r="Y14" s="745">
        <f>34011/1000</f>
        <v>34.011000000000003</v>
      </c>
      <c r="Z14" s="245"/>
      <c r="AA14" s="744">
        <v>2008</v>
      </c>
      <c r="AB14" s="745">
        <f>1520960/1000</f>
        <v>1520.96</v>
      </c>
      <c r="AC14" s="245"/>
      <c r="AD14" s="249"/>
    </row>
    <row r="15" spans="2:30" ht="25.15" customHeight="1" x14ac:dyDescent="0.2">
      <c r="B15" s="414">
        <v>1973</v>
      </c>
      <c r="C15" s="33">
        <v>788</v>
      </c>
      <c r="D15" s="33"/>
      <c r="E15" s="33">
        <v>416251</v>
      </c>
      <c r="F15" s="33"/>
      <c r="G15" s="33">
        <v>15688686</v>
      </c>
      <c r="H15" s="33"/>
      <c r="I15" s="261"/>
      <c r="J15" s="414">
        <v>2003</v>
      </c>
      <c r="K15" s="33">
        <v>68</v>
      </c>
      <c r="L15" s="33"/>
      <c r="M15" s="33">
        <v>37323</v>
      </c>
      <c r="N15" s="33"/>
      <c r="O15" s="33">
        <v>881362</v>
      </c>
      <c r="P15" s="33"/>
      <c r="T15" s="249"/>
      <c r="U15" s="744">
        <v>2009</v>
      </c>
      <c r="V15" s="745">
        <v>99</v>
      </c>
      <c r="W15" s="245"/>
      <c r="X15" s="744">
        <v>2009</v>
      </c>
      <c r="Y15" s="745">
        <f>36114/1000</f>
        <v>36.113999999999997</v>
      </c>
      <c r="Z15" s="245"/>
      <c r="AA15" s="744">
        <v>2009</v>
      </c>
      <c r="AB15" s="745">
        <f>1452466/1000</f>
        <v>1452.4659999999999</v>
      </c>
      <c r="AC15" s="245"/>
      <c r="AD15" s="249"/>
    </row>
    <row r="16" spans="2:30" ht="25.15" customHeight="1" x14ac:dyDescent="0.2">
      <c r="B16" s="414">
        <v>1974</v>
      </c>
      <c r="C16" s="33">
        <v>570</v>
      </c>
      <c r="D16" s="33"/>
      <c r="E16" s="33">
        <v>362737</v>
      </c>
      <c r="F16" s="33"/>
      <c r="G16" s="33">
        <v>13413036</v>
      </c>
      <c r="H16" s="33"/>
      <c r="I16" s="261"/>
      <c r="J16" s="414">
        <v>2004</v>
      </c>
      <c r="K16" s="33">
        <v>107</v>
      </c>
      <c r="L16" s="33"/>
      <c r="M16" s="33">
        <v>29273</v>
      </c>
      <c r="N16" s="33"/>
      <c r="O16" s="33">
        <v>582328</v>
      </c>
      <c r="P16" s="33"/>
      <c r="T16" s="249"/>
      <c r="U16" s="744">
        <v>2010</v>
      </c>
      <c r="V16" s="745">
        <v>83</v>
      </c>
      <c r="W16" s="245"/>
      <c r="X16" s="744">
        <v>2010</v>
      </c>
      <c r="Y16" s="745">
        <v>30.606000000000002</v>
      </c>
      <c r="Z16" s="245"/>
      <c r="AA16" s="744">
        <v>2010</v>
      </c>
      <c r="AB16" s="745">
        <f>1279380/1000</f>
        <v>1279.3800000000001</v>
      </c>
      <c r="AC16" s="245"/>
      <c r="AD16" s="249"/>
    </row>
    <row r="17" spans="2:30" ht="25.15" customHeight="1" x14ac:dyDescent="0.2">
      <c r="B17" s="414">
        <v>1975</v>
      </c>
      <c r="C17" s="33">
        <v>779</v>
      </c>
      <c r="D17" s="33"/>
      <c r="E17" s="33">
        <v>617120</v>
      </c>
      <c r="F17" s="33"/>
      <c r="G17" s="33">
        <v>20269428</v>
      </c>
      <c r="H17" s="33"/>
      <c r="I17" s="261"/>
      <c r="J17" s="414">
        <v>2005</v>
      </c>
      <c r="K17" s="33">
        <v>65</v>
      </c>
      <c r="L17" s="33"/>
      <c r="M17" s="33">
        <v>19022</v>
      </c>
      <c r="N17" s="33"/>
      <c r="O17" s="33">
        <v>478738</v>
      </c>
      <c r="P17" s="33"/>
      <c r="T17" s="249"/>
      <c r="U17" s="744">
        <v>2011</v>
      </c>
      <c r="V17" s="745">
        <v>84</v>
      </c>
      <c r="W17" s="245"/>
      <c r="X17" s="744">
        <v>2011</v>
      </c>
      <c r="Y17" s="746">
        <v>26.77</v>
      </c>
      <c r="Z17" s="245"/>
      <c r="AA17" s="744">
        <v>2011</v>
      </c>
      <c r="AB17" s="745">
        <f>1799416/1000</f>
        <v>1799.4159999999999</v>
      </c>
      <c r="AC17" s="245"/>
      <c r="AD17" s="249"/>
    </row>
    <row r="18" spans="2:30" ht="25.15" customHeight="1" x14ac:dyDescent="0.2">
      <c r="B18" s="414">
        <v>1976</v>
      </c>
      <c r="C18" s="33">
        <v>440</v>
      </c>
      <c r="D18" s="33"/>
      <c r="E18" s="33">
        <v>258101</v>
      </c>
      <c r="F18" s="33"/>
      <c r="G18" s="33">
        <v>6822220</v>
      </c>
      <c r="H18" s="33"/>
      <c r="I18" s="261"/>
      <c r="J18" s="414">
        <v>2006</v>
      </c>
      <c r="K18" s="33">
        <v>67</v>
      </c>
      <c r="L18" s="33"/>
      <c r="M18" s="33">
        <v>19565</v>
      </c>
      <c r="N18" s="33"/>
      <c r="O18" s="33">
        <v>446584</v>
      </c>
      <c r="P18" s="33"/>
      <c r="T18" s="249"/>
      <c r="U18" s="744">
        <v>2012</v>
      </c>
      <c r="V18" s="745">
        <v>89</v>
      </c>
      <c r="W18" s="245"/>
      <c r="X18" s="744">
        <v>2012</v>
      </c>
      <c r="Y18" s="746">
        <v>25.844999999999999</v>
      </c>
      <c r="Z18" s="245"/>
      <c r="AA18" s="744">
        <v>2012</v>
      </c>
      <c r="AB18" s="745">
        <f>1878696/1000</f>
        <v>1878.6959999999999</v>
      </c>
      <c r="AC18" s="245"/>
      <c r="AD18" s="249"/>
    </row>
    <row r="19" spans="2:30" ht="25.15" customHeight="1" x14ac:dyDescent="0.2">
      <c r="B19" s="414">
        <v>1977</v>
      </c>
      <c r="C19" s="33">
        <v>234</v>
      </c>
      <c r="D19" s="33"/>
      <c r="E19" s="33">
        <v>406461</v>
      </c>
      <c r="F19" s="33"/>
      <c r="G19" s="33">
        <v>6543350</v>
      </c>
      <c r="H19" s="33"/>
      <c r="I19" s="261"/>
      <c r="J19" s="414">
        <v>2007</v>
      </c>
      <c r="K19" s="33">
        <v>73</v>
      </c>
      <c r="L19" s="33"/>
      <c r="M19" s="33">
        <v>48096</v>
      </c>
      <c r="N19" s="33"/>
      <c r="O19" s="33">
        <v>2216520</v>
      </c>
      <c r="P19" s="33"/>
      <c r="T19" s="249"/>
      <c r="U19" s="744">
        <v>2013</v>
      </c>
      <c r="V19" s="745">
        <v>94</v>
      </c>
      <c r="W19" s="245"/>
      <c r="X19" s="744">
        <v>2013</v>
      </c>
      <c r="Y19" s="746">
        <v>26.736000000000001</v>
      </c>
      <c r="Z19" s="245"/>
      <c r="AA19" s="744">
        <v>2013</v>
      </c>
      <c r="AB19" s="745">
        <f>1573202/1000</f>
        <v>1573.202</v>
      </c>
      <c r="AC19" s="245"/>
      <c r="AD19" s="249"/>
    </row>
    <row r="20" spans="2:30" ht="25.15" customHeight="1" x14ac:dyDescent="0.2">
      <c r="B20" s="414">
        <v>1978</v>
      </c>
      <c r="C20" s="33">
        <v>364</v>
      </c>
      <c r="D20" s="33"/>
      <c r="E20" s="33">
        <v>1398387</v>
      </c>
      <c r="F20" s="33"/>
      <c r="G20" s="33">
        <v>36144734</v>
      </c>
      <c r="H20" s="33"/>
      <c r="I20" s="261"/>
      <c r="J20" s="414">
        <v>2008</v>
      </c>
      <c r="K20" s="33">
        <v>63</v>
      </c>
      <c r="L20" s="33"/>
      <c r="M20" s="33">
        <v>34011</v>
      </c>
      <c r="N20" s="33"/>
      <c r="O20" s="33">
        <v>1520960</v>
      </c>
      <c r="P20" s="33"/>
      <c r="T20" s="249"/>
      <c r="U20" s="744">
        <v>2014</v>
      </c>
      <c r="V20" s="745">
        <v>95</v>
      </c>
      <c r="W20" s="245"/>
      <c r="X20" s="744">
        <v>2014</v>
      </c>
      <c r="Y20" s="745">
        <f>40681/1000</f>
        <v>40.680999999999997</v>
      </c>
      <c r="Z20" s="245"/>
      <c r="AA20" s="744">
        <v>2014</v>
      </c>
      <c r="AB20" s="745">
        <f>3153018/1000</f>
        <v>3153.018</v>
      </c>
      <c r="AC20" s="245"/>
      <c r="AD20" s="249"/>
    </row>
    <row r="21" spans="2:30" ht="25.15" customHeight="1" x14ac:dyDescent="0.2">
      <c r="B21" s="414">
        <v>1979</v>
      </c>
      <c r="C21" s="33">
        <v>653</v>
      </c>
      <c r="D21" s="33"/>
      <c r="E21" s="33">
        <v>841144</v>
      </c>
      <c r="F21" s="33"/>
      <c r="G21" s="33">
        <v>13410735</v>
      </c>
      <c r="H21" s="33"/>
      <c r="I21" s="261"/>
      <c r="J21" s="414">
        <v>2009</v>
      </c>
      <c r="K21" s="33">
        <v>99</v>
      </c>
      <c r="L21" s="33"/>
      <c r="M21" s="33">
        <v>36114</v>
      </c>
      <c r="N21" s="33"/>
      <c r="O21" s="33">
        <v>1452466</v>
      </c>
      <c r="P21" s="33"/>
      <c r="T21" s="249"/>
      <c r="U21" s="744">
        <v>2015</v>
      </c>
      <c r="V21" s="745">
        <v>47</v>
      </c>
      <c r="W21" s="245"/>
      <c r="X21" s="744">
        <v>2015</v>
      </c>
      <c r="Y21" s="746">
        <v>32.066000000000003</v>
      </c>
      <c r="Z21" s="245"/>
      <c r="AA21" s="744">
        <v>2015</v>
      </c>
      <c r="AB21" s="745">
        <f>1925632/1000</f>
        <v>1925.6320000000001</v>
      </c>
      <c r="AC21" s="245"/>
      <c r="AD21" s="249"/>
    </row>
    <row r="22" spans="2:30" ht="25.15" customHeight="1" x14ac:dyDescent="0.2">
      <c r="B22" s="414">
        <v>1980</v>
      </c>
      <c r="C22" s="33">
        <v>739</v>
      </c>
      <c r="D22" s="33"/>
      <c r="E22" s="33">
        <v>481484</v>
      </c>
      <c r="F22" s="33"/>
      <c r="G22" s="33">
        <v>17918890</v>
      </c>
      <c r="H22" s="33"/>
      <c r="I22" s="261"/>
      <c r="J22" s="414">
        <v>2010</v>
      </c>
      <c r="K22" s="33">
        <v>83</v>
      </c>
      <c r="L22" s="33"/>
      <c r="M22" s="33">
        <v>30606</v>
      </c>
      <c r="N22" s="33"/>
      <c r="O22" s="33">
        <v>1279380</v>
      </c>
      <c r="P22" s="33"/>
      <c r="T22" s="249"/>
      <c r="U22" s="744">
        <v>2016</v>
      </c>
      <c r="V22" s="745">
        <v>41</v>
      </c>
      <c r="W22" s="245"/>
      <c r="X22" s="744">
        <v>2016</v>
      </c>
      <c r="Y22" s="746">
        <v>20.463000000000001</v>
      </c>
      <c r="Z22" s="245"/>
      <c r="AA22" s="744">
        <v>2016</v>
      </c>
      <c r="AB22" s="745">
        <f>3084056/1000</f>
        <v>3084.056</v>
      </c>
      <c r="AC22" s="245"/>
      <c r="AD22" s="249"/>
    </row>
    <row r="23" spans="2:30" ht="25.15" customHeight="1" x14ac:dyDescent="0.2">
      <c r="B23" s="414">
        <v>1981</v>
      </c>
      <c r="C23" s="33">
        <v>871</v>
      </c>
      <c r="D23" s="33"/>
      <c r="E23" s="33">
        <v>856915</v>
      </c>
      <c r="F23" s="33"/>
      <c r="G23" s="33">
        <v>19973932</v>
      </c>
      <c r="H23" s="33"/>
      <c r="I23" s="261"/>
      <c r="J23" s="414">
        <v>2011</v>
      </c>
      <c r="K23" s="33">
        <v>84</v>
      </c>
      <c r="L23" s="33"/>
      <c r="M23" s="33">
        <v>26770</v>
      </c>
      <c r="N23" s="33"/>
      <c r="O23" s="33">
        <v>1799416</v>
      </c>
      <c r="P23" s="84"/>
      <c r="T23" s="249"/>
      <c r="U23" s="744">
        <v>2017</v>
      </c>
      <c r="V23" s="245">
        <v>45</v>
      </c>
      <c r="W23" s="245"/>
      <c r="X23" s="744">
        <v>2017</v>
      </c>
      <c r="Y23" s="745">
        <f>56610/1000</f>
        <v>56.61</v>
      </c>
      <c r="Z23" s="245"/>
      <c r="AA23" s="744">
        <v>2017</v>
      </c>
      <c r="AB23" s="745">
        <f>3006494/1000</f>
        <v>3006.4940000000001</v>
      </c>
      <c r="AC23" s="245"/>
      <c r="AD23" s="249"/>
    </row>
    <row r="24" spans="2:30" ht="25.15" customHeight="1" x14ac:dyDescent="0.2">
      <c r="B24" s="414">
        <v>1982</v>
      </c>
      <c r="C24" s="33">
        <v>809</v>
      </c>
      <c r="D24" s="33"/>
      <c r="E24" s="33">
        <v>572263</v>
      </c>
      <c r="F24" s="33"/>
      <c r="G24" s="33">
        <v>22750879</v>
      </c>
      <c r="H24" s="33"/>
      <c r="I24" s="261"/>
      <c r="J24" s="414">
        <v>2012</v>
      </c>
      <c r="K24" s="33">
        <v>89</v>
      </c>
      <c r="L24" s="33"/>
      <c r="M24" s="33">
        <v>25845</v>
      </c>
      <c r="N24" s="33"/>
      <c r="O24" s="33">
        <v>1878696</v>
      </c>
      <c r="P24" s="84"/>
      <c r="T24" s="249"/>
      <c r="U24" s="744">
        <v>2018</v>
      </c>
      <c r="V24" s="745">
        <v>54</v>
      </c>
      <c r="W24" s="245"/>
      <c r="X24" s="744">
        <v>2018</v>
      </c>
      <c r="Y24" s="746">
        <v>21.495999999999999</v>
      </c>
      <c r="Z24" s="245"/>
      <c r="AA24" s="744">
        <v>2018</v>
      </c>
      <c r="AB24" s="745">
        <f>738864/1000</f>
        <v>738.86400000000003</v>
      </c>
      <c r="AC24" s="245"/>
      <c r="AD24" s="249"/>
    </row>
    <row r="25" spans="2:30" ht="25.15" customHeight="1" x14ac:dyDescent="0.2">
      <c r="B25" s="414">
        <v>1983</v>
      </c>
      <c r="C25" s="33">
        <v>643</v>
      </c>
      <c r="D25" s="33"/>
      <c r="E25" s="33">
        <v>785545</v>
      </c>
      <c r="F25" s="33"/>
      <c r="G25" s="33">
        <v>20300000</v>
      </c>
      <c r="H25" s="33"/>
      <c r="I25" s="261"/>
      <c r="J25" s="414">
        <v>2013</v>
      </c>
      <c r="K25" s="33">
        <v>94</v>
      </c>
      <c r="L25" s="33"/>
      <c r="M25" s="33">
        <v>26736</v>
      </c>
      <c r="N25" s="33"/>
      <c r="O25" s="33">
        <v>1573202</v>
      </c>
      <c r="P25" s="84"/>
      <c r="T25" s="249"/>
      <c r="U25" s="744">
        <v>2019</v>
      </c>
      <c r="V25" s="245">
        <v>67</v>
      </c>
      <c r="W25" s="245"/>
      <c r="X25" s="744">
        <v>2019</v>
      </c>
      <c r="Y25" s="745">
        <f>110154/1000</f>
        <v>110.154</v>
      </c>
      <c r="Z25" s="245"/>
      <c r="AA25" s="744">
        <v>2019</v>
      </c>
      <c r="AB25" s="745">
        <f>2085856/1000</f>
        <v>2085.8560000000002</v>
      </c>
      <c r="AC25" s="245"/>
      <c r="AD25" s="249"/>
    </row>
    <row r="26" spans="2:30" ht="25.15" customHeight="1" x14ac:dyDescent="0.2">
      <c r="B26" s="414">
        <v>1984</v>
      </c>
      <c r="C26" s="33">
        <v>509</v>
      </c>
      <c r="D26" s="33"/>
      <c r="E26" s="33">
        <v>694234</v>
      </c>
      <c r="F26" s="33"/>
      <c r="G26" s="33">
        <v>14081764</v>
      </c>
      <c r="H26" s="33"/>
      <c r="I26" s="261"/>
      <c r="J26" s="414">
        <v>2014</v>
      </c>
      <c r="K26" s="33">
        <v>95</v>
      </c>
      <c r="M26" s="33">
        <v>40681</v>
      </c>
      <c r="N26" s="33"/>
      <c r="O26" s="33">
        <v>3153018</v>
      </c>
      <c r="P26" s="84"/>
      <c r="T26" s="249"/>
      <c r="U26" s="744">
        <v>2020</v>
      </c>
      <c r="V26" s="245">
        <v>23</v>
      </c>
      <c r="W26" s="245"/>
      <c r="X26" s="744">
        <v>2020</v>
      </c>
      <c r="Y26" s="745">
        <f>127868/1000</f>
        <v>127.86799999999999</v>
      </c>
      <c r="Z26" s="245"/>
      <c r="AA26" s="744">
        <v>2020</v>
      </c>
      <c r="AB26" s="745">
        <f>3653184/1000</f>
        <v>3653.1840000000002</v>
      </c>
      <c r="AC26" s="245"/>
      <c r="AD26" s="249"/>
    </row>
    <row r="27" spans="2:30" ht="25.15" customHeight="1" x14ac:dyDescent="0.2">
      <c r="B27" s="414">
        <v>1985</v>
      </c>
      <c r="C27" s="33">
        <v>579</v>
      </c>
      <c r="D27" s="33"/>
      <c r="E27" s="33">
        <v>237695</v>
      </c>
      <c r="F27" s="33"/>
      <c r="G27" s="33">
        <v>12228220</v>
      </c>
      <c r="H27" s="33"/>
      <c r="I27" s="261"/>
      <c r="J27" s="414">
        <v>2015</v>
      </c>
      <c r="K27" s="33">
        <v>47</v>
      </c>
      <c r="M27" s="33">
        <v>32066</v>
      </c>
      <c r="N27" s="33"/>
      <c r="O27" s="33">
        <v>1925632</v>
      </c>
      <c r="P27" s="84"/>
      <c r="T27" s="249"/>
      <c r="U27" s="744">
        <v>2021</v>
      </c>
      <c r="V27" s="245">
        <v>38</v>
      </c>
      <c r="W27" s="245"/>
      <c r="X27" s="744">
        <v>2021</v>
      </c>
      <c r="Y27" s="745">
        <f>209142/1000</f>
        <v>209.142</v>
      </c>
      <c r="Z27" s="245"/>
      <c r="AA27" s="744">
        <v>2021</v>
      </c>
      <c r="AB27" s="745">
        <f>3027240/1000</f>
        <v>3027.24</v>
      </c>
      <c r="AC27" s="245"/>
      <c r="AD27" s="249"/>
    </row>
    <row r="28" spans="2:30" ht="25.15" customHeight="1" x14ac:dyDescent="0.2">
      <c r="B28" s="414">
        <v>1986</v>
      </c>
      <c r="C28" s="33">
        <v>648</v>
      </c>
      <c r="D28" s="33"/>
      <c r="E28" s="33">
        <v>249374</v>
      </c>
      <c r="F28" s="33"/>
      <c r="G28" s="33">
        <v>16867444</v>
      </c>
      <c r="H28" s="33"/>
      <c r="I28" s="261"/>
      <c r="J28" s="414">
        <v>2016</v>
      </c>
      <c r="K28" s="33">
        <v>41</v>
      </c>
      <c r="M28" s="33">
        <v>20463</v>
      </c>
      <c r="O28" s="33">
        <v>3084056</v>
      </c>
      <c r="P28" s="84"/>
      <c r="T28" s="249"/>
      <c r="U28" s="744">
        <v>2022</v>
      </c>
      <c r="V28" s="245">
        <v>41</v>
      </c>
      <c r="W28" s="245"/>
      <c r="X28" s="744">
        <v>2022</v>
      </c>
      <c r="Y28" s="745">
        <f>29145/1000</f>
        <v>29.145</v>
      </c>
      <c r="Z28" s="245"/>
      <c r="AA28" s="744">
        <v>2022</v>
      </c>
      <c r="AB28" s="747">
        <f>2122932/1000</f>
        <v>2122.9319999999998</v>
      </c>
      <c r="AC28" s="245"/>
      <c r="AD28" s="249"/>
    </row>
    <row r="29" spans="2:30" ht="25.15" customHeight="1" x14ac:dyDescent="0.2">
      <c r="B29" s="414">
        <v>1987</v>
      </c>
      <c r="C29" s="33">
        <v>720</v>
      </c>
      <c r="D29" s="33"/>
      <c r="E29" s="33">
        <v>309407</v>
      </c>
      <c r="F29" s="33"/>
      <c r="G29" s="33">
        <v>9067930</v>
      </c>
      <c r="H29" s="33"/>
      <c r="I29" s="261"/>
      <c r="J29" s="414">
        <v>2017</v>
      </c>
      <c r="K29" s="1">
        <v>45</v>
      </c>
      <c r="M29" s="33">
        <v>56610</v>
      </c>
      <c r="O29" s="33">
        <v>3006494</v>
      </c>
      <c r="P29" s="84"/>
      <c r="T29" s="249"/>
      <c r="U29" s="744">
        <v>2023</v>
      </c>
      <c r="V29" s="245">
        <v>55</v>
      </c>
      <c r="W29" s="245"/>
      <c r="X29" s="744">
        <v>2023</v>
      </c>
      <c r="Y29" s="745">
        <f>77883/1000</f>
        <v>77.882999999999996</v>
      </c>
      <c r="Z29" s="245"/>
      <c r="AA29" s="744">
        <v>2023</v>
      </c>
      <c r="AB29" s="747">
        <f>1462009/1000</f>
        <v>1462.009</v>
      </c>
      <c r="AC29" s="245"/>
      <c r="AD29" s="249"/>
    </row>
    <row r="30" spans="2:30" ht="25.15" customHeight="1" x14ac:dyDescent="0.2">
      <c r="B30" s="414">
        <v>1988</v>
      </c>
      <c r="C30" s="33">
        <v>814</v>
      </c>
      <c r="D30" s="33"/>
      <c r="E30" s="33">
        <v>693252</v>
      </c>
      <c r="F30" s="33"/>
      <c r="G30" s="33">
        <v>38274969</v>
      </c>
      <c r="H30" s="33"/>
      <c r="I30" s="261"/>
      <c r="J30" s="414">
        <v>2018</v>
      </c>
      <c r="K30" s="33">
        <v>54</v>
      </c>
      <c r="M30" s="33">
        <v>21496</v>
      </c>
      <c r="O30" s="33">
        <v>738864</v>
      </c>
      <c r="P30" s="84"/>
      <c r="T30" s="249"/>
      <c r="U30" s="744">
        <v>2024</v>
      </c>
      <c r="V30" s="245">
        <v>63</v>
      </c>
      <c r="W30" s="245"/>
      <c r="X30" s="744">
        <v>2024</v>
      </c>
      <c r="Y30" s="745">
        <f>76704/1000</f>
        <v>76.703999999999994</v>
      </c>
      <c r="Z30" s="245"/>
      <c r="AA30" s="744">
        <v>2024</v>
      </c>
      <c r="AB30" s="747">
        <f>2295516/1000</f>
        <v>2295.5160000000001</v>
      </c>
      <c r="AC30" s="245"/>
      <c r="AD30" s="249"/>
    </row>
    <row r="31" spans="2:30" ht="25.15" customHeight="1" x14ac:dyDescent="0.2">
      <c r="B31" s="414">
        <v>1989</v>
      </c>
      <c r="C31" s="33">
        <v>667</v>
      </c>
      <c r="D31" s="33"/>
      <c r="E31" s="33">
        <v>208235</v>
      </c>
      <c r="F31" s="33"/>
      <c r="G31" s="33">
        <v>15223166</v>
      </c>
      <c r="H31" s="33"/>
      <c r="I31" s="261"/>
      <c r="J31" s="414">
        <v>2019</v>
      </c>
      <c r="K31" s="23">
        <v>67</v>
      </c>
      <c r="L31" s="23"/>
      <c r="M31" s="23">
        <v>110154</v>
      </c>
      <c r="N31" s="23"/>
      <c r="O31" s="23">
        <v>2085856</v>
      </c>
      <c r="P31" s="84"/>
      <c r="T31" s="249"/>
      <c r="U31" s="245"/>
      <c r="V31" s="245"/>
      <c r="W31" s="245"/>
      <c r="X31" s="245"/>
      <c r="Y31" s="245"/>
      <c r="Z31" s="245"/>
      <c r="AA31" s="245"/>
      <c r="AB31" s="245"/>
      <c r="AC31" s="245"/>
      <c r="AD31" s="249"/>
    </row>
    <row r="32" spans="2:30" ht="25.15" customHeight="1" x14ac:dyDescent="0.2">
      <c r="B32" s="414">
        <v>1990</v>
      </c>
      <c r="C32" s="33">
        <v>613</v>
      </c>
      <c r="D32" s="33"/>
      <c r="E32" s="33">
        <v>258234</v>
      </c>
      <c r="F32" s="33"/>
      <c r="G32" s="33">
        <v>15067880</v>
      </c>
      <c r="H32" s="33"/>
      <c r="I32" s="261"/>
      <c r="J32" s="414">
        <v>2020</v>
      </c>
      <c r="K32" s="23">
        <v>23</v>
      </c>
      <c r="L32" s="23"/>
      <c r="M32" s="23">
        <v>127868</v>
      </c>
      <c r="N32" s="23"/>
      <c r="O32" s="23">
        <v>3653184</v>
      </c>
      <c r="P32" s="84"/>
      <c r="T32" s="249"/>
      <c r="U32" s="245"/>
      <c r="V32" s="245"/>
      <c r="W32" s="245"/>
      <c r="X32" s="245"/>
      <c r="Y32" s="245"/>
      <c r="Z32" s="245"/>
      <c r="AA32" s="245"/>
      <c r="AB32" s="245"/>
      <c r="AC32" s="245"/>
      <c r="AD32" s="249"/>
    </row>
    <row r="33" spans="2:30" ht="25.15" customHeight="1" x14ac:dyDescent="0.2">
      <c r="B33" s="414">
        <v>1991</v>
      </c>
      <c r="C33" s="33">
        <v>315</v>
      </c>
      <c r="D33" s="33"/>
      <c r="E33" s="33">
        <v>180728</v>
      </c>
      <c r="F33" s="33"/>
      <c r="G33" s="33">
        <v>8880886</v>
      </c>
      <c r="H33" s="33"/>
      <c r="I33" s="261"/>
      <c r="J33" s="414">
        <v>2021</v>
      </c>
      <c r="K33" s="23">
        <v>38</v>
      </c>
      <c r="L33" s="23"/>
      <c r="M33" s="23">
        <v>209142</v>
      </c>
      <c r="N33" s="23"/>
      <c r="O33" s="23">
        <v>3027240</v>
      </c>
      <c r="P33" s="23"/>
      <c r="T33" s="249"/>
      <c r="U33" s="245"/>
      <c r="V33" s="245"/>
      <c r="W33" s="245"/>
      <c r="X33" s="245"/>
      <c r="Y33" s="245"/>
      <c r="Z33" s="245"/>
      <c r="AA33" s="245"/>
      <c r="AB33" s="245"/>
      <c r="AC33" s="245"/>
      <c r="AD33" s="249"/>
    </row>
    <row r="34" spans="2:30" ht="25.15" customHeight="1" x14ac:dyDescent="0.2">
      <c r="B34" s="414">
        <v>1992</v>
      </c>
      <c r="C34" s="33">
        <v>219</v>
      </c>
      <c r="D34" s="33"/>
      <c r="E34" s="33">
        <v>114656</v>
      </c>
      <c r="F34" s="33"/>
      <c r="G34" s="33">
        <v>2319379</v>
      </c>
      <c r="H34" s="27"/>
      <c r="I34" s="27"/>
      <c r="J34" s="414">
        <v>2022</v>
      </c>
      <c r="K34" s="23">
        <v>41</v>
      </c>
      <c r="L34" s="23"/>
      <c r="M34" s="23">
        <v>29145</v>
      </c>
      <c r="N34" s="23"/>
      <c r="O34" s="23">
        <v>2122932</v>
      </c>
      <c r="T34" s="249"/>
      <c r="U34" s="245"/>
      <c r="V34" s="245"/>
      <c r="W34" s="245"/>
      <c r="X34" s="245"/>
      <c r="Y34" s="245"/>
      <c r="Z34" s="245"/>
      <c r="AA34" s="245"/>
      <c r="AB34" s="245"/>
      <c r="AC34" s="245"/>
      <c r="AD34" s="249"/>
    </row>
    <row r="35" spans="2:30" ht="25.15" customHeight="1" x14ac:dyDescent="0.2">
      <c r="B35" s="414">
        <v>1993</v>
      </c>
      <c r="C35" s="33">
        <v>151</v>
      </c>
      <c r="D35" s="33"/>
      <c r="E35" s="33">
        <v>41474</v>
      </c>
      <c r="F35" s="33"/>
      <c r="G35" s="33">
        <v>2167764</v>
      </c>
      <c r="H35" s="27"/>
      <c r="I35" s="27"/>
      <c r="J35" s="414">
        <v>2023</v>
      </c>
      <c r="K35" s="23">
        <v>55</v>
      </c>
      <c r="L35" s="23"/>
      <c r="M35" s="23">
        <v>77883</v>
      </c>
      <c r="N35" s="23"/>
      <c r="O35" s="23">
        <v>1462009</v>
      </c>
      <c r="T35" s="249"/>
      <c r="U35" s="245"/>
      <c r="V35" s="245"/>
      <c r="W35" s="245"/>
      <c r="X35" s="245"/>
      <c r="Y35" s="245"/>
      <c r="Z35" s="245"/>
      <c r="AA35" s="245"/>
      <c r="AB35" s="245"/>
      <c r="AC35" s="245"/>
      <c r="AD35" s="249"/>
    </row>
    <row r="36" spans="2:30" ht="25.15" customHeight="1" x14ac:dyDescent="0.2">
      <c r="B36" s="414">
        <v>1994</v>
      </c>
      <c r="C36" s="33">
        <v>168</v>
      </c>
      <c r="D36" s="33"/>
      <c r="E36" s="33">
        <v>62940</v>
      </c>
      <c r="F36" s="33"/>
      <c r="G36" s="33">
        <v>1936647</v>
      </c>
      <c r="H36" s="27"/>
      <c r="I36" s="27"/>
      <c r="J36" s="414">
        <v>2024</v>
      </c>
      <c r="K36" s="23">
        <v>63</v>
      </c>
      <c r="L36" s="23"/>
      <c r="M36" s="23">
        <v>76704</v>
      </c>
      <c r="N36" s="23"/>
      <c r="O36" s="23">
        <v>2295516</v>
      </c>
      <c r="U36" s="244"/>
      <c r="V36" s="244"/>
      <c r="W36" s="244"/>
      <c r="X36" s="244"/>
      <c r="Y36" s="244"/>
      <c r="Z36" s="244"/>
      <c r="AA36" s="244"/>
      <c r="AB36" s="244"/>
      <c r="AC36" s="244"/>
    </row>
    <row r="37" spans="2:30" x14ac:dyDescent="0.2">
      <c r="B37" s="414"/>
      <c r="C37" s="33"/>
      <c r="D37" s="33"/>
      <c r="E37" s="33"/>
      <c r="F37" s="33"/>
      <c r="G37" s="33"/>
      <c r="H37" s="27"/>
      <c r="I37" s="27"/>
      <c r="K37" s="23"/>
      <c r="L37" s="23"/>
      <c r="M37" s="23"/>
      <c r="N37" s="23"/>
      <c r="O37" s="23"/>
      <c r="P37" s="23"/>
      <c r="U37" s="244"/>
      <c r="V37" s="244"/>
      <c r="W37" s="244"/>
      <c r="X37" s="244"/>
      <c r="Y37" s="244"/>
      <c r="Z37" s="244"/>
      <c r="AA37" s="244"/>
      <c r="AB37" s="244"/>
      <c r="AC37" s="244"/>
    </row>
    <row r="38" spans="2:30" ht="25.15" customHeight="1" x14ac:dyDescent="0.2">
      <c r="B38" s="11" t="s">
        <v>245</v>
      </c>
      <c r="C38" s="12"/>
      <c r="D38" s="12"/>
      <c r="E38" s="12"/>
      <c r="F38" s="12"/>
      <c r="G38" s="13"/>
      <c r="H38" s="12"/>
      <c r="I38" s="12"/>
    </row>
    <row r="39" spans="2:30" ht="25.15" customHeight="1" x14ac:dyDescent="0.2">
      <c r="B39" s="802" t="s">
        <v>294</v>
      </c>
      <c r="C39" s="802"/>
      <c r="D39" s="802"/>
      <c r="E39" s="802"/>
      <c r="F39" s="802"/>
      <c r="G39" s="802"/>
      <c r="H39" s="802"/>
      <c r="I39" s="802"/>
      <c r="J39" s="802"/>
      <c r="K39" s="802"/>
      <c r="L39" s="802"/>
      <c r="M39" s="802"/>
      <c r="N39" s="802"/>
      <c r="O39" s="802"/>
    </row>
    <row r="40" spans="2:30" ht="25.15" customHeight="1" x14ac:dyDescent="0.2">
      <c r="B40" s="22" t="s">
        <v>279</v>
      </c>
      <c r="D40" s="23"/>
      <c r="E40" s="24"/>
      <c r="F40" s="23"/>
      <c r="G40" s="25"/>
      <c r="H40" s="26"/>
      <c r="I40" s="27"/>
      <c r="J40" s="27"/>
    </row>
    <row r="41" spans="2:30" ht="12.75" customHeight="1" x14ac:dyDescent="0.2">
      <c r="T41" s="36"/>
      <c r="U41" s="33"/>
    </row>
    <row r="42" spans="2:30" ht="12.75" customHeight="1" x14ac:dyDescent="0.2">
      <c r="T42" s="36"/>
      <c r="U42" s="33"/>
    </row>
    <row r="43" spans="2:30" ht="12.75" customHeight="1" x14ac:dyDescent="0.2">
      <c r="T43" s="36"/>
      <c r="U43" s="33"/>
    </row>
    <row r="44" spans="2:30" ht="12.75" customHeight="1" x14ac:dyDescent="0.2">
      <c r="T44" s="36"/>
      <c r="U44" s="33"/>
    </row>
    <row r="45" spans="2:30" ht="12.75" customHeight="1" x14ac:dyDescent="0.2">
      <c r="T45" s="36"/>
      <c r="U45" s="33"/>
    </row>
    <row r="46" spans="2:30" ht="12.75" customHeight="1" x14ac:dyDescent="0.2">
      <c r="T46" s="36"/>
      <c r="U46" s="33"/>
    </row>
    <row r="47" spans="2:30" ht="12.75" customHeight="1" x14ac:dyDescent="0.2">
      <c r="T47" s="36"/>
      <c r="U47" s="33"/>
    </row>
    <row r="48" spans="2:30" ht="12.75" customHeight="1" x14ac:dyDescent="0.2">
      <c r="T48" s="36"/>
      <c r="U48" s="33"/>
    </row>
    <row r="49" spans="20:21" ht="12.75" customHeight="1" x14ac:dyDescent="0.2">
      <c r="T49" s="36"/>
      <c r="U49" s="33"/>
    </row>
    <row r="50" spans="20:21" ht="12.75" customHeight="1" x14ac:dyDescent="0.2">
      <c r="T50" s="36"/>
      <c r="U50" s="33"/>
    </row>
    <row r="51" spans="20:21" ht="12.75" customHeight="1" x14ac:dyDescent="0.2">
      <c r="T51" s="36"/>
      <c r="U51" s="33"/>
    </row>
    <row r="52" spans="20:21" ht="12.75" customHeight="1" x14ac:dyDescent="0.2">
      <c r="T52" s="36"/>
      <c r="U52" s="33"/>
    </row>
    <row r="53" spans="20:21" ht="12.75" customHeight="1" x14ac:dyDescent="0.2">
      <c r="T53" s="36"/>
      <c r="U53" s="33"/>
    </row>
    <row r="54" spans="20:21" ht="12.75" customHeight="1" x14ac:dyDescent="0.2">
      <c r="T54" s="36"/>
      <c r="U54" s="33"/>
    </row>
    <row r="55" spans="20:21" ht="12.75" customHeight="1" x14ac:dyDescent="0.2">
      <c r="T55" s="36"/>
      <c r="U55" s="33"/>
    </row>
    <row r="56" spans="20:21" ht="12.75" customHeight="1" x14ac:dyDescent="0.2">
      <c r="T56" s="36"/>
      <c r="U56" s="33"/>
    </row>
  </sheetData>
  <mergeCells count="11">
    <mergeCell ref="B39:O39"/>
    <mergeCell ref="B1:P1"/>
    <mergeCell ref="B3:P3"/>
    <mergeCell ref="B4:P4"/>
    <mergeCell ref="B2:H2"/>
    <mergeCell ref="C5:D5"/>
    <mergeCell ref="E5:F5"/>
    <mergeCell ref="G5:H5"/>
    <mergeCell ref="K5:L5"/>
    <mergeCell ref="M5:N5"/>
    <mergeCell ref="O5:P5"/>
  </mergeCells>
  <phoneticPr fontId="2" type="noConversion"/>
  <printOptions horizontalCentered="1" verticalCentered="1"/>
  <pageMargins left="0" right="0" top="0" bottom="0" header="0" footer="0"/>
  <pageSetup paperSize="9" scale="55"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AA60"/>
  <sheetViews>
    <sheetView showGridLines="0" view="pageBreakPreview" zoomScale="80" zoomScaleNormal="78" zoomScaleSheetLayoutView="80" workbookViewId="0">
      <selection activeCell="Q3" sqref="Q3:Y3"/>
    </sheetView>
  </sheetViews>
  <sheetFormatPr baseColWidth="10" defaultColWidth="11.42578125" defaultRowHeight="12.75" x14ac:dyDescent="0.2"/>
  <cols>
    <col min="1" max="1" width="5.28515625" style="49" customWidth="1"/>
    <col min="2" max="2" width="70.5703125" style="49" customWidth="1"/>
    <col min="3" max="3" width="13.5703125" style="49" customWidth="1"/>
    <col min="4" max="4" width="3.7109375" style="49" customWidth="1"/>
    <col min="5" max="5" width="10.28515625" style="49" customWidth="1"/>
    <col min="6" max="6" width="3.7109375" style="49" customWidth="1"/>
    <col min="7" max="7" width="12.7109375" style="49" customWidth="1"/>
    <col min="8" max="8" width="3.7109375" style="49" customWidth="1"/>
    <col min="9" max="9" width="12.7109375" style="49" customWidth="1"/>
    <col min="10" max="10" width="3.7109375" style="49" customWidth="1"/>
    <col min="11" max="11" width="15.7109375" style="49" customWidth="1"/>
    <col min="12" max="12" width="3.7109375" style="49" customWidth="1"/>
    <col min="13" max="13" width="15.7109375" style="49" customWidth="1"/>
    <col min="14" max="14" width="3.7109375" style="49" customWidth="1"/>
    <col min="15" max="15" width="4.5703125" style="49" customWidth="1"/>
    <col min="16" max="16" width="18.28515625" style="49" customWidth="1"/>
    <col min="17" max="17" width="11.7109375" style="49" bestFit="1" customWidth="1"/>
    <col min="18" max="19" width="11.42578125" style="49"/>
    <col min="20" max="20" width="11.85546875" style="49" bestFit="1" customWidth="1"/>
    <col min="21" max="22" width="11.42578125" style="49"/>
    <col min="23" max="23" width="15.42578125" style="49" bestFit="1" customWidth="1"/>
    <col min="24" max="16384" width="11.42578125" style="49"/>
  </cols>
  <sheetData>
    <row r="1" spans="2:27" s="38" customFormat="1" ht="30" customHeight="1" x14ac:dyDescent="0.25">
      <c r="B1" s="811" t="s">
        <v>3</v>
      </c>
      <c r="C1" s="811"/>
      <c r="D1" s="811"/>
      <c r="E1" s="811"/>
      <c r="F1" s="811"/>
      <c r="G1" s="811"/>
      <c r="H1" s="811"/>
      <c r="I1" s="811"/>
      <c r="J1" s="811"/>
      <c r="K1" s="811"/>
      <c r="L1" s="811"/>
      <c r="M1" s="811"/>
      <c r="N1" s="811"/>
      <c r="O1" s="37"/>
    </row>
    <row r="2" spans="2:27" s="38" customFormat="1" ht="30.75" customHeight="1" x14ac:dyDescent="0.25">
      <c r="B2" s="39" t="s">
        <v>145</v>
      </c>
      <c r="C2" s="40"/>
      <c r="D2" s="40"/>
      <c r="E2" s="40"/>
      <c r="F2" s="40"/>
      <c r="G2" s="40"/>
      <c r="H2" s="40"/>
      <c r="I2" s="40"/>
      <c r="J2" s="40"/>
      <c r="K2" s="40"/>
      <c r="L2" s="40"/>
      <c r="M2" s="40"/>
      <c r="P2" s="41"/>
      <c r="Q2" s="41"/>
      <c r="R2" s="41"/>
      <c r="S2" s="41"/>
      <c r="T2" s="41"/>
      <c r="U2" s="41"/>
      <c r="V2" s="41"/>
      <c r="W2" s="41"/>
      <c r="X2" s="41"/>
      <c r="Y2" s="41"/>
      <c r="Z2" s="41"/>
      <c r="AA2" s="41"/>
    </row>
    <row r="3" spans="2:27" s="38" customFormat="1" ht="34.5" customHeight="1" x14ac:dyDescent="0.25">
      <c r="B3" s="817" t="s">
        <v>190</v>
      </c>
      <c r="C3" s="817"/>
      <c r="D3" s="817"/>
      <c r="E3" s="817"/>
      <c r="F3" s="817"/>
      <c r="G3" s="817"/>
      <c r="H3" s="817"/>
      <c r="I3" s="817"/>
      <c r="J3" s="817"/>
      <c r="K3" s="817"/>
      <c r="L3" s="817"/>
      <c r="M3" s="817"/>
      <c r="N3" s="817"/>
      <c r="P3" s="246"/>
      <c r="Q3" s="246" t="s">
        <v>2</v>
      </c>
      <c r="R3" s="246"/>
      <c r="S3" s="246" t="s">
        <v>15</v>
      </c>
      <c r="T3" s="246"/>
      <c r="U3" s="246"/>
      <c r="V3" s="809" t="s">
        <v>12</v>
      </c>
      <c r="W3" s="809"/>
      <c r="X3" s="809"/>
      <c r="Y3" s="809"/>
      <c r="Z3" s="41"/>
      <c r="AA3" s="41"/>
    </row>
    <row r="4" spans="2:27" s="40" customFormat="1" ht="46.5" customHeight="1" x14ac:dyDescent="0.25">
      <c r="B4" s="818" t="s">
        <v>317</v>
      </c>
      <c r="C4" s="811"/>
      <c r="D4" s="811"/>
      <c r="E4" s="811"/>
      <c r="F4" s="811"/>
      <c r="G4" s="811"/>
      <c r="H4" s="811"/>
      <c r="I4" s="811"/>
      <c r="J4" s="811"/>
      <c r="K4" s="811"/>
      <c r="L4" s="811"/>
      <c r="M4" s="811"/>
      <c r="N4" s="811"/>
      <c r="O4" s="38"/>
      <c r="P4" s="246"/>
      <c r="Q4" s="246">
        <f>SUM(Q5:Q7)</f>
        <v>63</v>
      </c>
      <c r="R4" s="246"/>
      <c r="S4" s="246"/>
      <c r="T4" s="748">
        <f>SUM(T5:T7)</f>
        <v>76704</v>
      </c>
      <c r="U4" s="246"/>
      <c r="V4" s="246"/>
      <c r="W4" s="748">
        <f>SUM(W5:W7)</f>
        <v>2295516</v>
      </c>
      <c r="X4" s="560"/>
      <c r="Y4" s="560"/>
      <c r="Z4" s="42"/>
      <c r="AA4" s="42"/>
    </row>
    <row r="5" spans="2:27" s="44" customFormat="1" ht="54" customHeight="1" x14ac:dyDescent="0.25">
      <c r="B5" s="814" t="s">
        <v>4</v>
      </c>
      <c r="C5" s="812" t="s">
        <v>2</v>
      </c>
      <c r="D5" s="812"/>
      <c r="E5" s="812"/>
      <c r="F5" s="813"/>
      <c r="G5" s="815" t="s">
        <v>15</v>
      </c>
      <c r="H5" s="812"/>
      <c r="I5" s="812"/>
      <c r="J5" s="813"/>
      <c r="K5" s="812" t="s">
        <v>12</v>
      </c>
      <c r="L5" s="812"/>
      <c r="M5" s="812"/>
      <c r="N5" s="812"/>
      <c r="O5" s="40"/>
      <c r="P5" s="749" t="s">
        <v>242</v>
      </c>
      <c r="Q5" s="749">
        <v>22</v>
      </c>
      <c r="R5" s="749"/>
      <c r="S5" s="749" t="s">
        <v>242</v>
      </c>
      <c r="T5" s="749">
        <v>22154</v>
      </c>
      <c r="U5" s="749"/>
      <c r="V5" s="749" t="s">
        <v>242</v>
      </c>
      <c r="W5" s="749">
        <v>586856</v>
      </c>
      <c r="X5" s="557"/>
      <c r="Y5" s="557"/>
      <c r="Z5" s="43"/>
      <c r="AA5" s="43"/>
    </row>
    <row r="6" spans="2:27" s="44" customFormat="1" ht="37.15" customHeight="1" x14ac:dyDescent="0.25">
      <c r="B6" s="814"/>
      <c r="C6" s="816" t="s">
        <v>120</v>
      </c>
      <c r="D6" s="816"/>
      <c r="E6" s="819" t="s">
        <v>5</v>
      </c>
      <c r="F6" s="820"/>
      <c r="G6" s="816" t="s">
        <v>120</v>
      </c>
      <c r="H6" s="816"/>
      <c r="I6" s="819" t="s">
        <v>5</v>
      </c>
      <c r="J6" s="820"/>
      <c r="K6" s="816" t="s">
        <v>120</v>
      </c>
      <c r="L6" s="816"/>
      <c r="M6" s="816" t="s">
        <v>5</v>
      </c>
      <c r="N6" s="816"/>
      <c r="O6" s="40"/>
      <c r="P6" s="749" t="s">
        <v>118</v>
      </c>
      <c r="Q6" s="749">
        <v>20</v>
      </c>
      <c r="R6" s="749"/>
      <c r="S6" s="749" t="s">
        <v>118</v>
      </c>
      <c r="T6" s="749">
        <v>12746</v>
      </c>
      <c r="U6" s="749"/>
      <c r="V6" s="749" t="s">
        <v>118</v>
      </c>
      <c r="W6" s="749">
        <v>524936</v>
      </c>
      <c r="X6" s="557"/>
      <c r="Y6" s="557"/>
      <c r="Z6" s="43"/>
      <c r="AA6" s="43"/>
    </row>
    <row r="7" spans="2:27" s="45" customFormat="1" ht="40.5" customHeight="1" x14ac:dyDescent="0.2">
      <c r="B7" s="415" t="s">
        <v>117</v>
      </c>
      <c r="C7" s="262">
        <f>SUM(C8)</f>
        <v>22</v>
      </c>
      <c r="D7" s="263"/>
      <c r="E7" s="264">
        <f>SUM(E8:E8)</f>
        <v>34.920634920634917</v>
      </c>
      <c r="F7" s="263"/>
      <c r="G7" s="262">
        <f>SUM(G8)</f>
        <v>22154</v>
      </c>
      <c r="H7" s="263"/>
      <c r="I7" s="264">
        <f>SUM(I8:I8)</f>
        <v>28.882457238214435</v>
      </c>
      <c r="J7" s="263"/>
      <c r="K7" s="262">
        <f>SUM(K8)</f>
        <v>586856</v>
      </c>
      <c r="L7" s="263"/>
      <c r="M7" s="264">
        <f>SUM(M8:M8)</f>
        <v>25.565319518574473</v>
      </c>
      <c r="N7" s="256"/>
      <c r="P7" s="749" t="s">
        <v>119</v>
      </c>
      <c r="Q7" s="749">
        <v>21</v>
      </c>
      <c r="R7" s="749"/>
      <c r="S7" s="749" t="s">
        <v>119</v>
      </c>
      <c r="T7" s="749">
        <v>41804</v>
      </c>
      <c r="U7" s="749"/>
      <c r="V7" s="749" t="s">
        <v>119</v>
      </c>
      <c r="W7" s="749">
        <v>1183724</v>
      </c>
      <c r="X7" s="559"/>
      <c r="Y7" s="559"/>
      <c r="Z7" s="46"/>
      <c r="AA7" s="46"/>
    </row>
    <row r="8" spans="2:27" s="45" customFormat="1" ht="30" customHeight="1" x14ac:dyDescent="0.2">
      <c r="B8" s="416" t="s">
        <v>249</v>
      </c>
      <c r="C8" s="265">
        <v>22</v>
      </c>
      <c r="D8" s="265"/>
      <c r="E8" s="266">
        <f>C8*100/C13</f>
        <v>34.920634920634917</v>
      </c>
      <c r="F8" s="265"/>
      <c r="G8" s="265">
        <v>22154</v>
      </c>
      <c r="H8" s="265"/>
      <c r="I8" s="267">
        <f>G8*100/G13</f>
        <v>28.882457238214435</v>
      </c>
      <c r="J8" s="265"/>
      <c r="K8" s="265">
        <v>586856</v>
      </c>
      <c r="L8" s="265" t="s">
        <v>62</v>
      </c>
      <c r="M8" s="266">
        <f>K8*100/K13</f>
        <v>25.565319518574473</v>
      </c>
      <c r="N8" s="268"/>
      <c r="X8" s="559"/>
      <c r="Y8" s="559"/>
      <c r="Z8" s="46"/>
      <c r="AA8" s="46"/>
    </row>
    <row r="9" spans="2:27" s="45" customFormat="1" ht="40.5" customHeight="1" x14ac:dyDescent="0.2">
      <c r="B9" s="415" t="s">
        <v>118</v>
      </c>
      <c r="C9" s="262">
        <f>SUM(C10)</f>
        <v>20</v>
      </c>
      <c r="D9" s="263"/>
      <c r="E9" s="264">
        <f>SUM(E10)</f>
        <v>31.746031746031747</v>
      </c>
      <c r="F9" s="263"/>
      <c r="G9" s="262">
        <f>SUM(G10)</f>
        <v>12746</v>
      </c>
      <c r="H9" s="263"/>
      <c r="I9" s="264">
        <f>SUM(I10)</f>
        <v>16.617125573633707</v>
      </c>
      <c r="J9" s="263"/>
      <c r="K9" s="262">
        <f>SUM(K10)</f>
        <v>524936</v>
      </c>
      <c r="L9" s="263"/>
      <c r="M9" s="264">
        <f>SUM(M10)</f>
        <v>22.867886784496385</v>
      </c>
      <c r="N9" s="256"/>
      <c r="P9" s="559"/>
      <c r="Q9" s="559"/>
      <c r="R9" s="559"/>
      <c r="S9" s="559"/>
      <c r="T9" s="558"/>
      <c r="U9" s="559"/>
      <c r="V9" s="559"/>
      <c r="W9" s="558"/>
      <c r="X9" s="559"/>
      <c r="Y9" s="559"/>
      <c r="Z9" s="46"/>
      <c r="AA9" s="46"/>
    </row>
    <row r="10" spans="2:27" s="26" customFormat="1" ht="123.75" customHeight="1" x14ac:dyDescent="0.2">
      <c r="B10" s="561" t="s">
        <v>318</v>
      </c>
      <c r="C10" s="265">
        <v>20</v>
      </c>
      <c r="D10" s="265"/>
      <c r="E10" s="266">
        <f>C10*100/C13</f>
        <v>31.746031746031747</v>
      </c>
      <c r="F10" s="265"/>
      <c r="G10" s="265">
        <v>12746</v>
      </c>
      <c r="H10" s="265"/>
      <c r="I10" s="266">
        <f>G10*100/G13</f>
        <v>16.617125573633707</v>
      </c>
      <c r="J10" s="265"/>
      <c r="K10" s="265">
        <v>524936</v>
      </c>
      <c r="L10" s="265"/>
      <c r="M10" s="266">
        <f>K10*100/K13</f>
        <v>22.867886784496385</v>
      </c>
      <c r="N10" s="268"/>
      <c r="O10" s="45"/>
      <c r="P10" s="47"/>
      <c r="Q10" s="47"/>
      <c r="R10" s="47"/>
      <c r="S10" s="47"/>
      <c r="T10" s="47"/>
      <c r="U10" s="47"/>
      <c r="V10" s="47"/>
      <c r="W10" s="47"/>
      <c r="X10" s="47"/>
      <c r="Y10" s="47"/>
      <c r="Z10" s="47"/>
      <c r="AA10" s="47"/>
    </row>
    <row r="11" spans="2:27" s="45" customFormat="1" ht="40.5" customHeight="1" x14ac:dyDescent="0.2">
      <c r="B11" s="417" t="s">
        <v>119</v>
      </c>
      <c r="C11" s="262">
        <f>SUM(C12)</f>
        <v>21</v>
      </c>
      <c r="D11" s="270"/>
      <c r="E11" s="271">
        <f>SUM(E12)</f>
        <v>33.333333333333336</v>
      </c>
      <c r="F11" s="270"/>
      <c r="G11" s="269">
        <f>SUM(G12)</f>
        <v>41804</v>
      </c>
      <c r="H11" s="270"/>
      <c r="I11" s="271">
        <f>SUM(I12)</f>
        <v>54.500417188151857</v>
      </c>
      <c r="J11" s="270"/>
      <c r="K11" s="269">
        <f>SUM(K12)</f>
        <v>1183724</v>
      </c>
      <c r="L11" s="262"/>
      <c r="M11" s="271">
        <f>SUM(M12)</f>
        <v>51.566793696929146</v>
      </c>
      <c r="P11" s="46"/>
      <c r="Q11" s="46"/>
      <c r="R11" s="46"/>
      <c r="S11" s="46"/>
      <c r="T11" s="46"/>
      <c r="U11" s="46"/>
      <c r="V11" s="46"/>
      <c r="W11" s="46"/>
      <c r="X11" s="46"/>
      <c r="Y11" s="46"/>
      <c r="Z11" s="46"/>
      <c r="AA11" s="46"/>
    </row>
    <row r="12" spans="2:27" ht="116.25" customHeight="1" x14ac:dyDescent="0.2">
      <c r="B12" s="561" t="s">
        <v>319</v>
      </c>
      <c r="C12" s="265">
        <v>21</v>
      </c>
      <c r="D12" s="272"/>
      <c r="E12" s="266">
        <f>C12*100/C13</f>
        <v>33.333333333333336</v>
      </c>
      <c r="F12" s="272"/>
      <c r="G12" s="265">
        <v>41804</v>
      </c>
      <c r="H12" s="272"/>
      <c r="I12" s="266">
        <f>G12*100/G13</f>
        <v>54.500417188151857</v>
      </c>
      <c r="J12" s="272"/>
      <c r="K12" s="265">
        <v>1183724</v>
      </c>
      <c r="L12" s="265"/>
      <c r="M12" s="266">
        <f>K12*100/K13</f>
        <v>51.566793696929146</v>
      </c>
      <c r="N12" s="26"/>
      <c r="O12" s="26"/>
      <c r="P12" s="48"/>
      <c r="Q12" s="48"/>
      <c r="R12" s="48"/>
      <c r="S12" s="48"/>
      <c r="T12" s="48"/>
      <c r="U12" s="48"/>
      <c r="V12" s="48"/>
      <c r="W12" s="48"/>
      <c r="X12" s="48"/>
      <c r="Y12" s="48"/>
      <c r="Z12" s="48"/>
      <c r="AA12" s="48"/>
    </row>
    <row r="13" spans="2:27" ht="30.75" customHeight="1" x14ac:dyDescent="0.2">
      <c r="B13" s="418" t="s">
        <v>6</v>
      </c>
      <c r="C13" s="419">
        <f>SUM(C7+C9+C11)</f>
        <v>63</v>
      </c>
      <c r="D13" s="419"/>
      <c r="E13" s="420">
        <f>SUM(E7+E9+E11)</f>
        <v>100</v>
      </c>
      <c r="F13" s="419"/>
      <c r="G13" s="419">
        <f>SUM(G7+G9+G11)</f>
        <v>76704</v>
      </c>
      <c r="H13" s="419"/>
      <c r="I13" s="420">
        <f>SUM(I7+I9+I11)</f>
        <v>100</v>
      </c>
      <c r="J13" s="419"/>
      <c r="K13" s="419">
        <f>SUM(K7+K9+K11)</f>
        <v>2295516</v>
      </c>
      <c r="L13" s="419"/>
      <c r="M13" s="420">
        <f>SUM(M7+M9+M11)</f>
        <v>100</v>
      </c>
      <c r="N13" s="421"/>
      <c r="P13" s="50"/>
      <c r="Q13" s="50"/>
      <c r="R13" s="50"/>
      <c r="S13" s="48"/>
      <c r="T13" s="48"/>
      <c r="U13" s="48"/>
      <c r="V13" s="48"/>
      <c r="W13" s="48"/>
      <c r="X13" s="48"/>
      <c r="Y13" s="48"/>
      <c r="Z13" s="48"/>
      <c r="AA13" s="48"/>
    </row>
    <row r="14" spans="2:27" s="1" customFormat="1" ht="30" customHeight="1" x14ac:dyDescent="0.2">
      <c r="B14" s="11" t="s">
        <v>244</v>
      </c>
      <c r="C14" s="12"/>
      <c r="D14" s="12"/>
      <c r="E14" s="12"/>
      <c r="F14" s="12"/>
      <c r="G14" s="13"/>
      <c r="H14" s="12"/>
      <c r="I14" s="12"/>
      <c r="P14" s="51"/>
      <c r="Q14" s="51"/>
      <c r="R14" s="51"/>
      <c r="S14" s="51"/>
      <c r="T14" s="51"/>
      <c r="U14" s="51"/>
      <c r="V14" s="51"/>
      <c r="W14" s="51"/>
      <c r="X14" s="51"/>
      <c r="Y14" s="51"/>
      <c r="Z14" s="51"/>
      <c r="AA14" s="51"/>
    </row>
    <row r="15" spans="2:27" s="1" customFormat="1" ht="19.899999999999999" customHeight="1" x14ac:dyDescent="0.2">
      <c r="B15" s="16" t="s">
        <v>295</v>
      </c>
      <c r="C15" s="17"/>
      <c r="D15" s="17"/>
      <c r="E15" s="17"/>
      <c r="F15" s="17"/>
      <c r="G15" s="17"/>
      <c r="H15" s="18"/>
      <c r="I15" s="18"/>
      <c r="J15" s="18"/>
      <c r="K15" s="18"/>
      <c r="P15" s="51"/>
      <c r="Q15" s="51"/>
      <c r="R15" s="51"/>
      <c r="S15" s="51"/>
      <c r="T15" s="51"/>
      <c r="U15" s="51"/>
      <c r="V15" s="51"/>
      <c r="W15" s="51"/>
      <c r="X15" s="51"/>
      <c r="Y15" s="51"/>
      <c r="Z15" s="51"/>
      <c r="AA15" s="51"/>
    </row>
    <row r="16" spans="2:27" s="1" customFormat="1" ht="25.15" customHeight="1" x14ac:dyDescent="0.2">
      <c r="B16" s="22" t="s">
        <v>279</v>
      </c>
      <c r="D16" s="23"/>
      <c r="E16" s="24"/>
      <c r="F16" s="23"/>
      <c r="G16" s="25"/>
      <c r="H16" s="26"/>
      <c r="I16" s="27"/>
      <c r="J16" s="27"/>
      <c r="P16" s="51"/>
      <c r="Q16" s="51"/>
      <c r="R16" s="51"/>
      <c r="S16" s="51"/>
      <c r="T16" s="51"/>
      <c r="U16" s="51"/>
      <c r="V16" s="51"/>
      <c r="W16" s="51"/>
      <c r="X16" s="51"/>
      <c r="Y16" s="51"/>
      <c r="Z16" s="51"/>
      <c r="AA16" s="51"/>
    </row>
    <row r="17" spans="2:27" s="26" customFormat="1" ht="40.9" customHeight="1" x14ac:dyDescent="0.2">
      <c r="P17" s="47"/>
      <c r="Q17" s="47"/>
      <c r="R17" s="47"/>
      <c r="S17" s="47"/>
      <c r="T17" s="47"/>
      <c r="U17" s="47"/>
      <c r="V17" s="47"/>
      <c r="W17" s="47"/>
      <c r="X17" s="47"/>
      <c r="Y17" s="47"/>
      <c r="Z17" s="47"/>
      <c r="AA17" s="47"/>
    </row>
    <row r="18" spans="2:27" ht="24" customHeight="1" x14ac:dyDescent="0.2">
      <c r="B18" s="52"/>
      <c r="P18" s="48"/>
      <c r="Q18" s="48"/>
      <c r="R18" s="48"/>
      <c r="S18" s="48"/>
      <c r="T18" s="48"/>
      <c r="U18" s="48"/>
      <c r="V18" s="48"/>
      <c r="W18" s="48"/>
      <c r="X18" s="48"/>
      <c r="Y18" s="48"/>
      <c r="Z18" s="48"/>
      <c r="AA18" s="48"/>
    </row>
    <row r="19" spans="2:27" x14ac:dyDescent="0.2">
      <c r="B19" s="52"/>
      <c r="P19" s="48"/>
      <c r="Q19" s="48"/>
      <c r="R19" s="48"/>
      <c r="S19" s="48"/>
      <c r="T19" s="48"/>
      <c r="U19" s="48"/>
      <c r="V19" s="48"/>
      <c r="W19" s="48"/>
      <c r="X19" s="48"/>
      <c r="Y19" s="48"/>
      <c r="Z19" s="48"/>
      <c r="AA19" s="48"/>
    </row>
    <row r="20" spans="2:27" x14ac:dyDescent="0.2">
      <c r="P20" s="48"/>
      <c r="Q20" s="48"/>
      <c r="R20" s="48"/>
      <c r="S20" s="48"/>
      <c r="T20" s="48"/>
      <c r="U20" s="48"/>
      <c r="V20" s="48"/>
      <c r="W20" s="48"/>
      <c r="X20" s="48"/>
      <c r="Y20" s="48"/>
      <c r="Z20" s="48"/>
      <c r="AA20" s="48"/>
    </row>
    <row r="21" spans="2:27" x14ac:dyDescent="0.2">
      <c r="B21" s="810"/>
      <c r="C21" s="810"/>
      <c r="D21" s="810"/>
      <c r="E21" s="810"/>
      <c r="F21" s="810"/>
      <c r="G21" s="810"/>
      <c r="H21" s="810"/>
      <c r="I21" s="810"/>
      <c r="J21" s="810"/>
      <c r="K21" s="810"/>
      <c r="L21" s="810"/>
      <c r="M21" s="810"/>
      <c r="N21" s="810"/>
      <c r="P21" s="48"/>
      <c r="Q21" s="48"/>
      <c r="R21" s="48"/>
      <c r="S21" s="48"/>
      <c r="T21" s="48"/>
      <c r="U21" s="48"/>
      <c r="V21" s="48"/>
      <c r="W21" s="48"/>
      <c r="X21" s="48"/>
      <c r="Y21" s="48"/>
      <c r="Z21" s="48"/>
      <c r="AA21" s="48"/>
    </row>
    <row r="22" spans="2:27" x14ac:dyDescent="0.2">
      <c r="P22" s="48"/>
      <c r="Q22" s="48"/>
      <c r="R22" s="48"/>
      <c r="S22" s="48"/>
      <c r="T22" s="48"/>
      <c r="U22" s="48"/>
      <c r="V22" s="48"/>
      <c r="W22" s="48"/>
      <c r="X22" s="48"/>
      <c r="Y22" s="48"/>
      <c r="Z22" s="48"/>
      <c r="AA22" s="48"/>
    </row>
    <row r="23" spans="2:27" x14ac:dyDescent="0.2">
      <c r="P23" s="48"/>
      <c r="Q23" s="48"/>
      <c r="R23" s="48"/>
      <c r="S23" s="48"/>
      <c r="T23" s="48"/>
      <c r="U23" s="48"/>
      <c r="V23" s="48"/>
      <c r="W23" s="48"/>
      <c r="X23" s="48"/>
      <c r="Y23" s="48"/>
      <c r="Z23" s="48"/>
      <c r="AA23" s="48"/>
    </row>
    <row r="24" spans="2:27" x14ac:dyDescent="0.2">
      <c r="P24" s="48"/>
      <c r="Q24" s="48"/>
      <c r="R24" s="48"/>
      <c r="S24" s="48"/>
      <c r="T24" s="48"/>
      <c r="U24" s="48"/>
      <c r="V24" s="48"/>
      <c r="W24" s="48"/>
      <c r="X24" s="48"/>
      <c r="Y24" s="48"/>
      <c r="Z24" s="48"/>
      <c r="AA24" s="48"/>
    </row>
    <row r="25" spans="2:27" x14ac:dyDescent="0.2">
      <c r="P25" s="48"/>
      <c r="Q25" s="48"/>
      <c r="R25" s="48"/>
      <c r="S25" s="48"/>
      <c r="T25" s="48"/>
      <c r="U25" s="48"/>
      <c r="V25" s="48"/>
      <c r="W25" s="48"/>
      <c r="X25" s="48"/>
      <c r="Y25" s="48"/>
      <c r="Z25" s="48"/>
      <c r="AA25" s="48"/>
    </row>
    <row r="26" spans="2:27" x14ac:dyDescent="0.2">
      <c r="P26" s="48"/>
      <c r="Q26" s="48"/>
      <c r="R26" s="48"/>
      <c r="S26" s="48"/>
      <c r="T26" s="48"/>
      <c r="U26" s="48"/>
      <c r="V26" s="48"/>
      <c r="W26" s="48"/>
      <c r="X26" s="48"/>
      <c r="Y26" s="48"/>
      <c r="Z26" s="48"/>
      <c r="AA26" s="48"/>
    </row>
    <row r="27" spans="2:27" x14ac:dyDescent="0.2">
      <c r="P27" s="48"/>
      <c r="Q27" s="48"/>
      <c r="R27" s="48"/>
      <c r="S27" s="48"/>
      <c r="T27" s="48"/>
      <c r="U27" s="48"/>
      <c r="V27" s="48"/>
      <c r="W27" s="48"/>
      <c r="X27" s="48"/>
      <c r="Y27" s="48"/>
      <c r="Z27" s="48"/>
      <c r="AA27" s="48"/>
    </row>
    <row r="28" spans="2:27" x14ac:dyDescent="0.2">
      <c r="P28" s="48"/>
      <c r="Q28" s="48"/>
      <c r="R28" s="48"/>
      <c r="S28" s="48"/>
      <c r="T28" s="48"/>
      <c r="U28" s="48"/>
      <c r="V28" s="48"/>
      <c r="W28" s="48"/>
      <c r="X28" s="48"/>
      <c r="Y28" s="48"/>
      <c r="Z28" s="48"/>
      <c r="AA28" s="48"/>
    </row>
    <row r="29" spans="2:27" x14ac:dyDescent="0.2">
      <c r="P29" s="48"/>
      <c r="Q29" s="48"/>
      <c r="R29" s="48"/>
      <c r="S29" s="48"/>
      <c r="T29" s="48"/>
      <c r="U29" s="48"/>
      <c r="V29" s="48"/>
      <c r="W29" s="48"/>
      <c r="X29" s="48"/>
      <c r="Y29" s="48"/>
      <c r="Z29" s="48"/>
      <c r="AA29" s="48"/>
    </row>
    <row r="30" spans="2:27" x14ac:dyDescent="0.2">
      <c r="P30" s="48"/>
      <c r="Q30" s="48"/>
      <c r="R30" s="48"/>
      <c r="S30" s="48"/>
      <c r="T30" s="48"/>
      <c r="U30" s="48"/>
      <c r="V30" s="48"/>
      <c r="W30" s="48"/>
      <c r="X30" s="48"/>
      <c r="Y30" s="48"/>
      <c r="Z30" s="48"/>
      <c r="AA30" s="48"/>
    </row>
    <row r="31" spans="2:27" x14ac:dyDescent="0.2">
      <c r="P31" s="48"/>
      <c r="Q31" s="48"/>
      <c r="R31" s="48"/>
      <c r="S31" s="48"/>
      <c r="T31" s="48"/>
      <c r="U31" s="48"/>
      <c r="V31" s="48"/>
      <c r="W31" s="48"/>
      <c r="X31" s="48"/>
      <c r="Y31" s="48"/>
      <c r="Z31" s="48"/>
      <c r="AA31" s="48"/>
    </row>
    <row r="32" spans="2:27" x14ac:dyDescent="0.2">
      <c r="P32" s="48"/>
      <c r="Q32" s="48"/>
      <c r="R32" s="48"/>
      <c r="S32" s="48"/>
      <c r="T32" s="48"/>
      <c r="U32" s="48"/>
      <c r="V32" s="48"/>
      <c r="W32" s="48"/>
      <c r="X32" s="48"/>
      <c r="Y32" s="48"/>
      <c r="Z32" s="48"/>
      <c r="AA32" s="48"/>
    </row>
    <row r="33" spans="16:27" x14ac:dyDescent="0.2">
      <c r="P33" s="48"/>
      <c r="Q33" s="48"/>
      <c r="R33" s="48"/>
      <c r="S33" s="48"/>
      <c r="T33" s="48"/>
      <c r="U33" s="48"/>
      <c r="V33" s="48"/>
      <c r="W33" s="48"/>
      <c r="X33" s="48"/>
      <c r="Y33" s="48"/>
      <c r="Z33" s="48"/>
      <c r="AA33" s="48"/>
    </row>
    <row r="34" spans="16:27" x14ac:dyDescent="0.2">
      <c r="P34" s="48"/>
      <c r="Q34" s="48"/>
      <c r="R34" s="48"/>
      <c r="S34" s="48"/>
      <c r="T34" s="48"/>
      <c r="U34" s="48"/>
      <c r="V34" s="48"/>
      <c r="W34" s="48"/>
      <c r="X34" s="48"/>
      <c r="Y34" s="48"/>
      <c r="Z34" s="48"/>
      <c r="AA34" s="48"/>
    </row>
    <row r="35" spans="16:27" x14ac:dyDescent="0.2">
      <c r="P35" s="48"/>
      <c r="Q35" s="48"/>
      <c r="R35" s="48"/>
      <c r="S35" s="48"/>
      <c r="T35" s="48"/>
      <c r="U35" s="48"/>
      <c r="V35" s="48"/>
      <c r="W35" s="48"/>
      <c r="X35" s="48"/>
      <c r="Y35" s="48"/>
      <c r="Z35" s="48"/>
      <c r="AA35" s="48"/>
    </row>
    <row r="36" spans="16:27" x14ac:dyDescent="0.2">
      <c r="P36" s="48"/>
      <c r="Q36" s="48"/>
      <c r="R36" s="48"/>
      <c r="S36" s="48"/>
      <c r="T36" s="48"/>
      <c r="U36" s="48"/>
      <c r="V36" s="48"/>
      <c r="W36" s="48"/>
      <c r="X36" s="48"/>
      <c r="Y36" s="48"/>
      <c r="Z36" s="48"/>
      <c r="AA36" s="48"/>
    </row>
    <row r="37" spans="16:27" x14ac:dyDescent="0.2">
      <c r="P37" s="48"/>
      <c r="Q37" s="48"/>
      <c r="R37" s="48"/>
      <c r="S37" s="48"/>
      <c r="T37" s="48"/>
      <c r="U37" s="48"/>
      <c r="V37" s="48"/>
      <c r="W37" s="48"/>
      <c r="X37" s="48"/>
      <c r="Y37" s="48"/>
      <c r="Z37" s="48"/>
      <c r="AA37" s="48"/>
    </row>
    <row r="38" spans="16:27" x14ac:dyDescent="0.2">
      <c r="P38" s="48"/>
      <c r="Q38" s="48"/>
      <c r="R38" s="48"/>
      <c r="S38" s="48"/>
      <c r="T38" s="48"/>
      <c r="U38" s="48"/>
      <c r="V38" s="48"/>
      <c r="W38" s="48"/>
      <c r="X38" s="48"/>
      <c r="Y38" s="48"/>
      <c r="Z38" s="48"/>
      <c r="AA38" s="48"/>
    </row>
    <row r="39" spans="16:27" x14ac:dyDescent="0.2">
      <c r="P39" s="48"/>
      <c r="Q39" s="48"/>
      <c r="R39" s="48"/>
      <c r="S39" s="48"/>
      <c r="T39" s="48"/>
      <c r="U39" s="48"/>
      <c r="V39" s="48"/>
      <c r="W39" s="48"/>
      <c r="X39" s="48"/>
      <c r="Y39" s="48"/>
      <c r="Z39" s="48"/>
      <c r="AA39" s="48"/>
    </row>
    <row r="40" spans="16:27" x14ac:dyDescent="0.2">
      <c r="P40" s="48"/>
      <c r="Q40" s="48"/>
      <c r="R40" s="48"/>
      <c r="S40" s="48"/>
      <c r="T40" s="48"/>
      <c r="U40" s="48"/>
      <c r="V40" s="48"/>
      <c r="W40" s="48"/>
      <c r="X40" s="48"/>
      <c r="Y40" s="48"/>
      <c r="Z40" s="48"/>
      <c r="AA40" s="48"/>
    </row>
    <row r="41" spans="16:27" x14ac:dyDescent="0.2">
      <c r="P41" s="48"/>
      <c r="Q41" s="48"/>
      <c r="R41" s="48"/>
      <c r="S41" s="48"/>
      <c r="T41" s="48"/>
      <c r="U41" s="48"/>
      <c r="V41" s="48"/>
      <c r="W41" s="48"/>
      <c r="X41" s="48"/>
      <c r="Y41" s="48"/>
      <c r="Z41" s="48"/>
      <c r="AA41" s="48"/>
    </row>
    <row r="42" spans="16:27" x14ac:dyDescent="0.2">
      <c r="P42" s="48"/>
      <c r="Q42" s="48"/>
      <c r="R42" s="48"/>
      <c r="S42" s="48"/>
      <c r="T42" s="48"/>
      <c r="U42" s="48"/>
      <c r="V42" s="48"/>
      <c r="W42" s="48"/>
      <c r="X42" s="48"/>
      <c r="Y42" s="48"/>
      <c r="Z42" s="48"/>
      <c r="AA42" s="48"/>
    </row>
    <row r="43" spans="16:27" x14ac:dyDescent="0.2">
      <c r="P43" s="48"/>
      <c r="Q43" s="48"/>
      <c r="R43" s="48"/>
      <c r="S43" s="48"/>
      <c r="T43" s="48"/>
      <c r="U43" s="48"/>
      <c r="V43" s="48"/>
      <c r="W43" s="48"/>
      <c r="X43" s="48"/>
      <c r="Y43" s="48"/>
      <c r="Z43" s="48"/>
      <c r="AA43" s="48"/>
    </row>
    <row r="44" spans="16:27" x14ac:dyDescent="0.2">
      <c r="P44" s="48"/>
      <c r="Q44" s="48"/>
      <c r="R44" s="48"/>
      <c r="S44" s="48"/>
      <c r="T44" s="48"/>
      <c r="U44" s="48"/>
      <c r="V44" s="48"/>
      <c r="W44" s="48"/>
      <c r="X44" s="48"/>
      <c r="Y44" s="48"/>
      <c r="Z44" s="48"/>
      <c r="AA44" s="48"/>
    </row>
    <row r="45" spans="16:27" x14ac:dyDescent="0.2">
      <c r="P45" s="48"/>
      <c r="Q45" s="48"/>
      <c r="R45" s="48"/>
      <c r="S45" s="48"/>
      <c r="T45" s="48"/>
      <c r="U45" s="48"/>
      <c r="V45" s="48"/>
      <c r="W45" s="48"/>
      <c r="X45" s="48"/>
      <c r="Y45" s="48"/>
      <c r="Z45" s="48"/>
      <c r="AA45" s="48"/>
    </row>
    <row r="46" spans="16:27" x14ac:dyDescent="0.2">
      <c r="P46" s="48"/>
      <c r="Q46" s="48"/>
      <c r="R46" s="48"/>
      <c r="S46" s="48"/>
      <c r="T46" s="48"/>
      <c r="U46" s="48"/>
      <c r="V46" s="48"/>
      <c r="W46" s="48"/>
      <c r="X46" s="48"/>
      <c r="Y46" s="48"/>
      <c r="Z46" s="48"/>
      <c r="AA46" s="48"/>
    </row>
    <row r="47" spans="16:27" x14ac:dyDescent="0.2">
      <c r="P47" s="48"/>
      <c r="Q47" s="48"/>
      <c r="R47" s="48"/>
      <c r="S47" s="48"/>
      <c r="T47" s="48"/>
      <c r="U47" s="48"/>
      <c r="V47" s="48"/>
      <c r="W47" s="48"/>
      <c r="X47" s="48"/>
      <c r="Y47" s="48"/>
      <c r="Z47" s="48"/>
      <c r="AA47" s="48"/>
    </row>
    <row r="48" spans="16:27" x14ac:dyDescent="0.2">
      <c r="P48" s="48"/>
      <c r="Q48" s="48"/>
      <c r="R48" s="48"/>
      <c r="S48" s="48"/>
      <c r="T48" s="48"/>
      <c r="U48" s="48"/>
      <c r="V48" s="48"/>
      <c r="W48" s="48"/>
      <c r="X48" s="48"/>
      <c r="Y48" s="48"/>
      <c r="Z48" s="48"/>
      <c r="AA48" s="48"/>
    </row>
    <row r="49" spans="16:27" x14ac:dyDescent="0.2">
      <c r="P49" s="48"/>
      <c r="Q49" s="48"/>
      <c r="R49" s="48"/>
      <c r="S49" s="48"/>
      <c r="T49" s="48"/>
      <c r="U49" s="48"/>
      <c r="V49" s="48"/>
      <c r="W49" s="48"/>
      <c r="X49" s="48"/>
      <c r="Y49" s="48"/>
      <c r="Z49" s="48"/>
      <c r="AA49" s="48"/>
    </row>
    <row r="50" spans="16:27" x14ac:dyDescent="0.2">
      <c r="P50" s="48"/>
      <c r="Q50" s="48"/>
      <c r="R50" s="48"/>
      <c r="S50" s="48"/>
      <c r="T50" s="48"/>
      <c r="U50" s="48"/>
      <c r="V50" s="48"/>
      <c r="W50" s="48"/>
      <c r="X50" s="48"/>
      <c r="Y50" s="48"/>
      <c r="Z50" s="48"/>
      <c r="AA50" s="48"/>
    </row>
    <row r="51" spans="16:27" x14ac:dyDescent="0.2">
      <c r="P51" s="48"/>
      <c r="Q51" s="48"/>
      <c r="R51" s="48"/>
      <c r="S51" s="48"/>
      <c r="T51" s="48"/>
      <c r="U51" s="48"/>
      <c r="V51" s="48"/>
      <c r="W51" s="48"/>
      <c r="X51" s="48"/>
      <c r="Y51" s="48"/>
      <c r="Z51" s="48"/>
      <c r="AA51" s="48"/>
    </row>
    <row r="52" spans="16:27" x14ac:dyDescent="0.2">
      <c r="P52" s="48"/>
      <c r="Q52" s="48"/>
      <c r="R52" s="48"/>
      <c r="S52" s="48"/>
      <c r="T52" s="48"/>
      <c r="U52" s="48"/>
      <c r="V52" s="48"/>
      <c r="W52" s="48"/>
      <c r="X52" s="48"/>
      <c r="Y52" s="48"/>
      <c r="Z52" s="48"/>
      <c r="AA52" s="48"/>
    </row>
    <row r="53" spans="16:27" x14ac:dyDescent="0.2">
      <c r="P53" s="48"/>
      <c r="Q53" s="48"/>
      <c r="R53" s="48"/>
      <c r="S53" s="48"/>
      <c r="T53" s="48"/>
      <c r="U53" s="48"/>
      <c r="V53" s="48"/>
      <c r="W53" s="48"/>
      <c r="X53" s="48"/>
      <c r="Y53" s="48"/>
      <c r="Z53" s="48"/>
      <c r="AA53" s="48"/>
    </row>
    <row r="54" spans="16:27" x14ac:dyDescent="0.2">
      <c r="P54" s="48"/>
      <c r="Q54" s="48"/>
      <c r="R54" s="48"/>
      <c r="S54" s="48"/>
      <c r="T54" s="48"/>
      <c r="U54" s="48"/>
      <c r="V54" s="48"/>
      <c r="W54" s="48"/>
      <c r="X54" s="48"/>
      <c r="Y54" s="48"/>
      <c r="Z54" s="48"/>
      <c r="AA54" s="48"/>
    </row>
    <row r="55" spans="16:27" x14ac:dyDescent="0.2">
      <c r="P55" s="48"/>
      <c r="Q55" s="48"/>
      <c r="R55" s="48"/>
      <c r="S55" s="48"/>
      <c r="T55" s="48"/>
      <c r="U55" s="48"/>
      <c r="V55" s="48"/>
      <c r="W55" s="48"/>
      <c r="X55" s="48"/>
      <c r="Y55" s="48"/>
      <c r="Z55" s="48"/>
      <c r="AA55" s="48"/>
    </row>
    <row r="56" spans="16:27" x14ac:dyDescent="0.2">
      <c r="P56" s="48"/>
      <c r="Q56" s="48"/>
      <c r="R56" s="48"/>
      <c r="S56" s="48"/>
      <c r="T56" s="48"/>
      <c r="U56" s="48"/>
      <c r="V56" s="48"/>
      <c r="W56" s="48"/>
      <c r="X56" s="48"/>
      <c r="Y56" s="48"/>
      <c r="Z56" s="48"/>
      <c r="AA56" s="48"/>
    </row>
    <row r="57" spans="16:27" x14ac:dyDescent="0.2">
      <c r="P57" s="48"/>
      <c r="Q57" s="48"/>
      <c r="R57" s="48"/>
      <c r="S57" s="48"/>
      <c r="T57" s="48"/>
      <c r="U57" s="48"/>
      <c r="V57" s="48"/>
      <c r="W57" s="48"/>
      <c r="X57" s="48"/>
      <c r="Y57" s="48"/>
      <c r="Z57" s="48"/>
      <c r="AA57" s="48"/>
    </row>
    <row r="58" spans="16:27" x14ac:dyDescent="0.2">
      <c r="P58" s="48"/>
      <c r="Q58" s="48"/>
      <c r="R58" s="48"/>
      <c r="S58" s="48"/>
      <c r="T58" s="48"/>
      <c r="U58" s="48"/>
      <c r="V58" s="48"/>
      <c r="W58" s="48"/>
      <c r="X58" s="48"/>
      <c r="Y58" s="48"/>
      <c r="Z58" s="48"/>
      <c r="AA58" s="48"/>
    </row>
    <row r="59" spans="16:27" x14ac:dyDescent="0.2">
      <c r="P59" s="48"/>
      <c r="Q59" s="48"/>
      <c r="R59" s="48"/>
      <c r="S59" s="48"/>
      <c r="T59" s="48"/>
      <c r="U59" s="48"/>
      <c r="V59" s="48"/>
      <c r="W59" s="48"/>
      <c r="X59" s="48"/>
      <c r="Y59" s="48"/>
      <c r="Z59" s="48"/>
      <c r="AA59" s="48"/>
    </row>
    <row r="60" spans="16:27" x14ac:dyDescent="0.2">
      <c r="P60" s="48"/>
      <c r="Q60" s="48"/>
      <c r="R60" s="48"/>
      <c r="S60" s="48"/>
      <c r="T60" s="48"/>
      <c r="U60" s="48"/>
      <c r="V60" s="48"/>
      <c r="W60" s="48"/>
      <c r="X60" s="48"/>
      <c r="Y60" s="48"/>
      <c r="Z60" s="48"/>
      <c r="AA60" s="48"/>
    </row>
  </sheetData>
  <mergeCells count="15">
    <mergeCell ref="V3:Y3"/>
    <mergeCell ref="B21:N21"/>
    <mergeCell ref="B1:N1"/>
    <mergeCell ref="C5:F5"/>
    <mergeCell ref="B5:B6"/>
    <mergeCell ref="G5:J5"/>
    <mergeCell ref="K5:N5"/>
    <mergeCell ref="M6:N6"/>
    <mergeCell ref="B3:N3"/>
    <mergeCell ref="B4:N4"/>
    <mergeCell ref="C6:D6"/>
    <mergeCell ref="E6:F6"/>
    <mergeCell ref="G6:H6"/>
    <mergeCell ref="I6:J6"/>
    <mergeCell ref="K6:L6"/>
  </mergeCells>
  <phoneticPr fontId="2" type="noConversion"/>
  <printOptions horizontalCentered="1" verticalCentered="1"/>
  <pageMargins left="0" right="0" top="0" bottom="0" header="0" footer="0"/>
  <pageSetup paperSize="9" scale="60" orientation="landscape" r:id="rId1"/>
  <headerFooter alignWithMargins="0"/>
  <ignoredErrors>
    <ignoredError sqref="E10:M10"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14999847407452621"/>
  </sheetPr>
  <dimension ref="B1:AP57"/>
  <sheetViews>
    <sheetView showGridLines="0" view="pageBreakPreview" zoomScale="60" zoomScaleNormal="60" workbookViewId="0">
      <selection activeCell="Q18" sqref="Q18:W44"/>
    </sheetView>
  </sheetViews>
  <sheetFormatPr baseColWidth="10" defaultColWidth="11.5703125" defaultRowHeight="12.75" x14ac:dyDescent="0.2"/>
  <cols>
    <col min="1" max="1" width="11.5703125" style="49"/>
    <col min="2" max="2" width="38.7109375" style="49" customWidth="1"/>
    <col min="3" max="3" width="13.7109375" style="49" customWidth="1"/>
    <col min="4" max="4" width="5.7109375" style="49" customWidth="1"/>
    <col min="5" max="5" width="11.5703125" style="49"/>
    <col min="6" max="6" width="5.7109375" style="49" customWidth="1"/>
    <col min="7" max="7" width="19.5703125" style="49" customWidth="1"/>
    <col min="8" max="8" width="5.5703125" style="49" customWidth="1"/>
    <col min="9" max="9" width="15.7109375" style="49" customWidth="1"/>
    <col min="10" max="10" width="10.7109375" style="49" customWidth="1"/>
    <col min="11" max="11" width="22.7109375" style="49" customWidth="1"/>
    <col min="12" max="12" width="5.7109375" style="49" customWidth="1"/>
    <col min="13" max="13" width="15.7109375" style="49" customWidth="1"/>
    <col min="14" max="14" width="5.7109375" style="49" customWidth="1"/>
    <col min="15" max="15" width="3.5703125" style="49" customWidth="1"/>
    <col min="16" max="17" width="11.5703125" style="49"/>
    <col min="18" max="18" width="17" style="49" customWidth="1"/>
    <col min="19" max="19" width="11.5703125" style="49"/>
    <col min="20" max="20" width="14.28515625" style="49" customWidth="1"/>
    <col min="21" max="21" width="19" style="49" customWidth="1"/>
    <col min="22" max="16384" width="11.5703125" style="49"/>
  </cols>
  <sheetData>
    <row r="1" spans="2:42" ht="29.25" customHeight="1" x14ac:dyDescent="0.2">
      <c r="B1" s="811" t="s">
        <v>7</v>
      </c>
      <c r="C1" s="811"/>
      <c r="D1" s="811"/>
      <c r="E1" s="811"/>
      <c r="F1" s="811"/>
      <c r="G1" s="811"/>
      <c r="H1" s="811"/>
      <c r="I1" s="811"/>
      <c r="J1" s="811"/>
      <c r="K1" s="811"/>
      <c r="L1" s="811"/>
      <c r="M1" s="811"/>
      <c r="N1" s="811"/>
    </row>
    <row r="2" spans="2:42" ht="30" customHeight="1" x14ac:dyDescent="0.2">
      <c r="B2" s="37" t="s">
        <v>145</v>
      </c>
      <c r="C2" s="37"/>
      <c r="D2" s="37"/>
      <c r="E2" s="37"/>
      <c r="F2" s="37"/>
      <c r="G2" s="37"/>
      <c r="H2" s="37"/>
      <c r="I2" s="37"/>
      <c r="J2" s="37"/>
      <c r="K2" s="37"/>
      <c r="L2" s="37"/>
      <c r="M2" s="37"/>
      <c r="N2" s="37"/>
    </row>
    <row r="3" spans="2:42" ht="42" customHeight="1" x14ac:dyDescent="0.2">
      <c r="B3" s="817" t="s">
        <v>188</v>
      </c>
      <c r="C3" s="817"/>
      <c r="D3" s="817"/>
      <c r="E3" s="817"/>
      <c r="F3" s="817"/>
      <c r="G3" s="817"/>
      <c r="H3" s="817"/>
      <c r="I3" s="817"/>
      <c r="J3" s="817"/>
      <c r="K3" s="817"/>
      <c r="L3" s="817"/>
      <c r="M3" s="817"/>
      <c r="N3" s="817"/>
    </row>
    <row r="4" spans="2:42" ht="30" customHeight="1" x14ac:dyDescent="0.2">
      <c r="B4" s="811">
        <v>2024</v>
      </c>
      <c r="C4" s="811"/>
      <c r="D4" s="811"/>
      <c r="E4" s="811"/>
      <c r="F4" s="811"/>
      <c r="G4" s="811"/>
      <c r="H4" s="811"/>
      <c r="I4" s="811"/>
      <c r="J4" s="811"/>
      <c r="K4" s="811"/>
      <c r="L4" s="811"/>
      <c r="M4" s="811"/>
      <c r="N4" s="811"/>
    </row>
    <row r="5" spans="2:42" s="53" customFormat="1" ht="39" customHeight="1" x14ac:dyDescent="0.2">
      <c r="B5" s="822" t="s">
        <v>172</v>
      </c>
      <c r="C5" s="823" t="s">
        <v>2</v>
      </c>
      <c r="D5" s="824"/>
      <c r="E5" s="824"/>
      <c r="F5" s="825"/>
      <c r="G5" s="823" t="s">
        <v>15</v>
      </c>
      <c r="H5" s="824"/>
      <c r="I5" s="824"/>
      <c r="J5" s="825"/>
      <c r="K5" s="824" t="s">
        <v>12</v>
      </c>
      <c r="L5" s="824"/>
      <c r="M5" s="824"/>
      <c r="N5" s="824"/>
      <c r="O5" s="49"/>
      <c r="P5" s="49"/>
      <c r="Q5" s="49"/>
      <c r="R5" s="49"/>
      <c r="S5" s="49"/>
      <c r="T5" s="49"/>
    </row>
    <row r="6" spans="2:42" s="53" customFormat="1" ht="39" customHeight="1" x14ac:dyDescent="0.2">
      <c r="B6" s="822"/>
      <c r="C6" s="821" t="s">
        <v>63</v>
      </c>
      <c r="D6" s="821"/>
      <c r="E6" s="826" t="s">
        <v>5</v>
      </c>
      <c r="F6" s="827"/>
      <c r="G6" s="821" t="s">
        <v>82</v>
      </c>
      <c r="H6" s="821"/>
      <c r="I6" s="826" t="s">
        <v>5</v>
      </c>
      <c r="J6" s="827"/>
      <c r="K6" s="821" t="s">
        <v>83</v>
      </c>
      <c r="L6" s="821"/>
      <c r="M6" s="821" t="s">
        <v>5</v>
      </c>
      <c r="N6" s="821"/>
      <c r="O6" s="49"/>
      <c r="P6" s="49"/>
      <c r="Q6" s="49"/>
      <c r="R6" s="49"/>
      <c r="S6" s="49"/>
      <c r="T6" s="49"/>
    </row>
    <row r="7" spans="2:42" ht="40.9" customHeight="1" x14ac:dyDescent="0.2">
      <c r="B7" s="427" t="s">
        <v>97</v>
      </c>
      <c r="C7" s="273">
        <v>26</v>
      </c>
      <c r="D7" s="54"/>
      <c r="E7" s="274">
        <f>C7*100/C16</f>
        <v>41.269841269841272</v>
      </c>
      <c r="F7" s="54"/>
      <c r="G7" s="273">
        <v>41952</v>
      </c>
      <c r="H7" s="54"/>
      <c r="I7" s="274">
        <f>G7*100/G16</f>
        <v>54.693366708385483</v>
      </c>
      <c r="J7" s="54"/>
      <c r="K7" s="273">
        <v>283908</v>
      </c>
      <c r="L7" s="54"/>
      <c r="M7" s="274">
        <f>K7*100/K16</f>
        <v>12.36793818906076</v>
      </c>
      <c r="N7" s="27"/>
    </row>
    <row r="8" spans="2:42" ht="30" customHeight="1" x14ac:dyDescent="0.2">
      <c r="B8" s="427" t="s">
        <v>98</v>
      </c>
      <c r="C8" s="273">
        <v>13</v>
      </c>
      <c r="D8" s="55"/>
      <c r="E8" s="274">
        <f>C8*100/C16</f>
        <v>20.634920634920636</v>
      </c>
      <c r="F8" s="54"/>
      <c r="G8" s="273">
        <v>6188</v>
      </c>
      <c r="H8" s="55"/>
      <c r="I8" s="274">
        <f>G8*100/G16</f>
        <v>8.0673758865248235</v>
      </c>
      <c r="J8" s="54"/>
      <c r="K8" s="273">
        <v>99008</v>
      </c>
      <c r="L8" s="55"/>
      <c r="M8" s="274">
        <f>K8*100/K16</f>
        <v>4.3131043303553538</v>
      </c>
      <c r="N8" s="27"/>
    </row>
    <row r="9" spans="2:42" ht="30" customHeight="1" x14ac:dyDescent="0.2">
      <c r="B9" s="427" t="s">
        <v>99</v>
      </c>
      <c r="C9" s="273">
        <v>2</v>
      </c>
      <c r="D9" s="55"/>
      <c r="E9" s="274">
        <f>C9*100/C16</f>
        <v>3.1746031746031744</v>
      </c>
      <c r="F9" s="54"/>
      <c r="G9" s="273">
        <v>1256</v>
      </c>
      <c r="H9" s="55"/>
      <c r="I9" s="274">
        <f>G9*100/G16</f>
        <v>1.6374634960367125</v>
      </c>
      <c r="J9" s="54"/>
      <c r="K9" s="273">
        <v>30144</v>
      </c>
      <c r="L9" s="55"/>
      <c r="M9" s="274">
        <f>K9*100/K16</f>
        <v>1.3131688038767755</v>
      </c>
      <c r="N9" s="27"/>
    </row>
    <row r="10" spans="2:42" ht="30" customHeight="1" x14ac:dyDescent="0.2">
      <c r="B10" s="427" t="s">
        <v>100</v>
      </c>
      <c r="C10" s="273">
        <v>7</v>
      </c>
      <c r="D10" s="55"/>
      <c r="E10" s="274">
        <f>C10*100/C16</f>
        <v>11.111111111111111</v>
      </c>
      <c r="F10" s="54"/>
      <c r="G10" s="273">
        <v>13490</v>
      </c>
      <c r="H10" s="55"/>
      <c r="I10" s="274">
        <f>G10*100/G16</f>
        <v>17.587088026700041</v>
      </c>
      <c r="J10" s="54"/>
      <c r="K10" s="273">
        <v>417256</v>
      </c>
      <c r="L10" s="55"/>
      <c r="M10" s="274">
        <f>K10*100/K16</f>
        <v>18.177002469161618</v>
      </c>
      <c r="N10" s="27"/>
    </row>
    <row r="11" spans="2:42" ht="30" customHeight="1" x14ac:dyDescent="0.2">
      <c r="B11" s="427" t="s">
        <v>101</v>
      </c>
      <c r="C11" s="273">
        <v>7</v>
      </c>
      <c r="D11" s="55"/>
      <c r="E11" s="274">
        <f>C11*100/C16</f>
        <v>11.111111111111111</v>
      </c>
      <c r="F11" s="54"/>
      <c r="G11" s="273">
        <v>12742</v>
      </c>
      <c r="H11" s="55"/>
      <c r="I11" s="274">
        <f>G11*100/G16</f>
        <v>16.611910721735502</v>
      </c>
      <c r="J11" s="54"/>
      <c r="K11" s="273">
        <v>1156896</v>
      </c>
      <c r="L11" s="55"/>
      <c r="M11" s="274">
        <f>K11*100/K16</f>
        <v>50.398080431589236</v>
      </c>
      <c r="N11" s="27"/>
    </row>
    <row r="12" spans="2:42" ht="30" customHeight="1" x14ac:dyDescent="0.2">
      <c r="B12" s="427" t="s">
        <v>166</v>
      </c>
      <c r="C12" s="273">
        <v>0</v>
      </c>
      <c r="D12" s="55"/>
      <c r="E12" s="274">
        <f>C12*100/C16</f>
        <v>0</v>
      </c>
      <c r="F12" s="54"/>
      <c r="G12" s="273">
        <v>0</v>
      </c>
      <c r="H12" s="55"/>
      <c r="I12" s="274">
        <f>G12*100/G16</f>
        <v>0</v>
      </c>
      <c r="J12" s="54"/>
      <c r="K12" s="273">
        <v>0</v>
      </c>
      <c r="L12" s="55"/>
      <c r="M12" s="274">
        <f>K12*100/K16</f>
        <v>0</v>
      </c>
      <c r="N12" s="27"/>
    </row>
    <row r="13" spans="2:42" ht="30" customHeight="1" x14ac:dyDescent="0.2">
      <c r="B13" s="427" t="s">
        <v>167</v>
      </c>
      <c r="C13" s="273">
        <v>3</v>
      </c>
      <c r="D13" s="55"/>
      <c r="E13" s="274">
        <f>C13*100/C16</f>
        <v>4.7619047619047619</v>
      </c>
      <c r="F13" s="54"/>
      <c r="G13" s="273">
        <v>828</v>
      </c>
      <c r="H13" s="55"/>
      <c r="I13" s="274">
        <f>G13*100/G16</f>
        <v>1.0794743429286608</v>
      </c>
      <c r="J13" s="54"/>
      <c r="K13" s="273">
        <v>188992</v>
      </c>
      <c r="L13" s="55"/>
      <c r="M13" s="274">
        <f>K13*100/K16</f>
        <v>8.233094432798552</v>
      </c>
      <c r="N13" s="27"/>
    </row>
    <row r="14" spans="2:42" ht="30" customHeight="1" x14ac:dyDescent="0.2">
      <c r="B14" s="427" t="s">
        <v>168</v>
      </c>
      <c r="C14" s="273">
        <v>5</v>
      </c>
      <c r="D14" s="55"/>
      <c r="E14" s="274">
        <f>C14*100/C16</f>
        <v>7.9365079365079367</v>
      </c>
      <c r="F14" s="54"/>
      <c r="G14" s="273">
        <v>248</v>
      </c>
      <c r="H14" s="55"/>
      <c r="I14" s="274">
        <f>G14*100/G16</f>
        <v>0.32332081768877763</v>
      </c>
      <c r="J14" s="54"/>
      <c r="K14" s="273">
        <v>119312</v>
      </c>
      <c r="L14" s="55"/>
      <c r="M14" s="274">
        <f>K14*100/K16</f>
        <v>5.1976113431577042</v>
      </c>
      <c r="N14" s="27"/>
    </row>
    <row r="15" spans="2:42" ht="16.899999999999999" customHeight="1" x14ac:dyDescent="0.2">
      <c r="B15" s="427"/>
      <c r="C15" s="55"/>
      <c r="D15" s="55"/>
      <c r="E15" s="275"/>
      <c r="F15" s="54"/>
      <c r="G15" s="55"/>
      <c r="H15" s="55"/>
      <c r="I15" s="275"/>
      <c r="J15" s="54"/>
      <c r="K15" s="55" t="s">
        <v>220</v>
      </c>
      <c r="L15" s="55"/>
      <c r="M15" s="275"/>
      <c r="N15" s="27"/>
      <c r="P15" s="56"/>
      <c r="Q15" s="56"/>
      <c r="R15" s="56"/>
      <c r="S15" s="56"/>
      <c r="T15" s="56"/>
      <c r="U15" s="56"/>
      <c r="V15" s="56"/>
      <c r="W15" s="56"/>
      <c r="X15" s="56"/>
      <c r="Y15" s="56"/>
      <c r="Z15" s="56"/>
      <c r="AA15" s="57"/>
      <c r="AB15" s="57"/>
      <c r="AC15" s="57"/>
      <c r="AD15" s="57"/>
      <c r="AE15" s="57"/>
      <c r="AF15" s="57"/>
      <c r="AG15" s="57"/>
      <c r="AH15" s="57"/>
      <c r="AI15" s="57"/>
      <c r="AJ15" s="57"/>
      <c r="AK15" s="57"/>
      <c r="AL15" s="57"/>
      <c r="AM15" s="57"/>
      <c r="AN15" s="57"/>
      <c r="AO15" s="57"/>
      <c r="AP15" s="57"/>
    </row>
    <row r="16" spans="2:42" s="53" customFormat="1" ht="36" customHeight="1" x14ac:dyDescent="0.2">
      <c r="B16" s="418" t="s">
        <v>6</v>
      </c>
      <c r="C16" s="422">
        <f>SUM(C7:C15)</f>
        <v>63</v>
      </c>
      <c r="D16" s="422"/>
      <c r="E16" s="423">
        <f>SUM(E7:E15)</f>
        <v>100.00000000000001</v>
      </c>
      <c r="F16" s="424"/>
      <c r="G16" s="422">
        <f>SUM(G7:G15)</f>
        <v>76704</v>
      </c>
      <c r="H16" s="422"/>
      <c r="I16" s="423">
        <f>SUM(I7:I15)</f>
        <v>100</v>
      </c>
      <c r="J16" s="424"/>
      <c r="K16" s="422">
        <f>SUM(K7:K15)</f>
        <v>2295516</v>
      </c>
      <c r="L16" s="425"/>
      <c r="M16" s="423">
        <f>SUM(M7:M15)</f>
        <v>100</v>
      </c>
      <c r="N16" s="426"/>
      <c r="O16" s="49"/>
      <c r="P16" s="56"/>
      <c r="Q16" s="56"/>
      <c r="R16" s="56"/>
      <c r="S16" s="56"/>
      <c r="T16" s="56"/>
      <c r="U16" s="58"/>
      <c r="V16" s="58"/>
      <c r="W16" s="58"/>
      <c r="X16" s="58"/>
      <c r="Y16" s="58"/>
      <c r="Z16" s="58"/>
      <c r="AA16" s="59"/>
      <c r="AB16" s="59"/>
      <c r="AC16" s="59"/>
      <c r="AD16" s="59"/>
      <c r="AE16" s="59"/>
      <c r="AF16" s="59"/>
      <c r="AG16" s="59"/>
      <c r="AH16" s="59"/>
      <c r="AI16" s="59"/>
      <c r="AJ16" s="59"/>
      <c r="AK16" s="59"/>
      <c r="AL16" s="59"/>
      <c r="AM16" s="59"/>
      <c r="AN16" s="59"/>
      <c r="AO16" s="59"/>
      <c r="AP16" s="59"/>
    </row>
    <row r="17" spans="2:42" s="1" customFormat="1" ht="30" customHeight="1" x14ac:dyDescent="0.2">
      <c r="B17" s="11" t="s">
        <v>245</v>
      </c>
      <c r="C17" s="12"/>
      <c r="D17" s="12"/>
      <c r="E17" s="12"/>
      <c r="F17" s="12"/>
      <c r="G17" s="13"/>
      <c r="H17" s="12"/>
      <c r="I17" s="12"/>
    </row>
    <row r="18" spans="2:42" s="1" customFormat="1" ht="19.899999999999999" customHeight="1" x14ac:dyDescent="0.2">
      <c r="B18" s="16" t="s">
        <v>296</v>
      </c>
      <c r="C18" s="17"/>
      <c r="D18" s="17"/>
      <c r="E18" s="17"/>
      <c r="F18" s="17"/>
      <c r="G18" s="17"/>
      <c r="H18" s="18"/>
      <c r="I18" s="18"/>
      <c r="J18" s="18"/>
      <c r="K18" s="18"/>
      <c r="Q18" s="249"/>
      <c r="R18" s="249"/>
      <c r="S18" s="249"/>
      <c r="T18" s="249"/>
      <c r="U18" s="249"/>
      <c r="V18" s="249"/>
      <c r="W18" s="249"/>
    </row>
    <row r="19" spans="2:42" s="1" customFormat="1" ht="25.15" customHeight="1" x14ac:dyDescent="0.2">
      <c r="B19" s="22" t="s">
        <v>279</v>
      </c>
      <c r="D19" s="23"/>
      <c r="E19" s="24"/>
      <c r="F19" s="23"/>
      <c r="G19" s="25"/>
      <c r="H19" s="26"/>
      <c r="I19" s="27"/>
      <c r="J19" s="27"/>
      <c r="Q19" s="249"/>
      <c r="R19" s="249"/>
      <c r="S19" s="249"/>
      <c r="T19" s="249"/>
      <c r="U19" s="249"/>
      <c r="V19" s="249"/>
      <c r="W19" s="249"/>
    </row>
    <row r="20" spans="2:42" s="26" customFormat="1" ht="40.9" customHeight="1" x14ac:dyDescent="0.2">
      <c r="B20" s="810"/>
      <c r="C20" s="810"/>
      <c r="D20" s="810"/>
      <c r="E20" s="810"/>
      <c r="F20" s="810"/>
      <c r="G20" s="810"/>
      <c r="H20" s="810"/>
      <c r="I20" s="810"/>
      <c r="J20" s="810"/>
      <c r="K20" s="810"/>
      <c r="L20" s="810"/>
      <c r="M20" s="810"/>
      <c r="N20" s="810"/>
      <c r="Q20" s="750"/>
      <c r="R20" s="750"/>
      <c r="S20" s="750"/>
      <c r="T20" s="750"/>
      <c r="U20" s="750"/>
      <c r="V20" s="750"/>
      <c r="W20" s="750"/>
      <c r="X20" s="563"/>
      <c r="Y20" s="563"/>
    </row>
    <row r="21" spans="2:42" x14ac:dyDescent="0.2">
      <c r="P21" s="56"/>
      <c r="Q21" s="751"/>
      <c r="R21" s="752"/>
      <c r="S21" s="752"/>
      <c r="T21" s="752"/>
      <c r="U21" s="752"/>
      <c r="V21" s="751"/>
      <c r="W21" s="751"/>
      <c r="X21" s="57"/>
      <c r="Y21" s="57"/>
      <c r="Z21" s="57"/>
      <c r="AA21" s="57"/>
      <c r="AB21" s="57"/>
      <c r="AC21" s="57"/>
      <c r="AD21" s="57"/>
      <c r="AE21" s="57"/>
      <c r="AF21" s="57"/>
      <c r="AG21" s="57"/>
      <c r="AH21" s="57"/>
      <c r="AI21" s="57"/>
      <c r="AJ21" s="57"/>
      <c r="AK21" s="57"/>
      <c r="AL21" s="57"/>
      <c r="AM21" s="57"/>
      <c r="AN21" s="57"/>
      <c r="AO21" s="57"/>
      <c r="AP21" s="57"/>
    </row>
    <row r="22" spans="2:42" ht="24.6" customHeight="1" x14ac:dyDescent="0.2">
      <c r="P22" s="56"/>
      <c r="Q22" s="751"/>
      <c r="R22" s="753" t="s">
        <v>354</v>
      </c>
      <c r="S22" s="754">
        <v>26</v>
      </c>
      <c r="T22" s="754">
        <v>41952</v>
      </c>
      <c r="U22" s="754">
        <v>283908</v>
      </c>
      <c r="V22" s="751"/>
      <c r="W22" s="751"/>
      <c r="X22" s="57"/>
      <c r="Y22" s="57"/>
      <c r="Z22" s="57"/>
      <c r="AA22" s="57"/>
      <c r="AB22" s="57"/>
      <c r="AC22" s="57"/>
      <c r="AD22" s="57"/>
      <c r="AE22" s="57"/>
      <c r="AF22" s="57"/>
      <c r="AG22" s="57"/>
      <c r="AH22" s="57"/>
      <c r="AI22" s="57"/>
      <c r="AJ22" s="57"/>
      <c r="AK22" s="57"/>
      <c r="AL22" s="57"/>
      <c r="AM22" s="57"/>
      <c r="AN22" s="57"/>
      <c r="AO22" s="57"/>
      <c r="AP22" s="57"/>
    </row>
    <row r="23" spans="2:42" ht="15.75" x14ac:dyDescent="0.2">
      <c r="P23" s="56"/>
      <c r="Q23" s="751"/>
      <c r="R23" s="753" t="s">
        <v>98</v>
      </c>
      <c r="S23" s="754">
        <v>13</v>
      </c>
      <c r="T23" s="754">
        <v>6188</v>
      </c>
      <c r="U23" s="754">
        <v>99008</v>
      </c>
      <c r="V23" s="751"/>
      <c r="W23" s="751"/>
      <c r="X23" s="57"/>
      <c r="Y23" s="57"/>
      <c r="Z23" s="57"/>
      <c r="AA23" s="57"/>
      <c r="AB23" s="57"/>
      <c r="AC23" s="57"/>
      <c r="AD23" s="57"/>
      <c r="AE23" s="57"/>
      <c r="AF23" s="57"/>
      <c r="AG23" s="57"/>
      <c r="AH23" s="57"/>
      <c r="AI23" s="57"/>
      <c r="AJ23" s="57"/>
      <c r="AK23" s="57"/>
      <c r="AL23" s="57"/>
      <c r="AM23" s="57"/>
      <c r="AN23" s="57"/>
      <c r="AO23" s="57"/>
      <c r="AP23" s="57"/>
    </row>
    <row r="24" spans="2:42" ht="15.75" x14ac:dyDescent="0.2">
      <c r="P24" s="56"/>
      <c r="Q24" s="751"/>
      <c r="R24" s="753" t="s">
        <v>99</v>
      </c>
      <c r="S24" s="754">
        <v>2</v>
      </c>
      <c r="T24" s="754">
        <v>1256</v>
      </c>
      <c r="U24" s="754">
        <v>30144</v>
      </c>
      <c r="V24" s="751"/>
      <c r="W24" s="751"/>
      <c r="X24" s="57"/>
      <c r="Y24" s="57"/>
      <c r="Z24" s="562"/>
      <c r="AA24" s="57"/>
      <c r="AB24" s="57"/>
      <c r="AC24" s="57"/>
      <c r="AD24" s="57"/>
      <c r="AE24" s="57"/>
      <c r="AF24" s="57"/>
      <c r="AG24" s="57"/>
      <c r="AH24" s="57"/>
      <c r="AI24" s="57"/>
      <c r="AJ24" s="57"/>
      <c r="AK24" s="57"/>
      <c r="AL24" s="57"/>
      <c r="AM24" s="57"/>
      <c r="AN24" s="57"/>
      <c r="AO24" s="57"/>
      <c r="AP24" s="57"/>
    </row>
    <row r="25" spans="2:42" ht="15.75" x14ac:dyDescent="0.2">
      <c r="P25" s="56"/>
      <c r="Q25" s="751"/>
      <c r="R25" s="753" t="s">
        <v>100</v>
      </c>
      <c r="S25" s="754">
        <v>7</v>
      </c>
      <c r="T25" s="754">
        <v>13490</v>
      </c>
      <c r="U25" s="754">
        <v>417256</v>
      </c>
      <c r="V25" s="751"/>
      <c r="W25" s="751"/>
      <c r="X25" s="57"/>
      <c r="Y25" s="57"/>
      <c r="Z25" s="57"/>
      <c r="AA25" s="57"/>
      <c r="AB25" s="57"/>
      <c r="AC25" s="57"/>
      <c r="AD25" s="57"/>
      <c r="AE25" s="57"/>
      <c r="AF25" s="57"/>
      <c r="AG25" s="57"/>
      <c r="AH25" s="57"/>
      <c r="AI25" s="57"/>
      <c r="AJ25" s="57"/>
      <c r="AK25" s="57"/>
      <c r="AL25" s="57"/>
      <c r="AM25" s="57"/>
      <c r="AN25" s="57"/>
      <c r="AO25" s="57"/>
      <c r="AP25" s="57"/>
    </row>
    <row r="26" spans="2:42" ht="15.75" x14ac:dyDescent="0.2">
      <c r="P26" s="56"/>
      <c r="Q26" s="751"/>
      <c r="R26" s="753" t="s">
        <v>101</v>
      </c>
      <c r="S26" s="754">
        <v>7</v>
      </c>
      <c r="T26" s="754">
        <v>12742</v>
      </c>
      <c r="U26" s="754">
        <v>1156896</v>
      </c>
      <c r="V26" s="751"/>
      <c r="W26" s="751"/>
      <c r="X26" s="57"/>
      <c r="Y26" s="57"/>
      <c r="Z26" s="57"/>
      <c r="AA26" s="57"/>
      <c r="AB26" s="57"/>
      <c r="AC26" s="57"/>
      <c r="AD26" s="57"/>
      <c r="AE26" s="57"/>
      <c r="AF26" s="57"/>
      <c r="AG26" s="57"/>
      <c r="AH26" s="57"/>
      <c r="AI26" s="57"/>
      <c r="AJ26" s="57"/>
      <c r="AK26" s="57"/>
      <c r="AL26" s="57"/>
      <c r="AM26" s="57"/>
      <c r="AN26" s="57"/>
      <c r="AO26" s="57"/>
      <c r="AP26" s="57"/>
    </row>
    <row r="27" spans="2:42" ht="15.75" x14ac:dyDescent="0.2">
      <c r="P27" s="56"/>
      <c r="Q27" s="751"/>
      <c r="R27" s="753" t="s">
        <v>166</v>
      </c>
      <c r="S27" s="754">
        <v>0</v>
      </c>
      <c r="T27" s="754">
        <v>0</v>
      </c>
      <c r="U27" s="754">
        <v>0</v>
      </c>
      <c r="V27" s="751"/>
      <c r="W27" s="751"/>
      <c r="X27" s="57"/>
      <c r="Y27" s="57"/>
      <c r="Z27" s="57"/>
      <c r="AA27" s="57"/>
      <c r="AB27" s="57"/>
      <c r="AC27" s="57"/>
      <c r="AD27" s="57"/>
      <c r="AE27" s="57"/>
      <c r="AF27" s="57"/>
      <c r="AG27" s="57"/>
      <c r="AH27" s="57"/>
      <c r="AI27" s="57"/>
      <c r="AJ27" s="57"/>
      <c r="AK27" s="57"/>
      <c r="AL27" s="57"/>
      <c r="AM27" s="57"/>
      <c r="AN27" s="57"/>
      <c r="AO27" s="57"/>
      <c r="AP27" s="57"/>
    </row>
    <row r="28" spans="2:42" ht="15.75" x14ac:dyDescent="0.2">
      <c r="P28" s="56"/>
      <c r="Q28" s="751"/>
      <c r="R28" s="753" t="s">
        <v>167</v>
      </c>
      <c r="S28" s="754">
        <v>3</v>
      </c>
      <c r="T28" s="754">
        <v>828</v>
      </c>
      <c r="U28" s="754">
        <v>188992</v>
      </c>
      <c r="V28" s="751"/>
      <c r="W28" s="751"/>
      <c r="X28" s="57"/>
      <c r="Y28" s="57"/>
      <c r="Z28" s="57"/>
      <c r="AA28" s="57"/>
      <c r="AB28" s="57"/>
      <c r="AC28" s="57"/>
      <c r="AD28" s="57"/>
      <c r="AE28" s="57"/>
      <c r="AF28" s="57"/>
      <c r="AG28" s="57"/>
      <c r="AH28" s="57"/>
      <c r="AI28" s="57"/>
      <c r="AJ28" s="57"/>
      <c r="AK28" s="57"/>
      <c r="AL28" s="57"/>
      <c r="AM28" s="57"/>
      <c r="AN28" s="57"/>
      <c r="AO28" s="57"/>
      <c r="AP28" s="57"/>
    </row>
    <row r="29" spans="2:42" ht="15.75" x14ac:dyDescent="0.2">
      <c r="P29" s="56"/>
      <c r="Q29" s="751"/>
      <c r="R29" s="753" t="s">
        <v>168</v>
      </c>
      <c r="S29" s="754">
        <v>5</v>
      </c>
      <c r="T29" s="754">
        <v>248</v>
      </c>
      <c r="U29" s="754">
        <v>119312</v>
      </c>
      <c r="V29" s="751"/>
      <c r="W29" s="751"/>
      <c r="X29" s="57"/>
      <c r="Y29" s="57"/>
      <c r="Z29" s="57"/>
      <c r="AA29" s="57"/>
      <c r="AB29" s="57"/>
      <c r="AC29" s="57"/>
      <c r="AD29" s="57"/>
      <c r="AE29" s="57"/>
      <c r="AF29" s="57"/>
      <c r="AG29" s="57"/>
      <c r="AH29" s="57"/>
      <c r="AI29" s="57"/>
      <c r="AJ29" s="57"/>
      <c r="AK29" s="57"/>
      <c r="AL29" s="57"/>
      <c r="AM29" s="57"/>
      <c r="AN29" s="57"/>
      <c r="AO29" s="57"/>
      <c r="AP29" s="57"/>
    </row>
    <row r="30" spans="2:42" x14ac:dyDescent="0.2">
      <c r="P30" s="56"/>
      <c r="Q30" s="751"/>
      <c r="R30" s="755"/>
      <c r="S30" s="756"/>
      <c r="T30" s="755"/>
      <c r="U30" s="755"/>
      <c r="V30" s="751"/>
      <c r="W30" s="751"/>
      <c r="X30" s="57"/>
      <c r="Y30" s="57"/>
      <c r="Z30" s="57"/>
      <c r="AA30" s="57"/>
      <c r="AB30" s="57"/>
      <c r="AC30" s="57"/>
      <c r="AD30" s="57"/>
      <c r="AE30" s="57"/>
      <c r="AF30" s="57"/>
      <c r="AG30" s="57"/>
      <c r="AH30" s="57"/>
      <c r="AI30" s="57"/>
      <c r="AJ30" s="57"/>
      <c r="AK30" s="57"/>
      <c r="AL30" s="57"/>
      <c r="AM30" s="57"/>
      <c r="AN30" s="57"/>
      <c r="AO30" s="57"/>
      <c r="AP30" s="57"/>
    </row>
    <row r="31" spans="2:42" x14ac:dyDescent="0.2">
      <c r="P31" s="56"/>
      <c r="Q31" s="751"/>
      <c r="R31" s="752"/>
      <c r="S31" s="751"/>
      <c r="T31" s="751"/>
      <c r="U31" s="751"/>
      <c r="V31" s="751"/>
      <c r="W31" s="751"/>
      <c r="X31" s="57"/>
      <c r="Y31" s="57"/>
      <c r="Z31" s="57"/>
      <c r="AA31" s="57"/>
      <c r="AB31" s="57"/>
      <c r="AC31" s="57"/>
      <c r="AD31" s="57"/>
      <c r="AE31" s="57"/>
      <c r="AF31" s="57"/>
      <c r="AG31" s="57"/>
      <c r="AH31" s="57"/>
      <c r="AI31" s="57"/>
      <c r="AJ31" s="57"/>
      <c r="AK31" s="57"/>
      <c r="AL31" s="57"/>
      <c r="AM31" s="57"/>
      <c r="AN31" s="57"/>
      <c r="AO31" s="57"/>
      <c r="AP31" s="57"/>
    </row>
    <row r="32" spans="2:42" x14ac:dyDescent="0.2">
      <c r="P32" s="56"/>
      <c r="Q32" s="751"/>
      <c r="R32" s="752"/>
      <c r="S32" s="752"/>
      <c r="T32" s="752"/>
      <c r="U32" s="752"/>
      <c r="V32" s="751"/>
      <c r="W32" s="751"/>
      <c r="X32" s="57"/>
      <c r="Y32" s="57"/>
      <c r="Z32" s="57"/>
      <c r="AA32" s="57"/>
      <c r="AB32" s="57"/>
      <c r="AC32" s="57"/>
      <c r="AD32" s="57"/>
      <c r="AE32" s="57"/>
      <c r="AF32" s="57"/>
      <c r="AG32" s="57"/>
      <c r="AH32" s="57"/>
      <c r="AI32" s="57"/>
      <c r="AJ32" s="57"/>
      <c r="AK32" s="57"/>
      <c r="AL32" s="57"/>
      <c r="AM32" s="57"/>
      <c r="AN32" s="57"/>
      <c r="AO32" s="57"/>
      <c r="AP32" s="57"/>
    </row>
    <row r="33" spans="16:42" x14ac:dyDescent="0.2">
      <c r="P33" s="56"/>
      <c r="Q33" s="751"/>
      <c r="R33" s="751"/>
      <c r="S33" s="751"/>
      <c r="T33" s="751"/>
      <c r="U33" s="751"/>
      <c r="V33" s="751"/>
      <c r="W33" s="751"/>
      <c r="X33" s="57"/>
      <c r="Y33" s="57"/>
      <c r="Z33" s="57"/>
      <c r="AA33" s="57"/>
      <c r="AB33" s="57"/>
      <c r="AC33" s="57"/>
      <c r="AD33" s="57"/>
      <c r="AE33" s="57"/>
      <c r="AF33" s="57"/>
      <c r="AG33" s="57"/>
      <c r="AH33" s="57"/>
      <c r="AI33" s="57"/>
      <c r="AJ33" s="57"/>
      <c r="AK33" s="57"/>
      <c r="AL33" s="57"/>
      <c r="AM33" s="57"/>
      <c r="AN33" s="57"/>
      <c r="AO33" s="57"/>
      <c r="AP33" s="57"/>
    </row>
    <row r="34" spans="16:42" x14ac:dyDescent="0.2">
      <c r="P34" s="56"/>
      <c r="Q34" s="751"/>
      <c r="R34" s="751"/>
      <c r="S34" s="751"/>
      <c r="T34" s="751"/>
      <c r="U34" s="751"/>
      <c r="V34" s="751"/>
      <c r="W34" s="751"/>
      <c r="X34" s="57"/>
      <c r="Y34" s="57"/>
      <c r="Z34" s="57"/>
      <c r="AA34" s="57"/>
      <c r="AB34" s="57"/>
      <c r="AC34" s="57"/>
      <c r="AD34" s="57"/>
      <c r="AE34" s="57"/>
      <c r="AF34" s="57"/>
      <c r="AG34" s="57"/>
      <c r="AH34" s="57"/>
      <c r="AI34" s="57"/>
      <c r="AJ34" s="57"/>
      <c r="AK34" s="57"/>
      <c r="AL34" s="57"/>
      <c r="AM34" s="57"/>
      <c r="AN34" s="57"/>
      <c r="AO34" s="57"/>
      <c r="AP34" s="57"/>
    </row>
    <row r="35" spans="16:42" x14ac:dyDescent="0.2">
      <c r="P35" s="56"/>
      <c r="Q35" s="751"/>
      <c r="R35" s="751"/>
      <c r="S35" s="751"/>
      <c r="T35" s="751"/>
      <c r="U35" s="751"/>
      <c r="V35" s="751"/>
      <c r="W35" s="751"/>
      <c r="X35" s="57"/>
      <c r="Y35" s="57"/>
      <c r="Z35" s="57"/>
      <c r="AA35" s="57"/>
      <c r="AB35" s="57"/>
      <c r="AC35" s="57"/>
      <c r="AD35" s="57"/>
      <c r="AE35" s="57"/>
      <c r="AF35" s="57"/>
      <c r="AG35" s="57"/>
      <c r="AH35" s="57"/>
      <c r="AI35" s="57"/>
      <c r="AJ35" s="57"/>
      <c r="AK35" s="57"/>
      <c r="AL35" s="57"/>
      <c r="AM35" s="57"/>
      <c r="AN35" s="57"/>
      <c r="AO35" s="57"/>
      <c r="AP35" s="57"/>
    </row>
    <row r="36" spans="16:42" x14ac:dyDescent="0.2">
      <c r="P36" s="56"/>
      <c r="Q36" s="751"/>
      <c r="R36" s="751"/>
      <c r="S36" s="757">
        <f>SUM(S22:S29)</f>
        <v>63</v>
      </c>
      <c r="T36" s="757">
        <f>SUM(T22:T30)</f>
        <v>76704</v>
      </c>
      <c r="U36" s="757">
        <f>SUM(U22:U29)</f>
        <v>2295516</v>
      </c>
      <c r="V36" s="751"/>
      <c r="W36" s="751"/>
      <c r="X36" s="57"/>
      <c r="Y36" s="57"/>
      <c r="Z36" s="57"/>
      <c r="AA36" s="57"/>
      <c r="AB36" s="57"/>
      <c r="AC36" s="57"/>
      <c r="AD36" s="57"/>
      <c r="AE36" s="57"/>
      <c r="AF36" s="57"/>
      <c r="AG36" s="57"/>
      <c r="AH36" s="57"/>
      <c r="AI36" s="57"/>
      <c r="AJ36" s="57"/>
      <c r="AK36" s="57"/>
      <c r="AL36" s="57"/>
      <c r="AM36" s="57"/>
      <c r="AN36" s="57"/>
      <c r="AO36" s="57"/>
      <c r="AP36" s="57"/>
    </row>
    <row r="37" spans="16:42" x14ac:dyDescent="0.2">
      <c r="P37" s="56"/>
      <c r="Q37" s="751"/>
      <c r="R37" s="751"/>
      <c r="S37" s="751"/>
      <c r="T37" s="751"/>
      <c r="U37" s="751"/>
      <c r="V37" s="751"/>
      <c r="W37" s="751"/>
      <c r="X37" s="57"/>
      <c r="Y37" s="57"/>
      <c r="Z37" s="57"/>
      <c r="AA37" s="57"/>
    </row>
    <row r="38" spans="16:42" x14ac:dyDescent="0.2">
      <c r="P38" s="56"/>
      <c r="Q38" s="751"/>
      <c r="R38" s="751"/>
      <c r="S38" s="751"/>
      <c r="T38" s="751"/>
      <c r="U38" s="751"/>
      <c r="V38" s="751"/>
      <c r="W38" s="751"/>
      <c r="X38" s="57"/>
      <c r="Y38" s="57"/>
      <c r="Z38" s="57"/>
      <c r="AA38" s="57"/>
    </row>
    <row r="39" spans="16:42" x14ac:dyDescent="0.2">
      <c r="P39" s="56"/>
      <c r="Q39" s="751"/>
      <c r="R39" s="751"/>
      <c r="S39" s="751"/>
      <c r="T39" s="751"/>
      <c r="U39" s="751"/>
      <c r="V39" s="751"/>
      <c r="W39" s="751"/>
      <c r="X39" s="57"/>
      <c r="Y39" s="57"/>
      <c r="Z39" s="57"/>
      <c r="AA39" s="57"/>
    </row>
    <row r="40" spans="16:42" x14ac:dyDescent="0.2">
      <c r="P40" s="56"/>
      <c r="Q40" s="751"/>
      <c r="R40" s="751"/>
      <c r="S40" s="751"/>
      <c r="T40" s="751"/>
      <c r="U40" s="751"/>
      <c r="V40" s="751"/>
      <c r="W40" s="751"/>
      <c r="X40" s="57"/>
      <c r="Y40" s="57"/>
      <c r="Z40" s="56"/>
    </row>
    <row r="41" spans="16:42" x14ac:dyDescent="0.2">
      <c r="P41" s="56"/>
      <c r="Q41" s="751"/>
      <c r="R41" s="751"/>
      <c r="S41" s="751"/>
      <c r="T41" s="751"/>
      <c r="U41" s="751"/>
      <c r="V41" s="751"/>
      <c r="W41" s="751"/>
      <c r="X41" s="57"/>
      <c r="Y41" s="57"/>
      <c r="Z41" s="56"/>
    </row>
    <row r="42" spans="16:42" x14ac:dyDescent="0.2">
      <c r="P42" s="56"/>
      <c r="Q42" s="751"/>
      <c r="R42" s="751"/>
      <c r="S42" s="751"/>
      <c r="T42" s="751"/>
      <c r="U42" s="751"/>
      <c r="V42" s="751"/>
      <c r="W42" s="751"/>
      <c r="X42" s="57"/>
      <c r="Y42" s="57"/>
      <c r="Z42" s="56"/>
    </row>
    <row r="43" spans="16:42" x14ac:dyDescent="0.2">
      <c r="Q43" s="751"/>
      <c r="R43" s="751"/>
      <c r="S43" s="751"/>
      <c r="T43" s="751"/>
      <c r="U43" s="751"/>
      <c r="V43" s="751"/>
      <c r="W43" s="751"/>
      <c r="X43" s="57"/>
      <c r="Y43" s="57"/>
    </row>
    <row r="44" spans="16:42" x14ac:dyDescent="0.2">
      <c r="Q44" s="751"/>
      <c r="R44" s="751"/>
      <c r="S44" s="751"/>
      <c r="T44" s="751"/>
      <c r="U44" s="751"/>
      <c r="V44" s="751"/>
      <c r="W44" s="751"/>
      <c r="X44" s="57"/>
      <c r="Y44" s="57"/>
    </row>
    <row r="45" spans="16:42" x14ac:dyDescent="0.2">
      <c r="R45" s="57"/>
      <c r="S45" s="57"/>
      <c r="T45" s="57"/>
      <c r="U45" s="57"/>
      <c r="V45" s="57"/>
      <c r="W45" s="57"/>
      <c r="X45" s="57"/>
      <c r="Y45" s="57"/>
    </row>
    <row r="46" spans="16:42" x14ac:dyDescent="0.2">
      <c r="R46" s="57"/>
      <c r="S46" s="57"/>
      <c r="T46" s="57"/>
      <c r="U46" s="57"/>
      <c r="V46" s="57"/>
      <c r="W46" s="57"/>
      <c r="X46" s="57"/>
      <c r="Y46" s="57"/>
    </row>
    <row r="57" spans="20:20" x14ac:dyDescent="0.2">
      <c r="T57" s="49" t="s">
        <v>320</v>
      </c>
    </row>
  </sheetData>
  <mergeCells count="14">
    <mergeCell ref="B20:N20"/>
    <mergeCell ref="B1:N1"/>
    <mergeCell ref="B4:N4"/>
    <mergeCell ref="M6:N6"/>
    <mergeCell ref="B3:N3"/>
    <mergeCell ref="B5:B6"/>
    <mergeCell ref="C5:F5"/>
    <mergeCell ref="G5:J5"/>
    <mergeCell ref="K5:N5"/>
    <mergeCell ref="C6:D6"/>
    <mergeCell ref="E6:F6"/>
    <mergeCell ref="G6:H6"/>
    <mergeCell ref="I6:J6"/>
    <mergeCell ref="K6:L6"/>
  </mergeCells>
  <phoneticPr fontId="2" type="noConversion"/>
  <printOptions horizontalCentered="1" verticalCentered="1"/>
  <pageMargins left="0" right="0" top="0" bottom="0" header="0" footer="0"/>
  <pageSetup paperSize="9" scale="60" orientation="landscape" r:id="rId1"/>
  <headerFooter alignWithMargins="0"/>
  <colBreaks count="1" manualBreakCount="1">
    <brk id="14"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O81"/>
  <sheetViews>
    <sheetView showGridLines="0" view="pageBreakPreview" topLeftCell="A7" zoomScale="70" zoomScaleNormal="84" zoomScaleSheetLayoutView="70" workbookViewId="0">
      <selection activeCell="B8" sqref="B8"/>
    </sheetView>
  </sheetViews>
  <sheetFormatPr baseColWidth="10" defaultColWidth="11.42578125" defaultRowHeight="12.75" x14ac:dyDescent="0.2"/>
  <cols>
    <col min="1" max="1" width="3.42578125" style="61" customWidth="1"/>
    <col min="2" max="2" width="38.42578125" style="49" customWidth="1"/>
    <col min="3" max="3" width="12.5703125" style="49" customWidth="1"/>
    <col min="4" max="4" width="3.7109375" style="49" customWidth="1"/>
    <col min="5" max="5" width="14.7109375" style="49" customWidth="1"/>
    <col min="6" max="6" width="3.7109375" style="49" customWidth="1"/>
    <col min="7" max="7" width="15.7109375" style="49" customWidth="1"/>
    <col min="8" max="8" width="3.7109375" style="49" customWidth="1"/>
    <col min="9" max="9" width="15.7109375" style="49" customWidth="1"/>
    <col min="10" max="10" width="3.7109375" style="49" customWidth="1"/>
    <col min="11" max="11" width="20.7109375" style="49" customWidth="1"/>
    <col min="12" max="12" width="3.7109375" style="49" customWidth="1"/>
    <col min="13" max="13" width="20.7109375" style="49" customWidth="1"/>
    <col min="14" max="14" width="3.7109375" style="49" customWidth="1"/>
    <col min="15" max="15" width="3.5703125" style="49" customWidth="1"/>
    <col min="16" max="20" width="11.42578125" style="49"/>
    <col min="21" max="21" width="17.42578125" style="49" customWidth="1"/>
    <col min="22" max="22" width="13.5703125" style="49" customWidth="1"/>
    <col min="23" max="23" width="11.42578125" style="49"/>
    <col min="24" max="24" width="19.7109375" style="49" customWidth="1"/>
    <col min="25" max="25" width="19.28515625" style="49" customWidth="1"/>
    <col min="26" max="26" width="14.42578125" style="49" customWidth="1"/>
    <col min="27" max="27" width="11.42578125" style="49"/>
    <col min="28" max="28" width="15.42578125" style="49" customWidth="1"/>
    <col min="29" max="29" width="11.42578125" style="49"/>
    <col min="30" max="30" width="20.5703125" style="49" customWidth="1"/>
    <col min="31" max="16384" width="11.42578125" style="49"/>
  </cols>
  <sheetData>
    <row r="1" spans="1:41" ht="30" customHeight="1" x14ac:dyDescent="0.2">
      <c r="B1" s="803" t="s">
        <v>9</v>
      </c>
      <c r="C1" s="803"/>
      <c r="D1" s="803"/>
      <c r="E1" s="803"/>
      <c r="F1" s="803"/>
      <c r="G1" s="803"/>
      <c r="H1" s="803"/>
      <c r="I1" s="803"/>
      <c r="J1" s="803"/>
      <c r="K1" s="803"/>
      <c r="L1" s="803"/>
      <c r="M1" s="803"/>
      <c r="N1" s="803"/>
    </row>
    <row r="2" spans="1:41" ht="30" customHeight="1" x14ac:dyDescent="0.25">
      <c r="B2" s="828" t="s">
        <v>145</v>
      </c>
      <c r="C2" s="828"/>
      <c r="D2" s="828"/>
      <c r="E2" s="828"/>
      <c r="F2" s="828"/>
      <c r="G2" s="828"/>
      <c r="H2" s="828"/>
      <c r="I2" s="828"/>
      <c r="J2" s="828"/>
      <c r="K2" s="828"/>
      <c r="L2" s="828"/>
      <c r="M2" s="828"/>
      <c r="N2" s="828"/>
      <c r="S2" s="62"/>
      <c r="T2" s="62"/>
      <c r="U2" s="62"/>
      <c r="V2" s="62"/>
      <c r="W2" s="62"/>
      <c r="X2" s="62"/>
      <c r="Y2" s="62"/>
      <c r="Z2" s="62"/>
      <c r="AA2" s="62"/>
      <c r="AB2" s="62"/>
      <c r="AC2" s="62"/>
      <c r="AD2" s="62"/>
      <c r="AE2" s="62"/>
    </row>
    <row r="3" spans="1:41" ht="59.25" customHeight="1" x14ac:dyDescent="0.25">
      <c r="B3" s="817" t="s">
        <v>280</v>
      </c>
      <c r="C3" s="817"/>
      <c r="D3" s="817"/>
      <c r="E3" s="817"/>
      <c r="F3" s="817"/>
      <c r="G3" s="817"/>
      <c r="H3" s="817"/>
      <c r="I3" s="817"/>
      <c r="J3" s="817"/>
      <c r="K3" s="817"/>
      <c r="L3" s="817"/>
      <c r="M3" s="817"/>
      <c r="N3" s="817"/>
      <c r="R3" s="713"/>
      <c r="S3" s="758">
        <f>SUM(S5:S6)</f>
        <v>63</v>
      </c>
      <c r="T3" s="248"/>
      <c r="U3" s="248"/>
      <c r="V3" s="758">
        <f>SUM(V5:V6)</f>
        <v>76704</v>
      </c>
      <c r="W3" s="248"/>
      <c r="X3" s="758">
        <f>SUM(X5:X6)</f>
        <v>2295516</v>
      </c>
      <c r="Y3" s="248"/>
      <c r="Z3" s="758">
        <f>SUM(Z5:Z6)</f>
        <v>63</v>
      </c>
      <c r="AA3" s="248"/>
      <c r="AB3" s="758">
        <f>SUM(AB5:AB6)</f>
        <v>76704</v>
      </c>
      <c r="AC3" s="248"/>
      <c r="AD3" s="758">
        <f>SUM(AD5:AD6)</f>
        <v>2295516</v>
      </c>
      <c r="AE3" s="248"/>
      <c r="AF3" s="714"/>
      <c r="AG3" s="714"/>
      <c r="AH3" s="57"/>
      <c r="AI3" s="57"/>
      <c r="AJ3" s="57"/>
      <c r="AK3" s="57"/>
      <c r="AL3" s="57"/>
      <c r="AM3" s="57"/>
      <c r="AN3" s="57"/>
      <c r="AO3" s="57"/>
    </row>
    <row r="4" spans="1:41" ht="30" customHeight="1" x14ac:dyDescent="0.2">
      <c r="B4" s="811">
        <v>2024</v>
      </c>
      <c r="C4" s="811"/>
      <c r="D4" s="811"/>
      <c r="E4" s="811"/>
      <c r="F4" s="811"/>
      <c r="G4" s="811"/>
      <c r="H4" s="811"/>
      <c r="I4" s="811"/>
      <c r="J4" s="811"/>
      <c r="K4" s="811"/>
      <c r="L4" s="811"/>
      <c r="M4" s="811"/>
      <c r="N4" s="811"/>
      <c r="R4" s="713"/>
      <c r="S4" s="759" t="s">
        <v>236</v>
      </c>
      <c r="T4" s="760"/>
      <c r="U4" s="713"/>
      <c r="V4" s="761" t="s">
        <v>237</v>
      </c>
      <c r="W4" s="713"/>
      <c r="X4" s="761" t="s">
        <v>234</v>
      </c>
      <c r="Y4" s="761"/>
      <c r="Z4" s="759" t="s">
        <v>235</v>
      </c>
      <c r="AA4" s="713"/>
      <c r="AB4" s="761" t="s">
        <v>238</v>
      </c>
      <c r="AC4" s="713"/>
      <c r="AD4" s="761" t="s">
        <v>239</v>
      </c>
      <c r="AE4" s="713"/>
      <c r="AF4" s="714"/>
      <c r="AG4" s="714"/>
      <c r="AH4" s="57"/>
      <c r="AI4" s="57"/>
      <c r="AJ4" s="57"/>
      <c r="AK4" s="57"/>
      <c r="AL4" s="57"/>
      <c r="AM4" s="57"/>
      <c r="AN4" s="57"/>
      <c r="AO4" s="57"/>
    </row>
    <row r="5" spans="1:41" ht="56.25" customHeight="1" x14ac:dyDescent="0.2">
      <c r="B5" s="822" t="s">
        <v>153</v>
      </c>
      <c r="C5" s="825" t="s">
        <v>2</v>
      </c>
      <c r="D5" s="832"/>
      <c r="E5" s="832"/>
      <c r="F5" s="832"/>
      <c r="G5" s="833" t="s">
        <v>81</v>
      </c>
      <c r="H5" s="833"/>
      <c r="I5" s="833"/>
      <c r="J5" s="833"/>
      <c r="K5" s="833" t="s">
        <v>61</v>
      </c>
      <c r="L5" s="833"/>
      <c r="M5" s="833"/>
      <c r="N5" s="836"/>
      <c r="R5" s="762" t="s">
        <v>173</v>
      </c>
      <c r="S5" s="763">
        <v>16</v>
      </c>
      <c r="T5" s="763"/>
      <c r="U5" s="762" t="s">
        <v>173</v>
      </c>
      <c r="V5" s="763">
        <v>1954</v>
      </c>
      <c r="W5" s="762" t="s">
        <v>173</v>
      </c>
      <c r="X5" s="763">
        <v>164856</v>
      </c>
      <c r="Y5" s="764" t="s">
        <v>58</v>
      </c>
      <c r="Z5" s="765">
        <v>28</v>
      </c>
      <c r="AA5" s="764" t="s">
        <v>58</v>
      </c>
      <c r="AB5" s="763">
        <v>37409</v>
      </c>
      <c r="AC5" s="764" t="s">
        <v>58</v>
      </c>
      <c r="AD5" s="763">
        <v>328408</v>
      </c>
      <c r="AE5" s="713"/>
      <c r="AF5" s="714"/>
      <c r="AG5" s="714"/>
      <c r="AH5" s="57"/>
      <c r="AI5" s="57"/>
      <c r="AJ5" s="57"/>
      <c r="AK5" s="57"/>
      <c r="AL5" s="57"/>
      <c r="AM5" s="57"/>
      <c r="AN5" s="57"/>
      <c r="AO5" s="57"/>
    </row>
    <row r="6" spans="1:41" ht="45" customHeight="1" x14ac:dyDescent="0.2">
      <c r="B6" s="822"/>
      <c r="C6" s="831" t="s">
        <v>120</v>
      </c>
      <c r="D6" s="831"/>
      <c r="E6" s="821" t="s">
        <v>5</v>
      </c>
      <c r="F6" s="821"/>
      <c r="G6" s="834" t="s">
        <v>120</v>
      </c>
      <c r="H6" s="835"/>
      <c r="I6" s="826" t="s">
        <v>5</v>
      </c>
      <c r="J6" s="827"/>
      <c r="K6" s="831" t="s">
        <v>120</v>
      </c>
      <c r="L6" s="831"/>
      <c r="M6" s="821" t="s">
        <v>5</v>
      </c>
      <c r="N6" s="821"/>
      <c r="R6" s="762" t="s">
        <v>174</v>
      </c>
      <c r="S6" s="763">
        <v>47</v>
      </c>
      <c r="T6" s="763"/>
      <c r="U6" s="762" t="s">
        <v>174</v>
      </c>
      <c r="V6" s="763">
        <v>74750</v>
      </c>
      <c r="W6" s="762" t="s">
        <v>174</v>
      </c>
      <c r="X6" s="763">
        <v>2130660</v>
      </c>
      <c r="Y6" s="764" t="s">
        <v>57</v>
      </c>
      <c r="Z6" s="765">
        <v>35</v>
      </c>
      <c r="AA6" s="764" t="s">
        <v>57</v>
      </c>
      <c r="AB6" s="763">
        <v>39295</v>
      </c>
      <c r="AC6" s="764" t="s">
        <v>57</v>
      </c>
      <c r="AD6" s="763">
        <v>1967108</v>
      </c>
      <c r="AE6" s="713"/>
      <c r="AF6" s="714"/>
      <c r="AG6" s="714"/>
      <c r="AH6" s="57"/>
      <c r="AI6" s="57"/>
      <c r="AJ6" s="57"/>
      <c r="AK6" s="57"/>
      <c r="AL6" s="57"/>
      <c r="AM6" s="57"/>
      <c r="AN6" s="57"/>
      <c r="AO6" s="57"/>
    </row>
    <row r="7" spans="1:41" ht="51.75" customHeight="1" x14ac:dyDescent="0.25">
      <c r="B7" s="416" t="s">
        <v>173</v>
      </c>
      <c r="C7" s="63">
        <v>16</v>
      </c>
      <c r="D7" s="63"/>
      <c r="E7" s="276">
        <f>C7*100/C9</f>
        <v>25.396825396825395</v>
      </c>
      <c r="F7" s="63"/>
      <c r="G7" s="63">
        <v>1954</v>
      </c>
      <c r="H7" s="63"/>
      <c r="I7" s="276">
        <f>G7*100/G9</f>
        <v>2.5474551522736752</v>
      </c>
      <c r="J7" s="63"/>
      <c r="K7" s="63">
        <v>164856</v>
      </c>
      <c r="L7" s="63"/>
      <c r="M7" s="276">
        <f>K7*100/K9</f>
        <v>7.1816532753420148</v>
      </c>
      <c r="R7" s="66"/>
      <c r="S7" s="66"/>
      <c r="T7" s="66"/>
      <c r="U7" s="66"/>
      <c r="V7" s="715">
        <f>SUM(V5:V6)</f>
        <v>76704</v>
      </c>
      <c r="W7" s="66"/>
      <c r="X7" s="66"/>
      <c r="Y7" s="66"/>
      <c r="Z7" s="66"/>
      <c r="AA7" s="66"/>
      <c r="AB7" s="716">
        <f>SUM(AB5:AB6)</f>
        <v>76704</v>
      </c>
      <c r="AC7" s="66"/>
      <c r="AD7" s="716">
        <f>SUM(AD5:AD6)</f>
        <v>2295516</v>
      </c>
      <c r="AE7" s="66"/>
      <c r="AF7" s="66"/>
      <c r="AG7" s="66"/>
    </row>
    <row r="8" spans="1:41" ht="51.75" customHeight="1" x14ac:dyDescent="0.2">
      <c r="B8" s="416" t="s">
        <v>174</v>
      </c>
      <c r="C8" s="63">
        <v>47</v>
      </c>
      <c r="D8" s="63"/>
      <c r="E8" s="276">
        <f>C8*100/C9</f>
        <v>74.603174603174608</v>
      </c>
      <c r="F8" s="63"/>
      <c r="G8" s="63">
        <v>74750</v>
      </c>
      <c r="H8" s="63"/>
      <c r="I8" s="276">
        <f>G8*100/G9</f>
        <v>97.45254484772633</v>
      </c>
      <c r="J8" s="63"/>
      <c r="K8" s="63">
        <v>2130660</v>
      </c>
      <c r="L8" s="63"/>
      <c r="M8" s="276">
        <f>K8*100/K9</f>
        <v>92.818346724657985</v>
      </c>
      <c r="R8" s="66"/>
      <c r="S8" s="66"/>
      <c r="T8" s="66"/>
      <c r="U8" s="66"/>
      <c r="V8" s="66"/>
      <c r="W8" s="66"/>
      <c r="X8" s="66"/>
      <c r="Y8" s="66"/>
      <c r="Z8" s="66"/>
      <c r="AA8" s="66"/>
      <c r="AB8" s="66"/>
      <c r="AC8" s="66"/>
      <c r="AD8" s="66"/>
      <c r="AE8" s="66"/>
      <c r="AF8" s="66"/>
      <c r="AG8" s="66"/>
    </row>
    <row r="9" spans="1:41" s="66" customFormat="1" ht="61.5" customHeight="1" x14ac:dyDescent="0.2">
      <c r="A9" s="65"/>
      <c r="B9" s="418" t="s">
        <v>6</v>
      </c>
      <c r="C9" s="429">
        <f>SUM(C7:C8)</f>
        <v>63</v>
      </c>
      <c r="D9" s="429"/>
      <c r="E9" s="430">
        <f>SUM(E7:E8)</f>
        <v>100</v>
      </c>
      <c r="F9" s="431"/>
      <c r="G9" s="429">
        <f>SUM(G7:G8)</f>
        <v>76704</v>
      </c>
      <c r="H9" s="429"/>
      <c r="I9" s="430">
        <f>SUM(I7:I8)</f>
        <v>100</v>
      </c>
      <c r="J9" s="431"/>
      <c r="K9" s="429">
        <f>SUM(K7:K8)</f>
        <v>2295516</v>
      </c>
      <c r="L9" s="429"/>
      <c r="M9" s="430">
        <f>SUM(M7:M8)</f>
        <v>100</v>
      </c>
      <c r="N9" s="432"/>
    </row>
    <row r="10" spans="1:41" s="1" customFormat="1" ht="30" customHeight="1" x14ac:dyDescent="0.2">
      <c r="B10" s="11" t="s">
        <v>245</v>
      </c>
      <c r="C10" s="12"/>
      <c r="D10" s="12"/>
      <c r="E10" s="12"/>
      <c r="F10" s="12"/>
      <c r="G10" s="13"/>
      <c r="H10" s="12"/>
      <c r="I10" s="12"/>
    </row>
    <row r="11" spans="1:41" s="1" customFormat="1" ht="19.899999999999999" customHeight="1" x14ac:dyDescent="0.2">
      <c r="B11" s="16" t="s">
        <v>296</v>
      </c>
      <c r="C11" s="17"/>
      <c r="D11" s="17"/>
      <c r="E11" s="17"/>
      <c r="F11" s="17"/>
      <c r="G11" s="17"/>
      <c r="H11" s="18"/>
      <c r="I11" s="18"/>
      <c r="J11" s="18"/>
      <c r="K11" s="18"/>
    </row>
    <row r="12" spans="1:41" s="1" customFormat="1" ht="25.15" customHeight="1" x14ac:dyDescent="0.2">
      <c r="B12" s="22" t="s">
        <v>279</v>
      </c>
      <c r="D12" s="23"/>
      <c r="E12" s="24"/>
      <c r="F12" s="23"/>
      <c r="G12" s="25"/>
      <c r="H12" s="26"/>
      <c r="I12" s="27"/>
      <c r="J12" s="27"/>
    </row>
    <row r="13" spans="1:41" s="67" customFormat="1" ht="30" customHeight="1" x14ac:dyDescent="0.2">
      <c r="B13" s="803" t="s">
        <v>17</v>
      </c>
      <c r="C13" s="803"/>
      <c r="D13" s="803"/>
      <c r="E13" s="803"/>
      <c r="F13" s="803"/>
      <c r="G13" s="803"/>
      <c r="H13" s="803"/>
      <c r="I13" s="803"/>
      <c r="J13" s="803"/>
      <c r="K13" s="803"/>
      <c r="L13" s="803"/>
      <c r="M13" s="803"/>
      <c r="N13" s="803"/>
    </row>
    <row r="14" spans="1:41" s="67" customFormat="1" ht="30" customHeight="1" x14ac:dyDescent="0.2">
      <c r="B14" s="828" t="s">
        <v>145</v>
      </c>
      <c r="C14" s="828"/>
      <c r="D14" s="828"/>
      <c r="E14" s="828"/>
      <c r="F14" s="828"/>
      <c r="G14" s="828"/>
      <c r="H14" s="828"/>
      <c r="I14" s="828"/>
      <c r="J14" s="828"/>
      <c r="K14" s="828"/>
      <c r="L14" s="828"/>
      <c r="M14" s="828"/>
      <c r="N14" s="828"/>
    </row>
    <row r="15" spans="1:41" s="67" customFormat="1" ht="54" customHeight="1" x14ac:dyDescent="0.2">
      <c r="B15" s="817" t="s">
        <v>191</v>
      </c>
      <c r="C15" s="817"/>
      <c r="D15" s="817"/>
      <c r="E15" s="817"/>
      <c r="F15" s="817"/>
      <c r="G15" s="817"/>
      <c r="H15" s="817"/>
      <c r="I15" s="817"/>
      <c r="J15" s="817"/>
      <c r="K15" s="817"/>
      <c r="L15" s="817"/>
      <c r="M15" s="817"/>
      <c r="N15" s="817"/>
    </row>
    <row r="16" spans="1:41" s="67" customFormat="1" ht="34.5" customHeight="1" x14ac:dyDescent="0.2">
      <c r="B16" s="811">
        <v>2024</v>
      </c>
      <c r="C16" s="811"/>
      <c r="D16" s="811"/>
      <c r="E16" s="811"/>
      <c r="F16" s="811"/>
      <c r="G16" s="811"/>
      <c r="H16" s="811"/>
      <c r="I16" s="811"/>
      <c r="J16" s="811"/>
      <c r="K16" s="811"/>
      <c r="L16" s="811"/>
      <c r="M16" s="811"/>
      <c r="N16" s="811"/>
    </row>
    <row r="17" spans="2:14" s="1" customFormat="1" ht="57.75" customHeight="1" x14ac:dyDescent="0.2">
      <c r="B17" s="829" t="s">
        <v>10</v>
      </c>
      <c r="C17" s="825" t="s">
        <v>2</v>
      </c>
      <c r="D17" s="832"/>
      <c r="E17" s="832"/>
      <c r="F17" s="832"/>
      <c r="G17" s="833" t="s">
        <v>85</v>
      </c>
      <c r="H17" s="833"/>
      <c r="I17" s="833"/>
      <c r="J17" s="833"/>
      <c r="K17" s="832" t="s">
        <v>12</v>
      </c>
      <c r="L17" s="832"/>
      <c r="M17" s="832"/>
      <c r="N17" s="823"/>
    </row>
    <row r="18" spans="2:14" s="1" customFormat="1" ht="51" customHeight="1" x14ac:dyDescent="0.2">
      <c r="B18" s="830"/>
      <c r="C18" s="831" t="s">
        <v>63</v>
      </c>
      <c r="D18" s="831"/>
      <c r="E18" s="826" t="s">
        <v>5</v>
      </c>
      <c r="F18" s="827"/>
      <c r="G18" s="831" t="s">
        <v>63</v>
      </c>
      <c r="H18" s="831"/>
      <c r="I18" s="826" t="s">
        <v>5</v>
      </c>
      <c r="J18" s="827"/>
      <c r="K18" s="831" t="s">
        <v>63</v>
      </c>
      <c r="L18" s="831"/>
      <c r="M18" s="821" t="s">
        <v>5</v>
      </c>
      <c r="N18" s="821"/>
    </row>
    <row r="19" spans="2:14" s="67" customFormat="1" ht="51" customHeight="1" x14ac:dyDescent="0.2">
      <c r="B19" s="428" t="s">
        <v>58</v>
      </c>
      <c r="C19" s="63">
        <v>28</v>
      </c>
      <c r="D19" s="63"/>
      <c r="E19" s="276">
        <f>C19*100/C21</f>
        <v>44.444444444444443</v>
      </c>
      <c r="F19" s="277"/>
      <c r="G19" s="63">
        <v>37409</v>
      </c>
      <c r="H19" s="63"/>
      <c r="I19" s="276">
        <f>G19*100/G21</f>
        <v>48.770598664997912</v>
      </c>
      <c r="J19" s="277"/>
      <c r="K19" s="63">
        <v>328408</v>
      </c>
      <c r="L19" s="63"/>
      <c r="M19" s="276">
        <f>K19*100/K21</f>
        <v>14.306500150728638</v>
      </c>
    </row>
    <row r="20" spans="2:14" s="67" customFormat="1" ht="51" customHeight="1" x14ac:dyDescent="0.2">
      <c r="B20" s="428" t="s">
        <v>57</v>
      </c>
      <c r="C20" s="63">
        <v>35</v>
      </c>
      <c r="D20" s="63"/>
      <c r="E20" s="276">
        <f>C20*100/C21</f>
        <v>55.555555555555557</v>
      </c>
      <c r="F20" s="277"/>
      <c r="G20" s="63">
        <v>39295</v>
      </c>
      <c r="H20" s="63"/>
      <c r="I20" s="276">
        <f>G20*100/G21</f>
        <v>51.229401335002088</v>
      </c>
      <c r="J20" s="277"/>
      <c r="K20" s="63">
        <v>1967108</v>
      </c>
      <c r="L20" s="63"/>
      <c r="M20" s="276">
        <f>K20*100/K21</f>
        <v>85.693499849271362</v>
      </c>
    </row>
    <row r="21" spans="2:14" s="67" customFormat="1" ht="52.5" customHeight="1" x14ac:dyDescent="0.2">
      <c r="B21" s="418" t="s">
        <v>6</v>
      </c>
      <c r="C21" s="429">
        <f>SUM(C19:C20)</f>
        <v>63</v>
      </c>
      <c r="D21" s="429"/>
      <c r="E21" s="430">
        <f>SUM(E19:E20)</f>
        <v>100</v>
      </c>
      <c r="F21" s="433"/>
      <c r="G21" s="429">
        <f>SUM(G19:G20)</f>
        <v>76704</v>
      </c>
      <c r="H21" s="429"/>
      <c r="I21" s="430">
        <f>SUM(I19:I20)</f>
        <v>100</v>
      </c>
      <c r="J21" s="433"/>
      <c r="K21" s="429">
        <f>SUM(K19:K20)</f>
        <v>2295516</v>
      </c>
      <c r="L21" s="429"/>
      <c r="M21" s="430">
        <f>SUM(M19:M20)</f>
        <v>100</v>
      </c>
      <c r="N21" s="421"/>
    </row>
    <row r="22" spans="2:14" s="1" customFormat="1" ht="30" customHeight="1" x14ac:dyDescent="0.2">
      <c r="B22" s="11" t="s">
        <v>245</v>
      </c>
      <c r="C22" s="12"/>
      <c r="D22" s="12"/>
      <c r="E22" s="12"/>
      <c r="F22" s="12"/>
      <c r="G22" s="13"/>
      <c r="H22" s="12"/>
      <c r="I22" s="12"/>
    </row>
    <row r="23" spans="2:14" s="1" customFormat="1" ht="19.899999999999999" customHeight="1" x14ac:dyDescent="0.2">
      <c r="B23" s="16" t="s">
        <v>296</v>
      </c>
      <c r="C23" s="17"/>
      <c r="D23" s="17"/>
      <c r="E23" s="17"/>
      <c r="F23" s="17"/>
      <c r="G23" s="17"/>
      <c r="H23" s="18"/>
      <c r="I23" s="18"/>
      <c r="J23" s="18"/>
      <c r="K23" s="18"/>
    </row>
    <row r="24" spans="2:14" s="1" customFormat="1" ht="25.15" customHeight="1" x14ac:dyDescent="0.2">
      <c r="B24" s="22" t="s">
        <v>279</v>
      </c>
      <c r="D24" s="23"/>
      <c r="E24" s="24"/>
      <c r="F24" s="23"/>
      <c r="G24" s="25"/>
      <c r="H24" s="26"/>
      <c r="I24" s="27"/>
      <c r="J24" s="27"/>
    </row>
    <row r="25" spans="2:14" s="26" customFormat="1" ht="40.9" customHeight="1" x14ac:dyDescent="0.2"/>
    <row r="29" spans="2:14" ht="17.45" customHeight="1" x14ac:dyDescent="0.2">
      <c r="B29" s="810"/>
      <c r="C29" s="810"/>
      <c r="D29" s="810"/>
      <c r="E29" s="810"/>
      <c r="F29" s="810"/>
      <c r="G29" s="810"/>
      <c r="H29" s="810"/>
      <c r="I29" s="810"/>
      <c r="J29" s="810"/>
      <c r="K29" s="810"/>
      <c r="L29" s="810"/>
      <c r="M29" s="810"/>
      <c r="N29" s="810"/>
    </row>
    <row r="60" spans="2:2" s="1" customFormat="1" ht="15" customHeight="1" x14ac:dyDescent="0.2">
      <c r="B60" s="68"/>
    </row>
    <row r="61" spans="2:2" s="1" customFormat="1" ht="20.100000000000001" customHeight="1" x14ac:dyDescent="0.2">
      <c r="B61" s="68"/>
    </row>
    <row r="62" spans="2:2" s="1" customFormat="1" ht="20.100000000000001" customHeight="1" x14ac:dyDescent="0.2"/>
    <row r="63" spans="2:2" s="1" customFormat="1" ht="20.100000000000001" customHeight="1" x14ac:dyDescent="0.2"/>
    <row r="64" spans="2:2" s="1" customFormat="1" ht="20.100000000000001" customHeight="1" x14ac:dyDescent="0.2"/>
    <row r="65" s="1" customFormat="1" ht="20.100000000000001" customHeight="1" x14ac:dyDescent="0.2"/>
    <row r="66" s="1" customFormat="1" ht="20.100000000000001" customHeight="1" x14ac:dyDescent="0.2"/>
    <row r="67" s="1" customFormat="1" ht="20.100000000000001" customHeight="1" x14ac:dyDescent="0.2"/>
    <row r="68" s="1" customFormat="1" ht="20.100000000000001" customHeight="1" x14ac:dyDescent="0.2"/>
    <row r="69" s="1" customFormat="1" ht="20.100000000000001" customHeight="1" x14ac:dyDescent="0.2"/>
    <row r="70" s="1" customFormat="1" ht="20.100000000000001" customHeight="1" x14ac:dyDescent="0.2"/>
    <row r="71" s="1" customFormat="1" ht="20.100000000000001" customHeight="1" x14ac:dyDescent="0.2"/>
    <row r="72" s="1" customFormat="1" ht="20.100000000000001" customHeight="1" x14ac:dyDescent="0.2"/>
    <row r="73" s="1" customFormat="1" ht="20.100000000000001" customHeight="1" x14ac:dyDescent="0.2"/>
    <row r="74" s="1" customFormat="1" ht="20.100000000000001" customHeight="1" x14ac:dyDescent="0.2"/>
    <row r="75" s="1" customFormat="1" ht="20.100000000000001" customHeight="1" x14ac:dyDescent="0.2"/>
    <row r="76" s="1" customFormat="1" ht="20.100000000000001" customHeight="1" x14ac:dyDescent="0.2"/>
    <row r="77" s="1" customFormat="1" ht="20.100000000000001" customHeight="1" x14ac:dyDescent="0.2"/>
    <row r="78" s="1" customFormat="1" ht="20.100000000000001" customHeight="1" x14ac:dyDescent="0.2"/>
    <row r="79" s="1" customFormat="1" ht="20.100000000000001" customHeight="1" x14ac:dyDescent="0.2"/>
    <row r="80" s="1" customFormat="1" ht="20.100000000000001" customHeight="1" x14ac:dyDescent="0.2"/>
    <row r="81" s="1" customFormat="1" ht="20.100000000000001" customHeight="1" x14ac:dyDescent="0.2"/>
  </sheetData>
  <mergeCells count="29">
    <mergeCell ref="B4:N4"/>
    <mergeCell ref="B2:N2"/>
    <mergeCell ref="B1:N1"/>
    <mergeCell ref="B3:N3"/>
    <mergeCell ref="E6:F6"/>
    <mergeCell ref="G6:H6"/>
    <mergeCell ref="K5:N5"/>
    <mergeCell ref="C5:F5"/>
    <mergeCell ref="G5:J5"/>
    <mergeCell ref="I6:J6"/>
    <mergeCell ref="K6:L6"/>
    <mergeCell ref="M6:N6"/>
    <mergeCell ref="B5:B6"/>
    <mergeCell ref="C6:D6"/>
    <mergeCell ref="B29:N29"/>
    <mergeCell ref="B13:N13"/>
    <mergeCell ref="B15:N15"/>
    <mergeCell ref="B16:N16"/>
    <mergeCell ref="B14:N14"/>
    <mergeCell ref="B17:B18"/>
    <mergeCell ref="C18:D18"/>
    <mergeCell ref="E18:F18"/>
    <mergeCell ref="K18:L18"/>
    <mergeCell ref="G18:H18"/>
    <mergeCell ref="I18:J18"/>
    <mergeCell ref="K17:N17"/>
    <mergeCell ref="C17:F17"/>
    <mergeCell ref="G17:J17"/>
    <mergeCell ref="M18:N18"/>
  </mergeCells>
  <phoneticPr fontId="2" type="noConversion"/>
  <printOptions horizontalCentered="1" verticalCentered="1"/>
  <pageMargins left="0" right="0" top="0" bottom="0" header="0" footer="0"/>
  <pageSetup paperSize="9" scale="6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AH40"/>
  <sheetViews>
    <sheetView showGridLines="0" view="pageBreakPreview" zoomScale="60" zoomScaleNormal="100" workbookViewId="0">
      <selection activeCell="R1" sqref="R1:X8"/>
    </sheetView>
  </sheetViews>
  <sheetFormatPr baseColWidth="10" defaultColWidth="11.42578125" defaultRowHeight="15" x14ac:dyDescent="0.2"/>
  <cols>
    <col min="1" max="1" width="7.42578125" style="67" customWidth="1"/>
    <col min="2" max="2" width="62.5703125" style="67" customWidth="1"/>
    <col min="3" max="3" width="12.140625" style="67" customWidth="1"/>
    <col min="4" max="4" width="4.7109375" style="67" customWidth="1"/>
    <col min="5" max="5" width="13.140625" style="67" customWidth="1"/>
    <col min="6" max="6" width="4.5703125" style="67" customWidth="1"/>
    <col min="7" max="7" width="19.5703125" style="67" customWidth="1"/>
    <col min="8" max="8" width="5.7109375" style="67" customWidth="1"/>
    <col min="9" max="9" width="15.7109375" style="67" customWidth="1"/>
    <col min="10" max="10" width="5.7109375" style="67" customWidth="1"/>
    <col min="11" max="11" width="16.28515625" style="67" customWidth="1"/>
    <col min="12" max="12" width="5.7109375" style="67" customWidth="1"/>
    <col min="13" max="13" width="12.7109375" style="67" customWidth="1"/>
    <col min="14" max="14" width="5.7109375" style="67" customWidth="1"/>
    <col min="15" max="15" width="7.7109375" style="67" customWidth="1"/>
    <col min="16" max="17" width="0" style="67" hidden="1" customWidth="1"/>
    <col min="18" max="18" width="17.42578125" style="67" customWidth="1"/>
    <col min="19" max="19" width="14.7109375" style="67" customWidth="1"/>
    <col min="20" max="20" width="17.7109375" style="67" customWidth="1"/>
    <col min="21" max="21" width="19.7109375" style="67" customWidth="1"/>
    <col min="22" max="22" width="19" style="67" customWidth="1"/>
    <col min="23" max="23" width="23.42578125" style="67" customWidth="1"/>
    <col min="24" max="24" width="16.28515625" style="67" customWidth="1"/>
    <col min="25" max="25" width="23.7109375" style="67" customWidth="1"/>
    <col min="26" max="26" width="21" style="67" customWidth="1"/>
    <col min="27" max="16384" width="11.42578125" style="67"/>
  </cols>
  <sheetData>
    <row r="1" spans="2:34" ht="30" customHeight="1" x14ac:dyDescent="0.2">
      <c r="B1" s="837" t="s">
        <v>20</v>
      </c>
      <c r="C1" s="837"/>
      <c r="D1" s="837"/>
      <c r="E1" s="837"/>
      <c r="F1" s="837"/>
      <c r="G1" s="837"/>
      <c r="H1" s="837"/>
      <c r="I1" s="837"/>
      <c r="J1" s="837"/>
      <c r="K1" s="837"/>
      <c r="L1" s="837"/>
      <c r="M1" s="837"/>
      <c r="N1" s="837"/>
      <c r="O1" s="719"/>
      <c r="P1" s="720"/>
      <c r="Q1" s="721"/>
      <c r="R1" s="766"/>
      <c r="S1" s="767"/>
      <c r="T1" s="767"/>
      <c r="U1" s="767"/>
      <c r="V1" s="767"/>
      <c r="W1" s="767"/>
      <c r="X1" s="767"/>
      <c r="Y1" s="722"/>
      <c r="Z1" s="722"/>
      <c r="AA1" s="722"/>
      <c r="AB1" s="722"/>
      <c r="AC1" s="722"/>
      <c r="AD1" s="722"/>
    </row>
    <row r="2" spans="2:34" ht="30" customHeight="1" x14ac:dyDescent="0.2">
      <c r="B2" s="571" t="s">
        <v>145</v>
      </c>
      <c r="C2" s="405"/>
      <c r="D2" s="405"/>
      <c r="E2" s="405"/>
      <c r="F2" s="405"/>
      <c r="G2" s="405"/>
      <c r="H2" s="405"/>
      <c r="I2" s="405"/>
      <c r="J2" s="405"/>
      <c r="K2" s="405"/>
      <c r="L2" s="405"/>
      <c r="M2" s="405"/>
      <c r="N2" s="572"/>
      <c r="O2" s="723"/>
      <c r="P2" s="724"/>
      <c r="Q2" s="722"/>
      <c r="R2" s="768" t="s">
        <v>200</v>
      </c>
      <c r="S2" s="769">
        <f>SUM(S3:S8)</f>
        <v>63</v>
      </c>
      <c r="T2" s="768" t="s">
        <v>200</v>
      </c>
      <c r="U2" s="769">
        <f>SUM(U3:U8)</f>
        <v>76704</v>
      </c>
      <c r="V2" s="768" t="s">
        <v>200</v>
      </c>
      <c r="W2" s="769">
        <f>SUM(W3:W8)</f>
        <v>2295516</v>
      </c>
      <c r="X2" s="767"/>
      <c r="Y2" s="722"/>
      <c r="Z2" s="722"/>
      <c r="AA2" s="722"/>
      <c r="AB2" s="722"/>
      <c r="AC2" s="722"/>
      <c r="AD2" s="722"/>
    </row>
    <row r="3" spans="2:34" ht="45" customHeight="1" x14ac:dyDescent="0.2">
      <c r="B3" s="838" t="s">
        <v>192</v>
      </c>
      <c r="C3" s="838"/>
      <c r="D3" s="838"/>
      <c r="E3" s="838"/>
      <c r="F3" s="838"/>
      <c r="G3" s="838"/>
      <c r="H3" s="838"/>
      <c r="I3" s="838"/>
      <c r="J3" s="838"/>
      <c r="K3" s="838"/>
      <c r="L3" s="838"/>
      <c r="M3" s="838"/>
      <c r="N3" s="838"/>
      <c r="O3" s="723"/>
      <c r="P3" s="724"/>
      <c r="Q3" s="722"/>
      <c r="R3" s="247" t="s">
        <v>196</v>
      </c>
      <c r="S3" s="770">
        <v>7</v>
      </c>
      <c r="T3" s="247" t="s">
        <v>196</v>
      </c>
      <c r="U3" s="771">
        <v>818</v>
      </c>
      <c r="V3" s="247" t="s">
        <v>196</v>
      </c>
      <c r="W3" s="772">
        <v>56664</v>
      </c>
      <c r="X3" s="767"/>
      <c r="Y3" s="722"/>
      <c r="Z3" s="722"/>
      <c r="AA3" s="722"/>
      <c r="AB3" s="722"/>
      <c r="AC3" s="722"/>
      <c r="AD3" s="722"/>
      <c r="AE3" s="69"/>
      <c r="AF3" s="69"/>
      <c r="AG3" s="69"/>
    </row>
    <row r="4" spans="2:34" ht="30" customHeight="1" x14ac:dyDescent="0.2">
      <c r="B4" s="837">
        <v>2024</v>
      </c>
      <c r="C4" s="837"/>
      <c r="D4" s="837"/>
      <c r="E4" s="837"/>
      <c r="F4" s="837"/>
      <c r="G4" s="837"/>
      <c r="H4" s="837"/>
      <c r="I4" s="837"/>
      <c r="J4" s="837"/>
      <c r="K4" s="837"/>
      <c r="L4" s="837"/>
      <c r="M4" s="837"/>
      <c r="N4" s="837"/>
      <c r="O4" s="723"/>
      <c r="P4" s="722"/>
      <c r="Q4" s="722"/>
      <c r="R4" s="247" t="s">
        <v>272</v>
      </c>
      <c r="S4" s="770">
        <v>6</v>
      </c>
      <c r="T4" s="773" t="s">
        <v>89</v>
      </c>
      <c r="U4" s="771">
        <v>5000</v>
      </c>
      <c r="V4" s="247" t="s">
        <v>272</v>
      </c>
      <c r="W4" s="774">
        <v>80480</v>
      </c>
      <c r="X4" s="767"/>
      <c r="Y4" s="722"/>
      <c r="Z4" s="722"/>
      <c r="AA4" s="722"/>
      <c r="AB4" s="722"/>
      <c r="AC4" s="722"/>
      <c r="AD4" s="722"/>
      <c r="AE4" s="69"/>
      <c r="AF4" s="69"/>
      <c r="AG4" s="69"/>
    </row>
    <row r="5" spans="2:34" ht="30" customHeight="1" x14ac:dyDescent="0.2">
      <c r="B5" s="829" t="s">
        <v>123</v>
      </c>
      <c r="C5" s="832" t="s">
        <v>2</v>
      </c>
      <c r="D5" s="832"/>
      <c r="E5" s="832"/>
      <c r="F5" s="832"/>
      <c r="G5" s="832" t="s">
        <v>15</v>
      </c>
      <c r="H5" s="832"/>
      <c r="I5" s="832"/>
      <c r="J5" s="832"/>
      <c r="K5" s="832" t="s">
        <v>12</v>
      </c>
      <c r="L5" s="832"/>
      <c r="M5" s="832"/>
      <c r="N5" s="823"/>
      <c r="O5" s="729"/>
      <c r="P5" s="722"/>
      <c r="Q5" s="722"/>
      <c r="R5" s="773" t="s">
        <v>254</v>
      </c>
      <c r="S5" s="770">
        <v>3</v>
      </c>
      <c r="T5" s="773" t="s">
        <v>254</v>
      </c>
      <c r="U5" s="771">
        <v>2720</v>
      </c>
      <c r="V5" s="773" t="s">
        <v>89</v>
      </c>
      <c r="W5" s="772">
        <v>40000</v>
      </c>
      <c r="X5" s="767"/>
      <c r="Y5" s="722"/>
      <c r="Z5" s="722"/>
      <c r="AA5" s="722"/>
      <c r="AB5" s="722"/>
      <c r="AC5" s="722"/>
      <c r="AD5" s="722"/>
      <c r="AE5" s="69"/>
      <c r="AF5" s="69"/>
      <c r="AG5" s="69"/>
      <c r="AH5" s="70"/>
    </row>
    <row r="6" spans="2:34" ht="30" customHeight="1" x14ac:dyDescent="0.2">
      <c r="B6" s="829"/>
      <c r="C6" s="821" t="s">
        <v>63</v>
      </c>
      <c r="D6" s="821"/>
      <c r="E6" s="826" t="s">
        <v>5</v>
      </c>
      <c r="F6" s="827"/>
      <c r="G6" s="821" t="s">
        <v>63</v>
      </c>
      <c r="H6" s="821"/>
      <c r="I6" s="826" t="s">
        <v>5</v>
      </c>
      <c r="J6" s="827"/>
      <c r="K6" s="821" t="s">
        <v>63</v>
      </c>
      <c r="L6" s="821"/>
      <c r="M6" s="821" t="s">
        <v>5</v>
      </c>
      <c r="N6" s="821"/>
      <c r="O6" s="729"/>
      <c r="P6" s="722"/>
      <c r="Q6" s="722"/>
      <c r="R6" s="773" t="s">
        <v>111</v>
      </c>
      <c r="S6" s="770">
        <v>33</v>
      </c>
      <c r="T6" s="773" t="s">
        <v>111</v>
      </c>
      <c r="U6" s="771">
        <v>47178</v>
      </c>
      <c r="V6" s="773" t="s">
        <v>111</v>
      </c>
      <c r="W6" s="772">
        <v>1950976</v>
      </c>
      <c r="X6" s="767"/>
      <c r="Y6" s="722"/>
      <c r="Z6" s="722"/>
      <c r="AA6" s="722"/>
      <c r="AB6" s="722"/>
      <c r="AC6" s="722"/>
      <c r="AD6" s="722"/>
      <c r="AE6" s="69"/>
      <c r="AF6" s="69"/>
      <c r="AG6" s="69"/>
      <c r="AH6" s="70"/>
    </row>
    <row r="7" spans="2:34" ht="20.25" customHeight="1" x14ac:dyDescent="0.2">
      <c r="B7" s="434"/>
      <c r="C7" s="278"/>
      <c r="D7" s="279"/>
      <c r="E7" s="280"/>
      <c r="F7" s="280"/>
      <c r="G7" s="278"/>
      <c r="H7" s="281"/>
      <c r="I7" s="280"/>
      <c r="J7" s="280"/>
      <c r="K7" s="282"/>
      <c r="L7" s="283"/>
      <c r="M7" s="280"/>
      <c r="N7" s="280"/>
      <c r="O7" s="729"/>
      <c r="P7" s="722"/>
      <c r="Q7" s="722"/>
      <c r="R7" s="773" t="s">
        <v>46</v>
      </c>
      <c r="S7" s="770">
        <v>8</v>
      </c>
      <c r="T7" s="773" t="s">
        <v>46</v>
      </c>
      <c r="U7" s="771">
        <v>19174</v>
      </c>
      <c r="V7" s="773" t="s">
        <v>46</v>
      </c>
      <c r="W7" s="772">
        <v>102084</v>
      </c>
      <c r="X7" s="767"/>
      <c r="Y7" s="722"/>
      <c r="Z7" s="722"/>
      <c r="AA7" s="730"/>
      <c r="AB7" s="722"/>
      <c r="AC7" s="722"/>
      <c r="AD7" s="722"/>
      <c r="AE7" s="69"/>
      <c r="AF7" s="69"/>
      <c r="AG7" s="69"/>
      <c r="AH7" s="70"/>
    </row>
    <row r="8" spans="2:34" ht="35.1" customHeight="1" x14ac:dyDescent="0.2">
      <c r="B8" s="434" t="s">
        <v>88</v>
      </c>
      <c r="C8" s="565">
        <v>0</v>
      </c>
      <c r="D8" s="279"/>
      <c r="E8" s="280">
        <f t="shared" ref="E8:E18" si="0">C8/C$19*100</f>
        <v>0</v>
      </c>
      <c r="F8" s="280"/>
      <c r="G8" s="566">
        <v>0</v>
      </c>
      <c r="H8" s="281"/>
      <c r="I8" s="280">
        <f t="shared" ref="I8:I18" si="1">G8/G$19*100</f>
        <v>0</v>
      </c>
      <c r="J8" s="280"/>
      <c r="K8" s="567">
        <v>28144</v>
      </c>
      <c r="L8" s="568" t="s">
        <v>62</v>
      </c>
      <c r="M8" s="280">
        <f t="shared" ref="M8:M18" si="2">K8/K$19*100</f>
        <v>1.2260424235770955</v>
      </c>
      <c r="N8" s="280"/>
      <c r="O8" s="729"/>
      <c r="P8" s="722"/>
      <c r="Q8" s="722"/>
      <c r="R8" s="767" t="s">
        <v>252</v>
      </c>
      <c r="S8" s="767">
        <v>6</v>
      </c>
      <c r="T8" s="767" t="s">
        <v>252</v>
      </c>
      <c r="U8" s="775">
        <v>1814</v>
      </c>
      <c r="V8" s="767" t="s">
        <v>252</v>
      </c>
      <c r="W8" s="776">
        <v>65312</v>
      </c>
      <c r="X8" s="767"/>
      <c r="Y8" s="722"/>
      <c r="Z8" s="722"/>
      <c r="AA8" s="730"/>
      <c r="AB8" s="722"/>
      <c r="AC8" s="722"/>
      <c r="AD8" s="722"/>
      <c r="AE8" s="69"/>
      <c r="AF8" s="69"/>
      <c r="AG8" s="69"/>
      <c r="AH8" s="70"/>
    </row>
    <row r="9" spans="2:34" ht="35.1" customHeight="1" x14ac:dyDescent="0.2">
      <c r="B9" s="416" t="s">
        <v>196</v>
      </c>
      <c r="C9" s="565">
        <v>7</v>
      </c>
      <c r="D9" s="279"/>
      <c r="E9" s="280">
        <f t="shared" si="0"/>
        <v>11.111111111111111</v>
      </c>
      <c r="F9" s="280"/>
      <c r="G9" s="566">
        <v>818</v>
      </c>
      <c r="H9" s="281"/>
      <c r="I9" s="280">
        <f t="shared" si="1"/>
        <v>1.0664372131831457</v>
      </c>
      <c r="J9" s="280"/>
      <c r="K9" s="567">
        <v>56664</v>
      </c>
      <c r="L9" s="277"/>
      <c r="M9" s="280">
        <f t="shared" si="2"/>
        <v>2.4684646066505311</v>
      </c>
      <c r="N9" s="280"/>
      <c r="O9" s="729"/>
      <c r="P9" s="722"/>
      <c r="Q9" s="722"/>
      <c r="R9" s="722"/>
      <c r="S9" s="722"/>
      <c r="T9" s="722"/>
      <c r="U9" s="722"/>
      <c r="V9" s="722"/>
      <c r="W9" s="722"/>
      <c r="X9" s="722"/>
      <c r="Y9" s="722"/>
      <c r="Z9" s="722"/>
      <c r="AA9" s="731"/>
      <c r="AB9" s="722"/>
      <c r="AC9" s="722"/>
      <c r="AD9" s="722"/>
      <c r="AE9" s="69"/>
      <c r="AF9" s="69"/>
      <c r="AG9" s="69"/>
      <c r="AH9" s="70"/>
    </row>
    <row r="10" spans="2:34" ht="35.1" customHeight="1" x14ac:dyDescent="0.2">
      <c r="B10" s="416" t="s">
        <v>131</v>
      </c>
      <c r="C10" s="565">
        <v>6</v>
      </c>
      <c r="D10" s="279"/>
      <c r="E10" s="280">
        <f t="shared" si="0"/>
        <v>9.5238095238095237</v>
      </c>
      <c r="F10" s="280"/>
      <c r="G10" s="566">
        <v>487</v>
      </c>
      <c r="H10" s="281"/>
      <c r="I10" s="280">
        <f t="shared" si="1"/>
        <v>0.63490821860659163</v>
      </c>
      <c r="J10" s="280"/>
      <c r="K10" s="567">
        <v>80480</v>
      </c>
      <c r="L10" s="568"/>
      <c r="M10" s="280">
        <f t="shared" si="2"/>
        <v>3.5059655432591192</v>
      </c>
      <c r="N10" s="280"/>
      <c r="O10" s="729"/>
      <c r="P10" s="722"/>
      <c r="Q10" s="722"/>
      <c r="R10" s="726"/>
      <c r="S10" s="725"/>
      <c r="T10" s="434"/>
      <c r="U10" s="732"/>
      <c r="V10" s="726"/>
      <c r="W10" s="728"/>
      <c r="X10" s="722"/>
      <c r="Y10" s="722"/>
      <c r="Z10" s="722"/>
      <c r="AA10" s="730"/>
      <c r="AB10" s="722"/>
      <c r="AC10" s="722"/>
      <c r="AD10" s="722"/>
      <c r="AE10" s="69"/>
      <c r="AF10" s="69"/>
      <c r="AG10" s="69"/>
      <c r="AH10" s="70"/>
    </row>
    <row r="11" spans="2:34" ht="35.1" customHeight="1" x14ac:dyDescent="0.2">
      <c r="B11" s="434" t="s">
        <v>89</v>
      </c>
      <c r="C11" s="565">
        <v>1</v>
      </c>
      <c r="D11" s="279"/>
      <c r="E11" s="280">
        <f t="shared" si="0"/>
        <v>1.5873015873015872</v>
      </c>
      <c r="F11" s="280"/>
      <c r="G11" s="566">
        <v>5000</v>
      </c>
      <c r="H11" s="281"/>
      <c r="I11" s="280">
        <f t="shared" si="1"/>
        <v>6.5185648727576133</v>
      </c>
      <c r="J11" s="280"/>
      <c r="K11" s="567">
        <v>40000</v>
      </c>
      <c r="L11" s="569"/>
      <c r="M11" s="280">
        <f t="shared" si="2"/>
        <v>1.7425276059935979</v>
      </c>
      <c r="N11" s="280"/>
      <c r="O11" s="729"/>
      <c r="P11" s="722"/>
      <c r="Q11" s="722"/>
      <c r="R11" s="726"/>
      <c r="S11" s="725"/>
      <c r="T11" s="416"/>
      <c r="U11" s="727"/>
      <c r="V11" s="726"/>
      <c r="W11" s="728"/>
      <c r="X11" s="722"/>
      <c r="Y11" s="722"/>
      <c r="Z11" s="722"/>
      <c r="AA11" s="730"/>
      <c r="AB11" s="722"/>
      <c r="AC11" s="722"/>
      <c r="AD11" s="722"/>
      <c r="AE11" s="69"/>
      <c r="AF11" s="69"/>
      <c r="AG11" s="69"/>
      <c r="AH11" s="70"/>
    </row>
    <row r="12" spans="2:34" ht="35.1" customHeight="1" x14ac:dyDescent="0.2">
      <c r="B12" s="434" t="s">
        <v>109</v>
      </c>
      <c r="C12" s="565">
        <v>2</v>
      </c>
      <c r="D12" s="279"/>
      <c r="E12" s="288">
        <f t="shared" si="0"/>
        <v>3.1746031746031744</v>
      </c>
      <c r="F12" s="288"/>
      <c r="G12" s="566">
        <v>421</v>
      </c>
      <c r="H12" s="281"/>
      <c r="I12" s="280">
        <f t="shared" si="1"/>
        <v>0.54886316228619103</v>
      </c>
      <c r="J12" s="280"/>
      <c r="K12" s="567">
        <v>4912</v>
      </c>
      <c r="L12" s="277"/>
      <c r="M12" s="280">
        <f t="shared" si="2"/>
        <v>0.21398239001601382</v>
      </c>
      <c r="N12" s="280"/>
      <c r="O12" s="729"/>
      <c r="P12" s="722"/>
      <c r="Q12" s="722"/>
      <c r="R12" s="726"/>
      <c r="S12" s="725"/>
      <c r="T12" s="416"/>
      <c r="U12" s="727"/>
      <c r="V12" s="726"/>
      <c r="W12" s="728"/>
      <c r="X12" s="722"/>
      <c r="Y12" s="722"/>
      <c r="Z12" s="722"/>
      <c r="AA12" s="730"/>
      <c r="AB12" s="722"/>
      <c r="AC12" s="722"/>
      <c r="AD12" s="722"/>
      <c r="AE12" s="69"/>
      <c r="AF12" s="69"/>
      <c r="AG12" s="69"/>
      <c r="AH12" s="70"/>
    </row>
    <row r="13" spans="2:34" ht="35.1" customHeight="1" x14ac:dyDescent="0.2">
      <c r="B13" s="434" t="s">
        <v>321</v>
      </c>
      <c r="C13" s="565">
        <v>1</v>
      </c>
      <c r="D13" s="279"/>
      <c r="E13" s="288">
        <f t="shared" si="0"/>
        <v>1.5873015873015872</v>
      </c>
      <c r="F13" s="288"/>
      <c r="G13" s="566">
        <v>390</v>
      </c>
      <c r="H13" s="281"/>
      <c r="I13" s="280">
        <f t="shared" si="1"/>
        <v>0.5084480600750938</v>
      </c>
      <c r="J13" s="280"/>
      <c r="K13" s="567">
        <v>6240</v>
      </c>
      <c r="L13" s="277"/>
      <c r="M13" s="280">
        <f t="shared" si="2"/>
        <v>0.27183430653500129</v>
      </c>
      <c r="N13" s="280"/>
      <c r="O13" s="729"/>
      <c r="P13" s="722"/>
      <c r="Q13" s="722"/>
      <c r="R13" s="726"/>
      <c r="S13" s="725"/>
      <c r="T13" s="434"/>
      <c r="U13" s="727"/>
      <c r="V13" s="722"/>
      <c r="W13" s="722"/>
      <c r="X13" s="722"/>
      <c r="Y13" s="722"/>
      <c r="Z13" s="722"/>
      <c r="AA13" s="730"/>
      <c r="AB13" s="722"/>
      <c r="AC13" s="722"/>
      <c r="AD13" s="722"/>
      <c r="AE13" s="69"/>
      <c r="AF13" s="69"/>
      <c r="AG13" s="69"/>
      <c r="AH13" s="70"/>
    </row>
    <row r="14" spans="2:34" ht="35.1" customHeight="1" x14ac:dyDescent="0.2">
      <c r="B14" s="434" t="s">
        <v>254</v>
      </c>
      <c r="C14" s="565">
        <v>3</v>
      </c>
      <c r="D14" s="279"/>
      <c r="E14" s="288">
        <f t="shared" si="0"/>
        <v>4.7619047619047619</v>
      </c>
      <c r="F14" s="288"/>
      <c r="G14" s="566">
        <v>2720</v>
      </c>
      <c r="H14" s="281"/>
      <c r="I14" s="280">
        <f t="shared" si="1"/>
        <v>3.5460992907801421</v>
      </c>
      <c r="J14" s="280"/>
      <c r="K14" s="567">
        <v>21760</v>
      </c>
      <c r="L14" s="347"/>
      <c r="M14" s="280">
        <f t="shared" si="2"/>
        <v>0.94793501766051724</v>
      </c>
      <c r="N14" s="280"/>
      <c r="O14" s="729"/>
      <c r="P14" s="722"/>
      <c r="Q14" s="722"/>
      <c r="R14" s="726"/>
      <c r="S14" s="725"/>
      <c r="T14" s="434"/>
      <c r="U14" s="727"/>
      <c r="V14" s="726"/>
      <c r="W14" s="728"/>
      <c r="X14" s="722"/>
      <c r="Y14" s="722"/>
      <c r="Z14" s="722"/>
      <c r="AA14" s="730"/>
      <c r="AB14" s="722"/>
      <c r="AC14" s="722"/>
      <c r="AD14" s="722"/>
      <c r="AE14" s="69"/>
      <c r="AF14" s="69"/>
      <c r="AG14" s="69"/>
      <c r="AH14" s="70"/>
    </row>
    <row r="15" spans="2:34" ht="35.1" customHeight="1" x14ac:dyDescent="0.2">
      <c r="B15" s="434" t="s">
        <v>111</v>
      </c>
      <c r="C15" s="565">
        <v>33</v>
      </c>
      <c r="D15" s="279"/>
      <c r="E15" s="288">
        <f t="shared" si="0"/>
        <v>52.380952380952387</v>
      </c>
      <c r="F15" s="280"/>
      <c r="G15" s="566">
        <v>47178</v>
      </c>
      <c r="H15" s="281"/>
      <c r="I15" s="280">
        <f t="shared" si="1"/>
        <v>61.506570713391739</v>
      </c>
      <c r="J15" s="280"/>
      <c r="K15" s="570">
        <v>1950976</v>
      </c>
      <c r="L15" s="277"/>
      <c r="M15" s="280">
        <f t="shared" si="2"/>
        <v>84.990738465774143</v>
      </c>
      <c r="N15" s="280"/>
      <c r="O15" s="729"/>
      <c r="P15" s="722"/>
      <c r="Q15" s="722"/>
      <c r="R15" s="733"/>
      <c r="S15" s="734"/>
      <c r="T15" s="434"/>
      <c r="U15" s="734"/>
      <c r="V15" s="726"/>
      <c r="W15" s="728"/>
      <c r="X15" s="722"/>
      <c r="Y15" s="722"/>
      <c r="Z15" s="722"/>
      <c r="AA15" s="730"/>
      <c r="AB15" s="722"/>
      <c r="AC15" s="722"/>
      <c r="AD15" s="722"/>
      <c r="AE15" s="69"/>
      <c r="AF15" s="69"/>
      <c r="AG15" s="69"/>
      <c r="AH15" s="70"/>
    </row>
    <row r="16" spans="2:34" ht="35.1" customHeight="1" x14ac:dyDescent="0.2">
      <c r="B16" s="434" t="s">
        <v>19</v>
      </c>
      <c r="C16" s="565">
        <v>1</v>
      </c>
      <c r="D16" s="279"/>
      <c r="E16" s="288">
        <f t="shared" si="0"/>
        <v>1.5873015873015872</v>
      </c>
      <c r="F16" s="280"/>
      <c r="G16" s="566">
        <v>16</v>
      </c>
      <c r="H16" s="281"/>
      <c r="I16" s="280">
        <f t="shared" si="1"/>
        <v>2.0859407592824362E-2</v>
      </c>
      <c r="J16" s="280"/>
      <c r="K16" s="567">
        <v>256</v>
      </c>
      <c r="L16" s="277"/>
      <c r="M16" s="280">
        <f t="shared" si="2"/>
        <v>1.1152176678359027E-2</v>
      </c>
      <c r="N16" s="280"/>
      <c r="O16" s="729"/>
      <c r="P16" s="722"/>
      <c r="Q16" s="722"/>
      <c r="R16" s="733"/>
      <c r="S16" s="434"/>
      <c r="T16" s="434"/>
      <c r="U16" s="734"/>
      <c r="V16" s="722"/>
      <c r="W16" s="722"/>
      <c r="X16" s="722"/>
      <c r="Y16" s="722"/>
      <c r="Z16" s="722"/>
      <c r="AA16" s="730"/>
      <c r="AB16" s="722"/>
      <c r="AC16" s="722"/>
      <c r="AD16" s="722"/>
      <c r="AE16" s="69"/>
      <c r="AF16" s="69"/>
      <c r="AG16" s="69"/>
      <c r="AH16" s="70"/>
    </row>
    <row r="17" spans="2:34" ht="34.5" customHeight="1" x14ac:dyDescent="0.2">
      <c r="B17" s="434" t="s">
        <v>46</v>
      </c>
      <c r="C17" s="565">
        <v>8</v>
      </c>
      <c r="D17" s="279"/>
      <c r="E17" s="288">
        <f t="shared" si="0"/>
        <v>12.698412698412698</v>
      </c>
      <c r="F17" s="280"/>
      <c r="G17" s="566">
        <v>19174</v>
      </c>
      <c r="H17" s="281"/>
      <c r="I17" s="280">
        <f t="shared" si="1"/>
        <v>24.997392574050899</v>
      </c>
      <c r="J17" s="280"/>
      <c r="K17" s="567">
        <v>102084</v>
      </c>
      <c r="L17" s="277"/>
      <c r="M17" s="280">
        <f t="shared" si="2"/>
        <v>4.4471047032562616</v>
      </c>
      <c r="N17" s="280"/>
      <c r="O17" s="729"/>
      <c r="P17" s="722"/>
      <c r="Q17" s="722"/>
      <c r="R17" s="733"/>
      <c r="S17" s="416"/>
      <c r="T17" s="434"/>
      <c r="U17" s="734"/>
      <c r="V17" s="733"/>
      <c r="W17" s="735"/>
      <c r="X17" s="722"/>
      <c r="Y17" s="722"/>
      <c r="Z17" s="722"/>
      <c r="AA17" s="730"/>
      <c r="AB17" s="722"/>
      <c r="AC17" s="722"/>
      <c r="AD17" s="722"/>
      <c r="AE17" s="69"/>
      <c r="AF17" s="69"/>
      <c r="AG17" s="69"/>
      <c r="AH17" s="70"/>
    </row>
    <row r="18" spans="2:34" ht="34.5" customHeight="1" x14ac:dyDescent="0.2">
      <c r="B18" s="434" t="s">
        <v>322</v>
      </c>
      <c r="C18" s="565">
        <v>1</v>
      </c>
      <c r="D18" s="279"/>
      <c r="E18" s="288">
        <f t="shared" si="0"/>
        <v>1.5873015873015872</v>
      </c>
      <c r="F18" s="280"/>
      <c r="G18" s="566">
        <v>500</v>
      </c>
      <c r="H18" s="281"/>
      <c r="I18" s="280">
        <f t="shared" si="1"/>
        <v>0.6518564872757614</v>
      </c>
      <c r="J18" s="280"/>
      <c r="K18" s="567">
        <v>4000</v>
      </c>
      <c r="L18" s="569"/>
      <c r="M18" s="280">
        <f t="shared" si="2"/>
        <v>0.17425276059935979</v>
      </c>
      <c r="N18" s="280"/>
      <c r="O18" s="729"/>
      <c r="P18" s="722"/>
      <c r="Q18" s="722"/>
      <c r="R18" s="733"/>
      <c r="S18" s="416"/>
      <c r="T18" s="434"/>
      <c r="U18" s="734"/>
      <c r="V18" s="733"/>
      <c r="W18" s="735"/>
      <c r="X18" s="722"/>
      <c r="Y18" s="722"/>
      <c r="Z18" s="722"/>
      <c r="AA18" s="722"/>
      <c r="AB18" s="722"/>
      <c r="AC18" s="722"/>
      <c r="AD18" s="722"/>
      <c r="AE18" s="69"/>
      <c r="AF18" s="69"/>
      <c r="AG18" s="69"/>
      <c r="AH18" s="70"/>
    </row>
    <row r="19" spans="2:34" ht="45" customHeight="1" x14ac:dyDescent="0.2">
      <c r="B19" s="418" t="s">
        <v>6</v>
      </c>
      <c r="C19" s="436">
        <f>SUM(C7:C18)</f>
        <v>63</v>
      </c>
      <c r="D19" s="437"/>
      <c r="E19" s="437">
        <f>SUM(E7:E18)</f>
        <v>99.999999999999986</v>
      </c>
      <c r="F19" s="438"/>
      <c r="G19" s="436">
        <f>SUM(G7:G18)</f>
        <v>76704</v>
      </c>
      <c r="H19" s="436"/>
      <c r="I19" s="437">
        <f>SUM(I7:I18)</f>
        <v>100.00000000000001</v>
      </c>
      <c r="J19" s="438"/>
      <c r="K19" s="436">
        <f>SUM(K7:K18)</f>
        <v>2295516</v>
      </c>
      <c r="L19" s="437"/>
      <c r="M19" s="437">
        <f>SUM(M7:M18)</f>
        <v>100</v>
      </c>
      <c r="N19" s="437"/>
      <c r="O19" s="729"/>
      <c r="P19" s="722"/>
      <c r="Q19" s="722"/>
      <c r="R19" s="733"/>
      <c r="S19" s="434"/>
      <c r="T19" s="434"/>
      <c r="U19" s="722"/>
      <c r="V19" s="722"/>
      <c r="W19" s="722"/>
      <c r="X19" s="736"/>
      <c r="Y19" s="733"/>
      <c r="Z19" s="737"/>
      <c r="AA19" s="722"/>
      <c r="AB19" s="722"/>
      <c r="AC19" s="722"/>
      <c r="AD19" s="722"/>
      <c r="AE19" s="69"/>
      <c r="AF19" s="69"/>
      <c r="AG19" s="69"/>
      <c r="AH19" s="70"/>
    </row>
    <row r="20" spans="2:34" ht="29.25" customHeight="1" x14ac:dyDescent="0.2">
      <c r="B20" s="66" t="s">
        <v>245</v>
      </c>
      <c r="O20" s="722"/>
      <c r="P20" s="722"/>
      <c r="Q20" s="722"/>
      <c r="R20" s="722"/>
      <c r="S20" s="434"/>
      <c r="T20" s="434"/>
      <c r="U20" s="722"/>
      <c r="V20" s="733"/>
      <c r="W20" s="736"/>
      <c r="X20" s="733"/>
      <c r="Y20" s="737"/>
      <c r="Z20" s="733"/>
      <c r="AA20" s="737"/>
      <c r="AB20" s="722"/>
      <c r="AC20" s="722"/>
      <c r="AD20" s="722"/>
    </row>
    <row r="21" spans="2:34" ht="24.6" customHeight="1" x14ac:dyDescent="0.2">
      <c r="B21" s="73" t="s">
        <v>296</v>
      </c>
      <c r="D21" s="74"/>
      <c r="E21" s="74"/>
      <c r="F21" s="74"/>
      <c r="G21" s="74"/>
      <c r="H21" s="74"/>
      <c r="I21" s="75"/>
      <c r="J21" s="75"/>
      <c r="K21" s="75"/>
      <c r="L21" s="75"/>
      <c r="O21" s="722"/>
      <c r="P21" s="722"/>
      <c r="Q21" s="722"/>
      <c r="R21" s="722"/>
      <c r="S21" s="434"/>
      <c r="T21" s="722"/>
      <c r="U21" s="722"/>
      <c r="V21" s="722"/>
      <c r="W21" s="730"/>
      <c r="X21" s="738"/>
      <c r="Y21" s="730"/>
      <c r="Z21" s="738"/>
      <c r="AA21" s="737"/>
      <c r="AB21" s="722"/>
      <c r="AC21" s="722"/>
      <c r="AD21" s="722"/>
    </row>
    <row r="22" spans="2:34" ht="24.6" customHeight="1" x14ac:dyDescent="0.2">
      <c r="B22" s="29" t="s">
        <v>281</v>
      </c>
      <c r="E22" s="24"/>
      <c r="F22" s="24"/>
      <c r="G22" s="24"/>
      <c r="H22" s="24"/>
      <c r="I22" s="79"/>
      <c r="J22" s="64"/>
      <c r="K22" s="64"/>
      <c r="O22" s="722"/>
      <c r="P22" s="722"/>
      <c r="Q22" s="722"/>
      <c r="R22" s="722"/>
      <c r="S22" s="434"/>
      <c r="T22" s="722"/>
      <c r="U22" s="722"/>
      <c r="V22" s="722"/>
      <c r="W22" s="722"/>
      <c r="X22" s="722"/>
      <c r="Y22" s="722"/>
      <c r="Z22" s="722"/>
      <c r="AA22" s="722"/>
      <c r="AB22" s="722"/>
      <c r="AC22" s="722"/>
      <c r="AD22" s="722"/>
    </row>
    <row r="23" spans="2:34" x14ac:dyDescent="0.2">
      <c r="O23" s="722"/>
      <c r="P23" s="722"/>
      <c r="Q23" s="722"/>
      <c r="R23" s="722"/>
      <c r="S23" s="434"/>
      <c r="T23" s="722"/>
      <c r="U23" s="722"/>
      <c r="V23" s="722"/>
      <c r="W23" s="722"/>
      <c r="X23" s="722"/>
      <c r="Y23" s="722"/>
      <c r="Z23" s="722"/>
      <c r="AA23" s="722"/>
      <c r="AB23" s="722"/>
      <c r="AC23" s="722"/>
      <c r="AD23" s="722"/>
      <c r="AE23" s="69"/>
      <c r="AF23" s="69"/>
      <c r="AG23" s="69"/>
      <c r="AH23" s="70"/>
    </row>
    <row r="24" spans="2:34" x14ac:dyDescent="0.2">
      <c r="O24" s="722"/>
      <c r="P24" s="722"/>
      <c r="Q24" s="722"/>
      <c r="R24" s="722"/>
      <c r="S24" s="434"/>
      <c r="T24" s="722"/>
      <c r="U24" s="722"/>
      <c r="V24" s="722"/>
      <c r="W24" s="722"/>
      <c r="X24" s="722"/>
      <c r="Y24" s="722"/>
      <c r="Z24" s="722"/>
      <c r="AA24" s="722"/>
      <c r="AB24" s="722"/>
      <c r="AC24" s="722"/>
      <c r="AD24" s="722"/>
      <c r="AE24" s="69"/>
      <c r="AF24" s="69"/>
      <c r="AG24" s="69"/>
      <c r="AH24" s="70"/>
    </row>
    <row r="25" spans="2:34" x14ac:dyDescent="0.2">
      <c r="O25" s="722"/>
      <c r="P25" s="722"/>
      <c r="Q25" s="722"/>
      <c r="R25" s="722"/>
      <c r="S25" s="434"/>
      <c r="T25" s="722"/>
      <c r="U25" s="722"/>
      <c r="V25" s="722"/>
      <c r="W25" s="722"/>
      <c r="X25" s="722"/>
      <c r="Y25" s="722"/>
      <c r="Z25" s="722"/>
      <c r="AA25" s="722"/>
      <c r="AB25" s="722"/>
      <c r="AC25" s="722"/>
      <c r="AD25" s="722"/>
      <c r="AE25" s="69"/>
      <c r="AF25" s="69"/>
      <c r="AG25" s="69"/>
      <c r="AH25" s="70"/>
    </row>
    <row r="26" spans="2:34" x14ac:dyDescent="0.2">
      <c r="R26" s="69"/>
      <c r="S26" s="434"/>
      <c r="T26" s="69"/>
      <c r="U26" s="69"/>
      <c r="V26" s="69"/>
      <c r="W26" s="69"/>
      <c r="X26" s="69"/>
      <c r="Y26" s="69"/>
      <c r="Z26" s="69"/>
      <c r="AA26" s="69"/>
      <c r="AB26" s="69"/>
      <c r="AC26" s="69"/>
      <c r="AD26" s="69"/>
      <c r="AE26" s="69"/>
      <c r="AF26" s="69"/>
      <c r="AG26" s="69"/>
      <c r="AH26" s="70"/>
    </row>
    <row r="27" spans="2:34" x14ac:dyDescent="0.2">
      <c r="R27" s="69"/>
      <c r="S27" s="69"/>
      <c r="T27" s="69"/>
      <c r="U27" s="69"/>
      <c r="V27" s="69"/>
      <c r="W27" s="69"/>
      <c r="X27" s="69"/>
      <c r="Y27" s="69"/>
      <c r="Z27" s="69"/>
      <c r="AA27" s="69"/>
      <c r="AB27" s="69"/>
      <c r="AC27" s="69"/>
      <c r="AD27" s="69"/>
      <c r="AE27" s="69"/>
      <c r="AF27" s="69"/>
      <c r="AG27" s="69"/>
      <c r="AH27" s="70"/>
    </row>
    <row r="28" spans="2:34" x14ac:dyDescent="0.2">
      <c r="R28" s="69"/>
      <c r="S28" s="69"/>
      <c r="T28" s="69"/>
      <c r="U28" s="69"/>
      <c r="V28" s="69"/>
      <c r="W28" s="69"/>
      <c r="X28" s="69"/>
      <c r="Y28" s="69"/>
      <c r="Z28" s="69"/>
      <c r="AA28" s="69"/>
      <c r="AB28" s="69"/>
      <c r="AC28" s="69"/>
      <c r="AD28" s="69"/>
      <c r="AE28" s="69"/>
      <c r="AF28" s="69"/>
      <c r="AG28" s="69"/>
    </row>
    <row r="29" spans="2:34" x14ac:dyDescent="0.2">
      <c r="R29" s="69"/>
      <c r="S29" s="69"/>
      <c r="T29" s="69"/>
      <c r="U29" s="69"/>
      <c r="V29" s="69"/>
      <c r="W29" s="69"/>
      <c r="X29" s="69"/>
      <c r="Y29" s="69"/>
      <c r="Z29" s="69"/>
      <c r="AA29" s="69"/>
      <c r="AB29" s="69"/>
      <c r="AC29" s="69"/>
      <c r="AD29" s="69"/>
      <c r="AE29" s="69"/>
      <c r="AF29" s="69"/>
      <c r="AG29" s="69"/>
    </row>
    <row r="30" spans="2:34" x14ac:dyDescent="0.2">
      <c r="R30" s="69"/>
      <c r="S30" s="69"/>
      <c r="T30" s="69"/>
      <c r="U30" s="69"/>
      <c r="V30" s="69"/>
      <c r="W30" s="69"/>
      <c r="X30" s="69"/>
      <c r="Y30" s="69"/>
      <c r="Z30" s="69"/>
      <c r="AA30" s="69"/>
      <c r="AB30" s="69"/>
      <c r="AC30" s="69"/>
      <c r="AD30" s="69"/>
      <c r="AE30" s="69"/>
      <c r="AF30" s="69"/>
      <c r="AG30" s="69"/>
    </row>
    <row r="31" spans="2:34" x14ac:dyDescent="0.2">
      <c r="R31" s="69"/>
      <c r="S31" s="69"/>
      <c r="T31" s="69"/>
      <c r="U31" s="69"/>
      <c r="V31" s="69"/>
      <c r="W31" s="69"/>
      <c r="X31" s="69"/>
      <c r="Y31" s="69"/>
      <c r="Z31" s="69"/>
      <c r="AA31" s="69"/>
      <c r="AB31" s="69"/>
      <c r="AC31" s="69"/>
      <c r="AD31" s="69"/>
      <c r="AE31" s="69"/>
      <c r="AF31" s="69"/>
      <c r="AG31" s="69"/>
    </row>
    <row r="32" spans="2:34" x14ac:dyDescent="0.2">
      <c r="R32" s="69"/>
      <c r="S32" s="69"/>
      <c r="T32" s="69"/>
      <c r="U32" s="69"/>
      <c r="V32" s="69"/>
      <c r="W32" s="69"/>
      <c r="X32" s="69"/>
      <c r="Y32" s="69"/>
      <c r="Z32" s="69"/>
      <c r="AA32" s="69"/>
      <c r="AB32" s="69"/>
      <c r="AC32" s="69"/>
      <c r="AD32" s="69"/>
      <c r="AE32" s="69"/>
      <c r="AF32" s="69"/>
      <c r="AG32" s="69"/>
    </row>
    <row r="33" spans="18:33" x14ac:dyDescent="0.2">
      <c r="R33" s="69"/>
      <c r="S33" s="69"/>
      <c r="T33" s="69"/>
      <c r="U33" s="69"/>
      <c r="V33" s="69"/>
      <c r="W33" s="69"/>
      <c r="X33" s="69"/>
      <c r="Y33" s="69"/>
      <c r="Z33" s="69"/>
      <c r="AA33" s="69"/>
      <c r="AB33" s="69"/>
      <c r="AC33" s="69"/>
      <c r="AD33" s="69"/>
      <c r="AE33" s="69"/>
      <c r="AF33" s="69"/>
      <c r="AG33" s="69"/>
    </row>
    <row r="34" spans="18:33" x14ac:dyDescent="0.2">
      <c r="R34" s="69"/>
      <c r="S34" s="69"/>
      <c r="T34" s="69"/>
      <c r="U34" s="69"/>
      <c r="V34" s="69"/>
      <c r="W34" s="69"/>
      <c r="X34" s="69"/>
      <c r="Y34" s="69"/>
      <c r="Z34" s="69"/>
      <c r="AA34" s="69"/>
      <c r="AB34" s="69"/>
      <c r="AC34" s="69"/>
      <c r="AD34" s="69"/>
      <c r="AE34" s="69"/>
      <c r="AF34" s="69"/>
      <c r="AG34" s="69"/>
    </row>
    <row r="35" spans="18:33" x14ac:dyDescent="0.2">
      <c r="R35" s="69"/>
      <c r="S35" s="69"/>
      <c r="T35" s="69"/>
      <c r="U35" s="69"/>
      <c r="V35" s="69"/>
      <c r="W35" s="69"/>
      <c r="X35" s="69"/>
      <c r="Y35" s="69"/>
      <c r="Z35" s="69"/>
      <c r="AA35" s="69"/>
      <c r="AB35" s="69"/>
      <c r="AC35" s="69"/>
      <c r="AD35" s="69"/>
      <c r="AE35" s="69"/>
      <c r="AF35" s="69"/>
      <c r="AG35" s="69"/>
    </row>
    <row r="36" spans="18:33" x14ac:dyDescent="0.2">
      <c r="R36" s="69"/>
      <c r="S36" s="69"/>
      <c r="T36" s="69"/>
      <c r="U36" s="69"/>
      <c r="V36" s="69"/>
      <c r="W36" s="69"/>
      <c r="X36" s="69"/>
      <c r="Y36" s="69"/>
      <c r="Z36" s="69"/>
      <c r="AA36" s="69"/>
      <c r="AB36" s="69"/>
      <c r="AC36" s="69"/>
      <c r="AD36" s="69"/>
      <c r="AE36" s="69"/>
      <c r="AF36" s="69"/>
      <c r="AG36" s="69"/>
    </row>
    <row r="37" spans="18:33" x14ac:dyDescent="0.2">
      <c r="R37" s="69"/>
      <c r="S37" s="69"/>
      <c r="T37" s="69"/>
      <c r="U37" s="69"/>
      <c r="V37" s="69"/>
      <c r="W37" s="69"/>
      <c r="X37" s="69"/>
      <c r="Y37" s="69"/>
      <c r="Z37" s="69"/>
      <c r="AA37" s="69"/>
      <c r="AB37" s="69"/>
      <c r="AC37" s="69"/>
      <c r="AD37" s="69"/>
      <c r="AE37" s="69"/>
      <c r="AF37" s="69"/>
      <c r="AG37" s="69"/>
    </row>
    <row r="38" spans="18:33" x14ac:dyDescent="0.2">
      <c r="R38" s="69"/>
      <c r="S38" s="69"/>
      <c r="T38" s="69"/>
      <c r="U38" s="69"/>
      <c r="V38" s="69"/>
      <c r="W38" s="69"/>
      <c r="X38" s="69"/>
      <c r="Y38" s="69"/>
      <c r="Z38" s="69"/>
      <c r="AA38" s="69"/>
      <c r="AB38" s="69"/>
      <c r="AC38" s="69"/>
      <c r="AD38" s="69"/>
      <c r="AE38" s="69"/>
      <c r="AF38" s="69"/>
      <c r="AG38" s="69"/>
    </row>
    <row r="39" spans="18:33" x14ac:dyDescent="0.2">
      <c r="R39" s="69"/>
      <c r="S39" s="69"/>
      <c r="T39" s="69"/>
      <c r="U39" s="69"/>
      <c r="V39" s="69"/>
      <c r="W39" s="69"/>
      <c r="X39" s="69"/>
      <c r="Y39" s="69"/>
      <c r="Z39" s="69"/>
      <c r="AA39" s="69"/>
      <c r="AB39" s="69"/>
      <c r="AC39" s="69"/>
      <c r="AD39" s="69"/>
      <c r="AE39" s="69"/>
      <c r="AF39" s="69"/>
      <c r="AG39" s="69"/>
    </row>
    <row r="40" spans="18:33" x14ac:dyDescent="0.2">
      <c r="R40" s="69"/>
      <c r="S40" s="69"/>
      <c r="T40" s="69"/>
      <c r="U40" s="69"/>
      <c r="V40" s="69"/>
      <c r="W40" s="69"/>
      <c r="X40" s="69"/>
      <c r="Y40" s="69"/>
      <c r="Z40" s="69"/>
      <c r="AA40" s="69"/>
      <c r="AB40" s="69"/>
      <c r="AC40" s="69"/>
      <c r="AD40" s="69"/>
      <c r="AE40" s="69"/>
      <c r="AF40" s="69"/>
      <c r="AG40" s="69"/>
    </row>
  </sheetData>
  <sortState xmlns:xlrd2="http://schemas.microsoft.com/office/spreadsheetml/2017/richdata2" ref="Y11:Z23">
    <sortCondition descending="1" ref="Z11:Z23"/>
  </sortState>
  <mergeCells count="13">
    <mergeCell ref="B1:N1"/>
    <mergeCell ref="B4:N4"/>
    <mergeCell ref="B3:N3"/>
    <mergeCell ref="K5:N5"/>
    <mergeCell ref="B5:B6"/>
    <mergeCell ref="G5:J5"/>
    <mergeCell ref="I6:J6"/>
    <mergeCell ref="E6:F6"/>
    <mergeCell ref="C6:D6"/>
    <mergeCell ref="G6:H6"/>
    <mergeCell ref="M6:N6"/>
    <mergeCell ref="C5:F5"/>
    <mergeCell ref="K6:L6"/>
  </mergeCells>
  <phoneticPr fontId="2" type="noConversion"/>
  <printOptions horizontalCentered="1" verticalCentered="1"/>
  <pageMargins left="0" right="0" top="0" bottom="0" header="0" footer="0"/>
  <pageSetup paperSize="9" scale="6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AD45"/>
  <sheetViews>
    <sheetView showGridLines="0" view="pageBreakPreview" topLeftCell="H6" zoomScaleNormal="100" zoomScaleSheetLayoutView="100" zoomScalePageLayoutView="71" workbookViewId="0">
      <selection activeCell="O12" sqref="O12"/>
    </sheetView>
  </sheetViews>
  <sheetFormatPr baseColWidth="10" defaultColWidth="11.42578125" defaultRowHeight="12.75" x14ac:dyDescent="0.2"/>
  <cols>
    <col min="1" max="1" width="4" style="1" customWidth="1"/>
    <col min="2" max="2" width="30.7109375" style="1" customWidth="1"/>
    <col min="3" max="3" width="10.7109375" style="1" customWidth="1"/>
    <col min="4" max="4" width="5.5703125" style="1" customWidth="1"/>
    <col min="5" max="5" width="14.5703125" style="1" customWidth="1"/>
    <col min="6" max="6" width="4.7109375" style="1" customWidth="1"/>
    <col min="7" max="7" width="15.7109375" style="1" customWidth="1"/>
    <col min="8" max="8" width="3.7109375" style="1" customWidth="1"/>
    <col min="9" max="9" width="15.42578125" style="1" customWidth="1"/>
    <col min="10" max="10" width="3.7109375" style="1" customWidth="1"/>
    <col min="11" max="11" width="15.7109375" style="1" customWidth="1"/>
    <col min="12" max="12" width="6" style="1" customWidth="1"/>
    <col min="13" max="13" width="13.28515625" style="1" customWidth="1"/>
    <col min="14" max="14" width="7" style="1" customWidth="1"/>
    <col min="15" max="15" width="5" style="1" customWidth="1"/>
    <col min="16" max="18" width="11.42578125" style="1"/>
    <col min="19" max="19" width="22.42578125" style="1" customWidth="1"/>
    <col min="20" max="20" width="15.28515625" style="1" customWidth="1"/>
    <col min="21" max="21" width="11.42578125" style="1"/>
    <col min="22" max="22" width="17.7109375" style="1" customWidth="1"/>
    <col min="23" max="23" width="17.5703125" style="1" customWidth="1"/>
    <col min="24" max="16384" width="11.42578125" style="1"/>
  </cols>
  <sheetData>
    <row r="1" spans="2:30" ht="30" customHeight="1" x14ac:dyDescent="0.2">
      <c r="B1" s="803" t="s">
        <v>21</v>
      </c>
      <c r="C1" s="803"/>
      <c r="D1" s="803"/>
      <c r="E1" s="803"/>
      <c r="F1" s="803"/>
      <c r="G1" s="803"/>
      <c r="H1" s="803"/>
      <c r="I1" s="803"/>
      <c r="J1" s="803"/>
      <c r="K1" s="803"/>
      <c r="L1" s="803"/>
      <c r="M1" s="803"/>
      <c r="N1" s="803"/>
      <c r="O1" s="29"/>
      <c r="P1" s="29"/>
    </row>
    <row r="2" spans="2:30" ht="30" customHeight="1" x14ac:dyDescent="0.2">
      <c r="B2" s="32" t="s">
        <v>145</v>
      </c>
      <c r="C2" s="31"/>
      <c r="D2" s="31"/>
      <c r="E2" s="31"/>
      <c r="F2" s="31"/>
      <c r="G2" s="31"/>
      <c r="H2" s="31"/>
      <c r="I2" s="31"/>
      <c r="J2" s="31"/>
      <c r="K2" s="31"/>
      <c r="L2" s="31"/>
      <c r="M2" s="31"/>
      <c r="N2" s="31"/>
    </row>
    <row r="3" spans="2:30" ht="59.25" customHeight="1" x14ac:dyDescent="0.2">
      <c r="B3" s="804" t="s">
        <v>193</v>
      </c>
      <c r="C3" s="804"/>
      <c r="D3" s="804"/>
      <c r="E3" s="804"/>
      <c r="F3" s="804"/>
      <c r="G3" s="804"/>
      <c r="H3" s="804"/>
      <c r="I3" s="804"/>
      <c r="J3" s="804"/>
      <c r="K3" s="804"/>
      <c r="L3" s="804"/>
      <c r="M3" s="804"/>
      <c r="N3" s="804"/>
    </row>
    <row r="4" spans="2:30" ht="30" customHeight="1" x14ac:dyDescent="0.2">
      <c r="B4" s="803">
        <v>2024</v>
      </c>
      <c r="C4" s="803"/>
      <c r="D4" s="803"/>
      <c r="E4" s="803"/>
      <c r="F4" s="803"/>
      <c r="G4" s="803"/>
      <c r="H4" s="803"/>
      <c r="I4" s="803"/>
      <c r="J4" s="803"/>
      <c r="K4" s="803"/>
      <c r="L4" s="803"/>
      <c r="M4" s="803"/>
      <c r="N4" s="803"/>
    </row>
    <row r="5" spans="2:30" ht="35.25" customHeight="1" x14ac:dyDescent="0.2">
      <c r="B5" s="822" t="s">
        <v>102</v>
      </c>
      <c r="C5" s="829" t="s">
        <v>2</v>
      </c>
      <c r="D5" s="853"/>
      <c r="E5" s="853"/>
      <c r="F5" s="853"/>
      <c r="G5" s="852" t="s">
        <v>15</v>
      </c>
      <c r="H5" s="852"/>
      <c r="I5" s="852"/>
      <c r="J5" s="852"/>
      <c r="K5" s="853" t="s">
        <v>12</v>
      </c>
      <c r="L5" s="853"/>
      <c r="M5" s="853"/>
      <c r="N5" s="854"/>
      <c r="S5" s="73"/>
    </row>
    <row r="6" spans="2:30" ht="35.25" customHeight="1" x14ac:dyDescent="0.2">
      <c r="B6" s="822"/>
      <c r="C6" s="855" t="s">
        <v>63</v>
      </c>
      <c r="D6" s="855"/>
      <c r="E6" s="855" t="s">
        <v>5</v>
      </c>
      <c r="F6" s="856"/>
      <c r="G6" s="855" t="s">
        <v>63</v>
      </c>
      <c r="H6" s="855"/>
      <c r="I6" s="855" t="s">
        <v>5</v>
      </c>
      <c r="J6" s="856"/>
      <c r="K6" s="855" t="s">
        <v>63</v>
      </c>
      <c r="L6" s="855"/>
      <c r="M6" s="855" t="s">
        <v>5</v>
      </c>
      <c r="N6" s="855"/>
      <c r="S6" s="73"/>
    </row>
    <row r="7" spans="2:30" ht="35.1" customHeight="1" x14ac:dyDescent="0.2">
      <c r="B7" s="439" t="s">
        <v>59</v>
      </c>
      <c r="C7" s="81">
        <v>2</v>
      </c>
      <c r="D7" s="81"/>
      <c r="E7" s="289">
        <f>C7*100/C10</f>
        <v>33.333333333333336</v>
      </c>
      <c r="F7" s="81"/>
      <c r="G7" s="81">
        <v>310</v>
      </c>
      <c r="H7" s="81"/>
      <c r="I7" s="289">
        <f>G7*100/G10</f>
        <v>63.655030800821358</v>
      </c>
      <c r="J7" s="81"/>
      <c r="K7" s="81">
        <v>53600</v>
      </c>
      <c r="L7" s="81"/>
      <c r="M7" s="289">
        <f>K7*100/K10</f>
        <v>66.600397614314119</v>
      </c>
      <c r="N7" s="81"/>
      <c r="S7" s="73"/>
    </row>
    <row r="8" spans="2:30" ht="35.1" customHeight="1" x14ac:dyDescent="0.2">
      <c r="B8" s="439" t="s">
        <v>140</v>
      </c>
      <c r="C8" s="81">
        <v>3</v>
      </c>
      <c r="D8" s="81"/>
      <c r="E8" s="289">
        <f>C8*100/C10</f>
        <v>50</v>
      </c>
      <c r="F8" s="81"/>
      <c r="G8" s="81">
        <v>152</v>
      </c>
      <c r="H8" s="81"/>
      <c r="I8" s="289">
        <f>G8*100/G10</f>
        <v>31.211498973305954</v>
      </c>
      <c r="J8" s="81"/>
      <c r="K8" s="81">
        <v>21080</v>
      </c>
      <c r="L8" s="81"/>
      <c r="M8" s="289">
        <f>K8*100/K10</f>
        <v>26.192842942345923</v>
      </c>
      <c r="N8" s="81"/>
    </row>
    <row r="9" spans="2:30" ht="35.1" customHeight="1" x14ac:dyDescent="0.2">
      <c r="B9" s="439" t="s">
        <v>60</v>
      </c>
      <c r="C9" s="81">
        <v>1</v>
      </c>
      <c r="D9" s="81"/>
      <c r="E9" s="289">
        <f>C9*100/C10</f>
        <v>16.666666666666668</v>
      </c>
      <c r="F9" s="81"/>
      <c r="G9" s="81">
        <v>25</v>
      </c>
      <c r="H9" s="81"/>
      <c r="I9" s="289">
        <f>G9*100/G10</f>
        <v>5.1334702258726903</v>
      </c>
      <c r="J9" s="81"/>
      <c r="K9" s="81">
        <v>5800</v>
      </c>
      <c r="L9" s="81"/>
      <c r="M9" s="289">
        <f>K9*100/K10</f>
        <v>7.2067594433399602</v>
      </c>
      <c r="N9" s="81"/>
    </row>
    <row r="10" spans="2:30" s="3" customFormat="1" ht="38.25" customHeight="1" x14ac:dyDescent="0.2">
      <c r="B10" s="440" t="s">
        <v>6</v>
      </c>
      <c r="C10" s="441">
        <f>SUM(C7:C9)</f>
        <v>6</v>
      </c>
      <c r="D10" s="441"/>
      <c r="E10" s="442">
        <f>SUM(E7:E9)</f>
        <v>100.00000000000001</v>
      </c>
      <c r="F10" s="443"/>
      <c r="G10" s="441">
        <f>SUM(G7:G9)</f>
        <v>487</v>
      </c>
      <c r="H10" s="441"/>
      <c r="I10" s="442">
        <f>SUM(I7:I9)</f>
        <v>100</v>
      </c>
      <c r="J10" s="443"/>
      <c r="K10" s="441">
        <f>SUM(K7:K9)</f>
        <v>80480</v>
      </c>
      <c r="L10" s="441"/>
      <c r="M10" s="442">
        <f>SUM(M7:M9)</f>
        <v>100</v>
      </c>
      <c r="N10" s="441"/>
    </row>
    <row r="11" spans="2:30" ht="29.25" customHeight="1" x14ac:dyDescent="0.2">
      <c r="B11" s="11" t="s">
        <v>255</v>
      </c>
      <c r="C11" s="12"/>
      <c r="D11" s="12"/>
      <c r="E11" s="12"/>
      <c r="F11" s="12"/>
      <c r="G11" s="13"/>
      <c r="H11" s="12"/>
      <c r="I11" s="12"/>
      <c r="Y11" s="14"/>
      <c r="Z11" s="10"/>
      <c r="AA11" s="14"/>
      <c r="AB11" s="15"/>
      <c r="AC11" s="14"/>
      <c r="AD11" s="15"/>
    </row>
    <row r="12" spans="2:30" ht="29.25" customHeight="1" x14ac:dyDescent="0.2">
      <c r="B12" s="802" t="s">
        <v>296</v>
      </c>
      <c r="C12" s="802"/>
      <c r="D12" s="802"/>
      <c r="E12" s="802"/>
      <c r="F12" s="802"/>
      <c r="G12" s="802"/>
      <c r="H12" s="802"/>
      <c r="I12" s="802"/>
      <c r="J12" s="802"/>
      <c r="K12" s="802"/>
      <c r="L12" s="802"/>
      <c r="M12" s="802"/>
      <c r="Z12" s="82"/>
      <c r="AA12" s="83"/>
      <c r="AB12" s="82"/>
      <c r="AC12" s="83"/>
      <c r="AD12" s="15"/>
    </row>
    <row r="13" spans="2:30" ht="29.25" customHeight="1" x14ac:dyDescent="0.2">
      <c r="B13" s="841" t="s">
        <v>279</v>
      </c>
      <c r="C13" s="841"/>
      <c r="D13" s="841"/>
      <c r="E13" s="841"/>
      <c r="F13" s="841"/>
      <c r="G13" s="841"/>
      <c r="H13" s="841"/>
      <c r="I13" s="841"/>
      <c r="J13" s="841"/>
      <c r="K13" s="841"/>
      <c r="L13" s="841"/>
      <c r="M13" s="841"/>
    </row>
    <row r="14" spans="2:30" ht="15" customHeight="1" x14ac:dyDescent="0.2">
      <c r="B14" s="68"/>
    </row>
    <row r="15" spans="2:30" ht="15" customHeight="1" x14ac:dyDescent="0.2">
      <c r="B15" s="68"/>
    </row>
    <row r="16" spans="2:30" s="27" customFormat="1" ht="35.1" customHeight="1" x14ac:dyDescent="0.2">
      <c r="B16" s="803" t="s">
        <v>22</v>
      </c>
      <c r="C16" s="803"/>
      <c r="D16" s="803"/>
      <c r="E16" s="803"/>
      <c r="F16" s="803"/>
      <c r="G16" s="803"/>
      <c r="H16" s="803"/>
      <c r="I16" s="803"/>
      <c r="J16" s="803"/>
      <c r="K16" s="803"/>
      <c r="L16" s="803"/>
      <c r="M16" s="803"/>
      <c r="N16" s="803"/>
    </row>
    <row r="17" spans="2:27" s="27" customFormat="1" ht="35.1" customHeight="1" x14ac:dyDescent="0.2">
      <c r="B17" s="32" t="s">
        <v>145</v>
      </c>
      <c r="C17" s="31"/>
      <c r="D17" s="31"/>
      <c r="E17" s="31"/>
      <c r="F17" s="31"/>
      <c r="G17" s="31"/>
      <c r="H17" s="31"/>
      <c r="I17" s="31"/>
      <c r="J17" s="31"/>
      <c r="K17" s="31"/>
      <c r="L17" s="31"/>
      <c r="M17" s="31"/>
      <c r="N17" s="64"/>
    </row>
    <row r="18" spans="2:27" s="27" customFormat="1" ht="35.1" customHeight="1" x14ac:dyDescent="0.2">
      <c r="B18" s="804" t="s">
        <v>202</v>
      </c>
      <c r="C18" s="804"/>
      <c r="D18" s="804"/>
      <c r="E18" s="804"/>
      <c r="F18" s="804"/>
      <c r="G18" s="804"/>
      <c r="H18" s="804"/>
      <c r="I18" s="804"/>
      <c r="J18" s="804"/>
      <c r="K18" s="804"/>
      <c r="L18" s="804"/>
      <c r="M18" s="804"/>
      <c r="N18" s="804"/>
    </row>
    <row r="19" spans="2:27" s="27" customFormat="1" ht="35.1" customHeight="1" x14ac:dyDescent="0.2">
      <c r="B19" s="803">
        <v>2024</v>
      </c>
      <c r="C19" s="803"/>
      <c r="D19" s="803"/>
      <c r="E19" s="803"/>
      <c r="F19" s="803"/>
      <c r="G19" s="803"/>
      <c r="H19" s="803"/>
      <c r="I19" s="803"/>
      <c r="J19" s="803"/>
      <c r="K19" s="803"/>
      <c r="L19" s="803"/>
      <c r="M19" s="803"/>
      <c r="N19" s="803"/>
    </row>
    <row r="20" spans="2:27" s="27" customFormat="1" ht="39" customHeight="1" x14ac:dyDescent="0.2">
      <c r="B20" s="822" t="s">
        <v>103</v>
      </c>
      <c r="C20" s="823" t="s">
        <v>2</v>
      </c>
      <c r="D20" s="824"/>
      <c r="E20" s="824"/>
      <c r="F20" s="824"/>
      <c r="G20" s="836" t="s">
        <v>15</v>
      </c>
      <c r="H20" s="850"/>
      <c r="I20" s="850"/>
      <c r="J20" s="851"/>
      <c r="K20" s="824" t="s">
        <v>12</v>
      </c>
      <c r="L20" s="824"/>
      <c r="M20" s="824"/>
      <c r="N20" s="824"/>
      <c r="P20" s="777"/>
      <c r="Q20" s="777"/>
      <c r="R20" s="777"/>
      <c r="S20" s="777"/>
      <c r="T20" s="777"/>
      <c r="U20" s="777"/>
      <c r="V20" s="777"/>
      <c r="W20" s="777"/>
      <c r="X20" s="777"/>
      <c r="Y20" s="777"/>
      <c r="Z20" s="777"/>
    </row>
    <row r="21" spans="2:27" s="27" customFormat="1" ht="35.1" customHeight="1" x14ac:dyDescent="0.2">
      <c r="B21" s="822"/>
      <c r="C21" s="831" t="s">
        <v>63</v>
      </c>
      <c r="D21" s="831"/>
      <c r="E21" s="835" t="s">
        <v>5</v>
      </c>
      <c r="F21" s="849"/>
      <c r="G21" s="831" t="s">
        <v>63</v>
      </c>
      <c r="H21" s="831"/>
      <c r="I21" s="835" t="s">
        <v>5</v>
      </c>
      <c r="J21" s="849"/>
      <c r="K21" s="831" t="s">
        <v>63</v>
      </c>
      <c r="L21" s="831"/>
      <c r="M21" s="831" t="s">
        <v>5</v>
      </c>
      <c r="N21" s="831"/>
      <c r="P21" s="777"/>
      <c r="Q21" s="777"/>
      <c r="R21" s="777"/>
      <c r="S21" s="777"/>
      <c r="T21" s="777"/>
      <c r="U21" s="777"/>
      <c r="V21" s="777"/>
      <c r="W21" s="777"/>
      <c r="X21" s="777"/>
      <c r="Y21" s="777"/>
      <c r="Z21" s="777"/>
    </row>
    <row r="22" spans="2:27" s="27" customFormat="1" ht="18" customHeight="1" x14ac:dyDescent="0.2">
      <c r="B22" s="427"/>
      <c r="C22" s="848"/>
      <c r="D22" s="848"/>
      <c r="E22" s="840"/>
      <c r="F22" s="840"/>
      <c r="G22" s="848"/>
      <c r="H22" s="848"/>
      <c r="I22" s="840"/>
      <c r="J22" s="840"/>
      <c r="K22" s="848"/>
      <c r="L22" s="848"/>
      <c r="M22" s="840"/>
      <c r="N22" s="840"/>
      <c r="O22" s="585"/>
      <c r="P22" s="777"/>
      <c r="Q22" s="777"/>
      <c r="R22" s="777"/>
      <c r="S22" s="777"/>
      <c r="T22" s="777"/>
      <c r="U22" s="777"/>
      <c r="V22" s="777"/>
      <c r="W22" s="777"/>
      <c r="X22" s="777"/>
      <c r="Y22" s="777"/>
      <c r="Z22" s="777"/>
      <c r="AA22" s="585"/>
    </row>
    <row r="23" spans="2:27" s="27" customFormat="1" ht="30" customHeight="1" x14ac:dyDescent="0.2">
      <c r="B23" s="427" t="s">
        <v>134</v>
      </c>
      <c r="C23" s="84">
        <v>27</v>
      </c>
      <c r="D23" s="84"/>
      <c r="E23" s="840">
        <f>C23*100/C28</f>
        <v>42.857142857142854</v>
      </c>
      <c r="F23" s="840"/>
      <c r="G23" s="84">
        <v>34269</v>
      </c>
      <c r="H23" s="84"/>
      <c r="I23" s="840">
        <f>G23*100/G28</f>
        <v>44.676939924906129</v>
      </c>
      <c r="J23" s="840"/>
      <c r="K23" s="84">
        <v>1192604</v>
      </c>
      <c r="L23" s="84"/>
      <c r="M23" s="840">
        <f>K23*100/K28</f>
        <v>51.953634825459723</v>
      </c>
      <c r="N23" s="840"/>
      <c r="O23" s="585"/>
      <c r="P23" s="777" t="s">
        <v>182</v>
      </c>
      <c r="Q23" s="777" t="s">
        <v>183</v>
      </c>
      <c r="R23" s="777"/>
      <c r="S23" s="777" t="s">
        <v>182</v>
      </c>
      <c r="T23" s="777" t="s">
        <v>180</v>
      </c>
      <c r="U23" s="777"/>
      <c r="V23" s="777" t="s">
        <v>182</v>
      </c>
      <c r="W23" s="777" t="s">
        <v>181</v>
      </c>
      <c r="X23" s="778"/>
      <c r="Y23" s="777"/>
      <c r="Z23" s="777"/>
      <c r="AA23" s="585"/>
    </row>
    <row r="24" spans="2:27" s="27" customFormat="1" ht="30" customHeight="1" x14ac:dyDescent="0.2">
      <c r="B24" s="427" t="s">
        <v>135</v>
      </c>
      <c r="C24" s="84">
        <v>17</v>
      </c>
      <c r="D24" s="84"/>
      <c r="E24" s="840">
        <f>C24*100/C28</f>
        <v>26.984126984126984</v>
      </c>
      <c r="F24" s="840"/>
      <c r="G24" s="84">
        <v>5791</v>
      </c>
      <c r="H24" s="84"/>
      <c r="I24" s="840">
        <f>G24*100/G28</f>
        <v>7.5498018356278678</v>
      </c>
      <c r="J24" s="840"/>
      <c r="K24" s="84">
        <v>244768</v>
      </c>
      <c r="L24" s="84"/>
      <c r="M24" s="840">
        <f>K24*100/K28</f>
        <v>10.662874926596025</v>
      </c>
      <c r="N24" s="840"/>
      <c r="O24" s="585"/>
      <c r="P24" s="779" t="s">
        <v>134</v>
      </c>
      <c r="Q24" s="780">
        <v>27</v>
      </c>
      <c r="R24" s="778"/>
      <c r="S24" s="779" t="s">
        <v>134</v>
      </c>
      <c r="T24" s="780">
        <v>34269</v>
      </c>
      <c r="U24" s="778"/>
      <c r="V24" s="779" t="s">
        <v>134</v>
      </c>
      <c r="W24" s="780">
        <v>1192604</v>
      </c>
      <c r="X24" s="778"/>
      <c r="Y24" s="777"/>
      <c r="Z24" s="777"/>
      <c r="AA24" s="585"/>
    </row>
    <row r="25" spans="2:27" s="27" customFormat="1" ht="30" customHeight="1" x14ac:dyDescent="0.2">
      <c r="B25" s="427" t="s">
        <v>212</v>
      </c>
      <c r="C25" s="84">
        <v>10</v>
      </c>
      <c r="D25" s="84"/>
      <c r="E25" s="840">
        <f>C25*100/C28</f>
        <v>15.873015873015873</v>
      </c>
      <c r="F25" s="840"/>
      <c r="G25" s="84">
        <v>2544</v>
      </c>
      <c r="H25" s="84"/>
      <c r="I25" s="840">
        <f>G25*100/G28</f>
        <v>3.3166458072590737</v>
      </c>
      <c r="J25" s="840"/>
      <c r="K25" s="84">
        <v>101144</v>
      </c>
      <c r="L25" s="84"/>
      <c r="M25" s="840">
        <f>K25*100/K28</f>
        <v>4.406155304515412</v>
      </c>
      <c r="N25" s="840"/>
      <c r="O25" s="585"/>
      <c r="P25" s="779" t="s">
        <v>135</v>
      </c>
      <c r="Q25" s="780">
        <v>17</v>
      </c>
      <c r="R25" s="778"/>
      <c r="S25" s="779" t="s">
        <v>135</v>
      </c>
      <c r="T25" s="780">
        <v>5791</v>
      </c>
      <c r="U25" s="778"/>
      <c r="V25" s="779" t="s">
        <v>135</v>
      </c>
      <c r="W25" s="780">
        <v>244768</v>
      </c>
      <c r="X25" s="778"/>
      <c r="Y25" s="777"/>
      <c r="Z25" s="777"/>
      <c r="AA25" s="585"/>
    </row>
    <row r="26" spans="2:27" s="27" customFormat="1" ht="30" customHeight="1" x14ac:dyDescent="0.2">
      <c r="B26" s="427" t="s">
        <v>240</v>
      </c>
      <c r="C26" s="84">
        <v>9</v>
      </c>
      <c r="D26" s="84"/>
      <c r="E26" s="840">
        <f>C26*100/C28</f>
        <v>14.285714285714286</v>
      </c>
      <c r="F26" s="840"/>
      <c r="G26" s="84">
        <v>34100</v>
      </c>
      <c r="H26" s="84"/>
      <c r="I26" s="840">
        <f>G26*100/G28</f>
        <v>44.456612432206924</v>
      </c>
      <c r="J26" s="840"/>
      <c r="K26" s="84">
        <v>757000</v>
      </c>
      <c r="L26" s="84"/>
      <c r="M26" s="840">
        <f>K26*100/K28</f>
        <v>32.977334943428843</v>
      </c>
      <c r="N26" s="840"/>
      <c r="O26" s="585"/>
      <c r="P26" s="779" t="s">
        <v>212</v>
      </c>
      <c r="Q26" s="780">
        <v>10</v>
      </c>
      <c r="R26" s="778"/>
      <c r="S26" s="779" t="s">
        <v>212</v>
      </c>
      <c r="T26" s="780">
        <v>2544</v>
      </c>
      <c r="U26" s="778"/>
      <c r="V26" s="779" t="s">
        <v>212</v>
      </c>
      <c r="W26" s="780">
        <v>101144</v>
      </c>
      <c r="X26" s="778"/>
      <c r="Y26" s="777"/>
      <c r="Z26" s="777"/>
      <c r="AA26" s="585"/>
    </row>
    <row r="27" spans="2:27" s="27" customFormat="1" x14ac:dyDescent="0.2">
      <c r="B27" s="427"/>
      <c r="C27" s="847"/>
      <c r="D27" s="848"/>
      <c r="E27" s="839"/>
      <c r="F27" s="840"/>
      <c r="G27" s="847"/>
      <c r="H27" s="848"/>
      <c r="I27" s="839"/>
      <c r="J27" s="840"/>
      <c r="K27" s="847"/>
      <c r="L27" s="848"/>
      <c r="M27" s="839"/>
      <c r="N27" s="840"/>
      <c r="O27" s="585"/>
      <c r="P27" s="779" t="s">
        <v>240</v>
      </c>
      <c r="Q27" s="780">
        <v>9</v>
      </c>
      <c r="R27" s="778"/>
      <c r="S27" s="779" t="s">
        <v>240</v>
      </c>
      <c r="T27" s="780">
        <v>34100</v>
      </c>
      <c r="U27" s="778"/>
      <c r="V27" s="779" t="s">
        <v>240</v>
      </c>
      <c r="W27" s="780">
        <v>757000</v>
      </c>
      <c r="X27" s="778"/>
      <c r="Y27" s="777"/>
      <c r="Z27" s="777"/>
      <c r="AA27" s="585"/>
    </row>
    <row r="28" spans="2:27" s="85" customFormat="1" ht="39.75" customHeight="1" x14ac:dyDescent="0.2">
      <c r="B28" s="418" t="s">
        <v>6</v>
      </c>
      <c r="C28" s="843">
        <f>SUM(C23:C27)</f>
        <v>63</v>
      </c>
      <c r="D28" s="843"/>
      <c r="E28" s="844">
        <f>SUM(E23:F27)</f>
        <v>100</v>
      </c>
      <c r="F28" s="845"/>
      <c r="G28" s="843">
        <f>SUM(G23:G27)</f>
        <v>76704</v>
      </c>
      <c r="H28" s="843"/>
      <c r="I28" s="842">
        <f>SUM(I23:I27)</f>
        <v>100</v>
      </c>
      <c r="J28" s="846"/>
      <c r="K28" s="843">
        <f>SUM(K23:L27)</f>
        <v>2295516</v>
      </c>
      <c r="L28" s="843"/>
      <c r="M28" s="842">
        <f>SUM(M23:M27)</f>
        <v>100</v>
      </c>
      <c r="N28" s="842"/>
      <c r="O28" s="586"/>
      <c r="P28" s="781"/>
      <c r="Q28" s="782">
        <f>SUM(Q24:Q27)</f>
        <v>63</v>
      </c>
      <c r="R28" s="781"/>
      <c r="S28" s="781"/>
      <c r="T28" s="782">
        <f>SUM(T24:T27)</f>
        <v>76704</v>
      </c>
      <c r="U28" s="781"/>
      <c r="V28" s="781"/>
      <c r="W28" s="782">
        <f>SUM(W24:W27)</f>
        <v>2295516</v>
      </c>
      <c r="X28" s="781"/>
      <c r="Y28" s="781"/>
      <c r="Z28" s="781"/>
      <c r="AA28" s="586"/>
    </row>
    <row r="29" spans="2:27" ht="27" customHeight="1" x14ac:dyDescent="0.2">
      <c r="B29" s="11" t="s">
        <v>255</v>
      </c>
      <c r="C29" s="12"/>
      <c r="D29" s="12"/>
      <c r="E29" s="12"/>
      <c r="F29" s="12"/>
      <c r="G29" s="13"/>
      <c r="H29" s="12"/>
      <c r="I29" s="12"/>
      <c r="O29" s="90"/>
      <c r="P29" s="249"/>
      <c r="Q29" s="249"/>
      <c r="R29" s="249"/>
      <c r="S29" s="249"/>
      <c r="T29" s="249"/>
      <c r="U29" s="249"/>
      <c r="V29" s="249"/>
      <c r="W29" s="249"/>
      <c r="X29" s="249"/>
      <c r="Y29" s="249"/>
      <c r="Z29" s="249"/>
      <c r="AA29" s="90"/>
    </row>
    <row r="30" spans="2:27" ht="28.15" customHeight="1" x14ac:dyDescent="0.2">
      <c r="B30" s="802" t="s">
        <v>296</v>
      </c>
      <c r="C30" s="802"/>
      <c r="D30" s="802"/>
      <c r="E30" s="802"/>
      <c r="F30" s="802"/>
      <c r="G30" s="802"/>
      <c r="H30" s="802"/>
      <c r="I30" s="802"/>
      <c r="J30" s="802"/>
      <c r="K30" s="802"/>
      <c r="L30" s="802"/>
      <c r="M30" s="802"/>
      <c r="N30" s="17"/>
      <c r="O30" s="587"/>
      <c r="P30" s="783"/>
      <c r="Q30" s="783"/>
      <c r="R30" s="783"/>
      <c r="S30" s="783"/>
      <c r="T30" s="249"/>
      <c r="U30" s="249"/>
      <c r="V30" s="249"/>
      <c r="W30" s="249"/>
      <c r="X30" s="249"/>
      <c r="Y30" s="249"/>
      <c r="Z30" s="249"/>
      <c r="AA30" s="90"/>
    </row>
    <row r="31" spans="2:27" ht="23.45" customHeight="1" x14ac:dyDescent="0.2">
      <c r="B31" s="841" t="s">
        <v>279</v>
      </c>
      <c r="C31" s="841"/>
      <c r="D31" s="841"/>
      <c r="E31" s="841"/>
      <c r="F31" s="841"/>
      <c r="G31" s="841"/>
      <c r="H31" s="841"/>
      <c r="I31" s="841"/>
      <c r="J31" s="841"/>
      <c r="K31" s="841"/>
      <c r="L31" s="841"/>
      <c r="M31" s="841"/>
      <c r="N31" s="22"/>
      <c r="O31" s="93"/>
      <c r="P31" s="784"/>
      <c r="Q31" s="784"/>
      <c r="R31" s="784"/>
      <c r="S31" s="784"/>
      <c r="T31" s="249"/>
      <c r="U31" s="249"/>
      <c r="V31" s="249"/>
      <c r="W31" s="249"/>
      <c r="X31" s="249"/>
      <c r="Y31" s="249"/>
      <c r="Z31" s="249"/>
      <c r="AA31" s="90"/>
    </row>
    <row r="32" spans="2:27" x14ac:dyDescent="0.2">
      <c r="H32" s="86"/>
      <c r="I32" s="86"/>
      <c r="J32" s="86"/>
      <c r="K32" s="86"/>
      <c r="L32" s="86"/>
      <c r="M32" s="86"/>
      <c r="N32" s="86"/>
      <c r="O32" s="588"/>
      <c r="P32" s="785"/>
      <c r="Q32" s="785"/>
      <c r="R32" s="785"/>
      <c r="S32" s="785"/>
      <c r="T32" s="249"/>
      <c r="U32" s="249"/>
      <c r="V32" s="249"/>
      <c r="W32" s="249"/>
      <c r="X32" s="249"/>
      <c r="Y32" s="249"/>
      <c r="Z32" s="249"/>
      <c r="AA32" s="90"/>
    </row>
    <row r="33" spans="15:27" s="49" customFormat="1" x14ac:dyDescent="0.2">
      <c r="O33" s="57"/>
      <c r="P33" s="751"/>
      <c r="Q33" s="751"/>
      <c r="R33" s="751"/>
      <c r="S33" s="751"/>
      <c r="T33" s="751"/>
      <c r="U33" s="751"/>
      <c r="V33" s="751"/>
      <c r="W33" s="751"/>
      <c r="X33" s="751"/>
      <c r="Y33" s="751"/>
      <c r="Z33" s="751"/>
      <c r="AA33" s="57"/>
    </row>
    <row r="34" spans="15:27" ht="20.100000000000001" customHeight="1" x14ac:dyDescent="0.2">
      <c r="O34" s="90"/>
      <c r="P34" s="90"/>
      <c r="Q34" s="90"/>
      <c r="R34" s="90"/>
      <c r="S34" s="90"/>
      <c r="T34" s="90"/>
      <c r="U34" s="90"/>
      <c r="V34" s="90"/>
      <c r="W34" s="90"/>
      <c r="X34" s="90"/>
      <c r="Y34" s="90"/>
      <c r="Z34" s="90"/>
      <c r="AA34" s="90"/>
    </row>
    <row r="35" spans="15:27" ht="20.100000000000001" customHeight="1" x14ac:dyDescent="0.2"/>
    <row r="36" spans="15:27" ht="20.100000000000001" customHeight="1" x14ac:dyDescent="0.2"/>
    <row r="37" spans="15:27" ht="20.100000000000001" customHeight="1" x14ac:dyDescent="0.2"/>
    <row r="38" spans="15:27" ht="20.100000000000001" customHeight="1" x14ac:dyDescent="0.2"/>
    <row r="39" spans="15:27" ht="20.100000000000001" customHeight="1" x14ac:dyDescent="0.2"/>
    <row r="40" spans="15:27" ht="20.100000000000001" customHeight="1" x14ac:dyDescent="0.2"/>
    <row r="41" spans="15:27" ht="20.100000000000001" customHeight="1" x14ac:dyDescent="0.2"/>
    <row r="42" spans="15:27" ht="20.100000000000001" customHeight="1" x14ac:dyDescent="0.2"/>
    <row r="43" spans="15:27" ht="20.100000000000001" customHeight="1" x14ac:dyDescent="0.2"/>
    <row r="44" spans="15:27" ht="20.100000000000001" customHeight="1" x14ac:dyDescent="0.2"/>
    <row r="45" spans="15:27" ht="20.100000000000001" customHeight="1" x14ac:dyDescent="0.2"/>
  </sheetData>
  <mergeCells count="60">
    <mergeCell ref="B12:M12"/>
    <mergeCell ref="B13:M13"/>
    <mergeCell ref="B4:N4"/>
    <mergeCell ref="B1:N1"/>
    <mergeCell ref="G5:J5"/>
    <mergeCell ref="K5:N5"/>
    <mergeCell ref="B3:N3"/>
    <mergeCell ref="B5:B6"/>
    <mergeCell ref="I6:J6"/>
    <mergeCell ref="M6:N6"/>
    <mergeCell ref="C5:F5"/>
    <mergeCell ref="C6:D6"/>
    <mergeCell ref="E6:F6"/>
    <mergeCell ref="K6:L6"/>
    <mergeCell ref="G6:H6"/>
    <mergeCell ref="B16:N16"/>
    <mergeCell ref="B18:N18"/>
    <mergeCell ref="C21:D21"/>
    <mergeCell ref="E21:F21"/>
    <mergeCell ref="E22:F22"/>
    <mergeCell ref="M21:N21"/>
    <mergeCell ref="B19:N19"/>
    <mergeCell ref="B20:B21"/>
    <mergeCell ref="C20:F20"/>
    <mergeCell ref="G20:J20"/>
    <mergeCell ref="K20:N20"/>
    <mergeCell ref="G22:H22"/>
    <mergeCell ref="G21:H21"/>
    <mergeCell ref="I21:J21"/>
    <mergeCell ref="K22:L22"/>
    <mergeCell ref="C22:D22"/>
    <mergeCell ref="M22:N22"/>
    <mergeCell ref="K21:L21"/>
    <mergeCell ref="I22:J22"/>
    <mergeCell ref="E23:F23"/>
    <mergeCell ref="I23:J23"/>
    <mergeCell ref="M23:N23"/>
    <mergeCell ref="E24:F24"/>
    <mergeCell ref="I24:J24"/>
    <mergeCell ref="M24:N24"/>
    <mergeCell ref="M26:N26"/>
    <mergeCell ref="E26:F26"/>
    <mergeCell ref="I26:J26"/>
    <mergeCell ref="E25:F25"/>
    <mergeCell ref="I25:J25"/>
    <mergeCell ref="M25:N25"/>
    <mergeCell ref="M27:N27"/>
    <mergeCell ref="B30:M30"/>
    <mergeCell ref="B31:M31"/>
    <mergeCell ref="M28:N28"/>
    <mergeCell ref="C28:D28"/>
    <mergeCell ref="E28:F28"/>
    <mergeCell ref="G28:H28"/>
    <mergeCell ref="I28:J28"/>
    <mergeCell ref="K28:L28"/>
    <mergeCell ref="C27:D27"/>
    <mergeCell ref="E27:F27"/>
    <mergeCell ref="G27:H27"/>
    <mergeCell ref="I27:J27"/>
    <mergeCell ref="K27:L27"/>
  </mergeCells>
  <phoneticPr fontId="2" type="noConversion"/>
  <printOptions horizontalCentered="1" verticalCentered="1"/>
  <pageMargins left="0" right="0" top="0" bottom="0" header="0" footer="0"/>
  <pageSetup paperSize="9" scale="60" orientation="portrait" r:id="rId1"/>
  <headerFooter alignWithMargins="0"/>
  <ignoredErrors>
    <ignoredError sqref="E27:F27 E23:F24 F26" evalErro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AT45"/>
  <sheetViews>
    <sheetView showGridLines="0" view="pageBreakPreview" topLeftCell="C1" zoomScale="87" zoomScaleNormal="88" zoomScaleSheetLayoutView="87" workbookViewId="0">
      <selection activeCell="K2" sqref="K2:AN17"/>
    </sheetView>
  </sheetViews>
  <sheetFormatPr baseColWidth="10" defaultColWidth="11.42578125" defaultRowHeight="15" customHeight="1" x14ac:dyDescent="0.2"/>
  <cols>
    <col min="1" max="1" width="11.42578125" style="1" customWidth="1"/>
    <col min="2" max="2" width="49.28515625" style="1" customWidth="1"/>
    <col min="3" max="3" width="18.7109375" style="67" customWidth="1"/>
    <col min="4" max="4" width="7.7109375" style="1" customWidth="1"/>
    <col min="5" max="5" width="24.7109375" style="96" customWidth="1"/>
    <col min="6" max="6" width="5.7109375" style="1" customWidth="1"/>
    <col min="7" max="7" width="30.7109375" style="1" customWidth="1"/>
    <col min="8" max="8" width="7.7109375" style="13" customWidth="1"/>
    <col min="9" max="9" width="3.7109375" style="1" customWidth="1"/>
    <col min="10" max="10" width="11.42578125" style="1"/>
    <col min="11" max="11" width="19.5703125" style="1" customWidth="1"/>
    <col min="12" max="12" width="16.7109375" style="1" customWidth="1"/>
    <col min="13" max="14" width="11.42578125" style="1"/>
    <col min="15" max="15" width="21" style="1" customWidth="1"/>
    <col min="16" max="16" width="15.7109375" style="1" customWidth="1"/>
    <col min="17" max="17" width="12.140625" style="1" customWidth="1"/>
    <col min="18" max="18" width="20.42578125" style="1" customWidth="1"/>
    <col min="19" max="19" width="18.42578125" style="1" customWidth="1"/>
    <col min="20" max="16384" width="11.42578125" style="1"/>
  </cols>
  <sheetData>
    <row r="1" spans="2:44" ht="31.5" customHeight="1" x14ac:dyDescent="0.2">
      <c r="B1" s="803" t="s">
        <v>23</v>
      </c>
      <c r="C1" s="803"/>
      <c r="D1" s="803"/>
      <c r="E1" s="803"/>
      <c r="F1" s="803"/>
      <c r="G1" s="803"/>
      <c r="H1" s="803"/>
      <c r="I1" s="87"/>
      <c r="J1" s="87"/>
      <c r="K1" s="87"/>
      <c r="L1" s="87"/>
      <c r="M1" s="87"/>
      <c r="N1" s="87"/>
    </row>
    <row r="2" spans="2:44" ht="25.5" customHeight="1" x14ac:dyDescent="0.2">
      <c r="B2" s="87" t="s">
        <v>145</v>
      </c>
      <c r="D2" s="67"/>
      <c r="E2" s="67"/>
      <c r="F2" s="67"/>
      <c r="G2" s="67"/>
      <c r="H2" s="67"/>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row>
    <row r="3" spans="2:44" ht="30" customHeight="1" x14ac:dyDescent="0.2">
      <c r="B3" s="804" t="s">
        <v>282</v>
      </c>
      <c r="C3" s="804"/>
      <c r="D3" s="804"/>
      <c r="E3" s="804"/>
      <c r="F3" s="804"/>
      <c r="G3" s="804"/>
      <c r="H3" s="804"/>
      <c r="I3" s="88"/>
      <c r="J3" s="89"/>
      <c r="K3" s="786"/>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90"/>
      <c r="AP3" s="90"/>
      <c r="AQ3" s="90"/>
      <c r="AR3" s="90"/>
    </row>
    <row r="4" spans="2:44" ht="30" customHeight="1" x14ac:dyDescent="0.2">
      <c r="B4" s="858" t="s">
        <v>317</v>
      </c>
      <c r="C4" s="859"/>
      <c r="D4" s="859"/>
      <c r="E4" s="859"/>
      <c r="F4" s="859"/>
      <c r="G4" s="859"/>
      <c r="H4" s="859"/>
      <c r="I4" s="91"/>
      <c r="J4" s="92"/>
      <c r="K4" s="787"/>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c r="AN4" s="249"/>
      <c r="AO4" s="90"/>
      <c r="AP4" s="90"/>
      <c r="AQ4" s="90"/>
      <c r="AR4" s="90"/>
    </row>
    <row r="5" spans="2:44" ht="44.65" customHeight="1" x14ac:dyDescent="0.2">
      <c r="B5" s="298" t="s">
        <v>270</v>
      </c>
      <c r="C5" s="821" t="s">
        <v>2</v>
      </c>
      <c r="D5" s="821"/>
      <c r="E5" s="860" t="s">
        <v>15</v>
      </c>
      <c r="F5" s="861"/>
      <c r="G5" s="862" t="s">
        <v>12</v>
      </c>
      <c r="H5" s="863"/>
      <c r="J5" s="90"/>
      <c r="K5" s="743"/>
      <c r="L5" s="743" t="s">
        <v>184</v>
      </c>
      <c r="M5" s="743" t="s">
        <v>179</v>
      </c>
      <c r="N5" s="743"/>
      <c r="O5" s="743" t="s">
        <v>184</v>
      </c>
      <c r="P5" s="743" t="s">
        <v>180</v>
      </c>
      <c r="Q5" s="743"/>
      <c r="R5" s="743" t="s">
        <v>184</v>
      </c>
      <c r="S5" s="743" t="s">
        <v>181</v>
      </c>
      <c r="T5" s="249"/>
      <c r="U5" s="249"/>
      <c r="V5" s="249"/>
      <c r="W5" s="249"/>
      <c r="X5" s="249"/>
      <c r="Y5" s="249"/>
      <c r="Z5" s="249"/>
      <c r="AA5" s="249"/>
      <c r="AB5" s="249"/>
      <c r="AC5" s="249"/>
      <c r="AD5" s="249"/>
      <c r="AE5" s="249"/>
      <c r="AF5" s="249"/>
      <c r="AG5" s="249"/>
      <c r="AH5" s="249"/>
      <c r="AI5" s="249"/>
      <c r="AJ5" s="249"/>
      <c r="AK5" s="249"/>
      <c r="AL5" s="249"/>
      <c r="AM5" s="249"/>
      <c r="AN5" s="249"/>
      <c r="AO5" s="90"/>
      <c r="AP5" s="90"/>
      <c r="AQ5" s="90"/>
      <c r="AR5" s="90"/>
    </row>
    <row r="6" spans="2:44" s="22" customFormat="1" ht="13.9" customHeight="1" x14ac:dyDescent="0.2">
      <c r="B6" s="416"/>
      <c r="C6" s="290"/>
      <c r="D6" s="291"/>
      <c r="E6" s="292"/>
      <c r="F6" s="291"/>
      <c r="G6" s="292"/>
      <c r="H6" s="24"/>
      <c r="J6" s="93"/>
      <c r="K6" s="788"/>
      <c r="L6" s="784"/>
      <c r="M6" s="784"/>
      <c r="N6" s="789"/>
      <c r="O6" s="784"/>
      <c r="P6" s="784"/>
      <c r="Q6" s="789"/>
      <c r="R6" s="784"/>
      <c r="S6" s="790">
        <f>SUM(S20:S27)</f>
        <v>0</v>
      </c>
      <c r="T6" s="784"/>
      <c r="U6" s="784"/>
      <c r="V6" s="784"/>
      <c r="W6" s="784"/>
      <c r="X6" s="784"/>
      <c r="Y6" s="784"/>
      <c r="Z6" s="784"/>
      <c r="AA6" s="784"/>
      <c r="AB6" s="784"/>
      <c r="AC6" s="784"/>
      <c r="AD6" s="784"/>
      <c r="AE6" s="784"/>
      <c r="AF6" s="784"/>
      <c r="AG6" s="784"/>
      <c r="AH6" s="784"/>
      <c r="AI6" s="784"/>
      <c r="AJ6" s="784"/>
      <c r="AK6" s="784"/>
      <c r="AL6" s="784"/>
      <c r="AM6" s="784"/>
      <c r="AN6" s="784"/>
      <c r="AO6" s="93"/>
      <c r="AP6" s="93"/>
      <c r="AQ6" s="93"/>
      <c r="AR6" s="93"/>
    </row>
    <row r="7" spans="2:44" ht="30" customHeight="1" x14ac:dyDescent="0.2">
      <c r="B7" s="573" t="s">
        <v>256</v>
      </c>
      <c r="C7" s="576">
        <v>2</v>
      </c>
      <c r="D7" s="293"/>
      <c r="E7" s="574">
        <v>126</v>
      </c>
      <c r="F7" s="293"/>
      <c r="G7" s="294">
        <v>1136</v>
      </c>
      <c r="H7" s="243"/>
      <c r="J7" s="90"/>
      <c r="K7" s="249"/>
      <c r="L7" s="791">
        <f>SUM(L8:M14)</f>
        <v>63</v>
      </c>
      <c r="M7" s="249"/>
      <c r="N7" s="249"/>
      <c r="O7" s="790">
        <f>SUM(O8:O14)</f>
        <v>76704</v>
      </c>
      <c r="P7" s="249"/>
      <c r="Q7" s="249"/>
      <c r="R7" s="792">
        <f>SUM(R8:R14)</f>
        <v>2295516</v>
      </c>
      <c r="S7" s="249"/>
      <c r="T7" s="249"/>
      <c r="U7" s="249"/>
      <c r="V7" s="249"/>
      <c r="W7" s="249"/>
      <c r="X7" s="249"/>
      <c r="Y7" s="249"/>
      <c r="Z7" s="249"/>
      <c r="AA7" s="249"/>
      <c r="AB7" s="249"/>
      <c r="AC7" s="249"/>
      <c r="AD7" s="249"/>
      <c r="AE7" s="249"/>
      <c r="AF7" s="249"/>
      <c r="AG7" s="249"/>
      <c r="AH7" s="249"/>
      <c r="AI7" s="249"/>
      <c r="AJ7" s="249"/>
      <c r="AK7" s="249"/>
      <c r="AL7" s="249"/>
      <c r="AM7" s="249"/>
      <c r="AN7" s="249"/>
    </row>
    <row r="8" spans="2:44" ht="30" customHeight="1" x14ac:dyDescent="0.2">
      <c r="B8" s="416" t="s">
        <v>323</v>
      </c>
      <c r="C8" s="290">
        <v>2</v>
      </c>
      <c r="D8" s="295"/>
      <c r="E8" s="575">
        <v>126</v>
      </c>
      <c r="F8" s="295"/>
      <c r="G8" s="296">
        <v>1136</v>
      </c>
      <c r="H8" s="297"/>
      <c r="J8" s="90"/>
      <c r="K8" s="793" t="s">
        <v>276</v>
      </c>
      <c r="L8" s="794">
        <v>2</v>
      </c>
      <c r="M8" s="795"/>
      <c r="N8" s="793" t="s">
        <v>276</v>
      </c>
      <c r="O8" s="796">
        <v>147</v>
      </c>
      <c r="P8" s="795"/>
      <c r="Q8" s="793" t="s">
        <v>277</v>
      </c>
      <c r="R8" s="796">
        <v>39032</v>
      </c>
      <c r="S8" s="249"/>
      <c r="T8" s="249"/>
      <c r="U8" s="249"/>
      <c r="V8" s="249"/>
      <c r="W8" s="249"/>
      <c r="X8" s="249"/>
      <c r="Y8" s="249"/>
      <c r="Z8" s="249"/>
      <c r="AA8" s="249"/>
      <c r="AB8" s="249"/>
      <c r="AC8" s="249"/>
      <c r="AD8" s="249"/>
      <c r="AE8" s="249"/>
      <c r="AF8" s="249"/>
      <c r="AG8" s="249"/>
      <c r="AH8" s="249"/>
      <c r="AI8" s="249"/>
      <c r="AJ8" s="249"/>
      <c r="AK8" s="249"/>
      <c r="AL8" s="249"/>
      <c r="AM8" s="249"/>
      <c r="AN8" s="249"/>
    </row>
    <row r="9" spans="2:44" ht="30" customHeight="1" x14ac:dyDescent="0.2">
      <c r="B9" s="573" t="s">
        <v>324</v>
      </c>
      <c r="C9" s="576">
        <v>1</v>
      </c>
      <c r="D9" s="293"/>
      <c r="E9" s="574">
        <v>25</v>
      </c>
      <c r="F9" s="293"/>
      <c r="G9" s="294">
        <v>1200</v>
      </c>
      <c r="H9" s="243"/>
      <c r="J9" s="90"/>
      <c r="K9" s="793" t="s">
        <v>277</v>
      </c>
      <c r="L9" s="794">
        <v>6</v>
      </c>
      <c r="M9" s="743"/>
      <c r="N9" s="793" t="s">
        <v>277</v>
      </c>
      <c r="O9" s="796">
        <v>2725</v>
      </c>
      <c r="P9" s="743"/>
      <c r="Q9" s="793" t="s">
        <v>250</v>
      </c>
      <c r="R9" s="796">
        <v>15928</v>
      </c>
      <c r="S9" s="249"/>
      <c r="T9" s="249"/>
      <c r="U9" s="249"/>
      <c r="V9" s="249"/>
      <c r="W9" s="249"/>
      <c r="X9" s="249"/>
      <c r="Y9" s="249"/>
      <c r="Z9" s="249"/>
      <c r="AA9" s="249"/>
      <c r="AB9" s="249"/>
      <c r="AC9" s="249"/>
      <c r="AD9" s="249"/>
      <c r="AE9" s="249"/>
      <c r="AF9" s="249"/>
      <c r="AG9" s="249"/>
      <c r="AH9" s="249"/>
      <c r="AI9" s="249"/>
      <c r="AJ9" s="249"/>
      <c r="AK9" s="249"/>
      <c r="AL9" s="249"/>
      <c r="AM9" s="249"/>
      <c r="AN9" s="249"/>
    </row>
    <row r="10" spans="2:44" ht="30" customHeight="1" x14ac:dyDescent="0.2">
      <c r="B10" s="416" t="s">
        <v>275</v>
      </c>
      <c r="C10" s="290">
        <v>1</v>
      </c>
      <c r="D10" s="295"/>
      <c r="E10" s="575">
        <v>25</v>
      </c>
      <c r="F10" s="295"/>
      <c r="G10" s="296">
        <v>1200</v>
      </c>
      <c r="H10" s="297"/>
      <c r="J10" s="90"/>
      <c r="K10" s="793" t="s">
        <v>250</v>
      </c>
      <c r="L10" s="794">
        <v>2</v>
      </c>
      <c r="M10" s="743"/>
      <c r="N10" s="793" t="s">
        <v>250</v>
      </c>
      <c r="O10" s="796">
        <v>287</v>
      </c>
      <c r="P10" s="743"/>
      <c r="Q10" s="249" t="s">
        <v>336</v>
      </c>
      <c r="R10" s="249">
        <v>14800</v>
      </c>
      <c r="S10" s="249"/>
      <c r="T10" s="249"/>
      <c r="U10" s="249"/>
      <c r="V10" s="249"/>
      <c r="W10" s="249"/>
      <c r="X10" s="249"/>
      <c r="Y10" s="249"/>
      <c r="Z10" s="249"/>
      <c r="AA10" s="249"/>
      <c r="AB10" s="249"/>
      <c r="AC10" s="249"/>
      <c r="AD10" s="249"/>
      <c r="AE10" s="249"/>
      <c r="AF10" s="249"/>
      <c r="AG10" s="249"/>
      <c r="AH10" s="249"/>
      <c r="AI10" s="249"/>
      <c r="AJ10" s="249"/>
      <c r="AK10" s="249"/>
      <c r="AL10" s="249"/>
      <c r="AM10" s="249"/>
      <c r="AN10" s="249"/>
    </row>
    <row r="11" spans="2:44" ht="30" customHeight="1" x14ac:dyDescent="0.2">
      <c r="B11" s="573" t="s">
        <v>276</v>
      </c>
      <c r="C11" s="576">
        <v>2</v>
      </c>
      <c r="D11" s="293"/>
      <c r="E11" s="574">
        <v>147</v>
      </c>
      <c r="F11" s="293"/>
      <c r="G11" s="294">
        <v>1176</v>
      </c>
      <c r="H11" s="243"/>
      <c r="J11" s="90"/>
      <c r="K11" s="797" t="s">
        <v>122</v>
      </c>
      <c r="L11" s="794">
        <v>42</v>
      </c>
      <c r="M11" s="743"/>
      <c r="N11" s="797" t="s">
        <v>122</v>
      </c>
      <c r="O11" s="796">
        <v>72555</v>
      </c>
      <c r="P11" s="743"/>
      <c r="Q11" s="797" t="s">
        <v>122</v>
      </c>
      <c r="R11" s="796">
        <v>2158020</v>
      </c>
      <c r="S11" s="249"/>
      <c r="T11" s="249"/>
      <c r="U11" s="249"/>
      <c r="V11" s="249"/>
      <c r="W11" s="249"/>
      <c r="X11" s="249"/>
      <c r="Y11" s="249"/>
      <c r="Z11" s="249"/>
      <c r="AA11" s="249"/>
      <c r="AB11" s="249"/>
      <c r="AC11" s="249"/>
      <c r="AD11" s="249"/>
      <c r="AE11" s="249"/>
      <c r="AF11" s="249"/>
      <c r="AG11" s="249"/>
      <c r="AH11" s="249"/>
      <c r="AI11" s="249"/>
      <c r="AJ11" s="249"/>
      <c r="AK11" s="249"/>
      <c r="AL11" s="249"/>
      <c r="AM11" s="249"/>
      <c r="AN11" s="249"/>
    </row>
    <row r="12" spans="2:44" ht="30" customHeight="1" x14ac:dyDescent="0.2">
      <c r="B12" s="416" t="s">
        <v>276</v>
      </c>
      <c r="C12" s="290">
        <v>2</v>
      </c>
      <c r="D12" s="295"/>
      <c r="E12" s="575">
        <v>147</v>
      </c>
      <c r="F12" s="295"/>
      <c r="G12" s="296">
        <v>1176</v>
      </c>
      <c r="H12" s="297"/>
      <c r="J12" s="90"/>
      <c r="K12" s="793" t="s">
        <v>330</v>
      </c>
      <c r="L12" s="794">
        <v>3</v>
      </c>
      <c r="M12" s="743"/>
      <c r="N12" s="793" t="s">
        <v>330</v>
      </c>
      <c r="O12" s="796">
        <v>521</v>
      </c>
      <c r="P12" s="743"/>
      <c r="Q12" s="797" t="s">
        <v>278</v>
      </c>
      <c r="R12" s="796">
        <v>37088</v>
      </c>
      <c r="S12" s="249"/>
      <c r="T12" s="249"/>
      <c r="U12" s="249"/>
      <c r="V12" s="249"/>
      <c r="W12" s="249"/>
      <c r="X12" s="249"/>
      <c r="Y12" s="249"/>
      <c r="Z12" s="249"/>
      <c r="AA12" s="249"/>
      <c r="AB12" s="249"/>
      <c r="AC12" s="249"/>
      <c r="AD12" s="249"/>
      <c r="AE12" s="249"/>
      <c r="AF12" s="249"/>
      <c r="AG12" s="249"/>
      <c r="AH12" s="249"/>
      <c r="AI12" s="249"/>
      <c r="AJ12" s="249"/>
      <c r="AK12" s="249"/>
      <c r="AL12" s="249"/>
      <c r="AM12" s="249"/>
      <c r="AN12" s="249"/>
    </row>
    <row r="13" spans="2:44" ht="30" customHeight="1" x14ac:dyDescent="0.2">
      <c r="B13" s="573" t="s">
        <v>277</v>
      </c>
      <c r="C13" s="576">
        <v>6</v>
      </c>
      <c r="D13" s="293"/>
      <c r="E13" s="574">
        <v>2725</v>
      </c>
      <c r="F13" s="293"/>
      <c r="G13" s="294">
        <v>39032</v>
      </c>
      <c r="H13" s="243"/>
      <c r="J13" s="90"/>
      <c r="K13" s="797" t="s">
        <v>332</v>
      </c>
      <c r="L13" s="798">
        <v>2</v>
      </c>
      <c r="M13" s="798"/>
      <c r="N13" s="797" t="s">
        <v>332</v>
      </c>
      <c r="O13" s="799">
        <v>146</v>
      </c>
      <c r="P13" s="798"/>
      <c r="Q13" s="797" t="s">
        <v>332</v>
      </c>
      <c r="R13" s="796">
        <v>18224</v>
      </c>
      <c r="S13" s="249"/>
      <c r="T13" s="249"/>
      <c r="U13" s="249"/>
      <c r="V13" s="249"/>
      <c r="W13" s="249"/>
      <c r="X13" s="249"/>
      <c r="Y13" s="249"/>
      <c r="Z13" s="249"/>
      <c r="AA13" s="249"/>
      <c r="AB13" s="249"/>
      <c r="AC13" s="249"/>
      <c r="AD13" s="249"/>
      <c r="AE13" s="249"/>
      <c r="AF13" s="249"/>
      <c r="AG13" s="249"/>
      <c r="AH13" s="249"/>
      <c r="AI13" s="249"/>
      <c r="AJ13" s="249"/>
      <c r="AK13" s="249"/>
      <c r="AL13" s="249"/>
      <c r="AM13" s="249"/>
      <c r="AN13" s="249"/>
    </row>
    <row r="14" spans="2:44" ht="30" customHeight="1" x14ac:dyDescent="0.2">
      <c r="B14" s="416" t="s">
        <v>277</v>
      </c>
      <c r="C14" s="290">
        <v>6</v>
      </c>
      <c r="D14" s="295"/>
      <c r="E14" s="575">
        <v>2725</v>
      </c>
      <c r="F14" s="295"/>
      <c r="G14" s="296">
        <v>39032</v>
      </c>
      <c r="H14" s="297"/>
      <c r="J14" s="90"/>
      <c r="K14" s="798" t="s">
        <v>252</v>
      </c>
      <c r="L14" s="249">
        <v>6</v>
      </c>
      <c r="M14" s="249"/>
      <c r="N14" s="798" t="s">
        <v>252</v>
      </c>
      <c r="O14" s="249">
        <v>323</v>
      </c>
      <c r="P14" s="249"/>
      <c r="Q14" s="798" t="s">
        <v>252</v>
      </c>
      <c r="R14" s="249">
        <v>12424</v>
      </c>
      <c r="S14" s="249"/>
      <c r="T14" s="249"/>
      <c r="U14" s="249"/>
      <c r="V14" s="249"/>
      <c r="W14" s="249"/>
      <c r="X14" s="249"/>
      <c r="Y14" s="249"/>
      <c r="Z14" s="249"/>
      <c r="AA14" s="249"/>
      <c r="AB14" s="249"/>
      <c r="AC14" s="249"/>
      <c r="AD14" s="249"/>
      <c r="AE14" s="249"/>
      <c r="AF14" s="249"/>
      <c r="AG14" s="249"/>
      <c r="AH14" s="249"/>
      <c r="AI14" s="249"/>
      <c r="AJ14" s="249"/>
      <c r="AK14" s="249"/>
      <c r="AL14" s="249"/>
      <c r="AM14" s="249"/>
      <c r="AN14" s="249"/>
    </row>
    <row r="15" spans="2:44" ht="30" customHeight="1" x14ac:dyDescent="0.2">
      <c r="B15" s="573" t="s">
        <v>250</v>
      </c>
      <c r="C15" s="576">
        <v>2</v>
      </c>
      <c r="D15" s="293"/>
      <c r="E15" s="574">
        <v>287</v>
      </c>
      <c r="F15" s="293"/>
      <c r="G15" s="294">
        <v>15928</v>
      </c>
      <c r="H15" s="243"/>
      <c r="J15" s="90"/>
      <c r="K15" s="800"/>
      <c r="L15" s="794">
        <f>SUM(L8:L14)</f>
        <v>63</v>
      </c>
      <c r="M15" s="249"/>
      <c r="N15" s="800"/>
      <c r="O15" s="796">
        <f>SUM(O8:O14)</f>
        <v>76704</v>
      </c>
      <c r="P15" s="249"/>
      <c r="Q15" s="800"/>
      <c r="R15" s="796">
        <f>SUM(R8:R14)</f>
        <v>2295516</v>
      </c>
      <c r="S15" s="249"/>
      <c r="T15" s="249"/>
      <c r="U15" s="249"/>
      <c r="V15" s="249"/>
      <c r="W15" s="249"/>
      <c r="X15" s="249"/>
      <c r="Y15" s="249"/>
      <c r="Z15" s="249"/>
      <c r="AA15" s="249"/>
      <c r="AB15" s="249"/>
      <c r="AC15" s="249"/>
      <c r="AD15" s="249"/>
      <c r="AE15" s="249"/>
      <c r="AF15" s="249"/>
      <c r="AG15" s="249"/>
      <c r="AH15" s="249"/>
      <c r="AI15" s="249"/>
      <c r="AJ15" s="249"/>
      <c r="AK15" s="249"/>
      <c r="AL15" s="249"/>
      <c r="AM15" s="249"/>
      <c r="AN15" s="249"/>
    </row>
    <row r="16" spans="2:44" ht="30" customHeight="1" x14ac:dyDescent="0.2">
      <c r="B16" s="416" t="s">
        <v>250</v>
      </c>
      <c r="C16" s="290">
        <v>1</v>
      </c>
      <c r="D16" s="295"/>
      <c r="E16" s="575">
        <v>142</v>
      </c>
      <c r="F16" s="295"/>
      <c r="G16" s="296">
        <v>14768</v>
      </c>
      <c r="H16" s="297"/>
      <c r="J16" s="90"/>
      <c r="K16" s="800"/>
      <c r="L16" s="794"/>
      <c r="M16" s="743"/>
      <c r="N16" s="800"/>
      <c r="O16" s="796"/>
      <c r="P16" s="249"/>
      <c r="Q16" s="800"/>
      <c r="R16" s="796"/>
      <c r="S16" s="249"/>
      <c r="T16" s="249"/>
      <c r="U16" s="249"/>
      <c r="V16" s="249"/>
      <c r="W16" s="249"/>
      <c r="X16" s="249"/>
      <c r="Y16" s="249"/>
      <c r="Z16" s="249"/>
      <c r="AA16" s="249"/>
      <c r="AB16" s="249"/>
      <c r="AC16" s="249"/>
      <c r="AD16" s="249"/>
      <c r="AE16" s="249"/>
      <c r="AF16" s="249"/>
      <c r="AG16" s="249"/>
      <c r="AH16" s="249"/>
      <c r="AI16" s="249"/>
      <c r="AJ16" s="249"/>
      <c r="AK16" s="249"/>
      <c r="AL16" s="249"/>
      <c r="AM16" s="249"/>
      <c r="AN16" s="249"/>
    </row>
    <row r="17" spans="2:40" ht="30" customHeight="1" x14ac:dyDescent="0.2">
      <c r="B17" s="416" t="s">
        <v>325</v>
      </c>
      <c r="C17" s="576">
        <v>1</v>
      </c>
      <c r="D17" s="293"/>
      <c r="E17" s="575">
        <v>145</v>
      </c>
      <c r="F17" s="293"/>
      <c r="G17" s="296">
        <v>1160</v>
      </c>
      <c r="H17" s="243"/>
      <c r="J17" s="90"/>
      <c r="K17" s="800"/>
      <c r="L17" s="794"/>
      <c r="M17" s="249"/>
      <c r="N17" s="800"/>
      <c r="O17" s="796"/>
      <c r="P17" s="249"/>
      <c r="Q17" s="800"/>
      <c r="R17" s="796"/>
      <c r="S17" s="249"/>
      <c r="T17" s="249"/>
      <c r="U17" s="249"/>
      <c r="V17" s="249"/>
      <c r="W17" s="249"/>
      <c r="X17" s="249"/>
      <c r="Y17" s="249"/>
      <c r="Z17" s="249"/>
      <c r="AA17" s="249"/>
      <c r="AB17" s="249"/>
      <c r="AC17" s="249"/>
      <c r="AD17" s="249"/>
      <c r="AE17" s="249"/>
      <c r="AF17" s="249"/>
      <c r="AG17" s="249"/>
      <c r="AH17" s="249"/>
      <c r="AI17" s="249"/>
      <c r="AJ17" s="249"/>
      <c r="AK17" s="249"/>
      <c r="AL17" s="249"/>
      <c r="AM17" s="249"/>
      <c r="AN17" s="249"/>
    </row>
    <row r="18" spans="2:40" ht="30" customHeight="1" x14ac:dyDescent="0.2">
      <c r="B18" s="573" t="s">
        <v>326</v>
      </c>
      <c r="C18" s="290">
        <v>1</v>
      </c>
      <c r="D18" s="295"/>
      <c r="E18" s="574">
        <v>50</v>
      </c>
      <c r="F18" s="295"/>
      <c r="G18" s="294">
        <v>14800</v>
      </c>
      <c r="H18" s="297"/>
      <c r="J18" s="90"/>
      <c r="K18" s="580"/>
      <c r="L18" s="581"/>
      <c r="M18" s="90"/>
      <c r="N18" s="580"/>
      <c r="O18" s="582"/>
      <c r="P18" s="90"/>
      <c r="Q18" s="580"/>
      <c r="R18" s="582"/>
      <c r="S18" s="90"/>
    </row>
    <row r="19" spans="2:40" ht="30" customHeight="1" x14ac:dyDescent="0.2">
      <c r="B19" s="416" t="s">
        <v>327</v>
      </c>
      <c r="C19" s="576">
        <v>1</v>
      </c>
      <c r="D19" s="293"/>
      <c r="E19" s="575">
        <v>50</v>
      </c>
      <c r="F19" s="293"/>
      <c r="G19" s="296">
        <v>14800</v>
      </c>
      <c r="H19" s="243"/>
      <c r="J19" s="90"/>
      <c r="K19" s="580"/>
      <c r="L19" s="581"/>
      <c r="M19" s="90"/>
      <c r="N19" s="580"/>
      <c r="O19" s="582"/>
      <c r="P19" s="90"/>
      <c r="Q19" s="580"/>
      <c r="R19" s="582"/>
      <c r="S19" s="90"/>
    </row>
    <row r="20" spans="2:40" ht="30" customHeight="1" x14ac:dyDescent="0.2">
      <c r="B20" s="573" t="s">
        <v>328</v>
      </c>
      <c r="C20" s="578">
        <v>42</v>
      </c>
      <c r="D20" s="295"/>
      <c r="E20" s="574">
        <v>72555</v>
      </c>
      <c r="F20" s="295"/>
      <c r="G20" s="294">
        <v>2158020</v>
      </c>
      <c r="H20" s="297"/>
      <c r="J20" s="90"/>
      <c r="K20" s="580"/>
      <c r="L20" s="581"/>
      <c r="M20" s="90"/>
      <c r="N20" s="580"/>
      <c r="O20" s="582"/>
      <c r="P20" s="90"/>
      <c r="Q20" s="580"/>
      <c r="R20" s="582"/>
      <c r="S20" s="90"/>
    </row>
    <row r="21" spans="2:40" ht="30" customHeight="1" x14ac:dyDescent="0.2">
      <c r="B21" s="416" t="s">
        <v>122</v>
      </c>
      <c r="C21" s="251">
        <v>42</v>
      </c>
      <c r="D21" s="293"/>
      <c r="E21" s="575">
        <v>72555</v>
      </c>
      <c r="F21" s="293"/>
      <c r="G21" s="296">
        <v>2158020</v>
      </c>
      <c r="H21" s="243"/>
      <c r="J21" s="90"/>
      <c r="K21" s="580"/>
      <c r="L21" s="581"/>
      <c r="M21" s="90"/>
      <c r="N21" s="580"/>
      <c r="O21" s="582"/>
      <c r="P21" s="90"/>
      <c r="Q21" s="580"/>
      <c r="R21" s="582"/>
      <c r="S21" s="90"/>
    </row>
    <row r="22" spans="2:40" ht="30" customHeight="1" x14ac:dyDescent="0.2">
      <c r="B22" s="573" t="s">
        <v>278</v>
      </c>
      <c r="C22" s="578">
        <v>2</v>
      </c>
      <c r="D22" s="295"/>
      <c r="E22" s="574">
        <v>122</v>
      </c>
      <c r="F22" s="295"/>
      <c r="G22" s="294">
        <v>37088</v>
      </c>
      <c r="H22" s="297"/>
      <c r="J22" s="90"/>
      <c r="K22" s="90"/>
      <c r="L22" s="90"/>
      <c r="M22" s="90"/>
      <c r="N22" s="90"/>
      <c r="O22" s="90"/>
      <c r="P22" s="90"/>
      <c r="Q22" s="90"/>
      <c r="R22" s="90"/>
      <c r="S22" s="90"/>
    </row>
    <row r="23" spans="2:40" ht="30" customHeight="1" x14ac:dyDescent="0.2">
      <c r="B23" s="416" t="s">
        <v>329</v>
      </c>
      <c r="C23" s="251">
        <v>1</v>
      </c>
      <c r="D23" s="293"/>
      <c r="E23" s="575">
        <v>57</v>
      </c>
      <c r="F23" s="293"/>
      <c r="G23" s="296">
        <v>2736</v>
      </c>
      <c r="H23" s="25"/>
      <c r="J23" s="90"/>
      <c r="K23" s="103"/>
      <c r="L23" s="583"/>
      <c r="M23" s="90"/>
      <c r="N23" s="103"/>
      <c r="O23" s="584"/>
      <c r="P23" s="90"/>
      <c r="Q23" s="90"/>
      <c r="R23" s="90"/>
      <c r="S23" s="90"/>
    </row>
    <row r="24" spans="2:40" ht="30" customHeight="1" x14ac:dyDescent="0.2">
      <c r="B24" s="416" t="s">
        <v>251</v>
      </c>
      <c r="C24" s="290">
        <v>1</v>
      </c>
      <c r="D24" s="295"/>
      <c r="E24" s="575">
        <v>65</v>
      </c>
      <c r="F24" s="295"/>
      <c r="G24" s="296">
        <v>34352</v>
      </c>
      <c r="H24" s="297"/>
      <c r="K24" s="573"/>
      <c r="L24" s="576"/>
      <c r="M24" s="293"/>
      <c r="N24" s="574"/>
      <c r="O24" s="293"/>
      <c r="P24" s="294"/>
      <c r="Q24" s="249"/>
      <c r="R24" s="249"/>
      <c r="S24" s="249"/>
    </row>
    <row r="25" spans="2:40" ht="30" customHeight="1" x14ac:dyDescent="0.2">
      <c r="B25" s="573" t="s">
        <v>330</v>
      </c>
      <c r="C25" s="576">
        <v>3</v>
      </c>
      <c r="D25" s="293"/>
      <c r="E25" s="574">
        <v>521</v>
      </c>
      <c r="F25" s="293"/>
      <c r="G25" s="294">
        <v>8912</v>
      </c>
      <c r="H25" s="25"/>
      <c r="K25" s="416"/>
      <c r="L25" s="290"/>
      <c r="M25" s="295"/>
      <c r="N25" s="575"/>
      <c r="O25" s="295"/>
      <c r="P25" s="296"/>
      <c r="Q25" s="247"/>
      <c r="R25" s="250"/>
      <c r="S25" s="249"/>
    </row>
    <row r="26" spans="2:40" ht="30" customHeight="1" x14ac:dyDescent="0.2">
      <c r="B26" s="416" t="s">
        <v>331</v>
      </c>
      <c r="C26" s="290">
        <v>3</v>
      </c>
      <c r="D26" s="295"/>
      <c r="E26" s="575">
        <v>521</v>
      </c>
      <c r="F26" s="295"/>
      <c r="G26" s="296">
        <v>8912</v>
      </c>
      <c r="H26" s="297"/>
      <c r="K26" s="573"/>
      <c r="L26" s="576"/>
      <c r="M26" s="293"/>
      <c r="N26" s="574"/>
      <c r="O26" s="293"/>
      <c r="P26" s="294"/>
      <c r="Q26" s="249"/>
      <c r="R26" s="249"/>
      <c r="S26" s="249"/>
    </row>
    <row r="27" spans="2:40" ht="30" customHeight="1" x14ac:dyDescent="0.2">
      <c r="B27" s="573" t="s">
        <v>332</v>
      </c>
      <c r="C27" s="576">
        <v>2</v>
      </c>
      <c r="D27" s="293"/>
      <c r="E27" s="574">
        <v>146</v>
      </c>
      <c r="F27" s="293"/>
      <c r="G27" s="294">
        <v>18224</v>
      </c>
      <c r="H27" s="25"/>
      <c r="K27" s="416"/>
      <c r="L27" s="290"/>
      <c r="M27" s="295"/>
      <c r="N27" s="575"/>
      <c r="O27" s="295"/>
      <c r="P27" s="296"/>
      <c r="Q27" s="247"/>
      <c r="R27" s="250"/>
      <c r="S27" s="249"/>
    </row>
    <row r="28" spans="2:40" ht="30" customHeight="1" x14ac:dyDescent="0.2">
      <c r="B28" s="416" t="s">
        <v>332</v>
      </c>
      <c r="C28" s="290">
        <v>2</v>
      </c>
      <c r="D28" s="295"/>
      <c r="E28" s="575">
        <v>146</v>
      </c>
      <c r="F28" s="295"/>
      <c r="G28" s="296">
        <v>18224</v>
      </c>
      <c r="H28" s="297"/>
      <c r="K28" s="573"/>
      <c r="L28" s="576"/>
      <c r="M28" s="293"/>
      <c r="N28" s="574"/>
      <c r="O28" s="293"/>
      <c r="P28" s="294"/>
      <c r="Q28" s="249"/>
      <c r="R28" s="249"/>
      <c r="S28" s="249"/>
    </row>
    <row r="29" spans="2:40" ht="12" customHeight="1" x14ac:dyDescent="0.2">
      <c r="B29" s="416"/>
      <c r="C29" s="290"/>
      <c r="D29" s="291"/>
      <c r="E29" s="292"/>
      <c r="F29" s="291"/>
      <c r="G29" s="292"/>
      <c r="H29" s="24"/>
      <c r="K29" s="416"/>
      <c r="L29" s="290"/>
      <c r="M29" s="295"/>
      <c r="N29" s="575"/>
      <c r="O29" s="295"/>
      <c r="P29" s="296"/>
      <c r="Q29" s="247"/>
      <c r="R29" s="250"/>
      <c r="S29" s="249"/>
    </row>
    <row r="30" spans="2:40" ht="30.75" customHeight="1" x14ac:dyDescent="0.2">
      <c r="B30" s="418" t="s">
        <v>6</v>
      </c>
      <c r="C30" s="444">
        <f>SUM(C7+C9+C11+C13+C15+C18+C20+C22+C25+C27)</f>
        <v>63</v>
      </c>
      <c r="D30" s="445"/>
      <c r="E30" s="444">
        <f>SUM(E7+E9+E11+E13+E15+E18+E20+E22+E25+E27)</f>
        <v>76704</v>
      </c>
      <c r="F30" s="446"/>
      <c r="G30" s="444">
        <f>SUM(G7+G9+G11+G13+G15+G18+G20+G22+G25+G27)</f>
        <v>2295516</v>
      </c>
      <c r="H30" s="444"/>
      <c r="K30" s="573"/>
      <c r="L30" s="576"/>
      <c r="M30" s="293"/>
      <c r="N30" s="574"/>
      <c r="O30" s="293"/>
      <c r="P30" s="294"/>
      <c r="Q30" s="249"/>
      <c r="R30" s="249"/>
      <c r="S30" s="249"/>
    </row>
    <row r="31" spans="2:40" ht="29.25" customHeight="1" x14ac:dyDescent="0.2">
      <c r="B31" s="11" t="s">
        <v>245</v>
      </c>
      <c r="C31" s="1"/>
      <c r="D31" s="12"/>
      <c r="E31" s="12"/>
      <c r="F31" s="12"/>
      <c r="G31" s="12"/>
      <c r="I31" s="12"/>
      <c r="J31" s="12"/>
      <c r="K31" s="416"/>
      <c r="L31" s="290"/>
      <c r="M31" s="295"/>
      <c r="N31" s="575"/>
      <c r="O31" s="295"/>
      <c r="P31" s="296"/>
      <c r="Z31" s="14"/>
      <c r="AA31" s="10"/>
      <c r="AB31" s="14"/>
      <c r="AC31" s="15"/>
      <c r="AD31" s="579"/>
      <c r="AE31" s="15"/>
    </row>
    <row r="32" spans="2:40" ht="24.6" customHeight="1" x14ac:dyDescent="0.2">
      <c r="B32" s="16" t="s">
        <v>333</v>
      </c>
      <c r="C32" s="1"/>
      <c r="D32" s="17"/>
      <c r="E32" s="17"/>
      <c r="F32" s="17"/>
      <c r="G32" s="17"/>
      <c r="H32" s="17"/>
      <c r="I32" s="18"/>
      <c r="J32" s="18"/>
      <c r="K32" s="573"/>
      <c r="L32" s="576"/>
      <c r="M32" s="293"/>
      <c r="N32" s="574"/>
      <c r="O32" s="293"/>
      <c r="P32" s="294"/>
      <c r="AA32" s="19"/>
      <c r="AB32" s="20"/>
      <c r="AC32" s="19"/>
      <c r="AD32" s="20"/>
      <c r="AE32" s="21"/>
    </row>
    <row r="33" spans="2:46" ht="24.6" customHeight="1" x14ac:dyDescent="0.2">
      <c r="B33" s="22" t="s">
        <v>279</v>
      </c>
      <c r="C33" s="1"/>
      <c r="E33" s="23"/>
      <c r="F33" s="24"/>
      <c r="G33" s="23"/>
      <c r="H33" s="25"/>
      <c r="I33" s="26"/>
      <c r="J33" s="27"/>
      <c r="K33" s="416"/>
      <c r="L33" s="290"/>
      <c r="M33" s="295"/>
      <c r="N33" s="575"/>
      <c r="O33" s="295"/>
      <c r="P33" s="296"/>
    </row>
    <row r="34" spans="2:46" s="49" customFormat="1" ht="23.25" x14ac:dyDescent="0.35">
      <c r="B34" s="564" t="s">
        <v>334</v>
      </c>
      <c r="C34" s="28"/>
      <c r="D34" s="28"/>
      <c r="E34" s="28"/>
      <c r="F34" s="28"/>
      <c r="G34" s="28"/>
      <c r="H34" s="28"/>
      <c r="I34" s="22"/>
      <c r="J34" s="22"/>
      <c r="K34" s="416"/>
      <c r="L34" s="576"/>
      <c r="M34" s="293"/>
      <c r="N34" s="575"/>
      <c r="O34" s="293"/>
      <c r="P34" s="296"/>
      <c r="Q34" s="22"/>
      <c r="R34" s="22"/>
      <c r="S34" s="22"/>
      <c r="T34" s="22"/>
      <c r="U34" s="22"/>
      <c r="V34" s="22"/>
      <c r="W34" s="22"/>
      <c r="X34" s="22"/>
      <c r="Y34" s="22"/>
      <c r="Z34" s="22"/>
      <c r="AA34" s="22"/>
      <c r="AB34" s="22"/>
      <c r="AC34" s="22"/>
      <c r="AD34" s="22"/>
      <c r="AE34" s="97"/>
      <c r="AF34" s="97"/>
      <c r="AG34" s="97"/>
      <c r="AH34" s="97"/>
      <c r="AI34" s="97"/>
      <c r="AJ34" s="97"/>
      <c r="AK34" s="97"/>
      <c r="AL34" s="97"/>
      <c r="AM34" s="97"/>
      <c r="AN34" s="97"/>
      <c r="AO34" s="97"/>
      <c r="AP34" s="97"/>
      <c r="AQ34" s="97"/>
      <c r="AR34" s="97"/>
      <c r="AS34" s="97"/>
      <c r="AT34" s="97"/>
    </row>
    <row r="35" spans="2:46" ht="113.25" customHeight="1" x14ac:dyDescent="0.2">
      <c r="B35" s="857" t="s">
        <v>335</v>
      </c>
      <c r="C35" s="857"/>
      <c r="D35" s="857"/>
      <c r="E35" s="857"/>
      <c r="F35" s="857"/>
      <c r="G35" s="857"/>
      <c r="H35" s="857"/>
      <c r="I35" s="45"/>
      <c r="J35" s="45"/>
      <c r="K35" s="573"/>
      <c r="L35" s="290"/>
      <c r="M35" s="295"/>
      <c r="N35" s="574"/>
      <c r="O35" s="295"/>
      <c r="P35" s="294"/>
      <c r="Q35" s="45"/>
      <c r="R35" s="45"/>
      <c r="S35" s="45"/>
      <c r="T35" s="45"/>
    </row>
    <row r="36" spans="2:46" ht="26.45" customHeight="1" x14ac:dyDescent="0.2">
      <c r="C36" s="1"/>
      <c r="E36" s="1"/>
      <c r="H36" s="3"/>
      <c r="K36" s="416"/>
      <c r="L36" s="576"/>
      <c r="M36" s="293"/>
      <c r="N36" s="575"/>
      <c r="O36" s="293"/>
      <c r="P36" s="296"/>
    </row>
    <row r="37" spans="2:46" ht="15" hidden="1" customHeight="1" x14ac:dyDescent="0.2">
      <c r="B37" s="94"/>
      <c r="C37" s="577"/>
      <c r="E37" s="95"/>
      <c r="G37" s="95"/>
      <c r="K37" s="573"/>
      <c r="L37" s="578"/>
      <c r="M37" s="295"/>
      <c r="N37" s="574"/>
      <c r="O37" s="295"/>
      <c r="P37" s="294"/>
    </row>
    <row r="38" spans="2:46" ht="15" customHeight="1" x14ac:dyDescent="0.2">
      <c r="K38" s="416"/>
      <c r="L38" s="251"/>
      <c r="M38" s="293"/>
      <c r="N38" s="575"/>
      <c r="O38" s="293"/>
      <c r="P38" s="296"/>
    </row>
    <row r="39" spans="2:46" ht="15" customHeight="1" x14ac:dyDescent="0.2">
      <c r="K39" s="573"/>
      <c r="L39" s="578"/>
      <c r="M39" s="295"/>
      <c r="N39" s="574"/>
      <c r="O39" s="295"/>
      <c r="P39" s="294"/>
    </row>
    <row r="40" spans="2:46" ht="15" customHeight="1" x14ac:dyDescent="0.2">
      <c r="K40" s="416"/>
      <c r="L40" s="251"/>
      <c r="M40" s="293"/>
      <c r="N40" s="575"/>
      <c r="O40" s="293"/>
      <c r="P40" s="296"/>
    </row>
    <row r="41" spans="2:46" ht="15" customHeight="1" x14ac:dyDescent="0.2">
      <c r="K41" s="416"/>
      <c r="L41" s="290"/>
      <c r="M41" s="295"/>
      <c r="N41" s="575"/>
      <c r="O41" s="295"/>
      <c r="P41" s="296"/>
    </row>
    <row r="42" spans="2:46" ht="15" customHeight="1" x14ac:dyDescent="0.2">
      <c r="K42" s="573"/>
      <c r="L42" s="576"/>
      <c r="M42" s="293"/>
      <c r="N42" s="574"/>
      <c r="O42" s="293"/>
      <c r="P42" s="294"/>
    </row>
    <row r="43" spans="2:46" ht="15" customHeight="1" x14ac:dyDescent="0.2">
      <c r="K43" s="416"/>
      <c r="L43" s="290"/>
      <c r="M43" s="295"/>
      <c r="N43" s="575"/>
      <c r="O43" s="295"/>
      <c r="P43" s="296"/>
    </row>
    <row r="44" spans="2:46" ht="15" customHeight="1" x14ac:dyDescent="0.2">
      <c r="K44" s="573"/>
      <c r="L44" s="576"/>
      <c r="M44" s="293"/>
      <c r="N44" s="574"/>
      <c r="O44" s="293"/>
      <c r="P44" s="294"/>
    </row>
    <row r="45" spans="2:46" ht="15" customHeight="1" x14ac:dyDescent="0.2">
      <c r="K45" s="416"/>
      <c r="L45" s="290"/>
      <c r="M45" s="295"/>
      <c r="N45" s="575"/>
      <c r="O45" s="295"/>
      <c r="P45" s="296"/>
    </row>
  </sheetData>
  <sortState xmlns:xlrd2="http://schemas.microsoft.com/office/spreadsheetml/2017/richdata2" ref="O6:P37">
    <sortCondition descending="1" ref="P6:P37"/>
  </sortState>
  <mergeCells count="7">
    <mergeCell ref="B35:H35"/>
    <mergeCell ref="B1:H1"/>
    <mergeCell ref="B4:H4"/>
    <mergeCell ref="B3:H3"/>
    <mergeCell ref="C5:D5"/>
    <mergeCell ref="E5:F5"/>
    <mergeCell ref="G5:H5"/>
  </mergeCells>
  <phoneticPr fontId="2" type="noConversion"/>
  <printOptions horizontalCentered="1" verticalCentered="1"/>
  <pageMargins left="0" right="0" top="0" bottom="0" header="0" footer="0"/>
  <pageSetup paperSize="9" scale="50"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AA40"/>
  <sheetViews>
    <sheetView showGridLines="0" view="pageBreakPreview" zoomScale="85" zoomScaleNormal="100" zoomScaleSheetLayoutView="85" workbookViewId="0">
      <selection activeCell="H35" sqref="H35"/>
    </sheetView>
  </sheetViews>
  <sheetFormatPr baseColWidth="10" defaultColWidth="11.42578125" defaultRowHeight="12.75" x14ac:dyDescent="0.2"/>
  <cols>
    <col min="1" max="1" width="4.5703125" style="1" customWidth="1"/>
    <col min="2" max="2" width="18.28515625" style="1" customWidth="1"/>
    <col min="3" max="3" width="16.28515625" style="1" customWidth="1"/>
    <col min="4" max="4" width="3.7109375" style="1" customWidth="1"/>
    <col min="5" max="5" width="15.42578125" style="1" customWidth="1"/>
    <col min="6" max="6" width="3.7109375" style="1" customWidth="1"/>
    <col min="7" max="7" width="14.7109375" style="1" customWidth="1"/>
    <col min="8" max="8" width="3.7109375" style="1" customWidth="1"/>
    <col min="9" max="9" width="14.28515625" style="1" customWidth="1"/>
    <col min="10" max="10" width="3.7109375" style="1" customWidth="1"/>
    <col min="11" max="11" width="18.5703125" style="1" customWidth="1"/>
    <col min="12" max="12" width="3.7109375" style="1" customWidth="1"/>
    <col min="13" max="13" width="16.28515625" style="1" customWidth="1"/>
    <col min="14" max="14" width="3.7109375" style="1" customWidth="1"/>
    <col min="15" max="15" width="4.42578125" style="1" customWidth="1"/>
    <col min="16" max="16384" width="11.42578125" style="1"/>
  </cols>
  <sheetData>
    <row r="1" spans="2:15" ht="25.5" customHeight="1" x14ac:dyDescent="0.2">
      <c r="B1" s="803" t="s">
        <v>132</v>
      </c>
      <c r="C1" s="803"/>
      <c r="D1" s="803"/>
      <c r="E1" s="803"/>
      <c r="F1" s="803"/>
      <c r="G1" s="803"/>
      <c r="H1" s="803"/>
      <c r="I1" s="803"/>
      <c r="J1" s="803"/>
      <c r="K1" s="803"/>
      <c r="L1" s="803"/>
      <c r="M1" s="803"/>
      <c r="N1" s="803"/>
    </row>
    <row r="2" spans="2:15" s="87" customFormat="1" ht="25.5" customHeight="1" x14ac:dyDescent="0.2">
      <c r="B2" s="87" t="s">
        <v>145</v>
      </c>
    </row>
    <row r="3" spans="2:15" s="87" customFormat="1" ht="45" customHeight="1" x14ac:dyDescent="0.2">
      <c r="B3" s="804" t="s">
        <v>194</v>
      </c>
      <c r="C3" s="804"/>
      <c r="D3" s="804"/>
      <c r="E3" s="804"/>
      <c r="F3" s="804"/>
      <c r="G3" s="804"/>
      <c r="H3" s="804"/>
      <c r="I3" s="804"/>
      <c r="J3" s="804"/>
      <c r="K3" s="804"/>
      <c r="L3" s="804"/>
      <c r="M3" s="804"/>
      <c r="N3" s="804"/>
    </row>
    <row r="4" spans="2:15" s="87" customFormat="1" ht="30" customHeight="1" x14ac:dyDescent="0.2">
      <c r="B4" s="803" t="s">
        <v>307</v>
      </c>
      <c r="C4" s="803"/>
      <c r="D4" s="803"/>
      <c r="E4" s="803"/>
      <c r="F4" s="803"/>
      <c r="G4" s="803"/>
      <c r="H4" s="803"/>
      <c r="I4" s="803"/>
      <c r="J4" s="803"/>
      <c r="K4" s="803"/>
      <c r="L4" s="803"/>
      <c r="M4" s="803"/>
      <c r="N4" s="803"/>
    </row>
    <row r="5" spans="2:15" s="87" customFormat="1" ht="30" customHeight="1" x14ac:dyDescent="0.2">
      <c r="B5" s="808" t="s">
        <v>1</v>
      </c>
      <c r="C5" s="832" t="s">
        <v>103</v>
      </c>
      <c r="D5" s="832"/>
      <c r="E5" s="832"/>
      <c r="F5" s="832"/>
      <c r="G5" s="832"/>
      <c r="H5" s="832"/>
      <c r="I5" s="832"/>
      <c r="J5" s="832"/>
      <c r="K5" s="832"/>
      <c r="L5" s="832"/>
      <c r="M5" s="808" t="s">
        <v>6</v>
      </c>
      <c r="N5" s="808"/>
    </row>
    <row r="6" spans="2:15" s="87" customFormat="1" ht="50.25" customHeight="1" x14ac:dyDescent="0.2">
      <c r="B6" s="808"/>
      <c r="C6" s="865" t="s">
        <v>114</v>
      </c>
      <c r="D6" s="865"/>
      <c r="E6" s="865" t="s">
        <v>115</v>
      </c>
      <c r="F6" s="865"/>
      <c r="G6" s="865" t="s">
        <v>124</v>
      </c>
      <c r="H6" s="865"/>
      <c r="I6" s="865" t="s">
        <v>125</v>
      </c>
      <c r="J6" s="865"/>
      <c r="K6" s="865" t="s">
        <v>133</v>
      </c>
      <c r="L6" s="865"/>
      <c r="M6" s="808"/>
      <c r="N6" s="808"/>
    </row>
    <row r="7" spans="2:15" ht="9.75" customHeight="1" x14ac:dyDescent="0.2">
      <c r="B7" s="447"/>
      <c r="C7" s="81"/>
      <c r="D7" s="15"/>
      <c r="E7" s="81"/>
      <c r="F7" s="15"/>
      <c r="G7" s="15"/>
      <c r="H7" s="15"/>
      <c r="I7" s="81"/>
      <c r="J7" s="15"/>
      <c r="K7" s="81"/>
      <c r="L7" s="300"/>
      <c r="M7" s="217"/>
      <c r="N7" s="299"/>
    </row>
    <row r="8" spans="2:15" ht="24.75" customHeight="1" x14ac:dyDescent="0.2">
      <c r="B8" s="447">
        <v>2000</v>
      </c>
      <c r="C8" s="81">
        <v>0</v>
      </c>
      <c r="D8" s="15"/>
      <c r="E8" s="81">
        <v>72859</v>
      </c>
      <c r="F8" s="15"/>
      <c r="G8" s="15">
        <v>108832</v>
      </c>
      <c r="H8" s="15"/>
      <c r="I8" s="81">
        <v>0</v>
      </c>
      <c r="J8" s="15"/>
      <c r="K8" s="81">
        <v>0</v>
      </c>
      <c r="L8" s="300"/>
      <c r="M8" s="217">
        <f>SUM(C8:L8)</f>
        <v>181691</v>
      </c>
      <c r="N8" s="299"/>
    </row>
    <row r="9" spans="2:15" ht="24.75" customHeight="1" x14ac:dyDescent="0.2">
      <c r="B9" s="447">
        <v>2001</v>
      </c>
      <c r="C9" s="81">
        <v>8096</v>
      </c>
      <c r="D9" s="15"/>
      <c r="E9" s="81">
        <v>188882</v>
      </c>
      <c r="F9" s="15"/>
      <c r="G9" s="15">
        <v>279072</v>
      </c>
      <c r="H9" s="15"/>
      <c r="I9" s="81">
        <v>12880</v>
      </c>
      <c r="J9" s="15"/>
      <c r="K9" s="81">
        <v>0</v>
      </c>
      <c r="L9" s="300"/>
      <c r="M9" s="217">
        <f>SUM(C9:L9)</f>
        <v>488930</v>
      </c>
      <c r="N9" s="299"/>
    </row>
    <row r="10" spans="2:15" ht="24.75" customHeight="1" x14ac:dyDescent="0.2">
      <c r="B10" s="447">
        <v>2002</v>
      </c>
      <c r="C10" s="81">
        <v>27720</v>
      </c>
      <c r="D10" s="15"/>
      <c r="E10" s="81">
        <v>351136</v>
      </c>
      <c r="F10" s="15"/>
      <c r="G10" s="15">
        <v>54768</v>
      </c>
      <c r="H10" s="15"/>
      <c r="I10" s="81">
        <v>479024</v>
      </c>
      <c r="J10" s="15"/>
      <c r="K10" s="81">
        <v>0</v>
      </c>
      <c r="L10" s="300"/>
      <c r="M10" s="217">
        <f t="shared" ref="M10:M18" si="0">SUM(C10:L10)</f>
        <v>912648</v>
      </c>
      <c r="N10" s="299"/>
    </row>
    <row r="11" spans="2:15" ht="24.75" customHeight="1" x14ac:dyDescent="0.2">
      <c r="B11" s="447">
        <v>2003</v>
      </c>
      <c r="C11" s="81">
        <v>128</v>
      </c>
      <c r="D11" s="15"/>
      <c r="E11" s="81">
        <v>286254</v>
      </c>
      <c r="F11" s="15"/>
      <c r="G11" s="15">
        <v>24220</v>
      </c>
      <c r="H11" s="15"/>
      <c r="I11" s="81">
        <v>570760</v>
      </c>
      <c r="J11" s="15"/>
      <c r="K11" s="81">
        <v>0</v>
      </c>
      <c r="L11" s="300"/>
      <c r="M11" s="217">
        <f t="shared" si="0"/>
        <v>881362</v>
      </c>
      <c r="N11" s="299"/>
    </row>
    <row r="12" spans="2:15" ht="24.75" customHeight="1" x14ac:dyDescent="0.2">
      <c r="B12" s="447">
        <v>2004</v>
      </c>
      <c r="C12" s="81">
        <v>31768</v>
      </c>
      <c r="D12" s="15"/>
      <c r="E12" s="81">
        <v>457496</v>
      </c>
      <c r="F12" s="15"/>
      <c r="G12" s="15">
        <v>68992</v>
      </c>
      <c r="H12" s="15"/>
      <c r="I12" s="81">
        <v>24072</v>
      </c>
      <c r="J12" s="15"/>
      <c r="K12" s="81">
        <v>0</v>
      </c>
      <c r="L12" s="300"/>
      <c r="M12" s="217">
        <f t="shared" si="0"/>
        <v>582328</v>
      </c>
      <c r="N12" s="299"/>
    </row>
    <row r="13" spans="2:15" ht="24.75" customHeight="1" x14ac:dyDescent="0.2">
      <c r="B13" s="447">
        <v>2005</v>
      </c>
      <c r="C13" s="81">
        <v>239212</v>
      </c>
      <c r="D13" s="15"/>
      <c r="E13" s="81">
        <v>113438</v>
      </c>
      <c r="F13" s="15"/>
      <c r="G13" s="15">
        <v>36400</v>
      </c>
      <c r="H13" s="15"/>
      <c r="I13" s="81">
        <v>89688</v>
      </c>
      <c r="J13" s="15"/>
      <c r="K13" s="81">
        <v>0</v>
      </c>
      <c r="L13" s="300"/>
      <c r="M13" s="217">
        <f t="shared" si="0"/>
        <v>478738</v>
      </c>
      <c r="N13" s="299"/>
    </row>
    <row r="14" spans="2:15" ht="24.75" customHeight="1" x14ac:dyDescent="0.2">
      <c r="B14" s="447">
        <v>2006</v>
      </c>
      <c r="C14" s="81">
        <v>48720</v>
      </c>
      <c r="D14" s="15"/>
      <c r="E14" s="81">
        <v>301802</v>
      </c>
      <c r="F14" s="15"/>
      <c r="G14" s="15">
        <v>87438</v>
      </c>
      <c r="H14" s="15"/>
      <c r="I14" s="81">
        <v>8624</v>
      </c>
      <c r="J14" s="15"/>
      <c r="K14" s="81">
        <v>0</v>
      </c>
      <c r="L14" s="300"/>
      <c r="M14" s="217">
        <f t="shared" si="0"/>
        <v>446584</v>
      </c>
      <c r="N14" s="299"/>
    </row>
    <row r="15" spans="2:15" ht="25.15" customHeight="1" x14ac:dyDescent="0.2">
      <c r="B15" s="447">
        <v>2007</v>
      </c>
      <c r="C15" s="81">
        <v>1310</v>
      </c>
      <c r="D15" s="15"/>
      <c r="E15" s="81">
        <v>1067162</v>
      </c>
      <c r="F15" s="15"/>
      <c r="G15" s="15">
        <v>533544</v>
      </c>
      <c r="H15" s="15"/>
      <c r="I15" s="81">
        <v>614504</v>
      </c>
      <c r="J15" s="15"/>
      <c r="K15" s="81">
        <v>0</v>
      </c>
      <c r="L15" s="300"/>
      <c r="M15" s="217">
        <f t="shared" si="0"/>
        <v>2216520</v>
      </c>
      <c r="N15" s="299"/>
      <c r="O15" s="97"/>
    </row>
    <row r="16" spans="2:15" ht="25.15" customHeight="1" x14ac:dyDescent="0.2">
      <c r="B16" s="447">
        <v>2008</v>
      </c>
      <c r="C16" s="81">
        <v>5456</v>
      </c>
      <c r="D16" s="15"/>
      <c r="E16" s="81">
        <v>585280</v>
      </c>
      <c r="F16" s="15"/>
      <c r="G16" s="15">
        <v>615024</v>
      </c>
      <c r="H16" s="15"/>
      <c r="I16" s="81">
        <v>303792</v>
      </c>
      <c r="J16" s="15"/>
      <c r="K16" s="81">
        <v>11408</v>
      </c>
      <c r="L16" s="300"/>
      <c r="M16" s="217">
        <f t="shared" si="0"/>
        <v>1520960</v>
      </c>
      <c r="N16" s="299"/>
      <c r="O16" s="97"/>
    </row>
    <row r="17" spans="2:15" ht="25.15" customHeight="1" x14ac:dyDescent="0.2">
      <c r="B17" s="447">
        <v>2009</v>
      </c>
      <c r="C17" s="81">
        <v>65384</v>
      </c>
      <c r="D17" s="15"/>
      <c r="E17" s="81">
        <v>1041800</v>
      </c>
      <c r="F17" s="15"/>
      <c r="G17" s="15">
        <v>285202</v>
      </c>
      <c r="H17" s="15"/>
      <c r="I17" s="81">
        <v>60080</v>
      </c>
      <c r="J17" s="15"/>
      <c r="K17" s="81">
        <v>0</v>
      </c>
      <c r="L17" s="300"/>
      <c r="M17" s="217">
        <f t="shared" si="0"/>
        <v>1452466</v>
      </c>
      <c r="N17" s="299"/>
      <c r="O17" s="97"/>
    </row>
    <row r="18" spans="2:15" ht="25.15" customHeight="1" x14ac:dyDescent="0.2">
      <c r="B18" s="447">
        <v>2010</v>
      </c>
      <c r="C18" s="81">
        <v>70624</v>
      </c>
      <c r="D18" s="15"/>
      <c r="E18" s="81">
        <v>1001908</v>
      </c>
      <c r="F18" s="15"/>
      <c r="G18" s="15">
        <v>206368</v>
      </c>
      <c r="H18" s="15"/>
      <c r="I18" s="81">
        <v>480</v>
      </c>
      <c r="J18" s="15"/>
      <c r="K18" s="81">
        <v>0</v>
      </c>
      <c r="L18" s="300"/>
      <c r="M18" s="217">
        <f t="shared" si="0"/>
        <v>1279380</v>
      </c>
      <c r="N18" s="299"/>
      <c r="O18" s="97"/>
    </row>
    <row r="19" spans="2:15" ht="25.15" customHeight="1" x14ac:dyDescent="0.2">
      <c r="B19" s="447">
        <v>2011</v>
      </c>
      <c r="C19" s="81">
        <v>32264</v>
      </c>
      <c r="D19" s="15"/>
      <c r="E19" s="81">
        <v>880656</v>
      </c>
      <c r="F19" s="15"/>
      <c r="G19" s="15">
        <v>879936</v>
      </c>
      <c r="H19" s="15"/>
      <c r="I19" s="81">
        <v>6560</v>
      </c>
      <c r="J19" s="15"/>
      <c r="K19" s="81">
        <v>0</v>
      </c>
      <c r="L19" s="300"/>
      <c r="M19" s="217">
        <f>SUM(C19:K19)</f>
        <v>1799416</v>
      </c>
      <c r="N19" s="299"/>
      <c r="O19" s="97"/>
    </row>
    <row r="20" spans="2:15" ht="25.15" customHeight="1" x14ac:dyDescent="0.2">
      <c r="B20" s="447">
        <v>2012</v>
      </c>
      <c r="C20" s="81">
        <v>676346</v>
      </c>
      <c r="D20" s="15"/>
      <c r="E20" s="81">
        <v>954286</v>
      </c>
      <c r="F20" s="15"/>
      <c r="G20" s="15">
        <v>233504</v>
      </c>
      <c r="H20" s="15"/>
      <c r="I20" s="81">
        <v>14560</v>
      </c>
      <c r="J20" s="15"/>
      <c r="K20" s="81">
        <v>0</v>
      </c>
      <c r="L20" s="300"/>
      <c r="M20" s="217">
        <f t="shared" ref="M20:M26" si="1">SUM(C20:L20)</f>
        <v>1878696</v>
      </c>
      <c r="N20" s="299"/>
      <c r="O20" s="97"/>
    </row>
    <row r="21" spans="2:15" ht="25.15" customHeight="1" x14ac:dyDescent="0.2">
      <c r="B21" s="447">
        <v>2013</v>
      </c>
      <c r="C21" s="81">
        <v>205032</v>
      </c>
      <c r="D21" s="15"/>
      <c r="E21" s="81">
        <v>916530</v>
      </c>
      <c r="F21" s="15"/>
      <c r="G21" s="15">
        <v>448672</v>
      </c>
      <c r="H21" s="15"/>
      <c r="I21" s="81">
        <v>2968</v>
      </c>
      <c r="J21" s="15"/>
      <c r="K21" s="81">
        <v>0</v>
      </c>
      <c r="L21" s="300"/>
      <c r="M21" s="217">
        <f t="shared" si="1"/>
        <v>1573202</v>
      </c>
      <c r="N21" s="299"/>
      <c r="O21" s="97"/>
    </row>
    <row r="22" spans="2:15" ht="25.15" customHeight="1" x14ac:dyDescent="0.2">
      <c r="B22" s="447">
        <v>2014</v>
      </c>
      <c r="C22" s="81">
        <v>614012</v>
      </c>
      <c r="D22" s="15"/>
      <c r="E22" s="81">
        <v>1029246</v>
      </c>
      <c r="F22" s="15"/>
      <c r="G22" s="15">
        <v>821600</v>
      </c>
      <c r="H22" s="15"/>
      <c r="I22" s="81">
        <v>688160</v>
      </c>
      <c r="J22" s="15"/>
      <c r="K22" s="81">
        <v>0</v>
      </c>
      <c r="L22" s="300"/>
      <c r="M22" s="217">
        <f t="shared" si="1"/>
        <v>3153018</v>
      </c>
      <c r="N22" s="299"/>
      <c r="O22" s="97"/>
    </row>
    <row r="23" spans="2:15" ht="25.15" customHeight="1" x14ac:dyDescent="0.2">
      <c r="B23" s="447">
        <v>2015</v>
      </c>
      <c r="C23" s="81">
        <v>187352</v>
      </c>
      <c r="D23" s="15"/>
      <c r="E23" s="81">
        <v>609816</v>
      </c>
      <c r="F23" s="15"/>
      <c r="G23" s="15">
        <v>968656</v>
      </c>
      <c r="H23" s="15"/>
      <c r="I23" s="81">
        <v>159808</v>
      </c>
      <c r="J23" s="15"/>
      <c r="K23" s="81">
        <v>0</v>
      </c>
      <c r="L23" s="300"/>
      <c r="M23" s="217">
        <f t="shared" si="1"/>
        <v>1925632</v>
      </c>
      <c r="N23" s="299"/>
      <c r="O23" s="97"/>
    </row>
    <row r="24" spans="2:15" ht="25.15" customHeight="1" x14ac:dyDescent="0.2">
      <c r="B24" s="447">
        <v>2016</v>
      </c>
      <c r="C24" s="81">
        <v>38336</v>
      </c>
      <c r="D24" s="15"/>
      <c r="E24" s="81">
        <v>696304</v>
      </c>
      <c r="F24" s="15"/>
      <c r="G24" s="15">
        <v>923792</v>
      </c>
      <c r="H24" s="15"/>
      <c r="I24" s="81">
        <v>1425624</v>
      </c>
      <c r="J24" s="15"/>
      <c r="K24" s="81">
        <v>0</v>
      </c>
      <c r="L24" s="300"/>
      <c r="M24" s="217">
        <f t="shared" si="1"/>
        <v>3084056</v>
      </c>
      <c r="N24" s="299"/>
      <c r="O24" s="97"/>
    </row>
    <row r="25" spans="2:15" ht="25.5" customHeight="1" x14ac:dyDescent="0.2">
      <c r="B25" s="447">
        <v>2017</v>
      </c>
      <c r="C25" s="81">
        <v>561460</v>
      </c>
      <c r="D25" s="15"/>
      <c r="E25" s="81">
        <v>549448</v>
      </c>
      <c r="F25" s="15"/>
      <c r="G25" s="15">
        <v>49680</v>
      </c>
      <c r="H25" s="15"/>
      <c r="I25" s="81">
        <v>1845906</v>
      </c>
      <c r="J25" s="15"/>
      <c r="K25" s="81">
        <v>0</v>
      </c>
      <c r="L25" s="300"/>
      <c r="M25" s="217">
        <f>SUM(C25:L25)</f>
        <v>3006494</v>
      </c>
      <c r="N25" s="299"/>
      <c r="O25" s="97"/>
    </row>
    <row r="26" spans="2:15" ht="25.5" customHeight="1" x14ac:dyDescent="0.2">
      <c r="B26" s="447">
        <v>2018</v>
      </c>
      <c r="C26" s="81">
        <v>63698</v>
      </c>
      <c r="D26" s="15"/>
      <c r="E26" s="81">
        <v>452008</v>
      </c>
      <c r="F26" s="15"/>
      <c r="G26" s="15">
        <v>157782</v>
      </c>
      <c r="H26" s="15"/>
      <c r="I26" s="81">
        <v>65376</v>
      </c>
      <c r="J26" s="15"/>
      <c r="K26" s="81">
        <v>0</v>
      </c>
      <c r="L26" s="300"/>
      <c r="M26" s="217">
        <f t="shared" si="1"/>
        <v>738864</v>
      </c>
      <c r="N26" s="299"/>
      <c r="O26" s="97"/>
    </row>
    <row r="27" spans="2:15" ht="25.5" customHeight="1" x14ac:dyDescent="0.2">
      <c r="B27" s="447">
        <v>2019</v>
      </c>
      <c r="C27" s="81">
        <v>349976</v>
      </c>
      <c r="D27" s="15"/>
      <c r="E27" s="81">
        <v>741896</v>
      </c>
      <c r="F27" s="15"/>
      <c r="G27" s="15">
        <v>150160</v>
      </c>
      <c r="H27" s="15"/>
      <c r="I27" s="81">
        <v>843824</v>
      </c>
      <c r="J27" s="15"/>
      <c r="K27" s="81">
        <v>0</v>
      </c>
      <c r="L27" s="300"/>
      <c r="M27" s="217">
        <f t="shared" ref="M27:M32" si="2">SUM(C27:L27)</f>
        <v>2085856</v>
      </c>
      <c r="N27" s="299"/>
      <c r="O27" s="97"/>
    </row>
    <row r="28" spans="2:15" ht="25.5" customHeight="1" x14ac:dyDescent="0.2">
      <c r="B28" s="447">
        <v>2020</v>
      </c>
      <c r="C28" s="81">
        <v>72888</v>
      </c>
      <c r="D28" s="15"/>
      <c r="E28" s="81">
        <v>36256</v>
      </c>
      <c r="F28" s="15"/>
      <c r="G28" s="15">
        <v>154856</v>
      </c>
      <c r="H28" s="15"/>
      <c r="I28" s="81">
        <v>3389184</v>
      </c>
      <c r="J28" s="15"/>
      <c r="K28" s="81">
        <v>0</v>
      </c>
      <c r="L28" s="300"/>
      <c r="M28" s="217">
        <f t="shared" si="2"/>
        <v>3653184</v>
      </c>
      <c r="N28" s="299"/>
      <c r="O28" s="97"/>
    </row>
    <row r="29" spans="2:15" ht="25.5" customHeight="1" x14ac:dyDescent="0.2">
      <c r="B29" s="447">
        <v>2021</v>
      </c>
      <c r="C29" s="81">
        <v>52752</v>
      </c>
      <c r="D29" s="15"/>
      <c r="E29" s="81">
        <v>517968</v>
      </c>
      <c r="F29" s="15"/>
      <c r="G29" s="15">
        <v>139720</v>
      </c>
      <c r="H29" s="15"/>
      <c r="I29" s="81">
        <v>2316800</v>
      </c>
      <c r="J29" s="15"/>
      <c r="K29" s="81">
        <v>0</v>
      </c>
      <c r="L29" s="300"/>
      <c r="M29" s="217">
        <f t="shared" si="2"/>
        <v>3027240</v>
      </c>
      <c r="N29" s="299"/>
      <c r="O29" s="97"/>
    </row>
    <row r="30" spans="2:15" ht="25.5" customHeight="1" x14ac:dyDescent="0.2">
      <c r="B30" s="447">
        <v>2022</v>
      </c>
      <c r="C30" s="81">
        <v>588732</v>
      </c>
      <c r="D30" s="15"/>
      <c r="E30" s="81">
        <v>481104</v>
      </c>
      <c r="F30" s="15"/>
      <c r="G30" s="15">
        <v>211336</v>
      </c>
      <c r="H30" s="15"/>
      <c r="I30" s="81">
        <v>841760</v>
      </c>
      <c r="J30" s="15"/>
      <c r="K30" s="301" t="s">
        <v>257</v>
      </c>
      <c r="L30" s="300"/>
      <c r="M30" s="217">
        <f t="shared" si="2"/>
        <v>2122932</v>
      </c>
      <c r="N30" s="299"/>
      <c r="O30" s="97"/>
    </row>
    <row r="31" spans="2:15" ht="25.5" customHeight="1" x14ac:dyDescent="0.2">
      <c r="B31" s="447">
        <v>2023</v>
      </c>
      <c r="C31" s="81">
        <v>335016</v>
      </c>
      <c r="D31" s="15"/>
      <c r="E31" s="81">
        <v>121929</v>
      </c>
      <c r="F31" s="15"/>
      <c r="G31" s="15">
        <v>134760</v>
      </c>
      <c r="H31" s="15"/>
      <c r="I31" s="81">
        <v>517504</v>
      </c>
      <c r="J31" s="15"/>
      <c r="K31" s="15">
        <v>352800</v>
      </c>
      <c r="L31" s="300"/>
      <c r="M31" s="217">
        <f t="shared" si="2"/>
        <v>1462009</v>
      </c>
      <c r="N31" s="299"/>
      <c r="O31" s="97"/>
    </row>
    <row r="32" spans="2:15" ht="25.5" customHeight="1" x14ac:dyDescent="0.2">
      <c r="B32" s="447">
        <v>2024</v>
      </c>
      <c r="C32" s="81">
        <v>1192604</v>
      </c>
      <c r="D32" s="15"/>
      <c r="E32" s="81">
        <v>244768</v>
      </c>
      <c r="F32" s="15"/>
      <c r="G32" s="15">
        <v>101144</v>
      </c>
      <c r="H32" s="15"/>
      <c r="I32" s="81">
        <v>757000</v>
      </c>
      <c r="J32" s="15"/>
      <c r="K32" s="15">
        <v>0</v>
      </c>
      <c r="L32" s="300"/>
      <c r="M32" s="217">
        <f t="shared" si="2"/>
        <v>2295516</v>
      </c>
      <c r="N32" s="299"/>
      <c r="O32" s="97"/>
    </row>
    <row r="33" spans="2:27" ht="8.25" customHeight="1" x14ac:dyDescent="0.2">
      <c r="B33" s="447"/>
      <c r="C33" s="81"/>
      <c r="D33" s="15"/>
      <c r="E33" s="81"/>
      <c r="F33" s="15"/>
      <c r="G33" s="15"/>
      <c r="H33" s="15"/>
      <c r="I33" s="81"/>
      <c r="J33" s="15"/>
      <c r="K33" s="81"/>
      <c r="L33" s="300"/>
      <c r="M33" s="217"/>
      <c r="N33" s="299"/>
      <c r="O33" s="97"/>
    </row>
    <row r="34" spans="2:27" ht="4.9000000000000004" customHeight="1" x14ac:dyDescent="0.2">
      <c r="B34" s="448"/>
      <c r="C34" s="137"/>
      <c r="D34" s="299"/>
      <c r="E34" s="137"/>
      <c r="F34" s="299"/>
      <c r="G34" s="299"/>
      <c r="H34" s="299"/>
      <c r="I34" s="299"/>
      <c r="J34" s="299"/>
      <c r="K34" s="299"/>
      <c r="L34" s="299"/>
      <c r="M34" s="137"/>
      <c r="N34" s="299"/>
    </row>
    <row r="35" spans="2:27" s="67" customFormat="1" ht="29.25" customHeight="1" x14ac:dyDescent="0.2">
      <c r="B35" s="66" t="s">
        <v>245</v>
      </c>
      <c r="V35" s="71"/>
      <c r="W35" s="63"/>
      <c r="X35" s="71"/>
      <c r="Y35" s="72"/>
      <c r="Z35" s="71"/>
      <c r="AA35" s="72"/>
    </row>
    <row r="36" spans="2:27" s="67" customFormat="1" ht="24.6" customHeight="1" x14ac:dyDescent="0.2">
      <c r="B36" s="73" t="s">
        <v>296</v>
      </c>
      <c r="D36" s="74"/>
      <c r="E36" s="74"/>
      <c r="F36" s="74"/>
      <c r="G36" s="74"/>
      <c r="H36" s="74"/>
      <c r="I36" s="75"/>
      <c r="J36" s="75"/>
      <c r="K36" s="75"/>
      <c r="L36" s="75"/>
      <c r="W36" s="76"/>
      <c r="X36" s="77"/>
      <c r="Y36" s="76"/>
      <c r="Z36" s="77"/>
      <c r="AA36" s="78"/>
    </row>
    <row r="37" spans="2:27" s="67" customFormat="1" ht="24.6" customHeight="1" x14ac:dyDescent="0.2">
      <c r="B37" s="29" t="s">
        <v>281</v>
      </c>
      <c r="E37" s="24"/>
      <c r="F37" s="24"/>
      <c r="G37" s="24"/>
      <c r="H37" s="24"/>
      <c r="I37" s="79"/>
      <c r="J37" s="64"/>
      <c r="K37" s="64"/>
    </row>
    <row r="38" spans="2:27" ht="55.5" customHeight="1" x14ac:dyDescent="0.2">
      <c r="B38" s="864" t="s">
        <v>298</v>
      </c>
      <c r="C38" s="864"/>
      <c r="D38" s="864"/>
      <c r="E38" s="864"/>
      <c r="F38" s="864"/>
      <c r="G38" s="864"/>
      <c r="H38" s="864"/>
      <c r="I38" s="864"/>
      <c r="J38" s="864"/>
      <c r="K38" s="864"/>
      <c r="L38" s="864"/>
      <c r="M38" s="864"/>
      <c r="N38" s="80"/>
      <c r="O38" s="80"/>
      <c r="P38" s="80"/>
      <c r="Q38" s="80"/>
    </row>
    <row r="39" spans="2:27" ht="20.100000000000001" customHeight="1" x14ac:dyDescent="0.2"/>
    <row r="40" spans="2:27" x14ac:dyDescent="0.2">
      <c r="B40" s="68"/>
    </row>
  </sheetData>
  <mergeCells count="12">
    <mergeCell ref="B38:M38"/>
    <mergeCell ref="B1:N1"/>
    <mergeCell ref="B3:N3"/>
    <mergeCell ref="B4:N4"/>
    <mergeCell ref="C6:D6"/>
    <mergeCell ref="E6:F6"/>
    <mergeCell ref="G6:H6"/>
    <mergeCell ref="I6:J6"/>
    <mergeCell ref="K6:L6"/>
    <mergeCell ref="B5:B6"/>
    <mergeCell ref="M5:N6"/>
    <mergeCell ref="C5:L5"/>
  </mergeCells>
  <phoneticPr fontId="2" type="noConversion"/>
  <printOptions horizontalCentered="1" verticalCentered="1"/>
  <pageMargins left="0" right="0" top="0" bottom="0" header="0" footer="0"/>
  <pageSetup paperSize="9" scale="65" orientation="portrait" r:id="rId1"/>
  <headerFooter alignWithMargins="0"/>
  <ignoredErrors>
    <ignoredError sqref="M8:M18 M32:M33 M20:M29" formulaRange="1"/>
    <ignoredError sqref="M19" formula="1"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AH96"/>
  <sheetViews>
    <sheetView showGridLines="0" view="pageBreakPreview" zoomScale="60" zoomScaleNormal="100" workbookViewId="0">
      <selection activeCell="AC38" sqref="AC38"/>
    </sheetView>
  </sheetViews>
  <sheetFormatPr baseColWidth="10" defaultColWidth="11.42578125" defaultRowHeight="12.75" x14ac:dyDescent="0.2"/>
  <cols>
    <col min="1" max="1" width="6.5703125" style="49" customWidth="1"/>
    <col min="2" max="2" width="30.7109375" style="49" customWidth="1"/>
    <col min="3" max="3" width="9.7109375" style="49" customWidth="1"/>
    <col min="4" max="4" width="3.7109375" style="49" customWidth="1"/>
    <col min="5" max="5" width="10.7109375" style="49" customWidth="1"/>
    <col min="6" max="6" width="3.7109375" style="49" customWidth="1"/>
    <col min="7" max="7" width="15.7109375" style="49" customWidth="1"/>
    <col min="8" max="8" width="3.7109375" style="49" customWidth="1"/>
    <col min="9" max="9" width="10.7109375" style="49" customWidth="1"/>
    <col min="10" max="10" width="3.7109375" style="49" customWidth="1"/>
    <col min="11" max="11" width="15.7109375" style="49" customWidth="1"/>
    <col min="12" max="12" width="3.7109375" style="49" customWidth="1"/>
    <col min="13" max="13" width="15.7109375" style="49" customWidth="1"/>
    <col min="14" max="14" width="3.7109375" style="49" customWidth="1"/>
    <col min="15" max="15" width="4.7109375" style="49" customWidth="1"/>
    <col min="16" max="16384" width="11.42578125" style="49"/>
  </cols>
  <sheetData>
    <row r="1" spans="2:34" ht="30" customHeight="1" x14ac:dyDescent="0.2">
      <c r="B1" s="803" t="s">
        <v>37</v>
      </c>
      <c r="C1" s="803"/>
      <c r="D1" s="803"/>
      <c r="E1" s="803"/>
      <c r="F1" s="803"/>
      <c r="G1" s="803"/>
      <c r="H1" s="803"/>
      <c r="I1" s="803"/>
      <c r="J1" s="803"/>
      <c r="K1" s="803"/>
      <c r="L1" s="803"/>
      <c r="M1" s="803"/>
      <c r="N1" s="803"/>
      <c r="P1" s="57"/>
      <c r="Q1" s="57"/>
      <c r="R1" s="57"/>
      <c r="S1" s="57"/>
      <c r="T1" s="57"/>
      <c r="U1" s="57"/>
      <c r="V1" s="57"/>
      <c r="W1" s="57"/>
      <c r="X1" s="57"/>
      <c r="Y1" s="57"/>
      <c r="Z1" s="57"/>
      <c r="AA1" s="57"/>
      <c r="AB1" s="57"/>
      <c r="AC1" s="57"/>
      <c r="AD1" s="57"/>
      <c r="AE1" s="57"/>
      <c r="AF1" s="57"/>
      <c r="AG1" s="57"/>
      <c r="AH1" s="57"/>
    </row>
    <row r="2" spans="2:34" ht="26.25" customHeight="1" x14ac:dyDescent="0.2">
      <c r="B2" s="805" t="s">
        <v>145</v>
      </c>
      <c r="C2" s="805"/>
      <c r="D2" s="805"/>
      <c r="E2" s="805"/>
      <c r="F2" s="805"/>
      <c r="G2" s="805"/>
      <c r="H2" s="805"/>
      <c r="I2" s="805"/>
      <c r="J2" s="805"/>
      <c r="K2" s="805"/>
      <c r="L2" s="805"/>
      <c r="M2" s="805"/>
      <c r="N2" s="805"/>
      <c r="P2" s="57"/>
      <c r="Q2" s="57"/>
      <c r="R2" s="57"/>
      <c r="S2" s="57"/>
      <c r="T2" s="57"/>
      <c r="U2" s="57"/>
      <c r="V2" s="57"/>
      <c r="W2" s="57"/>
      <c r="X2" s="57"/>
      <c r="Y2" s="57"/>
      <c r="Z2" s="57"/>
      <c r="AA2" s="57"/>
      <c r="AB2" s="57"/>
      <c r="AC2" s="57"/>
      <c r="AD2" s="57"/>
      <c r="AE2" s="57"/>
      <c r="AF2" s="57"/>
      <c r="AG2" s="57"/>
      <c r="AH2" s="57"/>
    </row>
    <row r="3" spans="2:34" ht="36" customHeight="1" x14ac:dyDescent="0.2">
      <c r="B3" s="804" t="s">
        <v>203</v>
      </c>
      <c r="C3" s="804"/>
      <c r="D3" s="804"/>
      <c r="E3" s="804"/>
      <c r="F3" s="804"/>
      <c r="G3" s="804"/>
      <c r="H3" s="804"/>
      <c r="I3" s="804"/>
      <c r="J3" s="804"/>
      <c r="K3" s="804"/>
      <c r="L3" s="804"/>
      <c r="M3" s="804"/>
      <c r="N3" s="804"/>
      <c r="P3" s="57"/>
      <c r="Q3" s="57"/>
      <c r="R3" s="57"/>
      <c r="S3" s="57"/>
      <c r="T3" s="57"/>
      <c r="U3" s="57"/>
      <c r="V3" s="57"/>
      <c r="W3" s="57"/>
      <c r="X3" s="57"/>
      <c r="Y3" s="57"/>
      <c r="Z3" s="57"/>
      <c r="AA3" s="57"/>
      <c r="AB3" s="57"/>
      <c r="AC3" s="57"/>
      <c r="AD3" s="57"/>
      <c r="AE3" s="57"/>
      <c r="AF3" s="57"/>
      <c r="AG3" s="57"/>
      <c r="AH3" s="57"/>
    </row>
    <row r="4" spans="2:34" ht="30" customHeight="1" x14ac:dyDescent="0.2">
      <c r="B4" s="803">
        <v>2024</v>
      </c>
      <c r="C4" s="803"/>
      <c r="D4" s="803"/>
      <c r="E4" s="803"/>
      <c r="F4" s="803"/>
      <c r="G4" s="803"/>
      <c r="H4" s="803"/>
      <c r="I4" s="803"/>
      <c r="J4" s="803"/>
      <c r="K4" s="803"/>
      <c r="L4" s="803"/>
      <c r="M4" s="803"/>
      <c r="N4" s="803"/>
      <c r="P4" s="57"/>
      <c r="Q4" s="57"/>
      <c r="R4" s="57"/>
      <c r="S4" s="57"/>
      <c r="T4" s="57"/>
      <c r="U4" s="57"/>
      <c r="V4" s="57"/>
      <c r="W4" s="57"/>
      <c r="X4" s="57"/>
      <c r="Y4" s="57"/>
      <c r="Z4" s="57"/>
      <c r="AA4" s="57"/>
      <c r="AB4" s="57"/>
      <c r="AC4" s="57"/>
      <c r="AD4" s="57"/>
      <c r="AE4" s="57"/>
      <c r="AF4" s="57"/>
      <c r="AG4" s="57"/>
      <c r="AH4" s="57"/>
    </row>
    <row r="5" spans="2:34" ht="30" customHeight="1" x14ac:dyDescent="0.2">
      <c r="B5" s="808" t="s">
        <v>104</v>
      </c>
      <c r="C5" s="866" t="s">
        <v>2</v>
      </c>
      <c r="D5" s="867"/>
      <c r="E5" s="867"/>
      <c r="F5" s="868"/>
      <c r="G5" s="869" t="s">
        <v>15</v>
      </c>
      <c r="H5" s="870"/>
      <c r="I5" s="870"/>
      <c r="J5" s="871"/>
      <c r="K5" s="866" t="s">
        <v>12</v>
      </c>
      <c r="L5" s="867"/>
      <c r="M5" s="867"/>
      <c r="N5" s="867"/>
      <c r="P5" s="57"/>
      <c r="Q5" s="57"/>
      <c r="R5" s="57"/>
      <c r="S5" s="57"/>
      <c r="T5" s="57"/>
      <c r="U5" s="57"/>
      <c r="V5" s="57"/>
      <c r="W5" s="57"/>
      <c r="X5" s="57"/>
      <c r="Y5" s="57"/>
      <c r="Z5" s="57"/>
      <c r="AA5" s="57"/>
      <c r="AB5" s="57"/>
      <c r="AC5" s="57"/>
      <c r="AD5" s="57"/>
      <c r="AE5" s="57"/>
      <c r="AF5" s="57"/>
      <c r="AG5" s="57"/>
      <c r="AH5" s="57"/>
    </row>
    <row r="6" spans="2:34" ht="30" customHeight="1" x14ac:dyDescent="0.2">
      <c r="B6" s="808"/>
      <c r="C6" s="872" t="s">
        <v>63</v>
      </c>
      <c r="D6" s="873"/>
      <c r="E6" s="835" t="s">
        <v>5</v>
      </c>
      <c r="F6" s="849"/>
      <c r="G6" s="305" t="s">
        <v>63</v>
      </c>
      <c r="H6" s="306"/>
      <c r="I6" s="835" t="s">
        <v>5</v>
      </c>
      <c r="J6" s="849"/>
      <c r="K6" s="302" t="s">
        <v>63</v>
      </c>
      <c r="L6" s="302"/>
      <c r="M6" s="831" t="s">
        <v>5</v>
      </c>
      <c r="N6" s="831"/>
      <c r="P6" s="57"/>
      <c r="Q6" s="57"/>
      <c r="R6" s="57"/>
      <c r="S6" s="57"/>
      <c r="T6" s="57"/>
      <c r="U6" s="57"/>
      <c r="V6" s="57"/>
      <c r="W6" s="57"/>
      <c r="X6" s="57"/>
      <c r="Y6" s="57"/>
      <c r="Z6" s="57"/>
      <c r="AA6" s="57"/>
      <c r="AB6" s="57"/>
      <c r="AC6" s="57"/>
      <c r="AD6" s="57"/>
      <c r="AE6" s="57"/>
      <c r="AF6" s="57"/>
      <c r="AG6" s="57"/>
      <c r="AH6" s="57"/>
    </row>
    <row r="7" spans="2:34" ht="30" customHeight="1" x14ac:dyDescent="0.2">
      <c r="B7" s="427" t="s">
        <v>204</v>
      </c>
      <c r="C7" s="10">
        <v>7</v>
      </c>
      <c r="D7" s="10"/>
      <c r="E7" s="303">
        <f>C7/C16*100</f>
        <v>11.111111111111111</v>
      </c>
      <c r="F7" s="10"/>
      <c r="G7" s="10">
        <v>195</v>
      </c>
      <c r="H7" s="10"/>
      <c r="I7" s="303">
        <f>G7/G16*100</f>
        <v>0.2542240300375469</v>
      </c>
      <c r="J7" s="10"/>
      <c r="K7" s="10">
        <v>50328</v>
      </c>
      <c r="L7" s="10"/>
      <c r="M7" s="303">
        <f>K7/K16*100</f>
        <v>2.1924482338611448</v>
      </c>
      <c r="P7" s="57"/>
      <c r="Q7" s="57"/>
      <c r="R7" s="57"/>
      <c r="S7" s="57"/>
      <c r="T7" s="57"/>
      <c r="U7" s="57"/>
      <c r="V7" s="57"/>
      <c r="W7" s="57"/>
      <c r="X7" s="57"/>
      <c r="Y7" s="57"/>
      <c r="Z7" s="57"/>
      <c r="AA7" s="57"/>
      <c r="AB7" s="57"/>
      <c r="AC7" s="57"/>
      <c r="AD7" s="57"/>
      <c r="AE7" s="57"/>
      <c r="AF7" s="57"/>
      <c r="AG7" s="57"/>
      <c r="AH7" s="57"/>
    </row>
    <row r="8" spans="2:34" ht="30" customHeight="1" x14ac:dyDescent="0.2">
      <c r="B8" s="427" t="s">
        <v>205</v>
      </c>
      <c r="C8" s="10">
        <v>10</v>
      </c>
      <c r="D8" s="10"/>
      <c r="E8" s="303">
        <f>C8/C16*100</f>
        <v>15.873015873015872</v>
      </c>
      <c r="F8" s="10"/>
      <c r="G8" s="10">
        <v>675</v>
      </c>
      <c r="H8" s="10"/>
      <c r="I8" s="303">
        <f>G8/G16*100</f>
        <v>0.88000625782227782</v>
      </c>
      <c r="J8" s="10"/>
      <c r="K8" s="10">
        <v>108600</v>
      </c>
      <c r="L8" s="10"/>
      <c r="M8" s="303">
        <f>K8/K16*100</f>
        <v>4.7309624502726182</v>
      </c>
      <c r="P8" s="57"/>
      <c r="Q8" s="57"/>
      <c r="R8" s="57"/>
      <c r="S8" s="57"/>
      <c r="T8" s="57"/>
      <c r="U8" s="57"/>
      <c r="V8" s="57"/>
      <c r="W8" s="57"/>
      <c r="X8" s="57"/>
      <c r="Y8" s="57"/>
      <c r="Z8" s="57"/>
      <c r="AA8" s="57"/>
      <c r="AB8" s="57"/>
      <c r="AC8" s="57"/>
      <c r="AD8" s="57"/>
      <c r="AE8" s="57"/>
      <c r="AF8" s="57"/>
      <c r="AG8" s="57"/>
      <c r="AH8" s="57"/>
    </row>
    <row r="9" spans="2:34" ht="30" customHeight="1" x14ac:dyDescent="0.2">
      <c r="B9" s="427" t="s">
        <v>206</v>
      </c>
      <c r="C9" s="10">
        <v>9</v>
      </c>
      <c r="D9" s="304"/>
      <c r="E9" s="303">
        <f>C9/C16*100</f>
        <v>14.285714285714285</v>
      </c>
      <c r="F9" s="10"/>
      <c r="G9" s="10">
        <v>1152</v>
      </c>
      <c r="H9" s="304"/>
      <c r="I9" s="303">
        <f>G9/G16*100</f>
        <v>1.5018773466833542</v>
      </c>
      <c r="J9" s="10"/>
      <c r="K9" s="10">
        <v>28032</v>
      </c>
      <c r="L9" s="304"/>
      <c r="M9" s="303">
        <f>K9/K16*100</f>
        <v>1.2211633462803133</v>
      </c>
      <c r="P9" s="57"/>
      <c r="Q9" s="57"/>
      <c r="R9" s="57"/>
      <c r="S9" s="57"/>
      <c r="T9" s="57"/>
      <c r="U9" s="57"/>
      <c r="V9" s="57"/>
      <c r="W9" s="57"/>
      <c r="X9" s="57"/>
      <c r="Y9" s="57"/>
      <c r="Z9" s="57"/>
      <c r="AA9" s="57"/>
      <c r="AB9" s="57"/>
      <c r="AC9" s="57"/>
      <c r="AD9" s="57"/>
      <c r="AE9" s="57"/>
      <c r="AF9" s="57"/>
      <c r="AG9" s="57"/>
      <c r="AH9" s="57"/>
    </row>
    <row r="10" spans="2:34" ht="30" customHeight="1" x14ac:dyDescent="0.2">
      <c r="B10" s="427" t="s">
        <v>207</v>
      </c>
      <c r="C10" s="10">
        <v>7</v>
      </c>
      <c r="D10" s="304"/>
      <c r="E10" s="303">
        <f>C10/C16*100</f>
        <v>11.111111111111111</v>
      </c>
      <c r="F10" s="10"/>
      <c r="G10" s="10">
        <v>1614</v>
      </c>
      <c r="H10" s="304"/>
      <c r="I10" s="303">
        <f>G10/G16*100</f>
        <v>2.1041927409261576</v>
      </c>
      <c r="J10" s="10"/>
      <c r="K10" s="10">
        <v>19328</v>
      </c>
      <c r="L10" s="304"/>
      <c r="M10" s="303">
        <f>K10/K16*100</f>
        <v>0.84198933921610652</v>
      </c>
      <c r="P10" s="57"/>
      <c r="Q10" s="57"/>
      <c r="R10" s="57"/>
      <c r="S10" s="57"/>
      <c r="T10" s="57"/>
      <c r="U10" s="57"/>
      <c r="V10" s="57"/>
      <c r="W10" s="57"/>
      <c r="X10" s="57"/>
      <c r="Y10" s="57"/>
      <c r="Z10" s="57"/>
      <c r="AA10" s="57"/>
      <c r="AB10" s="57"/>
      <c r="AC10" s="57"/>
      <c r="AD10" s="57"/>
      <c r="AE10" s="57"/>
      <c r="AF10" s="57"/>
      <c r="AG10" s="57"/>
      <c r="AH10" s="57"/>
    </row>
    <row r="11" spans="2:34" ht="30" customHeight="1" x14ac:dyDescent="0.2">
      <c r="B11" s="427" t="s">
        <v>208</v>
      </c>
      <c r="C11" s="10">
        <v>7</v>
      </c>
      <c r="D11" s="304"/>
      <c r="E11" s="303">
        <f>C11/C16*100</f>
        <v>11.111111111111111</v>
      </c>
      <c r="F11" s="10"/>
      <c r="G11" s="10">
        <v>2626</v>
      </c>
      <c r="H11" s="304"/>
      <c r="I11" s="303">
        <f>G11/G16*100</f>
        <v>3.4235502711722985</v>
      </c>
      <c r="J11" s="10"/>
      <c r="K11" s="10">
        <v>45140</v>
      </c>
      <c r="L11" s="304"/>
      <c r="M11" s="303">
        <f>K11/K16*100</f>
        <v>1.9664424033637753</v>
      </c>
      <c r="P11" s="57"/>
      <c r="Q11" s="57"/>
      <c r="R11" s="57"/>
      <c r="S11" s="57"/>
      <c r="T11" s="57"/>
      <c r="U11" s="57"/>
      <c r="V11" s="57"/>
      <c r="W11" s="57"/>
      <c r="X11" s="57"/>
      <c r="Y11" s="57"/>
      <c r="Z11" s="57"/>
      <c r="AA11" s="57"/>
      <c r="AB11" s="57"/>
      <c r="AC11" s="57"/>
      <c r="AD11" s="57"/>
      <c r="AE11" s="57"/>
      <c r="AF11" s="57"/>
      <c r="AG11" s="57"/>
      <c r="AH11" s="57"/>
    </row>
    <row r="12" spans="2:34" ht="30" customHeight="1" x14ac:dyDescent="0.2">
      <c r="B12" s="427" t="s">
        <v>209</v>
      </c>
      <c r="C12" s="10">
        <v>4</v>
      </c>
      <c r="D12" s="304"/>
      <c r="E12" s="303">
        <f>C12/C16*100</f>
        <v>6.3492063492063489</v>
      </c>
      <c r="F12" s="10"/>
      <c r="G12" s="10">
        <v>2100</v>
      </c>
      <c r="H12" s="304"/>
      <c r="I12" s="303">
        <f>G12/G16*100</f>
        <v>2.7377972465581975</v>
      </c>
      <c r="J12" s="10"/>
      <c r="K12" s="10">
        <v>173600</v>
      </c>
      <c r="L12" s="304"/>
      <c r="M12" s="303">
        <f>K12/K16*100</f>
        <v>7.5625698100122154</v>
      </c>
      <c r="P12" s="57"/>
      <c r="Q12" s="57"/>
      <c r="R12" s="57"/>
      <c r="S12" s="57"/>
      <c r="T12" s="57"/>
      <c r="U12" s="57"/>
      <c r="V12" s="57"/>
      <c r="W12" s="57"/>
      <c r="X12" s="57"/>
      <c r="Y12" s="57"/>
      <c r="Z12" s="57"/>
      <c r="AA12" s="57"/>
      <c r="AB12" s="57"/>
      <c r="AC12" s="57"/>
      <c r="AD12" s="57"/>
      <c r="AE12" s="57"/>
      <c r="AF12" s="57"/>
      <c r="AG12" s="57"/>
      <c r="AH12" s="57"/>
    </row>
    <row r="13" spans="2:34" ht="30" customHeight="1" x14ac:dyDescent="0.2">
      <c r="B13" s="427" t="s">
        <v>210</v>
      </c>
      <c r="C13" s="10">
        <v>3</v>
      </c>
      <c r="D13" s="304"/>
      <c r="E13" s="303">
        <f>C13/C16*100</f>
        <v>4.7619047619047619</v>
      </c>
      <c r="F13" s="10"/>
      <c r="G13" s="10">
        <v>2560</v>
      </c>
      <c r="H13" s="304"/>
      <c r="I13" s="303">
        <f>G13/G16*100</f>
        <v>3.3375052148518982</v>
      </c>
      <c r="J13" s="10"/>
      <c r="K13" s="10">
        <v>24160</v>
      </c>
      <c r="L13" s="304"/>
      <c r="M13" s="303">
        <f>K13/K16*100</f>
        <v>1.0524866740201331</v>
      </c>
      <c r="P13" s="57"/>
      <c r="Q13" s="57"/>
      <c r="R13" s="57"/>
      <c r="S13" s="57"/>
      <c r="T13" s="57"/>
      <c r="U13" s="57"/>
      <c r="V13" s="57"/>
      <c r="W13" s="57"/>
      <c r="X13" s="57"/>
      <c r="Y13" s="57"/>
      <c r="Z13" s="57"/>
      <c r="AA13" s="57"/>
      <c r="AB13" s="57"/>
      <c r="AC13" s="57"/>
      <c r="AD13" s="57"/>
      <c r="AE13" s="57"/>
      <c r="AF13" s="57"/>
      <c r="AG13" s="57"/>
      <c r="AH13" s="57"/>
    </row>
    <row r="14" spans="2:34" ht="30" customHeight="1" x14ac:dyDescent="0.2">
      <c r="B14" s="427" t="s">
        <v>211</v>
      </c>
      <c r="C14" s="10">
        <v>16</v>
      </c>
      <c r="D14" s="304"/>
      <c r="E14" s="303">
        <f>C14/C16*100</f>
        <v>25.396825396825395</v>
      </c>
      <c r="F14" s="10"/>
      <c r="G14" s="10">
        <v>65782</v>
      </c>
      <c r="H14" s="304"/>
      <c r="I14" s="303">
        <f>G14/G16*100</f>
        <v>85.760846891948276</v>
      </c>
      <c r="J14" s="10"/>
      <c r="K14" s="10">
        <v>1846328</v>
      </c>
      <c r="L14" s="304"/>
      <c r="M14" s="303">
        <f>K14/K16*100</f>
        <v>80.431937742973687</v>
      </c>
      <c r="P14" s="57"/>
      <c r="Q14" s="57"/>
      <c r="R14" s="57"/>
      <c r="S14" s="57"/>
      <c r="T14" s="57"/>
      <c r="U14" s="57"/>
      <c r="V14" s="57"/>
      <c r="W14" s="57"/>
      <c r="X14" s="57"/>
      <c r="Y14" s="57"/>
      <c r="Z14" s="57"/>
      <c r="AA14" s="57"/>
      <c r="AB14" s="57"/>
      <c r="AC14" s="57"/>
      <c r="AD14" s="57"/>
      <c r="AE14" s="57"/>
      <c r="AF14" s="57"/>
      <c r="AG14" s="57"/>
      <c r="AH14" s="57"/>
    </row>
    <row r="15" spans="2:34" ht="5.25" customHeight="1" x14ac:dyDescent="0.2">
      <c r="B15" s="51"/>
      <c r="C15" s="304"/>
      <c r="D15" s="304"/>
      <c r="E15" s="303"/>
      <c r="F15" s="10"/>
      <c r="G15" s="304"/>
      <c r="H15" s="304"/>
      <c r="I15" s="303"/>
      <c r="J15" s="10"/>
      <c r="K15" s="10"/>
      <c r="L15" s="304"/>
      <c r="M15" s="303"/>
      <c r="P15" s="57"/>
      <c r="Q15" s="57"/>
      <c r="R15" s="57"/>
      <c r="S15" s="57"/>
      <c r="T15" s="57"/>
      <c r="U15" s="57"/>
      <c r="V15" s="57"/>
      <c r="W15" s="57"/>
      <c r="X15" s="57"/>
      <c r="Y15" s="57"/>
      <c r="Z15" s="57"/>
      <c r="AA15" s="57"/>
      <c r="AB15" s="57"/>
      <c r="AC15" s="57"/>
      <c r="AD15" s="57"/>
      <c r="AE15" s="57"/>
      <c r="AF15" s="57"/>
      <c r="AG15" s="57"/>
      <c r="AH15" s="57"/>
    </row>
    <row r="16" spans="2:34" ht="30" customHeight="1" x14ac:dyDescent="0.2">
      <c r="B16" s="449" t="s">
        <v>6</v>
      </c>
      <c r="C16" s="450">
        <f>SUM(C7:C15)</f>
        <v>63</v>
      </c>
      <c r="D16" s="450"/>
      <c r="E16" s="451">
        <f>SUM(E7:E15)</f>
        <v>100</v>
      </c>
      <c r="F16" s="452"/>
      <c r="G16" s="450">
        <f>SUM(G7:G15)</f>
        <v>76704</v>
      </c>
      <c r="H16" s="450"/>
      <c r="I16" s="451">
        <f>SUM(I7:I15)</f>
        <v>100</v>
      </c>
      <c r="J16" s="452"/>
      <c r="K16" s="450">
        <f>SUM(K7:K15)</f>
        <v>2295516</v>
      </c>
      <c r="L16" s="450"/>
      <c r="M16" s="451">
        <f>SUM(M7:M15)</f>
        <v>100</v>
      </c>
      <c r="N16" s="453"/>
      <c r="P16" s="57"/>
      <c r="Q16" s="57"/>
      <c r="R16" s="57"/>
      <c r="S16" s="57"/>
      <c r="T16" s="57"/>
      <c r="U16" s="57"/>
      <c r="V16" s="57"/>
      <c r="W16" s="57"/>
      <c r="X16" s="57"/>
      <c r="Y16" s="57"/>
      <c r="Z16" s="57"/>
      <c r="AA16" s="57"/>
      <c r="AB16" s="57"/>
      <c r="AC16" s="57"/>
      <c r="AD16" s="57"/>
      <c r="AE16" s="57"/>
      <c r="AF16" s="57"/>
      <c r="AG16" s="57"/>
      <c r="AH16" s="57"/>
    </row>
    <row r="17" spans="2:34" s="1" customFormat="1" ht="29.25" customHeight="1" x14ac:dyDescent="0.2">
      <c r="B17" s="11" t="s">
        <v>245</v>
      </c>
      <c r="C17" s="98"/>
      <c r="D17" s="98"/>
      <c r="E17" s="98"/>
      <c r="F17" s="98"/>
      <c r="G17" s="98"/>
      <c r="H17" s="98"/>
      <c r="I17" s="98"/>
      <c r="J17" s="98"/>
      <c r="K17" s="98"/>
      <c r="L17" s="98"/>
      <c r="M17" s="98"/>
      <c r="P17" s="90"/>
      <c r="Q17" s="90"/>
      <c r="R17" s="90"/>
      <c r="S17" s="90"/>
      <c r="T17" s="90"/>
      <c r="U17" s="90"/>
      <c r="V17" s="99"/>
      <c r="W17" s="100"/>
      <c r="X17" s="99"/>
      <c r="Y17" s="101"/>
      <c r="Z17" s="99"/>
      <c r="AA17" s="101"/>
      <c r="AB17" s="90"/>
      <c r="AC17" s="90"/>
      <c r="AD17" s="90"/>
      <c r="AE17" s="90"/>
      <c r="AF17" s="90"/>
      <c r="AG17" s="90"/>
      <c r="AH17" s="90"/>
    </row>
    <row r="18" spans="2:34" s="1" customFormat="1" ht="20.45" customHeight="1" x14ac:dyDescent="0.2">
      <c r="B18" s="16" t="s">
        <v>296</v>
      </c>
      <c r="C18" s="98"/>
      <c r="D18" s="17"/>
      <c r="E18" s="17"/>
      <c r="F18" s="17"/>
      <c r="G18" s="17"/>
      <c r="H18" s="17"/>
      <c r="I18" s="18"/>
      <c r="J18" s="18"/>
      <c r="K18" s="18"/>
      <c r="L18" s="18"/>
      <c r="M18" s="98"/>
      <c r="P18" s="90"/>
      <c r="Q18" s="90"/>
      <c r="R18" s="90"/>
      <c r="S18" s="90"/>
      <c r="T18" s="90"/>
      <c r="U18" s="90"/>
      <c r="V18" s="90"/>
      <c r="W18" s="102"/>
      <c r="X18" s="103"/>
      <c r="Y18" s="102"/>
      <c r="Z18" s="103"/>
      <c r="AA18" s="101"/>
      <c r="AB18" s="90"/>
      <c r="AC18" s="90"/>
      <c r="AD18" s="90"/>
      <c r="AE18" s="90"/>
      <c r="AF18" s="90"/>
      <c r="AG18" s="90"/>
      <c r="AH18" s="90"/>
    </row>
    <row r="19" spans="2:34" s="1" customFormat="1" ht="19.149999999999999" customHeight="1" x14ac:dyDescent="0.2">
      <c r="B19" s="22" t="s">
        <v>279</v>
      </c>
      <c r="C19" s="98"/>
      <c r="D19" s="98"/>
      <c r="E19" s="104"/>
      <c r="F19" s="104"/>
      <c r="G19" s="104"/>
      <c r="H19" s="104"/>
      <c r="I19" s="105"/>
      <c r="J19" s="106"/>
      <c r="K19" s="106"/>
      <c r="L19" s="98"/>
      <c r="M19" s="98"/>
      <c r="P19" s="90"/>
      <c r="Q19" s="90"/>
      <c r="R19" s="90"/>
      <c r="S19" s="90"/>
      <c r="T19" s="90"/>
      <c r="U19" s="90"/>
      <c r="V19" s="90"/>
      <c r="W19" s="90"/>
      <c r="X19" s="90"/>
      <c r="Y19" s="90"/>
      <c r="Z19" s="90"/>
      <c r="AA19" s="90"/>
      <c r="AB19" s="90"/>
      <c r="AC19" s="90"/>
      <c r="AD19" s="90"/>
      <c r="AE19" s="90"/>
      <c r="AF19" s="90"/>
      <c r="AG19" s="90"/>
      <c r="AH19" s="90"/>
    </row>
    <row r="20" spans="2:34" x14ac:dyDescent="0.2">
      <c r="P20" s="57"/>
      <c r="Q20" s="57"/>
      <c r="R20" s="57"/>
      <c r="S20" s="57"/>
      <c r="T20" s="57"/>
      <c r="U20" s="57"/>
      <c r="V20" s="57"/>
      <c r="W20" s="57"/>
      <c r="X20" s="57"/>
      <c r="Y20" s="57"/>
      <c r="Z20" s="57"/>
      <c r="AA20" s="57"/>
      <c r="AB20" s="57"/>
      <c r="AC20" s="57"/>
      <c r="AD20" s="57"/>
      <c r="AE20" s="57"/>
      <c r="AF20" s="57"/>
      <c r="AG20" s="57"/>
      <c r="AH20" s="57"/>
    </row>
    <row r="21" spans="2:34" x14ac:dyDescent="0.2">
      <c r="P21" s="57"/>
      <c r="Q21" s="57"/>
      <c r="R21" s="57"/>
      <c r="S21" s="57"/>
      <c r="T21" s="57"/>
      <c r="U21" s="57"/>
      <c r="V21" s="57"/>
      <c r="W21" s="57"/>
      <c r="X21" s="57"/>
      <c r="Y21" s="57"/>
      <c r="Z21" s="57"/>
      <c r="AA21" s="57"/>
      <c r="AB21" s="57"/>
      <c r="AC21" s="57"/>
      <c r="AD21" s="57"/>
      <c r="AE21" s="57"/>
      <c r="AF21" s="57"/>
      <c r="AG21" s="57"/>
      <c r="AH21" s="57"/>
    </row>
    <row r="22" spans="2:34" x14ac:dyDescent="0.2">
      <c r="P22" s="57"/>
      <c r="Q22" s="57"/>
      <c r="R22" s="57"/>
      <c r="S22" s="57"/>
      <c r="T22" s="57"/>
      <c r="U22" s="57"/>
      <c r="V22" s="57"/>
      <c r="W22" s="57"/>
      <c r="X22" s="57"/>
      <c r="Y22" s="57"/>
      <c r="Z22" s="57"/>
      <c r="AA22" s="57"/>
      <c r="AB22" s="57"/>
      <c r="AC22" s="57"/>
      <c r="AD22" s="57"/>
      <c r="AE22" s="57"/>
      <c r="AF22" s="57"/>
      <c r="AG22" s="57"/>
      <c r="AH22" s="57"/>
    </row>
    <row r="23" spans="2:34" x14ac:dyDescent="0.2">
      <c r="P23" s="57"/>
      <c r="Q23" s="57"/>
      <c r="R23" s="57"/>
      <c r="S23" s="57"/>
      <c r="T23" s="57"/>
      <c r="U23" s="57"/>
      <c r="V23" s="57"/>
      <c r="W23" s="57"/>
      <c r="X23" s="57"/>
      <c r="Y23" s="57"/>
      <c r="Z23" s="57"/>
      <c r="AA23" s="57"/>
      <c r="AB23" s="57"/>
      <c r="AC23" s="57"/>
      <c r="AD23" s="57"/>
      <c r="AE23" s="57"/>
      <c r="AF23" s="57"/>
      <c r="AG23" s="57"/>
      <c r="AH23" s="57"/>
    </row>
    <row r="24" spans="2:34" x14ac:dyDescent="0.2">
      <c r="P24" s="57"/>
      <c r="Q24" s="57"/>
      <c r="R24" s="57"/>
      <c r="S24" s="57"/>
      <c r="T24" s="57"/>
      <c r="U24" s="57"/>
      <c r="V24" s="57"/>
      <c r="W24" s="57"/>
      <c r="X24" s="57"/>
      <c r="Y24" s="57"/>
      <c r="Z24" s="57"/>
      <c r="AA24" s="57"/>
      <c r="AB24" s="57"/>
      <c r="AC24" s="57"/>
      <c r="AD24" s="57"/>
      <c r="AE24" s="57"/>
      <c r="AF24" s="57"/>
      <c r="AG24" s="57"/>
      <c r="AH24" s="57"/>
    </row>
    <row r="25" spans="2:34" x14ac:dyDescent="0.2">
      <c r="P25" s="57"/>
      <c r="Q25" s="57"/>
      <c r="R25" s="57"/>
      <c r="S25" s="57"/>
      <c r="T25" s="57"/>
      <c r="U25" s="57"/>
      <c r="V25" s="57"/>
      <c r="W25" s="57"/>
      <c r="X25" s="57"/>
      <c r="Y25" s="57"/>
      <c r="Z25" s="57"/>
      <c r="AA25" s="57"/>
      <c r="AB25" s="57"/>
      <c r="AC25" s="57"/>
      <c r="AD25" s="57"/>
      <c r="AE25" s="57"/>
      <c r="AF25" s="57"/>
      <c r="AG25" s="57"/>
      <c r="AH25" s="57"/>
    </row>
    <row r="26" spans="2:34" x14ac:dyDescent="0.2">
      <c r="P26" s="57"/>
      <c r="Q26" s="57"/>
      <c r="R26" s="57"/>
      <c r="S26" s="57"/>
      <c r="T26" s="57"/>
      <c r="U26" s="57"/>
      <c r="V26" s="57"/>
      <c r="W26" s="57"/>
      <c r="X26" s="57"/>
      <c r="Y26" s="57"/>
      <c r="Z26" s="57"/>
      <c r="AA26" s="57"/>
      <c r="AB26" s="57"/>
      <c r="AC26" s="57"/>
      <c r="AD26" s="57"/>
      <c r="AE26" s="57"/>
      <c r="AF26" s="57"/>
      <c r="AG26" s="57"/>
      <c r="AH26" s="57"/>
    </row>
    <row r="27" spans="2:34" x14ac:dyDescent="0.2">
      <c r="P27" s="57"/>
      <c r="Q27" s="57"/>
      <c r="R27" s="57"/>
      <c r="S27" s="57"/>
      <c r="T27" s="57"/>
      <c r="U27" s="57"/>
      <c r="V27" s="57"/>
      <c r="W27" s="57"/>
      <c r="X27" s="57"/>
      <c r="Y27" s="57"/>
      <c r="Z27" s="57"/>
      <c r="AA27" s="57"/>
      <c r="AB27" s="57"/>
      <c r="AC27" s="57"/>
      <c r="AD27" s="57"/>
      <c r="AE27" s="57"/>
      <c r="AF27" s="57"/>
      <c r="AG27" s="57"/>
      <c r="AH27" s="57"/>
    </row>
    <row r="28" spans="2:34" x14ac:dyDescent="0.2">
      <c r="P28" s="57"/>
      <c r="Q28" s="57"/>
      <c r="R28" s="57"/>
      <c r="S28" s="57"/>
      <c r="T28" s="57"/>
      <c r="U28" s="57"/>
      <c r="V28" s="57"/>
      <c r="W28" s="57"/>
      <c r="X28" s="57"/>
      <c r="Y28" s="57"/>
      <c r="Z28" s="57"/>
      <c r="AA28" s="57"/>
      <c r="AB28" s="57"/>
      <c r="AC28" s="57"/>
      <c r="AD28" s="57"/>
      <c r="AE28" s="57"/>
      <c r="AF28" s="57"/>
      <c r="AG28" s="57"/>
      <c r="AH28" s="57"/>
    </row>
    <row r="29" spans="2:34" x14ac:dyDescent="0.2">
      <c r="P29" s="57"/>
      <c r="Q29" s="57"/>
      <c r="R29" s="57"/>
      <c r="S29" s="57"/>
      <c r="T29" s="57"/>
      <c r="U29" s="57"/>
      <c r="V29" s="57"/>
      <c r="W29" s="57"/>
      <c r="X29" s="57"/>
      <c r="Y29" s="57"/>
      <c r="Z29" s="57"/>
      <c r="AA29" s="57"/>
      <c r="AB29" s="57"/>
      <c r="AC29" s="57"/>
      <c r="AD29" s="57"/>
      <c r="AE29" s="57"/>
      <c r="AF29" s="57"/>
      <c r="AG29" s="57"/>
      <c r="AH29" s="57"/>
    </row>
    <row r="30" spans="2:34" x14ac:dyDescent="0.2">
      <c r="P30" s="57"/>
      <c r="Q30" s="57"/>
      <c r="R30" s="57"/>
      <c r="S30" s="57"/>
      <c r="T30" s="57"/>
      <c r="U30" s="57"/>
      <c r="V30" s="57"/>
      <c r="W30" s="57"/>
      <c r="X30" s="57"/>
      <c r="Y30" s="57"/>
      <c r="Z30" s="57"/>
      <c r="AA30" s="57"/>
      <c r="AB30" s="57"/>
      <c r="AC30" s="57"/>
      <c r="AD30" s="57"/>
      <c r="AE30" s="57"/>
      <c r="AF30" s="57"/>
      <c r="AG30" s="57"/>
      <c r="AH30" s="57"/>
    </row>
    <row r="31" spans="2:34" x14ac:dyDescent="0.2">
      <c r="P31" s="57"/>
      <c r="Q31" s="57"/>
      <c r="R31" s="57"/>
      <c r="S31" s="57"/>
      <c r="T31" s="57"/>
      <c r="U31" s="57"/>
      <c r="V31" s="57"/>
      <c r="W31" s="57"/>
      <c r="X31" s="57"/>
      <c r="Y31" s="57"/>
      <c r="Z31" s="57"/>
      <c r="AA31" s="57"/>
      <c r="AB31" s="57"/>
      <c r="AC31" s="57"/>
      <c r="AD31" s="57"/>
      <c r="AE31" s="57"/>
      <c r="AF31" s="57"/>
      <c r="AG31" s="57"/>
      <c r="AH31" s="57"/>
    </row>
    <row r="32" spans="2:34" x14ac:dyDescent="0.2">
      <c r="P32" s="57"/>
      <c r="Q32" s="57"/>
      <c r="R32" s="57"/>
      <c r="S32" s="57"/>
      <c r="T32" s="57"/>
      <c r="U32" s="57"/>
      <c r="V32" s="57"/>
      <c r="W32" s="57"/>
      <c r="X32" s="57"/>
      <c r="Y32" s="57"/>
      <c r="Z32" s="57"/>
      <c r="AA32" s="57"/>
      <c r="AB32" s="57"/>
      <c r="AC32" s="57"/>
      <c r="AD32" s="57"/>
      <c r="AE32" s="57"/>
      <c r="AF32" s="57"/>
      <c r="AG32" s="57"/>
      <c r="AH32" s="57"/>
    </row>
    <row r="33" spans="16:34" x14ac:dyDescent="0.2">
      <c r="P33" s="57"/>
      <c r="Q33" s="57"/>
      <c r="R33" s="57"/>
      <c r="S33" s="57"/>
      <c r="T33" s="57"/>
      <c r="U33" s="57"/>
      <c r="V33" s="57"/>
      <c r="W33" s="57"/>
      <c r="X33" s="57"/>
      <c r="Y33" s="57"/>
      <c r="Z33" s="57"/>
      <c r="AA33" s="57"/>
      <c r="AB33" s="57"/>
      <c r="AC33" s="57"/>
      <c r="AD33" s="57"/>
      <c r="AE33" s="57"/>
      <c r="AF33" s="57"/>
      <c r="AG33" s="57"/>
      <c r="AH33" s="57"/>
    </row>
    <row r="34" spans="16:34" x14ac:dyDescent="0.2">
      <c r="P34" s="57"/>
      <c r="Q34" s="57"/>
      <c r="R34" s="57"/>
      <c r="S34" s="57"/>
      <c r="T34" s="57"/>
      <c r="U34" s="57"/>
      <c r="V34" s="57"/>
      <c r="W34" s="57"/>
      <c r="X34" s="57"/>
      <c r="Y34" s="57"/>
      <c r="Z34" s="57"/>
      <c r="AA34" s="57"/>
      <c r="AB34" s="57"/>
      <c r="AC34" s="57"/>
      <c r="AD34" s="57"/>
      <c r="AE34" s="57"/>
      <c r="AF34" s="57"/>
      <c r="AG34" s="57"/>
      <c r="AH34" s="57"/>
    </row>
    <row r="35" spans="16:34" x14ac:dyDescent="0.2">
      <c r="P35" s="57"/>
      <c r="Q35" s="57"/>
      <c r="R35" s="57"/>
      <c r="S35" s="57"/>
      <c r="T35" s="57"/>
      <c r="U35" s="57"/>
      <c r="V35" s="57"/>
      <c r="W35" s="57"/>
      <c r="X35" s="57"/>
      <c r="Y35" s="57"/>
      <c r="Z35" s="57"/>
      <c r="AA35" s="57"/>
      <c r="AB35" s="57"/>
      <c r="AC35" s="57"/>
      <c r="AD35" s="57"/>
      <c r="AE35" s="57"/>
      <c r="AF35" s="57"/>
      <c r="AG35" s="57"/>
      <c r="AH35" s="57"/>
    </row>
    <row r="36" spans="16:34" x14ac:dyDescent="0.2">
      <c r="P36" s="57"/>
      <c r="Q36" s="57"/>
      <c r="R36" s="57"/>
      <c r="S36" s="57"/>
      <c r="T36" s="57"/>
      <c r="U36" s="57"/>
      <c r="V36" s="57"/>
      <c r="W36" s="57"/>
      <c r="X36" s="57"/>
      <c r="Y36" s="57"/>
      <c r="Z36" s="57"/>
      <c r="AA36" s="57"/>
      <c r="AB36" s="57"/>
      <c r="AC36" s="57"/>
      <c r="AD36" s="57"/>
      <c r="AE36" s="57"/>
      <c r="AF36" s="57"/>
      <c r="AG36" s="57"/>
      <c r="AH36" s="57"/>
    </row>
    <row r="37" spans="16:34" x14ac:dyDescent="0.2">
      <c r="P37" s="57"/>
      <c r="Q37" s="57"/>
      <c r="R37" s="57"/>
      <c r="S37" s="57"/>
      <c r="T37" s="57"/>
      <c r="U37" s="57"/>
      <c r="V37" s="57"/>
      <c r="W37" s="57"/>
      <c r="X37" s="57"/>
      <c r="Y37" s="57"/>
      <c r="Z37" s="57"/>
      <c r="AA37" s="57"/>
      <c r="AB37" s="57"/>
      <c r="AC37" s="57"/>
      <c r="AD37" s="57"/>
      <c r="AE37" s="57"/>
      <c r="AF37" s="57"/>
      <c r="AG37" s="57"/>
      <c r="AH37" s="57"/>
    </row>
    <row r="38" spans="16:34" x14ac:dyDescent="0.2">
      <c r="P38" s="57"/>
      <c r="Q38" s="57"/>
      <c r="R38" s="57"/>
      <c r="S38" s="57"/>
      <c r="T38" s="57"/>
      <c r="U38" s="57"/>
      <c r="V38" s="57"/>
      <c r="W38" s="57"/>
      <c r="X38" s="57"/>
      <c r="Y38" s="57"/>
      <c r="Z38" s="57"/>
      <c r="AA38" s="57"/>
      <c r="AB38" s="57"/>
      <c r="AC38" s="57"/>
      <c r="AD38" s="57"/>
      <c r="AE38" s="57"/>
      <c r="AF38" s="57"/>
      <c r="AG38" s="57"/>
      <c r="AH38" s="57"/>
    </row>
    <row r="39" spans="16:34" x14ac:dyDescent="0.2">
      <c r="P39" s="57"/>
      <c r="Q39" s="57"/>
      <c r="R39" s="57"/>
      <c r="S39" s="57"/>
      <c r="T39" s="57"/>
      <c r="U39" s="57"/>
      <c r="V39" s="57"/>
      <c r="W39" s="57"/>
      <c r="X39" s="57"/>
      <c r="Y39" s="57"/>
      <c r="Z39" s="57"/>
      <c r="AA39" s="57"/>
      <c r="AB39" s="57"/>
      <c r="AC39" s="57"/>
      <c r="AD39" s="57"/>
      <c r="AE39" s="57"/>
      <c r="AF39" s="57"/>
      <c r="AG39" s="57"/>
      <c r="AH39" s="57"/>
    </row>
    <row r="40" spans="16:34" x14ac:dyDescent="0.2">
      <c r="P40" s="57"/>
      <c r="Q40" s="57"/>
      <c r="R40" s="57"/>
      <c r="S40" s="57"/>
      <c r="T40" s="57"/>
      <c r="U40" s="57"/>
      <c r="V40" s="57"/>
      <c r="W40" s="57"/>
      <c r="X40" s="57"/>
      <c r="Y40" s="57"/>
      <c r="Z40" s="57"/>
      <c r="AA40" s="57"/>
      <c r="AB40" s="57"/>
      <c r="AC40" s="57"/>
      <c r="AD40" s="57"/>
      <c r="AE40" s="57"/>
      <c r="AF40" s="57"/>
      <c r="AG40" s="57"/>
      <c r="AH40" s="57"/>
    </row>
    <row r="41" spans="16:34" x14ac:dyDescent="0.2">
      <c r="P41" s="57"/>
      <c r="Q41" s="57"/>
      <c r="R41" s="57"/>
      <c r="S41" s="57"/>
      <c r="T41" s="57"/>
      <c r="U41" s="57"/>
      <c r="V41" s="57"/>
      <c r="W41" s="57"/>
      <c r="X41" s="57"/>
      <c r="Y41" s="57"/>
      <c r="Z41" s="57"/>
      <c r="AA41" s="57"/>
      <c r="AB41" s="57"/>
      <c r="AC41" s="57"/>
      <c r="AD41" s="57"/>
      <c r="AE41" s="57"/>
      <c r="AF41" s="57"/>
      <c r="AG41" s="57"/>
      <c r="AH41" s="57"/>
    </row>
    <row r="42" spans="16:34" x14ac:dyDescent="0.2">
      <c r="P42" s="57"/>
      <c r="Q42" s="57"/>
      <c r="R42" s="57"/>
      <c r="S42" s="57"/>
      <c r="T42" s="57"/>
      <c r="U42" s="57"/>
      <c r="V42" s="57"/>
      <c r="W42" s="57"/>
      <c r="X42" s="57"/>
      <c r="Y42" s="57"/>
      <c r="Z42" s="57"/>
      <c r="AA42" s="57"/>
      <c r="AB42" s="57"/>
      <c r="AC42" s="57"/>
      <c r="AD42" s="57"/>
      <c r="AE42" s="57"/>
      <c r="AF42" s="57"/>
      <c r="AG42" s="57"/>
      <c r="AH42" s="57"/>
    </row>
    <row r="43" spans="16:34" x14ac:dyDescent="0.2">
      <c r="P43" s="57"/>
      <c r="Q43" s="57"/>
      <c r="R43" s="57"/>
      <c r="S43" s="57"/>
      <c r="T43" s="57"/>
      <c r="U43" s="57"/>
      <c r="V43" s="57"/>
      <c r="W43" s="57"/>
      <c r="X43" s="57"/>
      <c r="Y43" s="57"/>
      <c r="Z43" s="57"/>
      <c r="AA43" s="57"/>
      <c r="AB43" s="57"/>
      <c r="AC43" s="57"/>
      <c r="AD43" s="57"/>
      <c r="AE43" s="57"/>
      <c r="AF43" s="57"/>
      <c r="AG43" s="57"/>
      <c r="AH43" s="57"/>
    </row>
    <row r="44" spans="16:34" x14ac:dyDescent="0.2">
      <c r="P44" s="57"/>
      <c r="Q44" s="57"/>
      <c r="R44" s="57"/>
      <c r="S44" s="57"/>
      <c r="T44" s="57"/>
      <c r="U44" s="57"/>
      <c r="V44" s="57"/>
      <c r="W44" s="57"/>
      <c r="X44" s="57"/>
      <c r="Y44" s="57"/>
      <c r="Z44" s="57"/>
      <c r="AA44" s="57"/>
      <c r="AB44" s="57"/>
      <c r="AC44" s="57"/>
      <c r="AD44" s="57"/>
      <c r="AE44" s="57"/>
      <c r="AF44" s="57"/>
      <c r="AG44" s="57"/>
      <c r="AH44" s="57"/>
    </row>
    <row r="45" spans="16:34" x14ac:dyDescent="0.2">
      <c r="P45" s="57"/>
      <c r="Q45" s="57"/>
      <c r="R45" s="57"/>
      <c r="S45" s="57"/>
      <c r="T45" s="57"/>
      <c r="U45" s="57"/>
      <c r="V45" s="57"/>
      <c r="W45" s="57"/>
      <c r="X45" s="57"/>
      <c r="Y45" s="57"/>
      <c r="Z45" s="57"/>
      <c r="AA45" s="57"/>
      <c r="AB45" s="57"/>
      <c r="AC45" s="57"/>
      <c r="AD45" s="57"/>
      <c r="AE45" s="57"/>
      <c r="AF45" s="57"/>
      <c r="AG45" s="57"/>
      <c r="AH45" s="57"/>
    </row>
    <row r="46" spans="16:34" x14ac:dyDescent="0.2">
      <c r="P46" s="57"/>
      <c r="Q46" s="57"/>
      <c r="R46" s="57"/>
      <c r="S46" s="57"/>
      <c r="T46" s="57"/>
      <c r="U46" s="57"/>
      <c r="V46" s="57"/>
      <c r="W46" s="57"/>
      <c r="X46" s="57"/>
      <c r="Y46" s="57"/>
      <c r="Z46" s="57"/>
      <c r="AA46" s="57"/>
      <c r="AB46" s="57"/>
      <c r="AC46" s="57"/>
      <c r="AD46" s="57"/>
      <c r="AE46" s="57"/>
      <c r="AF46" s="57"/>
      <c r="AG46" s="57"/>
      <c r="AH46" s="57"/>
    </row>
    <row r="47" spans="16:34" x14ac:dyDescent="0.2">
      <c r="P47" s="57"/>
      <c r="Q47" s="57"/>
      <c r="R47" s="57"/>
      <c r="S47" s="57"/>
      <c r="T47" s="57"/>
      <c r="U47" s="57"/>
      <c r="V47" s="57"/>
      <c r="W47" s="57"/>
      <c r="X47" s="57"/>
      <c r="Y47" s="57"/>
      <c r="Z47" s="57"/>
      <c r="AA47" s="57"/>
      <c r="AB47" s="57"/>
      <c r="AC47" s="57"/>
      <c r="AD47" s="57"/>
      <c r="AE47" s="57"/>
      <c r="AF47" s="57"/>
      <c r="AG47" s="57"/>
      <c r="AH47" s="57"/>
    </row>
    <row r="48" spans="16:34" x14ac:dyDescent="0.2">
      <c r="P48" s="57"/>
      <c r="Q48" s="57"/>
      <c r="R48" s="57"/>
      <c r="S48" s="57"/>
      <c r="T48" s="57"/>
      <c r="U48" s="57"/>
      <c r="V48" s="57"/>
      <c r="W48" s="57"/>
      <c r="X48" s="57"/>
      <c r="Y48" s="57"/>
      <c r="Z48" s="57"/>
      <c r="AA48" s="57"/>
      <c r="AB48" s="57"/>
      <c r="AC48" s="57"/>
      <c r="AD48" s="57"/>
      <c r="AE48" s="57"/>
      <c r="AF48" s="57"/>
      <c r="AG48" s="57"/>
      <c r="AH48" s="57"/>
    </row>
    <row r="49" spans="16:34" x14ac:dyDescent="0.2">
      <c r="P49" s="57"/>
      <c r="Q49" s="57"/>
      <c r="R49" s="57"/>
      <c r="S49" s="57"/>
      <c r="T49" s="57"/>
      <c r="U49" s="57"/>
      <c r="V49" s="57"/>
      <c r="W49" s="57"/>
      <c r="X49" s="57"/>
      <c r="Y49" s="57"/>
      <c r="Z49" s="57"/>
      <c r="AA49" s="57"/>
      <c r="AB49" s="57"/>
      <c r="AC49" s="57"/>
      <c r="AD49" s="57"/>
      <c r="AE49" s="57"/>
      <c r="AF49" s="57"/>
      <c r="AG49" s="57"/>
      <c r="AH49" s="57"/>
    </row>
    <row r="50" spans="16:34" x14ac:dyDescent="0.2">
      <c r="P50" s="57"/>
      <c r="Q50" s="57"/>
      <c r="R50" s="57"/>
      <c r="S50" s="57"/>
      <c r="T50" s="57"/>
      <c r="U50" s="57"/>
      <c r="V50" s="57"/>
      <c r="W50" s="57"/>
      <c r="X50" s="57"/>
      <c r="Y50" s="57"/>
      <c r="Z50" s="57"/>
      <c r="AA50" s="57"/>
      <c r="AB50" s="57"/>
      <c r="AC50" s="57"/>
      <c r="AD50" s="57"/>
      <c r="AE50" s="57"/>
      <c r="AF50" s="57"/>
      <c r="AG50" s="57"/>
      <c r="AH50" s="57"/>
    </row>
    <row r="51" spans="16:34" x14ac:dyDescent="0.2">
      <c r="P51" s="57"/>
      <c r="Q51" s="57"/>
      <c r="R51" s="57"/>
      <c r="S51" s="57"/>
      <c r="T51" s="57"/>
      <c r="U51" s="57"/>
      <c r="V51" s="57"/>
      <c r="W51" s="57"/>
      <c r="X51" s="57"/>
      <c r="Y51" s="57"/>
      <c r="Z51" s="57"/>
      <c r="AA51" s="57"/>
      <c r="AB51" s="57"/>
      <c r="AC51" s="57"/>
      <c r="AD51" s="57"/>
      <c r="AE51" s="57"/>
      <c r="AF51" s="57"/>
      <c r="AG51" s="57"/>
      <c r="AH51" s="57"/>
    </row>
    <row r="52" spans="16:34" x14ac:dyDescent="0.2">
      <c r="P52" s="57"/>
      <c r="Q52" s="57"/>
      <c r="R52" s="57"/>
      <c r="S52" s="57"/>
      <c r="T52" s="57"/>
      <c r="U52" s="57"/>
      <c r="V52" s="57"/>
      <c r="W52" s="57"/>
      <c r="X52" s="57"/>
      <c r="Y52" s="57"/>
      <c r="Z52" s="57"/>
      <c r="AA52" s="57"/>
      <c r="AB52" s="57"/>
      <c r="AC52" s="57"/>
      <c r="AD52" s="57"/>
      <c r="AE52" s="57"/>
      <c r="AF52" s="57"/>
      <c r="AG52" s="57"/>
      <c r="AH52" s="57"/>
    </row>
    <row r="53" spans="16:34" x14ac:dyDescent="0.2">
      <c r="P53" s="57"/>
      <c r="Q53" s="57"/>
      <c r="R53" s="57"/>
      <c r="S53" s="57"/>
      <c r="T53" s="57"/>
      <c r="U53" s="57"/>
      <c r="V53" s="57"/>
      <c r="W53" s="57"/>
      <c r="X53" s="57"/>
      <c r="Y53" s="57"/>
      <c r="Z53" s="57"/>
      <c r="AA53" s="57"/>
      <c r="AB53" s="57"/>
      <c r="AC53" s="57"/>
      <c r="AD53" s="57"/>
      <c r="AE53" s="57"/>
      <c r="AF53" s="57"/>
      <c r="AG53" s="57"/>
      <c r="AH53" s="57"/>
    </row>
    <row r="54" spans="16:34" x14ac:dyDescent="0.2">
      <c r="P54" s="57"/>
      <c r="Q54" s="57"/>
      <c r="R54" s="57"/>
      <c r="S54" s="57"/>
      <c r="T54" s="57"/>
      <c r="U54" s="57"/>
      <c r="V54" s="57"/>
      <c r="W54" s="57"/>
      <c r="X54" s="57"/>
      <c r="Y54" s="57"/>
      <c r="Z54" s="57"/>
      <c r="AA54" s="57"/>
      <c r="AB54" s="57"/>
      <c r="AC54" s="57"/>
      <c r="AD54" s="57"/>
      <c r="AE54" s="57"/>
      <c r="AF54" s="57"/>
      <c r="AG54" s="57"/>
      <c r="AH54" s="57"/>
    </row>
    <row r="55" spans="16:34" x14ac:dyDescent="0.2">
      <c r="P55" s="57"/>
      <c r="Q55" s="57"/>
      <c r="R55" s="57"/>
      <c r="S55" s="57"/>
      <c r="T55" s="57"/>
      <c r="U55" s="57"/>
      <c r="V55" s="57"/>
      <c r="W55" s="57"/>
      <c r="X55" s="57"/>
      <c r="Y55" s="57"/>
      <c r="Z55" s="57"/>
      <c r="AA55" s="57"/>
      <c r="AB55" s="57"/>
      <c r="AC55" s="57"/>
      <c r="AD55" s="57"/>
      <c r="AE55" s="57"/>
      <c r="AF55" s="57"/>
      <c r="AG55" s="57"/>
      <c r="AH55" s="57"/>
    </row>
    <row r="56" spans="16:34" x14ac:dyDescent="0.2">
      <c r="P56" s="57"/>
      <c r="Q56" s="57"/>
      <c r="R56" s="57"/>
      <c r="S56" s="57"/>
      <c r="T56" s="57"/>
      <c r="U56" s="57"/>
      <c r="V56" s="57"/>
      <c r="W56" s="57"/>
      <c r="X56" s="57"/>
      <c r="Y56" s="57"/>
      <c r="Z56" s="57"/>
      <c r="AA56" s="57"/>
      <c r="AB56" s="57"/>
      <c r="AC56" s="57"/>
      <c r="AD56" s="57"/>
      <c r="AE56" s="57"/>
      <c r="AF56" s="57"/>
      <c r="AG56" s="57"/>
      <c r="AH56" s="57"/>
    </row>
    <row r="57" spans="16:34" x14ac:dyDescent="0.2">
      <c r="P57" s="57"/>
      <c r="Q57" s="57"/>
      <c r="R57" s="57"/>
      <c r="S57" s="57"/>
      <c r="T57" s="57"/>
      <c r="U57" s="57"/>
      <c r="V57" s="57"/>
      <c r="W57" s="57"/>
      <c r="X57" s="57"/>
      <c r="Y57" s="57"/>
      <c r="Z57" s="57"/>
      <c r="AA57" s="57"/>
      <c r="AB57" s="57"/>
      <c r="AC57" s="57"/>
      <c r="AD57" s="57"/>
      <c r="AE57" s="57"/>
      <c r="AF57" s="57"/>
      <c r="AG57" s="57"/>
      <c r="AH57" s="57"/>
    </row>
    <row r="58" spans="16:34" x14ac:dyDescent="0.2">
      <c r="P58" s="57"/>
      <c r="Q58" s="57"/>
      <c r="R58" s="57"/>
      <c r="S58" s="57"/>
      <c r="T58" s="57"/>
      <c r="U58" s="57"/>
      <c r="V58" s="57"/>
      <c r="W58" s="57"/>
      <c r="X58" s="57"/>
      <c r="Y58" s="57"/>
      <c r="Z58" s="57"/>
      <c r="AA58" s="57"/>
      <c r="AB58" s="57"/>
      <c r="AC58" s="57"/>
      <c r="AD58" s="57"/>
      <c r="AE58" s="57"/>
      <c r="AF58" s="57"/>
      <c r="AG58" s="57"/>
      <c r="AH58" s="57"/>
    </row>
    <row r="59" spans="16:34" x14ac:dyDescent="0.2">
      <c r="P59" s="57"/>
      <c r="Q59" s="57"/>
      <c r="R59" s="57"/>
      <c r="S59" s="57"/>
      <c r="T59" s="57"/>
      <c r="U59" s="57"/>
      <c r="V59" s="57"/>
      <c r="W59" s="57"/>
      <c r="X59" s="57"/>
      <c r="Y59" s="57"/>
      <c r="Z59" s="57"/>
      <c r="AA59" s="57"/>
      <c r="AB59" s="57"/>
      <c r="AC59" s="57"/>
      <c r="AD59" s="57"/>
      <c r="AE59" s="57"/>
      <c r="AF59" s="57"/>
      <c r="AG59" s="57"/>
      <c r="AH59" s="57"/>
    </row>
    <row r="60" spans="16:34" x14ac:dyDescent="0.2">
      <c r="P60" s="57"/>
      <c r="Q60" s="57"/>
      <c r="R60" s="57"/>
      <c r="S60" s="57"/>
      <c r="T60" s="57"/>
      <c r="U60" s="57"/>
      <c r="V60" s="57"/>
      <c r="W60" s="57"/>
      <c r="X60" s="57"/>
      <c r="Y60" s="57"/>
      <c r="Z60" s="57"/>
      <c r="AA60" s="57"/>
      <c r="AB60" s="57"/>
      <c r="AC60" s="57"/>
      <c r="AD60" s="57"/>
      <c r="AE60" s="57"/>
      <c r="AF60" s="57"/>
      <c r="AG60" s="57"/>
      <c r="AH60" s="57"/>
    </row>
    <row r="61" spans="16:34" x14ac:dyDescent="0.2">
      <c r="P61" s="57"/>
      <c r="Q61" s="57"/>
      <c r="R61" s="57"/>
      <c r="S61" s="57"/>
      <c r="T61" s="57"/>
      <c r="U61" s="57"/>
      <c r="V61" s="57"/>
      <c r="W61" s="57"/>
      <c r="X61" s="57"/>
      <c r="Y61" s="57"/>
      <c r="Z61" s="57"/>
      <c r="AA61" s="57"/>
      <c r="AB61" s="57"/>
      <c r="AC61" s="57"/>
      <c r="AD61" s="57"/>
      <c r="AE61" s="57"/>
      <c r="AF61" s="57"/>
      <c r="AG61" s="57"/>
      <c r="AH61" s="57"/>
    </row>
    <row r="62" spans="16:34" x14ac:dyDescent="0.2">
      <c r="P62" s="57"/>
      <c r="Q62" s="57"/>
      <c r="R62" s="57"/>
      <c r="S62" s="57"/>
      <c r="T62" s="57"/>
      <c r="U62" s="57"/>
      <c r="V62" s="57"/>
      <c r="W62" s="57"/>
      <c r="X62" s="57"/>
      <c r="Y62" s="57"/>
      <c r="Z62" s="57"/>
      <c r="AA62" s="57"/>
      <c r="AB62" s="57"/>
      <c r="AC62" s="57"/>
      <c r="AD62" s="57"/>
      <c r="AE62" s="57"/>
      <c r="AF62" s="57"/>
      <c r="AG62" s="57"/>
      <c r="AH62" s="57"/>
    </row>
    <row r="63" spans="16:34" x14ac:dyDescent="0.2">
      <c r="P63" s="57"/>
      <c r="Q63" s="57"/>
      <c r="R63" s="57"/>
      <c r="S63" s="57"/>
      <c r="T63" s="57"/>
      <c r="U63" s="57"/>
      <c r="V63" s="57"/>
      <c r="W63" s="57"/>
      <c r="X63" s="57"/>
      <c r="Y63" s="57"/>
      <c r="Z63" s="57"/>
      <c r="AA63" s="57"/>
      <c r="AB63" s="57"/>
      <c r="AC63" s="57"/>
      <c r="AD63" s="57"/>
      <c r="AE63" s="57"/>
      <c r="AF63" s="57"/>
      <c r="AG63" s="57"/>
      <c r="AH63" s="57"/>
    </row>
    <row r="64" spans="16:34" x14ac:dyDescent="0.2">
      <c r="P64" s="57"/>
      <c r="Q64" s="57"/>
      <c r="R64" s="57"/>
      <c r="S64" s="57"/>
      <c r="T64" s="57"/>
      <c r="U64" s="57"/>
      <c r="V64" s="57"/>
      <c r="W64" s="57"/>
      <c r="X64" s="57"/>
      <c r="Y64" s="57"/>
      <c r="Z64" s="57"/>
      <c r="AA64" s="57"/>
      <c r="AB64" s="57"/>
      <c r="AC64" s="57"/>
      <c r="AD64" s="57"/>
      <c r="AE64" s="57"/>
      <c r="AF64" s="57"/>
      <c r="AG64" s="57"/>
      <c r="AH64" s="57"/>
    </row>
    <row r="65" spans="16:34" x14ac:dyDescent="0.2">
      <c r="P65" s="57"/>
      <c r="Q65" s="57"/>
      <c r="R65" s="57"/>
      <c r="S65" s="57"/>
      <c r="T65" s="57"/>
      <c r="U65" s="57"/>
      <c r="V65" s="57"/>
      <c r="W65" s="57"/>
      <c r="X65" s="57"/>
      <c r="Y65" s="57"/>
      <c r="Z65" s="57"/>
      <c r="AA65" s="57"/>
      <c r="AB65" s="57"/>
      <c r="AC65" s="57"/>
      <c r="AD65" s="57"/>
      <c r="AE65" s="57"/>
      <c r="AF65" s="57"/>
      <c r="AG65" s="57"/>
      <c r="AH65" s="57"/>
    </row>
    <row r="66" spans="16:34" x14ac:dyDescent="0.2">
      <c r="P66" s="57"/>
      <c r="Q66" s="57"/>
      <c r="R66" s="57"/>
      <c r="S66" s="57"/>
      <c r="T66" s="57"/>
      <c r="U66" s="57"/>
      <c r="V66" s="57"/>
      <c r="W66" s="57"/>
      <c r="X66" s="57"/>
      <c r="Y66" s="57"/>
      <c r="Z66" s="57"/>
      <c r="AA66" s="57"/>
      <c r="AB66" s="57"/>
      <c r="AC66" s="57"/>
      <c r="AD66" s="57"/>
      <c r="AE66" s="57"/>
      <c r="AF66" s="57"/>
      <c r="AG66" s="57"/>
      <c r="AH66" s="57"/>
    </row>
    <row r="67" spans="16:34" x14ac:dyDescent="0.2">
      <c r="P67" s="57"/>
      <c r="Q67" s="57"/>
      <c r="R67" s="57"/>
      <c r="S67" s="57"/>
      <c r="T67" s="57"/>
      <c r="U67" s="57"/>
      <c r="V67" s="57"/>
      <c r="W67" s="57"/>
      <c r="X67" s="57"/>
      <c r="Y67" s="57"/>
      <c r="Z67" s="57"/>
      <c r="AA67" s="57"/>
      <c r="AB67" s="57"/>
      <c r="AC67" s="57"/>
      <c r="AD67" s="57"/>
      <c r="AE67" s="57"/>
      <c r="AF67" s="57"/>
      <c r="AG67" s="57"/>
      <c r="AH67" s="57"/>
    </row>
    <row r="68" spans="16:34" x14ac:dyDescent="0.2">
      <c r="P68" s="57"/>
      <c r="Q68" s="57"/>
      <c r="R68" s="57"/>
      <c r="S68" s="57"/>
      <c r="T68" s="57"/>
      <c r="U68" s="57"/>
      <c r="V68" s="57"/>
      <c r="W68" s="57"/>
      <c r="X68" s="57"/>
      <c r="Y68" s="57"/>
      <c r="Z68" s="57"/>
      <c r="AA68" s="57"/>
      <c r="AB68" s="57"/>
      <c r="AC68" s="57"/>
      <c r="AD68" s="57"/>
      <c r="AE68" s="57"/>
      <c r="AF68" s="57"/>
      <c r="AG68" s="57"/>
      <c r="AH68" s="57"/>
    </row>
    <row r="69" spans="16:34" x14ac:dyDescent="0.2">
      <c r="P69" s="57"/>
      <c r="Q69" s="57"/>
      <c r="R69" s="57"/>
      <c r="S69" s="57"/>
      <c r="T69" s="57"/>
      <c r="U69" s="57"/>
      <c r="V69" s="57"/>
      <c r="W69" s="57"/>
      <c r="X69" s="57"/>
      <c r="Y69" s="57"/>
      <c r="Z69" s="57"/>
      <c r="AA69" s="57"/>
      <c r="AB69" s="57"/>
      <c r="AC69" s="57"/>
      <c r="AD69" s="57"/>
      <c r="AE69" s="57"/>
      <c r="AF69" s="57"/>
      <c r="AG69" s="57"/>
      <c r="AH69" s="57"/>
    </row>
    <row r="70" spans="16:34" x14ac:dyDescent="0.2">
      <c r="P70" s="57"/>
      <c r="Q70" s="57"/>
      <c r="R70" s="57"/>
      <c r="S70" s="57"/>
      <c r="T70" s="57"/>
      <c r="U70" s="57"/>
      <c r="V70" s="57"/>
      <c r="W70" s="57"/>
      <c r="X70" s="57"/>
      <c r="Y70" s="57"/>
      <c r="Z70" s="57"/>
      <c r="AA70" s="57"/>
      <c r="AB70" s="57"/>
      <c r="AC70" s="57"/>
      <c r="AD70" s="57"/>
      <c r="AE70" s="57"/>
      <c r="AF70" s="57"/>
      <c r="AG70" s="57"/>
      <c r="AH70" s="57"/>
    </row>
    <row r="71" spans="16:34" x14ac:dyDescent="0.2">
      <c r="P71" s="57"/>
      <c r="Q71" s="57"/>
      <c r="R71" s="57"/>
      <c r="S71" s="57"/>
      <c r="T71" s="57"/>
      <c r="U71" s="57"/>
      <c r="V71" s="57"/>
      <c r="W71" s="57"/>
      <c r="X71" s="57"/>
      <c r="Y71" s="57"/>
      <c r="Z71" s="57"/>
      <c r="AA71" s="57"/>
      <c r="AB71" s="57"/>
      <c r="AC71" s="57"/>
      <c r="AD71" s="57"/>
      <c r="AE71" s="57"/>
      <c r="AF71" s="57"/>
      <c r="AG71" s="57"/>
      <c r="AH71" s="57"/>
    </row>
    <row r="72" spans="16:34" x14ac:dyDescent="0.2">
      <c r="P72" s="57"/>
      <c r="Q72" s="57"/>
      <c r="R72" s="57"/>
      <c r="S72" s="57"/>
      <c r="T72" s="57"/>
      <c r="U72" s="57"/>
      <c r="V72" s="57"/>
      <c r="W72" s="57"/>
      <c r="X72" s="57"/>
      <c r="Y72" s="57"/>
      <c r="Z72" s="57"/>
      <c r="AA72" s="57"/>
      <c r="AB72" s="57"/>
      <c r="AC72" s="57"/>
      <c r="AD72" s="57"/>
      <c r="AE72" s="57"/>
      <c r="AF72" s="57"/>
      <c r="AG72" s="57"/>
      <c r="AH72" s="57"/>
    </row>
    <row r="73" spans="16:34" x14ac:dyDescent="0.2">
      <c r="P73" s="57"/>
      <c r="Q73" s="57"/>
      <c r="R73" s="57"/>
      <c r="S73" s="57"/>
      <c r="T73" s="57"/>
      <c r="U73" s="57"/>
      <c r="V73" s="57"/>
      <c r="W73" s="57"/>
      <c r="X73" s="57"/>
      <c r="Y73" s="57"/>
      <c r="Z73" s="57"/>
      <c r="AA73" s="57"/>
      <c r="AB73" s="57"/>
      <c r="AC73" s="57"/>
      <c r="AD73" s="57"/>
      <c r="AE73" s="57"/>
      <c r="AF73" s="57"/>
      <c r="AG73" s="57"/>
      <c r="AH73" s="57"/>
    </row>
    <row r="74" spans="16:34" x14ac:dyDescent="0.2">
      <c r="P74" s="57"/>
      <c r="Q74" s="57"/>
      <c r="R74" s="57"/>
      <c r="S74" s="57"/>
      <c r="T74" s="57"/>
      <c r="U74" s="57"/>
      <c r="V74" s="57"/>
      <c r="W74" s="57"/>
      <c r="X74" s="57"/>
      <c r="Y74" s="57"/>
      <c r="Z74" s="57"/>
      <c r="AA74" s="57"/>
      <c r="AB74" s="57"/>
      <c r="AC74" s="57"/>
      <c r="AD74" s="57"/>
      <c r="AE74" s="57"/>
      <c r="AF74" s="57"/>
      <c r="AG74" s="57"/>
      <c r="AH74" s="57"/>
    </row>
    <row r="75" spans="16:34" x14ac:dyDescent="0.2">
      <c r="P75" s="57"/>
      <c r="Q75" s="57"/>
      <c r="R75" s="57"/>
      <c r="S75" s="57"/>
      <c r="T75" s="57"/>
      <c r="U75" s="57"/>
      <c r="V75" s="57"/>
      <c r="W75" s="57"/>
      <c r="X75" s="57"/>
      <c r="Y75" s="57"/>
      <c r="Z75" s="57"/>
      <c r="AA75" s="57"/>
      <c r="AB75" s="57"/>
      <c r="AC75" s="57"/>
      <c r="AD75" s="57"/>
      <c r="AE75" s="57"/>
      <c r="AF75" s="57"/>
      <c r="AG75" s="57"/>
      <c r="AH75" s="57"/>
    </row>
    <row r="76" spans="16:34" x14ac:dyDescent="0.2">
      <c r="P76" s="57"/>
      <c r="Q76" s="57"/>
      <c r="R76" s="57"/>
      <c r="S76" s="57"/>
      <c r="T76" s="57"/>
      <c r="U76" s="57"/>
      <c r="V76" s="57"/>
      <c r="W76" s="57"/>
      <c r="X76" s="57"/>
      <c r="Y76" s="57"/>
      <c r="Z76" s="57"/>
      <c r="AA76" s="57"/>
      <c r="AB76" s="57"/>
      <c r="AC76" s="57"/>
      <c r="AD76" s="57"/>
      <c r="AE76" s="57"/>
      <c r="AF76" s="57"/>
      <c r="AG76" s="57"/>
      <c r="AH76" s="57"/>
    </row>
    <row r="77" spans="16:34" x14ac:dyDescent="0.2">
      <c r="P77" s="57"/>
      <c r="Q77" s="57"/>
      <c r="R77" s="57"/>
      <c r="S77" s="57"/>
      <c r="T77" s="57"/>
      <c r="U77" s="57"/>
      <c r="V77" s="57"/>
      <c r="W77" s="57"/>
      <c r="X77" s="57"/>
      <c r="Y77" s="57"/>
      <c r="Z77" s="57"/>
      <c r="AA77" s="57"/>
      <c r="AB77" s="57"/>
      <c r="AC77" s="57"/>
      <c r="AD77" s="57"/>
      <c r="AE77" s="57"/>
      <c r="AF77" s="57"/>
      <c r="AG77" s="57"/>
      <c r="AH77" s="57"/>
    </row>
    <row r="78" spans="16:34" x14ac:dyDescent="0.2">
      <c r="P78" s="57"/>
      <c r="Q78" s="57"/>
      <c r="R78" s="57"/>
      <c r="S78" s="57"/>
      <c r="T78" s="57"/>
      <c r="U78" s="57"/>
      <c r="V78" s="57"/>
      <c r="W78" s="57"/>
      <c r="X78" s="57"/>
      <c r="Y78" s="57"/>
      <c r="Z78" s="57"/>
      <c r="AA78" s="57"/>
      <c r="AB78" s="57"/>
      <c r="AC78" s="57"/>
      <c r="AD78" s="57"/>
      <c r="AE78" s="57"/>
      <c r="AF78" s="57"/>
      <c r="AG78" s="57"/>
      <c r="AH78" s="57"/>
    </row>
    <row r="79" spans="16:34" x14ac:dyDescent="0.2">
      <c r="P79" s="57"/>
      <c r="Q79" s="57"/>
      <c r="R79" s="57"/>
      <c r="S79" s="57"/>
      <c r="T79" s="57"/>
      <c r="U79" s="57"/>
      <c r="V79" s="57"/>
      <c r="W79" s="57"/>
      <c r="X79" s="57"/>
      <c r="Y79" s="57"/>
      <c r="Z79" s="57"/>
      <c r="AA79" s="57"/>
      <c r="AB79" s="57"/>
      <c r="AC79" s="57"/>
      <c r="AD79" s="57"/>
      <c r="AE79" s="57"/>
      <c r="AF79" s="57"/>
      <c r="AG79" s="57"/>
      <c r="AH79" s="57"/>
    </row>
    <row r="80" spans="16:34" x14ac:dyDescent="0.2">
      <c r="P80" s="57"/>
      <c r="Q80" s="57"/>
      <c r="R80" s="57"/>
      <c r="S80" s="57"/>
      <c r="T80" s="57"/>
      <c r="U80" s="57"/>
      <c r="V80" s="57"/>
      <c r="W80" s="57"/>
      <c r="X80" s="57"/>
      <c r="Y80" s="57"/>
      <c r="Z80" s="57"/>
      <c r="AA80" s="57"/>
      <c r="AB80" s="57"/>
      <c r="AC80" s="57"/>
      <c r="AD80" s="57"/>
      <c r="AE80" s="57"/>
      <c r="AF80" s="57"/>
      <c r="AG80" s="57"/>
      <c r="AH80" s="57"/>
    </row>
    <row r="81" spans="16:34" x14ac:dyDescent="0.2">
      <c r="P81" s="57"/>
      <c r="Q81" s="57"/>
      <c r="R81" s="57"/>
      <c r="S81" s="57"/>
      <c r="T81" s="57"/>
      <c r="U81" s="57"/>
      <c r="V81" s="57"/>
      <c r="W81" s="57"/>
      <c r="X81" s="57"/>
      <c r="Y81" s="57"/>
      <c r="Z81" s="57"/>
      <c r="AA81" s="57"/>
      <c r="AB81" s="57"/>
      <c r="AC81" s="57"/>
      <c r="AD81" s="57"/>
      <c r="AE81" s="57"/>
      <c r="AF81" s="57"/>
      <c r="AG81" s="57"/>
      <c r="AH81" s="57"/>
    </row>
    <row r="82" spans="16:34" x14ac:dyDescent="0.2">
      <c r="P82" s="57"/>
      <c r="Q82" s="57"/>
      <c r="R82" s="57"/>
      <c r="S82" s="57"/>
      <c r="T82" s="57"/>
      <c r="U82" s="57"/>
      <c r="V82" s="57"/>
      <c r="W82" s="57"/>
      <c r="X82" s="57"/>
      <c r="Y82" s="57"/>
      <c r="Z82" s="57"/>
      <c r="AA82" s="57"/>
      <c r="AB82" s="57"/>
      <c r="AC82" s="57"/>
      <c r="AD82" s="57"/>
      <c r="AE82" s="57"/>
      <c r="AF82" s="57"/>
      <c r="AG82" s="57"/>
      <c r="AH82" s="57"/>
    </row>
    <row r="83" spans="16:34" x14ac:dyDescent="0.2">
      <c r="P83" s="57"/>
      <c r="Q83" s="57"/>
      <c r="R83" s="57"/>
      <c r="S83" s="57"/>
      <c r="T83" s="57"/>
      <c r="U83" s="57"/>
      <c r="V83" s="57"/>
      <c r="W83" s="57"/>
      <c r="X83" s="57"/>
      <c r="Y83" s="57"/>
      <c r="Z83" s="57"/>
      <c r="AA83" s="57"/>
      <c r="AB83" s="57"/>
      <c r="AC83" s="57"/>
      <c r="AD83" s="57"/>
      <c r="AE83" s="57"/>
      <c r="AF83" s="57"/>
      <c r="AG83" s="57"/>
      <c r="AH83" s="57"/>
    </row>
    <row r="84" spans="16:34" x14ac:dyDescent="0.2">
      <c r="P84" s="57"/>
      <c r="Q84" s="57"/>
      <c r="R84" s="57"/>
      <c r="S84" s="57"/>
      <c r="T84" s="57"/>
      <c r="U84" s="57"/>
      <c r="V84" s="57"/>
      <c r="W84" s="57"/>
      <c r="X84" s="57"/>
      <c r="Y84" s="57"/>
      <c r="Z84" s="57"/>
      <c r="AA84" s="57"/>
      <c r="AB84" s="57"/>
      <c r="AC84" s="57"/>
      <c r="AD84" s="57"/>
      <c r="AE84" s="57"/>
      <c r="AF84" s="57"/>
      <c r="AG84" s="57"/>
      <c r="AH84" s="57"/>
    </row>
    <row r="85" spans="16:34" x14ac:dyDescent="0.2">
      <c r="P85" s="57"/>
      <c r="Q85" s="57"/>
      <c r="R85" s="57"/>
      <c r="S85" s="57"/>
      <c r="T85" s="57"/>
      <c r="U85" s="57"/>
      <c r="V85" s="57"/>
      <c r="W85" s="57"/>
      <c r="X85" s="57"/>
      <c r="Y85" s="57"/>
      <c r="Z85" s="57"/>
      <c r="AA85" s="57"/>
      <c r="AB85" s="57"/>
      <c r="AC85" s="57"/>
      <c r="AD85" s="57"/>
      <c r="AE85" s="57"/>
      <c r="AF85" s="57"/>
      <c r="AG85" s="57"/>
      <c r="AH85" s="57"/>
    </row>
    <row r="86" spans="16:34" x14ac:dyDescent="0.2">
      <c r="P86" s="57"/>
      <c r="Q86" s="57"/>
      <c r="R86" s="57"/>
      <c r="S86" s="57"/>
      <c r="T86" s="57"/>
      <c r="U86" s="57"/>
      <c r="V86" s="57"/>
      <c r="W86" s="57"/>
      <c r="X86" s="57"/>
      <c r="Y86" s="57"/>
      <c r="Z86" s="57"/>
      <c r="AA86" s="57"/>
      <c r="AB86" s="57"/>
      <c r="AC86" s="57"/>
      <c r="AD86" s="57"/>
      <c r="AE86" s="57"/>
      <c r="AF86" s="57"/>
      <c r="AG86" s="57"/>
      <c r="AH86" s="57"/>
    </row>
    <row r="87" spans="16:34" x14ac:dyDescent="0.2">
      <c r="P87" s="57"/>
      <c r="Q87" s="57"/>
      <c r="R87" s="57"/>
      <c r="S87" s="57"/>
      <c r="T87" s="57"/>
      <c r="U87" s="57"/>
      <c r="V87" s="57"/>
      <c r="W87" s="57"/>
      <c r="X87" s="57"/>
      <c r="Y87" s="57"/>
      <c r="Z87" s="57"/>
      <c r="AA87" s="57"/>
      <c r="AB87" s="57"/>
      <c r="AC87" s="57"/>
      <c r="AD87" s="57"/>
      <c r="AE87" s="57"/>
      <c r="AF87" s="57"/>
      <c r="AG87" s="57"/>
      <c r="AH87" s="57"/>
    </row>
    <row r="88" spans="16:34" x14ac:dyDescent="0.2">
      <c r="P88" s="57"/>
      <c r="Q88" s="57"/>
      <c r="R88" s="57"/>
      <c r="S88" s="57"/>
      <c r="T88" s="57"/>
      <c r="U88" s="57"/>
      <c r="V88" s="57"/>
      <c r="W88" s="57"/>
      <c r="X88" s="57"/>
      <c r="Y88" s="57"/>
      <c r="Z88" s="57"/>
      <c r="AA88" s="57"/>
      <c r="AB88" s="57"/>
      <c r="AC88" s="57"/>
      <c r="AD88" s="57"/>
      <c r="AE88" s="57"/>
      <c r="AF88" s="57"/>
      <c r="AG88" s="57"/>
      <c r="AH88" s="57"/>
    </row>
    <row r="89" spans="16:34" x14ac:dyDescent="0.2">
      <c r="P89" s="57"/>
      <c r="Q89" s="57"/>
      <c r="R89" s="57"/>
      <c r="S89" s="57"/>
      <c r="T89" s="57"/>
      <c r="U89" s="57"/>
      <c r="V89" s="57"/>
      <c r="W89" s="57"/>
      <c r="X89" s="57"/>
      <c r="Y89" s="57"/>
      <c r="Z89" s="57"/>
      <c r="AA89" s="57"/>
      <c r="AB89" s="57"/>
      <c r="AC89" s="57"/>
      <c r="AD89" s="57"/>
      <c r="AE89" s="57"/>
      <c r="AF89" s="57"/>
      <c r="AG89" s="57"/>
      <c r="AH89" s="57"/>
    </row>
    <row r="90" spans="16:34" x14ac:dyDescent="0.2">
      <c r="P90" s="57"/>
      <c r="Q90" s="57"/>
      <c r="R90" s="57"/>
      <c r="S90" s="57"/>
      <c r="T90" s="57"/>
      <c r="U90" s="57"/>
      <c r="V90" s="57"/>
      <c r="W90" s="57"/>
      <c r="X90" s="57"/>
      <c r="Y90" s="57"/>
      <c r="Z90" s="57"/>
      <c r="AA90" s="57"/>
      <c r="AB90" s="57"/>
      <c r="AC90" s="57"/>
      <c r="AD90" s="57"/>
      <c r="AE90" s="57"/>
      <c r="AF90" s="57"/>
      <c r="AG90" s="57"/>
      <c r="AH90" s="57"/>
    </row>
    <row r="91" spans="16:34" x14ac:dyDescent="0.2">
      <c r="P91" s="57"/>
      <c r="Q91" s="57"/>
      <c r="R91" s="57"/>
      <c r="S91" s="57"/>
      <c r="T91" s="57"/>
      <c r="U91" s="57"/>
      <c r="V91" s="57"/>
      <c r="W91" s="57"/>
      <c r="X91" s="57"/>
      <c r="Y91" s="57"/>
      <c r="Z91" s="57"/>
      <c r="AA91" s="57"/>
      <c r="AB91" s="57"/>
      <c r="AC91" s="57"/>
      <c r="AD91" s="57"/>
      <c r="AE91" s="57"/>
      <c r="AF91" s="57"/>
      <c r="AG91" s="57"/>
      <c r="AH91" s="57"/>
    </row>
    <row r="92" spans="16:34" x14ac:dyDescent="0.2">
      <c r="P92" s="57"/>
      <c r="Q92" s="57"/>
      <c r="R92" s="57"/>
      <c r="S92" s="57"/>
      <c r="T92" s="57"/>
      <c r="U92" s="57"/>
      <c r="V92" s="57"/>
      <c r="W92" s="57"/>
      <c r="X92" s="57"/>
      <c r="Y92" s="57"/>
      <c r="Z92" s="57"/>
      <c r="AA92" s="57"/>
      <c r="AB92" s="57"/>
      <c r="AC92" s="57"/>
      <c r="AD92" s="57"/>
      <c r="AE92" s="57"/>
      <c r="AF92" s="57"/>
      <c r="AG92" s="57"/>
      <c r="AH92" s="57"/>
    </row>
    <row r="93" spans="16:34" x14ac:dyDescent="0.2">
      <c r="P93" s="57"/>
      <c r="Q93" s="57"/>
      <c r="R93" s="57"/>
      <c r="S93" s="57"/>
      <c r="T93" s="57"/>
      <c r="U93" s="57"/>
      <c r="V93" s="57"/>
      <c r="W93" s="57"/>
      <c r="X93" s="57"/>
      <c r="Y93" s="57"/>
      <c r="Z93" s="57"/>
      <c r="AA93" s="57"/>
      <c r="AB93" s="57"/>
      <c r="AC93" s="57"/>
      <c r="AD93" s="57"/>
      <c r="AE93" s="57"/>
      <c r="AF93" s="57"/>
      <c r="AG93" s="57"/>
      <c r="AH93" s="57"/>
    </row>
    <row r="94" spans="16:34" x14ac:dyDescent="0.2">
      <c r="P94" s="57"/>
      <c r="Q94" s="57"/>
      <c r="R94" s="57"/>
      <c r="S94" s="57"/>
      <c r="T94" s="57"/>
      <c r="U94" s="57"/>
      <c r="V94" s="57"/>
      <c r="W94" s="57"/>
      <c r="X94" s="57"/>
      <c r="Y94" s="57"/>
      <c r="Z94" s="57"/>
      <c r="AA94" s="57"/>
      <c r="AB94" s="57"/>
      <c r="AC94" s="57"/>
      <c r="AD94" s="57"/>
      <c r="AE94" s="57"/>
      <c r="AF94" s="57"/>
      <c r="AG94" s="57"/>
      <c r="AH94" s="57"/>
    </row>
    <row r="95" spans="16:34" x14ac:dyDescent="0.2">
      <c r="P95" s="57"/>
      <c r="Q95" s="57"/>
      <c r="R95" s="57"/>
      <c r="S95" s="57"/>
      <c r="T95" s="57"/>
      <c r="U95" s="57"/>
      <c r="V95" s="57"/>
      <c r="W95" s="57"/>
      <c r="X95" s="57"/>
      <c r="Y95" s="57"/>
      <c r="Z95" s="57"/>
      <c r="AA95" s="57"/>
      <c r="AB95" s="57"/>
      <c r="AC95" s="57"/>
      <c r="AD95" s="57"/>
      <c r="AE95" s="57"/>
      <c r="AF95" s="57"/>
      <c r="AG95" s="57"/>
      <c r="AH95" s="57"/>
    </row>
    <row r="96" spans="16:34" x14ac:dyDescent="0.2">
      <c r="P96" s="57"/>
      <c r="Q96" s="57"/>
      <c r="R96" s="57"/>
      <c r="S96" s="57"/>
      <c r="T96" s="57"/>
      <c r="U96" s="57"/>
      <c r="V96" s="57"/>
      <c r="W96" s="57"/>
      <c r="X96" s="57"/>
      <c r="Y96" s="57"/>
      <c r="Z96" s="57"/>
      <c r="AA96" s="57"/>
      <c r="AB96" s="57"/>
      <c r="AC96" s="57"/>
      <c r="AD96" s="57"/>
      <c r="AE96" s="57"/>
      <c r="AF96" s="57"/>
      <c r="AG96" s="57"/>
      <c r="AH96" s="57"/>
    </row>
  </sheetData>
  <mergeCells count="12">
    <mergeCell ref="E6:F6"/>
    <mergeCell ref="I6:J6"/>
    <mergeCell ref="M6:N6"/>
    <mergeCell ref="B1:N1"/>
    <mergeCell ref="B3:N3"/>
    <mergeCell ref="B4:N4"/>
    <mergeCell ref="B2:N2"/>
    <mergeCell ref="K5:N5"/>
    <mergeCell ref="B5:B6"/>
    <mergeCell ref="C5:F5"/>
    <mergeCell ref="G5:J5"/>
    <mergeCell ref="C6:D6"/>
  </mergeCells>
  <phoneticPr fontId="2" type="noConversion"/>
  <printOptions horizontalCentered="1" verticalCentered="1"/>
  <pageMargins left="0.78740157480314965" right="0.78740157480314965" top="0.78740157480314965" bottom="0.78740157480314965" header="0.51181102362204722" footer="0.51181102362204722"/>
  <pageSetup paperSize="9" scale="7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Z100"/>
  <sheetViews>
    <sheetView showGridLines="0" tabSelected="1" view="pageBreakPreview" zoomScale="50" zoomScaleNormal="100" zoomScaleSheetLayoutView="50" workbookViewId="0">
      <selection activeCell="I2" sqref="I2"/>
    </sheetView>
  </sheetViews>
  <sheetFormatPr baseColWidth="10" defaultColWidth="11.42578125" defaultRowHeight="14.25" x14ac:dyDescent="0.2"/>
  <cols>
    <col min="1" max="1" width="6" style="97" customWidth="1"/>
    <col min="2" max="2" width="18.5703125" style="136" customWidth="1"/>
    <col min="3" max="3" width="9.7109375" style="97" customWidth="1"/>
    <col min="4" max="4" width="2.28515625" style="97" customWidth="1"/>
    <col min="5" max="5" width="11.28515625" style="97" customWidth="1"/>
    <col min="6" max="6" width="2.5703125" style="97" customWidth="1"/>
    <col min="7" max="7" width="14.28515625" style="97" customWidth="1"/>
    <col min="8" max="8" width="2.5703125" style="97" customWidth="1"/>
    <col min="9" max="9" width="9.7109375" style="97" customWidth="1"/>
    <col min="10" max="10" width="2.5703125" style="97" customWidth="1"/>
    <col min="11" max="11" width="10.7109375" style="97" bestFit="1" customWidth="1"/>
    <col min="12" max="12" width="2.5703125" style="97" customWidth="1"/>
    <col min="13" max="13" width="13.42578125" style="97" bestFit="1" customWidth="1"/>
    <col min="14" max="14" width="2.5703125" style="97" customWidth="1"/>
    <col min="15" max="15" width="9.7109375" style="97" customWidth="1"/>
    <col min="16" max="16" width="2.5703125" style="97" customWidth="1"/>
    <col min="17" max="17" width="12.85546875" style="97" customWidth="1"/>
    <col min="18" max="18" width="2.5703125" style="97" customWidth="1"/>
    <col min="19" max="19" width="18" style="97" customWidth="1"/>
    <col min="20" max="20" width="2.5703125" style="97" customWidth="1"/>
    <col min="21" max="21" width="9.7109375" style="97" customWidth="1"/>
    <col min="22" max="22" width="2.5703125" style="97" customWidth="1"/>
    <col min="23" max="23" width="9.7109375" style="97" customWidth="1"/>
    <col min="24" max="24" width="2.5703125" style="97" customWidth="1"/>
    <col min="25" max="25" width="14" style="97" customWidth="1"/>
    <col min="26" max="26" width="2.5703125" style="97" customWidth="1"/>
    <col min="27" max="27" width="9.7109375" style="97" customWidth="1"/>
    <col min="28" max="28" width="2.5703125" style="97" customWidth="1"/>
    <col min="29" max="29" width="9.7109375" style="97" customWidth="1"/>
    <col min="30" max="30" width="2.5703125" style="97" customWidth="1"/>
    <col min="31" max="31" width="12.28515625" style="97" customWidth="1"/>
    <col min="32" max="32" width="2.5703125" style="97" customWidth="1"/>
    <col min="33" max="33" width="9.7109375" style="97" customWidth="1"/>
    <col min="34" max="34" width="2.5703125" style="97" customWidth="1"/>
    <col min="35" max="35" width="11.28515625" style="97" customWidth="1"/>
    <col min="36" max="36" width="2.5703125" style="97" customWidth="1"/>
    <col min="37" max="37" width="13.5703125" style="97" customWidth="1"/>
    <col min="38" max="38" width="2.5703125" style="97" customWidth="1"/>
    <col min="39" max="39" width="9.7109375" style="97" customWidth="1"/>
    <col min="40" max="40" width="2.5703125" style="97" customWidth="1"/>
    <col min="41" max="41" width="10.7109375" style="97" customWidth="1"/>
    <col min="42" max="42" width="2.5703125" style="97" customWidth="1"/>
    <col min="43" max="43" width="13.28515625" style="97" customWidth="1"/>
    <col min="44" max="44" width="3.7109375" style="97" customWidth="1"/>
    <col min="45" max="45" width="10.28515625" style="97" customWidth="1"/>
    <col min="46" max="46" width="2.7109375" style="97" customWidth="1"/>
    <col min="47" max="47" width="12.42578125" style="97" customWidth="1"/>
    <col min="48" max="48" width="2.7109375" style="97" customWidth="1"/>
    <col min="49" max="49" width="13.7109375" style="97" customWidth="1"/>
    <col min="50" max="50" width="2.7109375" style="97" customWidth="1"/>
    <col min="51" max="51" width="3" style="97" customWidth="1"/>
    <col min="52" max="52" width="9.7109375" style="97" customWidth="1"/>
    <col min="53" max="62" width="13.7109375" style="97" customWidth="1"/>
    <col min="63" max="16384" width="11.42578125" style="97"/>
  </cols>
  <sheetData>
    <row r="1" spans="2:286" s="49" customFormat="1" ht="35.1" customHeight="1" x14ac:dyDescent="0.2">
      <c r="B1" s="891" t="s">
        <v>38</v>
      </c>
      <c r="C1" s="891"/>
      <c r="D1" s="891"/>
      <c r="E1" s="891"/>
      <c r="F1" s="891"/>
      <c r="G1" s="891"/>
      <c r="H1" s="891"/>
      <c r="I1" s="891"/>
      <c r="J1" s="891"/>
      <c r="K1" s="891"/>
      <c r="L1" s="891"/>
      <c r="M1" s="891"/>
      <c r="N1" s="891"/>
      <c r="O1" s="891"/>
      <c r="P1" s="891"/>
      <c r="Q1" s="891"/>
      <c r="R1" s="891"/>
      <c r="S1" s="891"/>
      <c r="T1" s="891"/>
      <c r="U1" s="891"/>
      <c r="V1" s="891"/>
      <c r="W1" s="891"/>
      <c r="X1" s="891"/>
      <c r="Y1" s="891"/>
      <c r="Z1" s="891"/>
      <c r="AA1" s="891"/>
      <c r="AB1" s="891"/>
      <c r="AC1" s="891"/>
      <c r="AD1" s="891"/>
      <c r="AE1" s="891"/>
      <c r="AF1" s="891"/>
      <c r="AG1" s="891"/>
      <c r="AH1" s="891"/>
      <c r="AI1" s="891"/>
      <c r="AJ1" s="891"/>
      <c r="AK1" s="891"/>
      <c r="AL1" s="891"/>
      <c r="AM1" s="891"/>
      <c r="AN1" s="891"/>
      <c r="AO1" s="891"/>
      <c r="AP1" s="891"/>
      <c r="AQ1" s="891"/>
      <c r="AR1" s="891"/>
      <c r="AS1" s="891"/>
      <c r="AT1" s="891"/>
      <c r="AU1" s="891"/>
      <c r="AV1" s="891"/>
      <c r="AW1" s="891"/>
      <c r="AX1" s="891"/>
      <c r="AY1" s="118"/>
      <c r="AZ1" s="118"/>
      <c r="BA1" s="118"/>
      <c r="BB1" s="118"/>
      <c r="BC1" s="118"/>
      <c r="BD1" s="118"/>
      <c r="BE1" s="118"/>
      <c r="BF1" s="118"/>
      <c r="BG1" s="118"/>
      <c r="BH1" s="118"/>
      <c r="BI1" s="118"/>
      <c r="BJ1" s="118"/>
    </row>
    <row r="2" spans="2:286" s="121" customFormat="1" ht="35.1" customHeight="1" x14ac:dyDescent="0.2">
      <c r="B2" s="119" t="s">
        <v>145</v>
      </c>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20"/>
    </row>
    <row r="3" spans="2:286" s="121" customFormat="1" ht="35.1" customHeight="1" x14ac:dyDescent="0.2">
      <c r="B3" s="889" t="s">
        <v>105</v>
      </c>
      <c r="C3" s="889"/>
      <c r="D3" s="889"/>
      <c r="E3" s="889"/>
      <c r="F3" s="889"/>
      <c r="G3" s="889"/>
      <c r="H3" s="889"/>
      <c r="I3" s="889"/>
      <c r="J3" s="889"/>
      <c r="K3" s="889"/>
      <c r="L3" s="889"/>
      <c r="M3" s="889"/>
      <c r="N3" s="889"/>
      <c r="O3" s="889"/>
      <c r="P3" s="889"/>
      <c r="Q3" s="889"/>
      <c r="R3" s="889"/>
      <c r="S3" s="889"/>
      <c r="T3" s="889"/>
      <c r="U3" s="889"/>
      <c r="V3" s="889"/>
      <c r="W3" s="889"/>
      <c r="X3" s="889"/>
      <c r="Y3" s="889"/>
      <c r="Z3" s="889"/>
      <c r="AA3" s="889"/>
      <c r="AB3" s="889"/>
      <c r="AC3" s="889"/>
      <c r="AD3" s="889"/>
      <c r="AE3" s="889"/>
      <c r="AF3" s="889"/>
      <c r="AG3" s="889"/>
      <c r="AH3" s="889"/>
      <c r="AI3" s="889"/>
      <c r="AJ3" s="889"/>
      <c r="AK3" s="889"/>
      <c r="AL3" s="889"/>
      <c r="AM3" s="889"/>
      <c r="AN3" s="889"/>
      <c r="AO3" s="889"/>
      <c r="AP3" s="889"/>
      <c r="AQ3" s="889"/>
      <c r="AR3" s="889"/>
      <c r="AS3" s="889"/>
      <c r="AT3" s="889"/>
      <c r="AU3" s="889"/>
      <c r="AV3" s="889"/>
      <c r="AW3" s="889"/>
      <c r="AX3" s="889"/>
      <c r="AY3" s="122"/>
      <c r="AZ3" s="122"/>
      <c r="BA3" s="122"/>
      <c r="BB3" s="122"/>
      <c r="BC3" s="122"/>
      <c r="BD3" s="122"/>
      <c r="BE3" s="122"/>
      <c r="BF3" s="122"/>
      <c r="BG3" s="122"/>
      <c r="BH3" s="122"/>
      <c r="BI3" s="122"/>
      <c r="BJ3" s="122"/>
    </row>
    <row r="4" spans="2:286" s="121" customFormat="1" ht="35.1" customHeight="1" x14ac:dyDescent="0.2">
      <c r="B4" s="885" t="s">
        <v>308</v>
      </c>
      <c r="C4" s="885"/>
      <c r="D4" s="885"/>
      <c r="E4" s="885"/>
      <c r="F4" s="885"/>
      <c r="G4" s="885"/>
      <c r="H4" s="885"/>
      <c r="I4" s="885"/>
      <c r="J4" s="885"/>
      <c r="K4" s="885"/>
      <c r="L4" s="885"/>
      <c r="M4" s="885"/>
      <c r="N4" s="885"/>
      <c r="O4" s="885"/>
      <c r="P4" s="885"/>
      <c r="Q4" s="885"/>
      <c r="R4" s="885"/>
      <c r="S4" s="885"/>
      <c r="T4" s="885"/>
      <c r="U4" s="885"/>
      <c r="V4" s="885"/>
      <c r="W4" s="885"/>
      <c r="X4" s="885"/>
      <c r="Y4" s="885"/>
      <c r="Z4" s="885"/>
      <c r="AA4" s="885"/>
      <c r="AB4" s="885"/>
      <c r="AC4" s="885"/>
      <c r="AD4" s="885"/>
      <c r="AE4" s="885"/>
      <c r="AF4" s="885"/>
      <c r="AG4" s="885"/>
      <c r="AH4" s="885"/>
      <c r="AI4" s="885"/>
      <c r="AJ4" s="885"/>
      <c r="AK4" s="885"/>
      <c r="AL4" s="885"/>
      <c r="AM4" s="885"/>
      <c r="AN4" s="885"/>
      <c r="AO4" s="885"/>
      <c r="AP4" s="885"/>
      <c r="AQ4" s="885"/>
      <c r="AR4" s="885"/>
      <c r="AS4" s="885"/>
      <c r="AT4" s="885"/>
      <c r="AU4" s="885"/>
      <c r="AV4" s="885"/>
      <c r="AW4" s="885"/>
      <c r="AX4" s="885"/>
      <c r="AY4" s="119"/>
      <c r="AZ4" s="119"/>
      <c r="BA4" s="119"/>
      <c r="BB4" s="119"/>
      <c r="BC4" s="119"/>
      <c r="BD4" s="119"/>
      <c r="BE4" s="119"/>
      <c r="BF4" s="119"/>
      <c r="BG4" s="119"/>
      <c r="BH4" s="119"/>
      <c r="BI4" s="119"/>
      <c r="BJ4" s="119"/>
      <c r="BK4" s="119"/>
      <c r="BL4" s="119"/>
      <c r="BM4" s="119"/>
      <c r="BN4" s="119"/>
      <c r="BO4" s="119"/>
      <c r="BP4" s="119"/>
      <c r="BQ4" s="119"/>
      <c r="BR4" s="119"/>
      <c r="BS4" s="119"/>
      <c r="BT4" s="119"/>
      <c r="BU4" s="119"/>
      <c r="BV4" s="119"/>
      <c r="BW4" s="119"/>
      <c r="BX4" s="119"/>
      <c r="BY4" s="119"/>
      <c r="BZ4" s="119"/>
      <c r="CA4" s="119"/>
      <c r="CB4" s="119"/>
      <c r="CC4" s="119"/>
      <c r="CD4" s="119"/>
      <c r="CE4" s="885"/>
      <c r="CF4" s="885"/>
      <c r="CG4" s="885"/>
      <c r="CH4" s="885"/>
      <c r="CI4" s="885"/>
      <c r="CJ4" s="885"/>
      <c r="CK4" s="885"/>
      <c r="CL4" s="885"/>
      <c r="CM4" s="885"/>
      <c r="CN4" s="885"/>
      <c r="CO4" s="885"/>
      <c r="CP4" s="885"/>
      <c r="CQ4" s="885"/>
      <c r="CR4" s="885"/>
      <c r="CS4" s="885"/>
      <c r="CT4" s="885"/>
      <c r="CU4" s="885"/>
      <c r="CV4" s="885"/>
      <c r="CW4" s="885"/>
      <c r="CX4" s="885"/>
      <c r="CY4" s="885"/>
      <c r="CZ4" s="885"/>
      <c r="DA4" s="885"/>
      <c r="DB4" s="885"/>
      <c r="DC4" s="885"/>
      <c r="DD4" s="885"/>
      <c r="DE4" s="885"/>
      <c r="DF4" s="885"/>
      <c r="DG4" s="885"/>
      <c r="DH4" s="885"/>
      <c r="DI4" s="885"/>
      <c r="DJ4" s="885"/>
      <c r="DK4" s="885"/>
      <c r="DL4" s="885"/>
      <c r="DM4" s="885"/>
      <c r="DN4" s="885"/>
      <c r="DO4" s="885"/>
      <c r="DP4" s="885"/>
      <c r="DQ4" s="885"/>
      <c r="DR4" s="885"/>
      <c r="DS4" s="885"/>
      <c r="DT4" s="885"/>
      <c r="DU4" s="885"/>
      <c r="DV4" s="885"/>
      <c r="DW4" s="885"/>
      <c r="DX4" s="885"/>
      <c r="DY4" s="885"/>
      <c r="DZ4" s="885"/>
      <c r="EA4" s="885"/>
      <c r="EB4" s="885"/>
      <c r="EC4" s="885"/>
      <c r="ED4" s="885"/>
      <c r="EE4" s="885"/>
      <c r="EF4" s="885"/>
      <c r="EG4" s="885"/>
      <c r="EH4" s="885"/>
      <c r="EI4" s="885"/>
      <c r="EJ4" s="885"/>
      <c r="EK4" s="885"/>
      <c r="EL4" s="885"/>
      <c r="EM4" s="885"/>
      <c r="EN4" s="885"/>
      <c r="EO4" s="885"/>
      <c r="EP4" s="885"/>
      <c r="EQ4" s="885"/>
      <c r="ER4" s="885"/>
      <c r="ES4" s="885"/>
      <c r="ET4" s="885"/>
      <c r="EU4" s="885"/>
      <c r="EV4" s="885"/>
      <c r="EW4" s="885"/>
      <c r="EX4" s="885"/>
      <c r="EY4" s="885"/>
      <c r="EZ4" s="885"/>
      <c r="FA4" s="885"/>
      <c r="FB4" s="885"/>
      <c r="FC4" s="885"/>
      <c r="FD4" s="885"/>
      <c r="FE4" s="885"/>
      <c r="FF4" s="885"/>
      <c r="FG4" s="885"/>
      <c r="FH4" s="885"/>
      <c r="FI4" s="885"/>
      <c r="FJ4" s="885"/>
      <c r="FK4" s="885"/>
      <c r="FL4" s="885"/>
      <c r="FM4" s="885"/>
      <c r="FN4" s="885"/>
      <c r="FO4" s="885"/>
      <c r="FP4" s="885"/>
      <c r="FQ4" s="885"/>
      <c r="FR4" s="885"/>
      <c r="FS4" s="885"/>
      <c r="FT4" s="885"/>
      <c r="FU4" s="885"/>
      <c r="FV4" s="885"/>
      <c r="FW4" s="885"/>
      <c r="FX4" s="885"/>
      <c r="FY4" s="885"/>
      <c r="FZ4" s="885"/>
      <c r="GA4" s="885"/>
      <c r="GB4" s="885"/>
      <c r="GC4" s="885"/>
      <c r="GD4" s="885"/>
      <c r="GE4" s="885"/>
      <c r="GF4" s="885"/>
      <c r="GG4" s="885"/>
      <c r="GH4" s="885"/>
      <c r="GI4" s="885"/>
      <c r="GJ4" s="885"/>
      <c r="GK4" s="885"/>
      <c r="GL4" s="885"/>
      <c r="GM4" s="885"/>
      <c r="GN4" s="885"/>
      <c r="GO4" s="885"/>
      <c r="GP4" s="885"/>
      <c r="GQ4" s="885"/>
      <c r="GR4" s="885"/>
      <c r="GS4" s="885"/>
      <c r="GT4" s="885"/>
      <c r="GU4" s="885"/>
      <c r="GV4" s="885"/>
      <c r="GW4" s="885"/>
      <c r="GX4" s="885"/>
      <c r="GY4" s="885"/>
      <c r="GZ4" s="885"/>
      <c r="HA4" s="885"/>
      <c r="HB4" s="885"/>
      <c r="HC4" s="885"/>
      <c r="HD4" s="885"/>
      <c r="HE4" s="885"/>
      <c r="HF4" s="885"/>
      <c r="HG4" s="885"/>
      <c r="HH4" s="885"/>
      <c r="HI4" s="885"/>
      <c r="HJ4" s="885"/>
      <c r="HK4" s="885"/>
      <c r="HL4" s="885"/>
      <c r="HM4" s="885"/>
      <c r="HN4" s="885"/>
      <c r="HO4" s="885"/>
      <c r="HP4" s="885"/>
      <c r="HQ4" s="885"/>
      <c r="HR4" s="885"/>
      <c r="HS4" s="885"/>
      <c r="HT4" s="885"/>
      <c r="HU4" s="885"/>
      <c r="HV4" s="885"/>
      <c r="HW4" s="885"/>
      <c r="HX4" s="885"/>
      <c r="HY4" s="885"/>
      <c r="HZ4" s="885"/>
      <c r="IA4" s="885"/>
      <c r="IB4" s="885"/>
      <c r="IC4" s="885"/>
      <c r="ID4" s="885"/>
      <c r="IE4" s="885"/>
      <c r="IF4" s="885"/>
      <c r="IG4" s="885"/>
      <c r="IH4" s="885"/>
      <c r="II4" s="885"/>
      <c r="IJ4" s="885"/>
      <c r="IK4" s="885"/>
      <c r="IL4" s="885"/>
      <c r="IM4" s="885"/>
      <c r="IN4" s="885"/>
      <c r="IO4" s="885"/>
      <c r="IP4" s="885"/>
      <c r="IQ4" s="885"/>
      <c r="IR4" s="885"/>
      <c r="IS4" s="885"/>
      <c r="IT4" s="885"/>
      <c r="IU4" s="885"/>
      <c r="IV4" s="885"/>
      <c r="IW4" s="885"/>
      <c r="IX4" s="885"/>
      <c r="IY4" s="885"/>
      <c r="IZ4" s="885"/>
      <c r="JA4" s="885"/>
      <c r="JB4" s="885"/>
      <c r="JC4" s="885"/>
      <c r="JD4" s="885"/>
      <c r="JE4" s="885"/>
      <c r="JF4" s="885"/>
      <c r="JG4" s="885"/>
      <c r="JH4" s="885"/>
      <c r="JI4" s="885"/>
      <c r="JJ4" s="885"/>
      <c r="JK4" s="885"/>
      <c r="JL4" s="885"/>
      <c r="JM4" s="885"/>
      <c r="JN4" s="885"/>
      <c r="JO4" s="885"/>
      <c r="JP4" s="885"/>
      <c r="JQ4" s="885"/>
      <c r="JR4" s="885"/>
      <c r="JS4" s="885"/>
      <c r="JT4" s="885"/>
      <c r="JU4" s="885"/>
      <c r="JV4" s="885"/>
      <c r="JW4" s="885"/>
      <c r="JX4" s="885"/>
      <c r="JY4" s="885"/>
      <c r="JZ4" s="885"/>
    </row>
    <row r="5" spans="2:286" s="121" customFormat="1" ht="30" customHeight="1" x14ac:dyDescent="0.2">
      <c r="B5" s="884" t="s">
        <v>24</v>
      </c>
      <c r="C5" s="876" t="s">
        <v>258</v>
      </c>
      <c r="D5" s="876"/>
      <c r="E5" s="876"/>
      <c r="F5" s="876"/>
      <c r="G5" s="876"/>
      <c r="H5" s="876"/>
      <c r="I5" s="876"/>
      <c r="J5" s="876"/>
      <c r="K5" s="876"/>
      <c r="L5" s="876"/>
      <c r="M5" s="876"/>
      <c r="N5" s="876"/>
      <c r="O5" s="876"/>
      <c r="P5" s="876"/>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c r="AW5" s="876"/>
      <c r="AX5" s="876"/>
      <c r="AY5" s="119"/>
      <c r="AZ5" s="119"/>
      <c r="BA5" s="119"/>
      <c r="BB5" s="119"/>
      <c r="BC5" s="119"/>
      <c r="BD5" s="119"/>
      <c r="BE5" s="119"/>
      <c r="BF5" s="119"/>
      <c r="BG5" s="119"/>
      <c r="BH5" s="119"/>
      <c r="BI5" s="119"/>
      <c r="BJ5" s="119"/>
      <c r="BK5" s="119"/>
      <c r="BL5" s="119"/>
      <c r="BM5" s="119"/>
      <c r="BN5" s="119"/>
      <c r="BO5" s="119"/>
      <c r="BP5" s="119"/>
      <c r="BQ5" s="119"/>
      <c r="BR5" s="119"/>
      <c r="BS5" s="119"/>
      <c r="BT5" s="119"/>
      <c r="BU5" s="119"/>
      <c r="BV5" s="119"/>
      <c r="BW5" s="119"/>
      <c r="BX5" s="119"/>
      <c r="BY5" s="119"/>
      <c r="BZ5" s="119"/>
      <c r="CA5" s="119"/>
      <c r="CB5" s="119"/>
      <c r="CC5" s="119"/>
      <c r="CD5" s="119"/>
      <c r="CE5" s="123"/>
      <c r="CF5" s="123"/>
      <c r="CG5" s="123"/>
      <c r="CH5" s="123"/>
      <c r="CI5" s="123"/>
      <c r="CJ5" s="123"/>
      <c r="CK5" s="123"/>
      <c r="CL5" s="123"/>
      <c r="CM5" s="123"/>
      <c r="CN5" s="123"/>
      <c r="CO5" s="123"/>
      <c r="CP5" s="123"/>
      <c r="CQ5" s="123"/>
      <c r="CR5" s="123"/>
      <c r="CS5" s="123"/>
      <c r="CT5" s="123"/>
      <c r="CU5" s="123"/>
      <c r="CV5" s="123"/>
      <c r="CW5" s="123"/>
      <c r="CX5" s="123"/>
      <c r="CY5" s="123"/>
      <c r="CZ5" s="123"/>
      <c r="DA5" s="123"/>
      <c r="DB5" s="123"/>
      <c r="DC5" s="123"/>
      <c r="DD5" s="123"/>
      <c r="DE5" s="123"/>
      <c r="DF5" s="123"/>
      <c r="DG5" s="123"/>
      <c r="DH5" s="123"/>
      <c r="DI5" s="123"/>
      <c r="DJ5" s="123"/>
      <c r="DK5" s="123"/>
      <c r="DL5" s="123"/>
      <c r="DM5" s="123"/>
      <c r="DN5" s="123"/>
      <c r="DO5" s="123"/>
      <c r="DP5" s="123"/>
      <c r="DQ5" s="123"/>
      <c r="DR5" s="123"/>
      <c r="DS5" s="123"/>
      <c r="DT5" s="123"/>
      <c r="DU5" s="123"/>
      <c r="DV5" s="123"/>
      <c r="DW5" s="123"/>
      <c r="DX5" s="123"/>
      <c r="DY5" s="123"/>
      <c r="DZ5" s="123"/>
      <c r="EA5" s="123"/>
      <c r="EB5" s="123"/>
      <c r="EC5" s="123"/>
      <c r="ED5" s="123"/>
      <c r="EE5" s="123"/>
      <c r="EF5" s="123"/>
      <c r="EG5" s="123"/>
      <c r="EH5" s="123"/>
      <c r="EI5" s="123"/>
      <c r="EJ5" s="123"/>
      <c r="EK5" s="123"/>
      <c r="EL5" s="123"/>
      <c r="EM5" s="123"/>
      <c r="EN5" s="123"/>
      <c r="EO5" s="123"/>
      <c r="EP5" s="123"/>
      <c r="EQ5" s="123"/>
      <c r="ER5" s="123"/>
      <c r="ES5" s="123"/>
      <c r="ET5" s="123"/>
      <c r="EU5" s="123"/>
      <c r="EV5" s="123"/>
      <c r="EW5" s="123"/>
      <c r="EX5" s="123"/>
      <c r="EY5" s="123"/>
      <c r="EZ5" s="123"/>
      <c r="FA5" s="123"/>
      <c r="FB5" s="123"/>
      <c r="FC5" s="123"/>
      <c r="FD5" s="123"/>
      <c r="FE5" s="123"/>
      <c r="FF5" s="123"/>
      <c r="FG5" s="123"/>
      <c r="FH5" s="123"/>
      <c r="FI5" s="123"/>
      <c r="FJ5" s="123"/>
      <c r="FK5" s="123"/>
      <c r="FL5" s="123"/>
      <c r="FM5" s="123"/>
      <c r="FN5" s="123"/>
      <c r="FO5" s="123"/>
      <c r="FP5" s="123"/>
      <c r="FQ5" s="123"/>
      <c r="FR5" s="123"/>
      <c r="FS5" s="123"/>
      <c r="FT5" s="123"/>
      <c r="FU5" s="123"/>
      <c r="FV5" s="123"/>
      <c r="FW5" s="123"/>
      <c r="FX5" s="123"/>
      <c r="FY5" s="123"/>
      <c r="FZ5" s="123"/>
      <c r="GA5" s="123"/>
      <c r="GB5" s="123"/>
      <c r="GC5" s="123"/>
      <c r="GD5" s="123"/>
      <c r="GE5" s="123"/>
      <c r="GF5" s="123"/>
      <c r="GG5" s="123"/>
      <c r="GH5" s="123"/>
      <c r="GI5" s="123"/>
      <c r="GJ5" s="123"/>
      <c r="GK5" s="123"/>
      <c r="GL5" s="123"/>
      <c r="GM5" s="123"/>
      <c r="GN5" s="123"/>
      <c r="GO5" s="123"/>
      <c r="GP5" s="123"/>
      <c r="GQ5" s="123"/>
      <c r="GR5" s="123"/>
      <c r="GS5" s="123"/>
      <c r="GT5" s="123"/>
      <c r="GU5" s="123"/>
      <c r="GV5" s="123"/>
      <c r="GW5" s="123"/>
      <c r="GX5" s="123"/>
      <c r="GY5" s="123"/>
      <c r="GZ5" s="123"/>
      <c r="HA5" s="123"/>
      <c r="HB5" s="123"/>
      <c r="HC5" s="123"/>
      <c r="HD5" s="123"/>
      <c r="HE5" s="123"/>
      <c r="HF5" s="123"/>
      <c r="HG5" s="123"/>
      <c r="HH5" s="123"/>
      <c r="HI5" s="123"/>
      <c r="HJ5" s="123"/>
      <c r="HK5" s="123"/>
      <c r="HL5" s="123"/>
      <c r="HM5" s="123"/>
      <c r="HN5" s="123"/>
      <c r="HO5" s="123"/>
      <c r="HP5" s="123"/>
      <c r="HQ5" s="123"/>
      <c r="HR5" s="123"/>
      <c r="HS5" s="123"/>
      <c r="HT5" s="123"/>
      <c r="HU5" s="123"/>
      <c r="HV5" s="123"/>
      <c r="HW5" s="123"/>
      <c r="HX5" s="123"/>
      <c r="HY5" s="123"/>
      <c r="HZ5" s="123"/>
      <c r="IA5" s="123"/>
      <c r="IB5" s="123"/>
      <c r="IC5" s="123"/>
      <c r="ID5" s="123"/>
      <c r="IE5" s="123"/>
      <c r="IF5" s="123"/>
      <c r="IG5" s="123"/>
      <c r="IH5" s="123"/>
      <c r="II5" s="123"/>
      <c r="IJ5" s="123"/>
      <c r="IK5" s="123"/>
      <c r="IL5" s="123"/>
      <c r="IM5" s="123"/>
      <c r="IN5" s="123"/>
      <c r="IO5" s="123"/>
      <c r="IP5" s="123"/>
      <c r="IQ5" s="123"/>
      <c r="IR5" s="123"/>
      <c r="IS5" s="123"/>
      <c r="IT5" s="123"/>
      <c r="IU5" s="123"/>
      <c r="IV5" s="123"/>
      <c r="IW5" s="123"/>
      <c r="IX5" s="123"/>
      <c r="IY5" s="123"/>
      <c r="IZ5" s="123"/>
      <c r="JA5" s="123"/>
      <c r="JB5" s="123"/>
      <c r="JC5" s="123"/>
      <c r="JD5" s="123"/>
      <c r="JE5" s="123"/>
      <c r="JF5" s="123"/>
      <c r="JG5" s="123"/>
      <c r="JH5" s="123"/>
      <c r="JI5" s="123"/>
      <c r="JJ5" s="123"/>
      <c r="JK5" s="123"/>
      <c r="JL5" s="123"/>
      <c r="JM5" s="123"/>
      <c r="JN5" s="123"/>
      <c r="JO5" s="123"/>
      <c r="JP5" s="123"/>
      <c r="JQ5" s="123"/>
      <c r="JR5" s="123"/>
      <c r="JS5" s="123"/>
      <c r="JT5" s="123"/>
      <c r="JU5" s="123"/>
      <c r="JV5" s="123"/>
      <c r="JW5" s="123"/>
      <c r="JX5" s="123"/>
      <c r="JY5" s="123"/>
      <c r="JZ5" s="123"/>
    </row>
    <row r="6" spans="2:286" s="125" customFormat="1" ht="30" customHeight="1" x14ac:dyDescent="0.25">
      <c r="B6" s="884"/>
      <c r="C6" s="877">
        <v>1990</v>
      </c>
      <c r="D6" s="877"/>
      <c r="E6" s="877"/>
      <c r="F6" s="877"/>
      <c r="G6" s="877"/>
      <c r="H6" s="877"/>
      <c r="I6" s="877">
        <v>1991</v>
      </c>
      <c r="J6" s="877"/>
      <c r="K6" s="877"/>
      <c r="L6" s="877"/>
      <c r="M6" s="877"/>
      <c r="N6" s="877"/>
      <c r="O6" s="877">
        <v>1992</v>
      </c>
      <c r="P6" s="877"/>
      <c r="Q6" s="877"/>
      <c r="R6" s="877"/>
      <c r="S6" s="877"/>
      <c r="T6" s="877"/>
      <c r="U6" s="887">
        <v>1993</v>
      </c>
      <c r="V6" s="887"/>
      <c r="W6" s="887"/>
      <c r="X6" s="887"/>
      <c r="Y6" s="887"/>
      <c r="Z6" s="887"/>
      <c r="AA6" s="887">
        <v>1994</v>
      </c>
      <c r="AB6" s="887"/>
      <c r="AC6" s="887"/>
      <c r="AD6" s="887"/>
      <c r="AE6" s="887"/>
      <c r="AF6" s="887"/>
      <c r="AG6" s="887">
        <v>1995</v>
      </c>
      <c r="AH6" s="887"/>
      <c r="AI6" s="887"/>
      <c r="AJ6" s="887"/>
      <c r="AK6" s="887"/>
      <c r="AL6" s="887"/>
      <c r="AM6" s="887">
        <v>1996</v>
      </c>
      <c r="AN6" s="887"/>
      <c r="AO6" s="887"/>
      <c r="AP6" s="887"/>
      <c r="AQ6" s="887"/>
      <c r="AR6" s="887"/>
      <c r="AS6" s="887">
        <v>1997</v>
      </c>
      <c r="AT6" s="887"/>
      <c r="AU6" s="887"/>
      <c r="AV6" s="887"/>
      <c r="AW6" s="887"/>
      <c r="AX6" s="887"/>
      <c r="AY6" s="124"/>
      <c r="AZ6" s="124"/>
      <c r="BA6" s="124"/>
      <c r="BB6" s="124"/>
      <c r="BC6" s="124"/>
      <c r="BD6" s="124"/>
      <c r="BE6" s="124"/>
      <c r="BF6" s="124"/>
      <c r="BG6" s="124"/>
      <c r="BH6" s="124"/>
      <c r="BI6" s="124"/>
      <c r="BJ6" s="124"/>
    </row>
    <row r="7" spans="2:286" s="125" customFormat="1" ht="30" customHeight="1" x14ac:dyDescent="0.2">
      <c r="B7" s="884"/>
      <c r="C7" s="882" t="s">
        <v>179</v>
      </c>
      <c r="D7" s="881"/>
      <c r="E7" s="880" t="s">
        <v>226</v>
      </c>
      <c r="F7" s="881"/>
      <c r="G7" s="880" t="s">
        <v>227</v>
      </c>
      <c r="H7" s="882"/>
      <c r="I7" s="882" t="s">
        <v>179</v>
      </c>
      <c r="J7" s="881"/>
      <c r="K7" s="880" t="s">
        <v>226</v>
      </c>
      <c r="L7" s="881"/>
      <c r="M7" s="880" t="s">
        <v>227</v>
      </c>
      <c r="N7" s="882"/>
      <c r="O7" s="882" t="s">
        <v>179</v>
      </c>
      <c r="P7" s="881"/>
      <c r="Q7" s="880" t="s">
        <v>226</v>
      </c>
      <c r="R7" s="881"/>
      <c r="S7" s="880" t="s">
        <v>227</v>
      </c>
      <c r="T7" s="882"/>
      <c r="U7" s="882" t="s">
        <v>179</v>
      </c>
      <c r="V7" s="881"/>
      <c r="W7" s="880" t="s">
        <v>226</v>
      </c>
      <c r="X7" s="881"/>
      <c r="Y7" s="880" t="s">
        <v>227</v>
      </c>
      <c r="Z7" s="882"/>
      <c r="AA7" s="882" t="s">
        <v>179</v>
      </c>
      <c r="AB7" s="881"/>
      <c r="AC7" s="880" t="s">
        <v>226</v>
      </c>
      <c r="AD7" s="881"/>
      <c r="AE7" s="880" t="s">
        <v>227</v>
      </c>
      <c r="AF7" s="882"/>
      <c r="AG7" s="882" t="s">
        <v>179</v>
      </c>
      <c r="AH7" s="881"/>
      <c r="AI7" s="880" t="s">
        <v>226</v>
      </c>
      <c r="AJ7" s="881"/>
      <c r="AK7" s="880" t="s">
        <v>227</v>
      </c>
      <c r="AL7" s="882"/>
      <c r="AM7" s="882" t="s">
        <v>179</v>
      </c>
      <c r="AN7" s="881"/>
      <c r="AO7" s="880" t="s">
        <v>226</v>
      </c>
      <c r="AP7" s="881"/>
      <c r="AQ7" s="880" t="s">
        <v>227</v>
      </c>
      <c r="AR7" s="882"/>
      <c r="AS7" s="882" t="s">
        <v>179</v>
      </c>
      <c r="AT7" s="881"/>
      <c r="AU7" s="880" t="s">
        <v>226</v>
      </c>
      <c r="AV7" s="881"/>
      <c r="AW7" s="880" t="s">
        <v>227</v>
      </c>
      <c r="AX7" s="882"/>
      <c r="AY7" s="126"/>
      <c r="AZ7" s="126"/>
      <c r="BA7" s="126"/>
      <c r="BB7" s="126"/>
      <c r="BC7" s="126"/>
      <c r="BD7" s="126"/>
      <c r="BE7" s="126"/>
      <c r="BF7" s="126"/>
      <c r="BG7" s="126"/>
      <c r="BH7" s="126"/>
      <c r="BI7" s="126"/>
      <c r="BJ7" s="126"/>
    </row>
    <row r="8" spans="2:286" s="110" customFormat="1" ht="30" customHeight="1" x14ac:dyDescent="0.2">
      <c r="B8" s="463" t="s">
        <v>25</v>
      </c>
      <c r="C8" s="110">
        <v>48</v>
      </c>
      <c r="E8" s="116">
        <v>19397</v>
      </c>
      <c r="G8" s="116">
        <v>1181314</v>
      </c>
      <c r="I8" s="110">
        <v>43</v>
      </c>
      <c r="K8" s="110">
        <v>31275</v>
      </c>
      <c r="M8" s="110">
        <v>747574</v>
      </c>
      <c r="O8" s="110">
        <v>18</v>
      </c>
      <c r="Q8" s="110">
        <v>4321</v>
      </c>
      <c r="S8" s="110">
        <v>162404</v>
      </c>
      <c r="U8" s="116">
        <v>8</v>
      </c>
      <c r="V8" s="116"/>
      <c r="W8" s="116">
        <v>1827</v>
      </c>
      <c r="X8" s="116"/>
      <c r="Y8" s="116">
        <v>51933</v>
      </c>
      <c r="Z8" s="116"/>
      <c r="AA8" s="110">
        <v>3</v>
      </c>
      <c r="AC8" s="110">
        <v>230</v>
      </c>
      <c r="AE8" s="110">
        <v>12880</v>
      </c>
      <c r="AG8" s="116">
        <v>19</v>
      </c>
      <c r="AH8" s="116"/>
      <c r="AI8" s="116">
        <v>6473</v>
      </c>
      <c r="AJ8" s="116"/>
      <c r="AK8" s="116">
        <v>160280</v>
      </c>
      <c r="AL8" s="116"/>
      <c r="AM8" s="116">
        <v>10</v>
      </c>
      <c r="AN8" s="116"/>
      <c r="AO8" s="116">
        <v>4553</v>
      </c>
      <c r="AP8" s="116"/>
      <c r="AQ8" s="110">
        <v>38576</v>
      </c>
      <c r="AR8" s="116"/>
      <c r="AS8" s="116">
        <v>5</v>
      </c>
      <c r="AU8" s="116">
        <v>474</v>
      </c>
      <c r="AV8" s="116"/>
      <c r="AW8" s="110">
        <v>5782</v>
      </c>
      <c r="AX8" s="116"/>
      <c r="AY8" s="127"/>
      <c r="AZ8" s="127"/>
      <c r="BA8" s="128"/>
      <c r="BB8" s="127"/>
      <c r="BC8" s="127"/>
      <c r="BD8" s="128"/>
      <c r="BE8" s="127"/>
      <c r="BF8" s="128"/>
      <c r="BG8" s="127"/>
      <c r="BH8" s="127"/>
      <c r="BI8" s="127"/>
      <c r="BJ8" s="127"/>
    </row>
    <row r="9" spans="2:286" s="110" customFormat="1" ht="30" customHeight="1" x14ac:dyDescent="0.2">
      <c r="B9" s="463" t="s">
        <v>26</v>
      </c>
      <c r="C9" s="110">
        <v>62</v>
      </c>
      <c r="E9" s="116">
        <v>25413</v>
      </c>
      <c r="G9" s="116">
        <v>1810189</v>
      </c>
      <c r="I9" s="110">
        <v>45</v>
      </c>
      <c r="K9" s="110">
        <v>15049</v>
      </c>
      <c r="M9" s="110">
        <v>1307032</v>
      </c>
      <c r="O9" s="110">
        <v>22</v>
      </c>
      <c r="Q9" s="110">
        <v>2777</v>
      </c>
      <c r="S9" s="116">
        <v>182210</v>
      </c>
      <c r="U9" s="116">
        <v>11</v>
      </c>
      <c r="V9" s="116"/>
      <c r="W9" s="116">
        <v>5997</v>
      </c>
      <c r="X9" s="116"/>
      <c r="Y9" s="116">
        <v>36356</v>
      </c>
      <c r="Z9" s="116"/>
      <c r="AA9" s="110">
        <v>4</v>
      </c>
      <c r="AC9" s="110">
        <v>1475</v>
      </c>
      <c r="AE9" s="116">
        <v>46736</v>
      </c>
      <c r="AG9" s="116">
        <v>5</v>
      </c>
      <c r="AH9" s="116"/>
      <c r="AI9" s="116">
        <v>1247</v>
      </c>
      <c r="AJ9" s="116"/>
      <c r="AK9" s="116">
        <v>40286</v>
      </c>
      <c r="AL9" s="116"/>
      <c r="AM9" s="110">
        <v>11</v>
      </c>
      <c r="AO9" s="110">
        <v>2228</v>
      </c>
      <c r="AQ9" s="110">
        <v>118872</v>
      </c>
      <c r="AS9" s="110">
        <v>9</v>
      </c>
      <c r="AU9" s="110">
        <v>1958</v>
      </c>
      <c r="AV9" s="116"/>
      <c r="AW9" s="110">
        <v>21772</v>
      </c>
      <c r="AX9" s="116"/>
      <c r="AY9" s="127"/>
      <c r="AZ9" s="127"/>
      <c r="BA9" s="128"/>
      <c r="BB9" s="127"/>
      <c r="BC9" s="128"/>
      <c r="BD9" s="128"/>
      <c r="BE9" s="128"/>
      <c r="BF9" s="128"/>
      <c r="BG9" s="127"/>
      <c r="BH9" s="127"/>
      <c r="BI9" s="127"/>
      <c r="BJ9" s="127"/>
    </row>
    <row r="10" spans="2:286" s="110" customFormat="1" ht="30" customHeight="1" x14ac:dyDescent="0.2">
      <c r="B10" s="463" t="s">
        <v>27</v>
      </c>
      <c r="C10" s="110">
        <v>83</v>
      </c>
      <c r="E10" s="110">
        <v>27275</v>
      </c>
      <c r="G10" s="110">
        <v>1711089</v>
      </c>
      <c r="I10" s="110">
        <v>21</v>
      </c>
      <c r="K10" s="110">
        <v>17107</v>
      </c>
      <c r="M10" s="110">
        <v>1706414</v>
      </c>
      <c r="O10" s="110">
        <v>33</v>
      </c>
      <c r="Q10" s="110">
        <v>11366</v>
      </c>
      <c r="S10" s="110">
        <v>215486</v>
      </c>
      <c r="U10" s="110">
        <v>9</v>
      </c>
      <c r="W10" s="110">
        <v>1523</v>
      </c>
      <c r="Y10" s="110">
        <v>137646</v>
      </c>
      <c r="AA10" s="110">
        <v>13</v>
      </c>
      <c r="AC10" s="110">
        <v>3747</v>
      </c>
      <c r="AE10" s="110">
        <v>60131</v>
      </c>
      <c r="AG10" s="110">
        <v>16</v>
      </c>
      <c r="AI10" s="110">
        <v>3871</v>
      </c>
      <c r="AK10" s="110">
        <v>277624</v>
      </c>
      <c r="AM10" s="110">
        <v>6</v>
      </c>
      <c r="AO10" s="110">
        <v>1214</v>
      </c>
      <c r="AQ10" s="110">
        <v>75280</v>
      </c>
      <c r="AS10" s="110">
        <v>7</v>
      </c>
      <c r="AU10" s="110">
        <v>962</v>
      </c>
      <c r="AW10" s="110">
        <v>5878</v>
      </c>
      <c r="AY10" s="127"/>
      <c r="AZ10" s="127"/>
      <c r="BA10" s="127"/>
      <c r="BB10" s="127"/>
      <c r="BC10" s="127"/>
      <c r="BD10" s="127"/>
      <c r="BE10" s="127"/>
      <c r="BF10" s="127"/>
      <c r="BG10" s="127"/>
      <c r="BH10" s="127"/>
      <c r="BI10" s="127"/>
      <c r="BJ10" s="127"/>
    </row>
    <row r="11" spans="2:286" s="110" customFormat="1" ht="30" customHeight="1" x14ac:dyDescent="0.2">
      <c r="B11" s="463" t="s">
        <v>28</v>
      </c>
      <c r="C11" s="110">
        <v>52</v>
      </c>
      <c r="E11" s="110">
        <v>9959</v>
      </c>
      <c r="G11" s="110">
        <v>1927636</v>
      </c>
      <c r="I11" s="110">
        <v>21</v>
      </c>
      <c r="K11" s="110">
        <v>12673</v>
      </c>
      <c r="M11" s="110">
        <v>1922764</v>
      </c>
      <c r="O11" s="110">
        <v>13</v>
      </c>
      <c r="Q11" s="110">
        <v>6621</v>
      </c>
      <c r="S11" s="110">
        <v>102992</v>
      </c>
      <c r="U11" s="110">
        <v>17</v>
      </c>
      <c r="W11" s="110">
        <v>6896</v>
      </c>
      <c r="Y11" s="110">
        <v>397972</v>
      </c>
      <c r="AA11" s="110">
        <v>14</v>
      </c>
      <c r="AC11" s="110">
        <v>4536</v>
      </c>
      <c r="AE11" s="110">
        <v>83944</v>
      </c>
      <c r="AG11" s="110">
        <v>4</v>
      </c>
      <c r="AI11" s="110">
        <v>341</v>
      </c>
      <c r="AK11" s="110">
        <v>122680</v>
      </c>
      <c r="AM11" s="110">
        <v>5</v>
      </c>
      <c r="AO11" s="110">
        <v>971</v>
      </c>
      <c r="AQ11" s="110">
        <v>80256</v>
      </c>
      <c r="AS11" s="110">
        <v>10</v>
      </c>
      <c r="AU11" s="110">
        <v>1038</v>
      </c>
      <c r="AW11" s="110">
        <v>23184</v>
      </c>
      <c r="AY11" s="127"/>
      <c r="AZ11" s="127"/>
      <c r="BA11" s="127"/>
      <c r="BB11" s="127"/>
      <c r="BC11" s="127"/>
      <c r="BD11" s="127"/>
      <c r="BE11" s="127"/>
      <c r="BF11" s="127"/>
      <c r="BG11" s="127"/>
      <c r="BH11" s="127"/>
      <c r="BI11" s="127"/>
      <c r="BJ11" s="127"/>
    </row>
    <row r="12" spans="2:286" s="110" customFormat="1" ht="30" customHeight="1" x14ac:dyDescent="0.2">
      <c r="B12" s="463" t="s">
        <v>29</v>
      </c>
      <c r="C12" s="110">
        <v>58</v>
      </c>
      <c r="E12" s="110">
        <v>23670</v>
      </c>
      <c r="G12" s="116">
        <v>1375937</v>
      </c>
      <c r="I12" s="110">
        <v>22</v>
      </c>
      <c r="K12" s="116">
        <v>3484</v>
      </c>
      <c r="M12" s="116">
        <v>379613</v>
      </c>
      <c r="O12" s="110">
        <v>21</v>
      </c>
      <c r="Q12" s="116">
        <v>3461</v>
      </c>
      <c r="S12" s="116">
        <v>109904</v>
      </c>
      <c r="U12" s="110">
        <v>20</v>
      </c>
      <c r="W12" s="116">
        <v>3740</v>
      </c>
      <c r="Y12" s="116">
        <v>124172</v>
      </c>
      <c r="AA12" s="110">
        <v>10</v>
      </c>
      <c r="AC12" s="116">
        <v>4468</v>
      </c>
      <c r="AE12" s="116">
        <v>91568</v>
      </c>
      <c r="AG12" s="110">
        <v>7</v>
      </c>
      <c r="AI12" s="116">
        <v>1642</v>
      </c>
      <c r="AK12" s="116">
        <v>26072</v>
      </c>
      <c r="AM12" s="116">
        <v>12</v>
      </c>
      <c r="AN12" s="116"/>
      <c r="AO12" s="116">
        <v>10964</v>
      </c>
      <c r="AP12" s="116"/>
      <c r="AQ12" s="110">
        <v>248476</v>
      </c>
      <c r="AR12" s="116"/>
      <c r="AS12" s="116">
        <v>4</v>
      </c>
      <c r="AT12" s="116"/>
      <c r="AU12" s="116">
        <v>884</v>
      </c>
      <c r="AV12" s="116"/>
      <c r="AW12" s="110">
        <v>16752</v>
      </c>
      <c r="AX12" s="116"/>
      <c r="AY12" s="127"/>
      <c r="AZ12" s="127"/>
      <c r="BA12" s="128"/>
      <c r="BB12" s="128"/>
      <c r="BC12" s="128"/>
      <c r="BD12" s="128"/>
      <c r="BE12" s="128"/>
      <c r="BF12" s="128"/>
      <c r="BG12" s="127"/>
      <c r="BH12" s="127"/>
      <c r="BI12" s="127"/>
      <c r="BJ12" s="127"/>
    </row>
    <row r="13" spans="2:286" s="110" customFormat="1" ht="30" customHeight="1" x14ac:dyDescent="0.2">
      <c r="B13" s="463" t="s">
        <v>30</v>
      </c>
      <c r="C13" s="110">
        <v>44</v>
      </c>
      <c r="E13" s="110">
        <v>7811</v>
      </c>
      <c r="G13" s="110">
        <v>372599</v>
      </c>
      <c r="I13" s="110">
        <v>24</v>
      </c>
      <c r="K13" s="110">
        <v>10029</v>
      </c>
      <c r="M13" s="110">
        <v>432852</v>
      </c>
      <c r="O13" s="110">
        <v>27</v>
      </c>
      <c r="Q13" s="110">
        <v>20628</v>
      </c>
      <c r="S13" s="110">
        <v>353584</v>
      </c>
      <c r="U13" s="110">
        <v>29</v>
      </c>
      <c r="W13" s="110">
        <v>10246</v>
      </c>
      <c r="Y13" s="110">
        <v>359831</v>
      </c>
      <c r="AA13" s="116">
        <v>16</v>
      </c>
      <c r="AB13" s="116"/>
      <c r="AC13" s="116">
        <v>6646</v>
      </c>
      <c r="AD13" s="116"/>
      <c r="AE13" s="116">
        <v>94156</v>
      </c>
      <c r="AF13" s="116"/>
      <c r="AG13" s="110">
        <v>19</v>
      </c>
      <c r="AI13" s="110">
        <v>5018</v>
      </c>
      <c r="AK13" s="110">
        <v>82979</v>
      </c>
      <c r="AM13" s="110">
        <v>5</v>
      </c>
      <c r="AO13" s="110">
        <v>1853</v>
      </c>
      <c r="AQ13" s="110">
        <v>73552</v>
      </c>
      <c r="AS13" s="110">
        <v>4</v>
      </c>
      <c r="AU13" s="110">
        <v>1022</v>
      </c>
      <c r="AW13" s="110">
        <v>7218</v>
      </c>
      <c r="AY13" s="127"/>
      <c r="AZ13" s="127"/>
      <c r="BA13" s="127"/>
      <c r="BB13" s="127"/>
      <c r="BC13" s="127"/>
      <c r="BD13" s="127"/>
      <c r="BE13" s="128"/>
      <c r="BF13" s="127"/>
      <c r="BG13" s="127"/>
      <c r="BH13" s="127"/>
      <c r="BI13" s="127"/>
      <c r="BJ13" s="127"/>
    </row>
    <row r="14" spans="2:286" s="110" customFormat="1" ht="30" customHeight="1" x14ac:dyDescent="0.2">
      <c r="B14" s="463" t="s">
        <v>31</v>
      </c>
      <c r="C14" s="110">
        <v>43</v>
      </c>
      <c r="E14" s="110">
        <v>16891</v>
      </c>
      <c r="G14" s="116">
        <v>415787</v>
      </c>
      <c r="I14" s="110">
        <v>22</v>
      </c>
      <c r="K14" s="116">
        <v>46521</v>
      </c>
      <c r="M14" s="116">
        <v>529860</v>
      </c>
      <c r="O14" s="110">
        <v>24</v>
      </c>
      <c r="Q14" s="116">
        <v>40295</v>
      </c>
      <c r="S14" s="116">
        <v>449676</v>
      </c>
      <c r="U14" s="110">
        <v>12</v>
      </c>
      <c r="W14" s="116">
        <v>4007</v>
      </c>
      <c r="Y14" s="116">
        <v>494208</v>
      </c>
      <c r="AA14" s="116">
        <v>7</v>
      </c>
      <c r="AB14" s="116"/>
      <c r="AC14" s="116">
        <v>3305</v>
      </c>
      <c r="AD14" s="116"/>
      <c r="AE14" s="116">
        <v>83800</v>
      </c>
      <c r="AF14" s="116"/>
      <c r="AG14" s="110">
        <v>6</v>
      </c>
      <c r="AI14" s="116">
        <v>4697</v>
      </c>
      <c r="AK14" s="116">
        <v>105312</v>
      </c>
      <c r="AM14" s="116">
        <v>6</v>
      </c>
      <c r="AN14" s="116"/>
      <c r="AO14" s="116">
        <v>4376</v>
      </c>
      <c r="AP14" s="116"/>
      <c r="AQ14" s="110">
        <v>54152</v>
      </c>
      <c r="AR14" s="116"/>
      <c r="AS14" s="116">
        <v>6</v>
      </c>
      <c r="AT14" s="116"/>
      <c r="AU14" s="116">
        <v>6472</v>
      </c>
      <c r="AV14" s="116"/>
      <c r="AW14" s="110">
        <v>63768</v>
      </c>
      <c r="AX14" s="116"/>
      <c r="AY14" s="127"/>
      <c r="AZ14" s="127"/>
      <c r="BA14" s="128"/>
      <c r="BB14" s="128"/>
      <c r="BC14" s="128"/>
      <c r="BD14" s="128"/>
      <c r="BE14" s="128"/>
      <c r="BF14" s="128"/>
      <c r="BG14" s="127"/>
      <c r="BH14" s="127"/>
      <c r="BI14" s="127"/>
      <c r="BJ14" s="127"/>
    </row>
    <row r="15" spans="2:286" s="110" customFormat="1" ht="30" customHeight="1" x14ac:dyDescent="0.2">
      <c r="B15" s="463" t="s">
        <v>32</v>
      </c>
      <c r="C15" s="110">
        <v>24</v>
      </c>
      <c r="E15" s="110">
        <v>34591</v>
      </c>
      <c r="G15" s="110">
        <v>670633</v>
      </c>
      <c r="I15" s="110">
        <v>32</v>
      </c>
      <c r="K15" s="110">
        <v>9001</v>
      </c>
      <c r="M15" s="110">
        <v>212478</v>
      </c>
      <c r="O15" s="110">
        <v>3</v>
      </c>
      <c r="Q15" s="110">
        <v>224</v>
      </c>
      <c r="S15" s="110">
        <v>34880</v>
      </c>
      <c r="U15" s="110">
        <v>11</v>
      </c>
      <c r="W15" s="110">
        <v>1250</v>
      </c>
      <c r="Y15" s="110">
        <v>104742</v>
      </c>
      <c r="AA15" s="110">
        <v>12</v>
      </c>
      <c r="AC15" s="110">
        <v>3652</v>
      </c>
      <c r="AE15" s="110">
        <v>88536</v>
      </c>
      <c r="AG15" s="110">
        <v>2</v>
      </c>
      <c r="AI15" s="110">
        <v>344</v>
      </c>
      <c r="AK15" s="110">
        <v>38840</v>
      </c>
      <c r="AM15" s="110">
        <v>5</v>
      </c>
      <c r="AO15" s="110">
        <v>2273</v>
      </c>
      <c r="AQ15" s="110">
        <v>108720</v>
      </c>
      <c r="AS15" s="110">
        <v>4</v>
      </c>
      <c r="AU15" s="110">
        <v>374</v>
      </c>
      <c r="AW15" s="110">
        <v>12000</v>
      </c>
      <c r="AY15" s="127"/>
      <c r="AZ15" s="127"/>
      <c r="BA15" s="127"/>
      <c r="BB15" s="127"/>
      <c r="BC15" s="127"/>
      <c r="BD15" s="127"/>
      <c r="BE15" s="127"/>
      <c r="BF15" s="127"/>
      <c r="BG15" s="127"/>
      <c r="BH15" s="127"/>
      <c r="BI15" s="127"/>
      <c r="BJ15" s="127"/>
    </row>
    <row r="16" spans="2:286" s="110" customFormat="1" ht="30" customHeight="1" x14ac:dyDescent="0.2">
      <c r="B16" s="463" t="s">
        <v>33</v>
      </c>
      <c r="C16" s="110">
        <v>43</v>
      </c>
      <c r="E16" s="116">
        <v>32715</v>
      </c>
      <c r="G16" s="116">
        <v>2414548</v>
      </c>
      <c r="I16" s="110">
        <v>21</v>
      </c>
      <c r="K16" s="110">
        <v>7383</v>
      </c>
      <c r="M16" s="110">
        <v>269204</v>
      </c>
      <c r="O16" s="110">
        <v>13</v>
      </c>
      <c r="Q16" s="110">
        <v>7113</v>
      </c>
      <c r="S16" s="110">
        <v>288265</v>
      </c>
      <c r="U16" s="110">
        <v>11</v>
      </c>
      <c r="W16" s="110">
        <v>1716</v>
      </c>
      <c r="Y16" s="110">
        <v>143590</v>
      </c>
      <c r="AA16" s="110">
        <v>23</v>
      </c>
      <c r="AC16" s="110">
        <v>14641</v>
      </c>
      <c r="AE16" s="110">
        <v>768704</v>
      </c>
      <c r="AG16" s="116">
        <v>3</v>
      </c>
      <c r="AH16" s="116"/>
      <c r="AI16" s="116">
        <v>450</v>
      </c>
      <c r="AJ16" s="116"/>
      <c r="AK16" s="116">
        <v>38384</v>
      </c>
      <c r="AL16" s="116"/>
      <c r="AM16" s="116">
        <v>6</v>
      </c>
      <c r="AN16" s="116"/>
      <c r="AO16" s="110">
        <v>4207</v>
      </c>
      <c r="AP16" s="116"/>
      <c r="AQ16" s="110">
        <v>461720</v>
      </c>
      <c r="AR16" s="116"/>
      <c r="AS16" s="116">
        <v>6</v>
      </c>
      <c r="AU16" s="110">
        <v>545</v>
      </c>
      <c r="AW16" s="110">
        <v>11698</v>
      </c>
      <c r="AX16" s="116"/>
      <c r="AY16" s="127"/>
      <c r="AZ16" s="127"/>
      <c r="BA16" s="128"/>
      <c r="BB16" s="127"/>
      <c r="BC16" s="127"/>
      <c r="BD16" s="127"/>
      <c r="BE16" s="127"/>
      <c r="BF16" s="128"/>
      <c r="BG16" s="127"/>
      <c r="BH16" s="127"/>
      <c r="BI16" s="127"/>
      <c r="BJ16" s="127"/>
    </row>
    <row r="17" spans="2:62" s="110" customFormat="1" ht="25.15" customHeight="1" x14ac:dyDescent="0.2">
      <c r="B17" s="463" t="s">
        <v>34</v>
      </c>
      <c r="C17" s="116">
        <v>93</v>
      </c>
      <c r="D17" s="116"/>
      <c r="E17" s="110">
        <v>44236</v>
      </c>
      <c r="F17" s="116"/>
      <c r="G17" s="116">
        <v>2070365</v>
      </c>
      <c r="H17" s="116"/>
      <c r="I17" s="116">
        <v>32</v>
      </c>
      <c r="J17" s="116"/>
      <c r="K17" s="116">
        <v>10836</v>
      </c>
      <c r="L17" s="116"/>
      <c r="M17" s="116">
        <v>422476</v>
      </c>
      <c r="N17" s="116"/>
      <c r="O17" s="116">
        <v>16</v>
      </c>
      <c r="P17" s="116"/>
      <c r="Q17" s="116">
        <v>5288</v>
      </c>
      <c r="R17" s="116"/>
      <c r="S17" s="116">
        <v>99402</v>
      </c>
      <c r="T17" s="116"/>
      <c r="U17" s="116">
        <v>6</v>
      </c>
      <c r="V17" s="116"/>
      <c r="W17" s="116">
        <v>1056</v>
      </c>
      <c r="X17" s="116"/>
      <c r="Y17" s="116">
        <v>109584</v>
      </c>
      <c r="Z17" s="116"/>
      <c r="AA17" s="116">
        <v>32</v>
      </c>
      <c r="AB17" s="116"/>
      <c r="AC17" s="116">
        <v>10085</v>
      </c>
      <c r="AD17" s="116"/>
      <c r="AE17" s="116">
        <v>254552</v>
      </c>
      <c r="AF17" s="116"/>
      <c r="AG17" s="110">
        <v>7</v>
      </c>
      <c r="AI17" s="116">
        <v>1502</v>
      </c>
      <c r="AK17" s="116">
        <v>42008</v>
      </c>
      <c r="AM17" s="116">
        <v>5</v>
      </c>
      <c r="AN17" s="116"/>
      <c r="AO17" s="116">
        <v>1655</v>
      </c>
      <c r="AP17" s="116"/>
      <c r="AQ17" s="110">
        <v>122026</v>
      </c>
      <c r="AR17" s="116"/>
      <c r="AS17" s="116">
        <v>5</v>
      </c>
      <c r="AT17" s="116"/>
      <c r="AU17" s="116">
        <v>5021</v>
      </c>
      <c r="AV17" s="116"/>
      <c r="AW17" s="110">
        <v>121040</v>
      </c>
      <c r="AX17" s="116"/>
      <c r="AY17" s="127"/>
      <c r="AZ17" s="127"/>
      <c r="BA17" s="128"/>
      <c r="BB17" s="128"/>
      <c r="BC17" s="128"/>
      <c r="BD17" s="128"/>
      <c r="BE17" s="128"/>
      <c r="BF17" s="128"/>
      <c r="BG17" s="127"/>
      <c r="BH17" s="127"/>
      <c r="BI17" s="127"/>
      <c r="BJ17" s="127"/>
    </row>
    <row r="18" spans="2:62" s="110" customFormat="1" ht="25.15" customHeight="1" x14ac:dyDescent="0.2">
      <c r="B18" s="463" t="s">
        <v>35</v>
      </c>
      <c r="C18" s="116">
        <v>42</v>
      </c>
      <c r="D18" s="116"/>
      <c r="E18" s="110">
        <v>12904</v>
      </c>
      <c r="F18" s="116"/>
      <c r="G18" s="116">
        <v>971815</v>
      </c>
      <c r="H18" s="116"/>
      <c r="I18" s="116">
        <v>25</v>
      </c>
      <c r="J18" s="116"/>
      <c r="K18" s="116">
        <v>16238</v>
      </c>
      <c r="L18" s="116"/>
      <c r="M18" s="116">
        <v>843384</v>
      </c>
      <c r="N18" s="116"/>
      <c r="O18" s="110">
        <v>13</v>
      </c>
      <c r="Q18" s="116">
        <v>6207</v>
      </c>
      <c r="S18" s="116">
        <v>136534</v>
      </c>
      <c r="U18" s="110">
        <v>6</v>
      </c>
      <c r="W18" s="116">
        <v>1193</v>
      </c>
      <c r="Y18" s="116">
        <v>166976</v>
      </c>
      <c r="AA18" s="116">
        <v>16</v>
      </c>
      <c r="AB18" s="116"/>
      <c r="AC18" s="116">
        <v>3397</v>
      </c>
      <c r="AD18" s="116"/>
      <c r="AE18" s="116">
        <v>165312</v>
      </c>
      <c r="AF18" s="116"/>
      <c r="AG18" s="110">
        <v>8</v>
      </c>
      <c r="AI18" s="116">
        <v>1491</v>
      </c>
      <c r="AK18" s="116">
        <v>19848</v>
      </c>
      <c r="AM18" s="116">
        <v>3</v>
      </c>
      <c r="AN18" s="116"/>
      <c r="AO18" s="116">
        <v>1484</v>
      </c>
      <c r="AP18" s="116"/>
      <c r="AQ18" s="110">
        <v>12624</v>
      </c>
      <c r="AR18" s="116"/>
      <c r="AS18" s="116">
        <v>3</v>
      </c>
      <c r="AT18" s="116"/>
      <c r="AU18" s="116">
        <v>293</v>
      </c>
      <c r="AV18" s="116"/>
      <c r="AW18" s="110">
        <v>24080</v>
      </c>
      <c r="AX18" s="116"/>
      <c r="AY18" s="127"/>
      <c r="AZ18" s="127"/>
      <c r="BA18" s="128"/>
      <c r="BB18" s="128"/>
      <c r="BC18" s="128"/>
      <c r="BD18" s="128"/>
      <c r="BE18" s="128"/>
      <c r="BF18" s="128"/>
      <c r="BG18" s="127"/>
      <c r="BH18" s="127"/>
      <c r="BI18" s="127"/>
      <c r="BJ18" s="127"/>
    </row>
    <row r="19" spans="2:62" s="110" customFormat="1" ht="25.15" customHeight="1" x14ac:dyDescent="0.2">
      <c r="B19" s="463" t="s">
        <v>36</v>
      </c>
      <c r="C19" s="116">
        <v>21</v>
      </c>
      <c r="D19" s="116"/>
      <c r="E19" s="116">
        <v>3372</v>
      </c>
      <c r="F19" s="116"/>
      <c r="G19" s="116">
        <v>145968</v>
      </c>
      <c r="H19" s="116"/>
      <c r="I19" s="116">
        <v>7</v>
      </c>
      <c r="J19" s="116"/>
      <c r="K19" s="116">
        <v>1132</v>
      </c>
      <c r="L19" s="116"/>
      <c r="M19" s="116">
        <v>107235</v>
      </c>
      <c r="N19" s="116"/>
      <c r="O19" s="110">
        <v>16</v>
      </c>
      <c r="Q19" s="116">
        <v>6355</v>
      </c>
      <c r="S19" s="116">
        <v>184042</v>
      </c>
      <c r="U19" s="116">
        <v>11</v>
      </c>
      <c r="V19" s="116"/>
      <c r="W19" s="116">
        <v>2023</v>
      </c>
      <c r="X19" s="116"/>
      <c r="Y19" s="116">
        <v>40754</v>
      </c>
      <c r="Z19" s="116"/>
      <c r="AA19" s="110">
        <v>18</v>
      </c>
      <c r="AC19" s="116">
        <v>6758</v>
      </c>
      <c r="AE19" s="116">
        <v>186328</v>
      </c>
      <c r="AG19" s="116">
        <v>6</v>
      </c>
      <c r="AH19" s="116"/>
      <c r="AI19" s="116">
        <v>1106</v>
      </c>
      <c r="AJ19" s="116"/>
      <c r="AK19" s="116">
        <v>94440</v>
      </c>
      <c r="AL19" s="116"/>
      <c r="AM19" s="116">
        <v>3</v>
      </c>
      <c r="AN19" s="116"/>
      <c r="AO19" s="116">
        <v>464</v>
      </c>
      <c r="AP19" s="116"/>
      <c r="AQ19" s="110">
        <v>5632</v>
      </c>
      <c r="AR19" s="116"/>
      <c r="AS19" s="116">
        <v>3</v>
      </c>
      <c r="AT19" s="116"/>
      <c r="AU19" s="116">
        <v>153</v>
      </c>
      <c r="AV19" s="116"/>
      <c r="AW19" s="110">
        <v>6242</v>
      </c>
      <c r="AX19" s="116"/>
      <c r="AY19" s="127"/>
      <c r="AZ19" s="127"/>
      <c r="BA19" s="128"/>
      <c r="BB19" s="128"/>
      <c r="BC19" s="128"/>
      <c r="BD19" s="128"/>
      <c r="BE19" s="128"/>
      <c r="BF19" s="128"/>
      <c r="BG19" s="127"/>
      <c r="BH19" s="127"/>
      <c r="BI19" s="127"/>
      <c r="BJ19" s="127"/>
    </row>
    <row r="20" spans="2:62" s="125" customFormat="1" ht="30" customHeight="1" x14ac:dyDescent="0.2">
      <c r="B20" s="454" t="s">
        <v>6</v>
      </c>
      <c r="C20" s="455">
        <f>SUM(C8:C19)</f>
        <v>613</v>
      </c>
      <c r="D20" s="455"/>
      <c r="E20" s="455">
        <f>SUM(E8:E19)</f>
        <v>258234</v>
      </c>
      <c r="F20" s="455"/>
      <c r="G20" s="455">
        <f>SUM(G8:G19)</f>
        <v>15067880</v>
      </c>
      <c r="H20" s="456"/>
      <c r="I20" s="455">
        <f>SUM(I8:I19)</f>
        <v>315</v>
      </c>
      <c r="J20" s="455"/>
      <c r="K20" s="455">
        <f>SUM(K8:K19)</f>
        <v>180728</v>
      </c>
      <c r="L20" s="455"/>
      <c r="M20" s="455">
        <f>SUM(M8:M19)</f>
        <v>8880886</v>
      </c>
      <c r="N20" s="456"/>
      <c r="O20" s="455">
        <f>SUM(O8:O19)</f>
        <v>219</v>
      </c>
      <c r="P20" s="455"/>
      <c r="Q20" s="455">
        <f>SUM(Q8:Q19)</f>
        <v>114656</v>
      </c>
      <c r="R20" s="455"/>
      <c r="S20" s="455">
        <f>SUM(S8:S19)</f>
        <v>2319379</v>
      </c>
      <c r="T20" s="456"/>
      <c r="U20" s="455">
        <f>SUM(U8:U19)</f>
        <v>151</v>
      </c>
      <c r="V20" s="455"/>
      <c r="W20" s="455">
        <f>SUM(W8:W19)</f>
        <v>41474</v>
      </c>
      <c r="X20" s="455"/>
      <c r="Y20" s="455">
        <f>SUM(Y8:Y19)</f>
        <v>2167764</v>
      </c>
      <c r="Z20" s="456"/>
      <c r="AA20" s="455">
        <f>SUM(AA8:AA19)</f>
        <v>168</v>
      </c>
      <c r="AB20" s="455"/>
      <c r="AC20" s="455">
        <f>SUM(AC8:AC19)</f>
        <v>62940</v>
      </c>
      <c r="AD20" s="455"/>
      <c r="AE20" s="455">
        <f>SUM(AE8:AE19)</f>
        <v>1936647</v>
      </c>
      <c r="AF20" s="456"/>
      <c r="AG20" s="455">
        <f>SUM(AG8:AG19)</f>
        <v>102</v>
      </c>
      <c r="AH20" s="455"/>
      <c r="AI20" s="455">
        <f>SUM(AI8:AI19)</f>
        <v>28182</v>
      </c>
      <c r="AJ20" s="455"/>
      <c r="AK20" s="455">
        <f>SUM(AK8:AK19)</f>
        <v>1048753</v>
      </c>
      <c r="AL20" s="456"/>
      <c r="AM20" s="455">
        <f>SUM(AM8:AM19)</f>
        <v>77</v>
      </c>
      <c r="AN20" s="455"/>
      <c r="AO20" s="455">
        <f>SUM(AO8:AO19)</f>
        <v>36242</v>
      </c>
      <c r="AP20" s="455"/>
      <c r="AQ20" s="455">
        <f>SUM(AQ8:AQ19)</f>
        <v>1399886</v>
      </c>
      <c r="AR20" s="456"/>
      <c r="AS20" s="455">
        <f>SUM(AS8:AS19)</f>
        <v>66</v>
      </c>
      <c r="AT20" s="455"/>
      <c r="AU20" s="455">
        <f>SUM(AU8:AU19)</f>
        <v>19196</v>
      </c>
      <c r="AV20" s="455"/>
      <c r="AW20" s="455">
        <f>SUM(AW8:AW19)</f>
        <v>319414</v>
      </c>
      <c r="AX20" s="455"/>
      <c r="AY20" s="129"/>
      <c r="AZ20" s="129"/>
      <c r="BA20" s="129"/>
      <c r="BB20" s="129"/>
      <c r="BC20" s="129"/>
      <c r="BD20" s="129"/>
      <c r="BE20" s="129"/>
      <c r="BF20" s="129"/>
      <c r="BG20" s="129"/>
      <c r="BH20" s="129"/>
      <c r="BI20" s="129"/>
      <c r="BJ20" s="129"/>
    </row>
    <row r="21" spans="2:62" s="127" customFormat="1" ht="25.15" customHeight="1" x14ac:dyDescent="0.2">
      <c r="B21" s="130"/>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row>
    <row r="22" spans="2:62" s="125" customFormat="1" ht="25.15" customHeight="1" x14ac:dyDescent="0.25">
      <c r="B22" s="884" t="s">
        <v>24</v>
      </c>
      <c r="C22" s="876" t="s">
        <v>258</v>
      </c>
      <c r="D22" s="876"/>
      <c r="E22" s="876"/>
      <c r="F22" s="876"/>
      <c r="G22" s="876"/>
      <c r="H22" s="876"/>
      <c r="I22" s="876"/>
      <c r="J22" s="876"/>
      <c r="K22" s="876"/>
      <c r="L22" s="876"/>
      <c r="M22" s="876"/>
      <c r="N22" s="876"/>
      <c r="O22" s="876"/>
      <c r="P22" s="876"/>
      <c r="Q22" s="876"/>
      <c r="R22" s="876"/>
      <c r="S22" s="876"/>
      <c r="T22" s="876"/>
      <c r="U22" s="876"/>
      <c r="V22" s="876"/>
      <c r="W22" s="876"/>
      <c r="X22" s="876"/>
      <c r="Y22" s="876"/>
      <c r="Z22" s="876"/>
      <c r="AA22" s="876"/>
      <c r="AB22" s="876"/>
      <c r="AC22" s="876"/>
      <c r="AD22" s="876"/>
      <c r="AE22" s="876"/>
      <c r="AF22" s="876"/>
      <c r="AG22" s="876"/>
      <c r="AH22" s="876"/>
      <c r="AI22" s="876"/>
      <c r="AJ22" s="876"/>
      <c r="AK22" s="876"/>
      <c r="AL22" s="876"/>
      <c r="AM22" s="876"/>
      <c r="AN22" s="876"/>
      <c r="AO22" s="876"/>
      <c r="AP22" s="876"/>
      <c r="AQ22" s="876"/>
      <c r="AR22" s="876"/>
      <c r="AS22" s="876"/>
      <c r="AT22" s="876"/>
      <c r="AU22" s="876"/>
      <c r="AV22" s="876"/>
      <c r="AW22" s="876"/>
      <c r="AX22" s="876"/>
      <c r="AY22" s="124"/>
      <c r="AZ22" s="124"/>
      <c r="BA22" s="890"/>
      <c r="BB22" s="890"/>
      <c r="BC22" s="890"/>
      <c r="BD22" s="890"/>
      <c r="BE22" s="890"/>
      <c r="BF22" s="890"/>
      <c r="BG22" s="890"/>
      <c r="BH22" s="890"/>
      <c r="BI22" s="890"/>
      <c r="BJ22" s="890"/>
    </row>
    <row r="23" spans="2:62" s="125" customFormat="1" ht="25.15" customHeight="1" x14ac:dyDescent="0.25">
      <c r="B23" s="884"/>
      <c r="C23" s="887">
        <v>1998</v>
      </c>
      <c r="D23" s="887"/>
      <c r="E23" s="887"/>
      <c r="F23" s="887"/>
      <c r="G23" s="887"/>
      <c r="H23" s="887"/>
      <c r="I23" s="887">
        <v>1999</v>
      </c>
      <c r="J23" s="887"/>
      <c r="K23" s="887"/>
      <c r="L23" s="887"/>
      <c r="M23" s="887"/>
      <c r="N23" s="887"/>
      <c r="O23" s="877">
        <v>2000</v>
      </c>
      <c r="P23" s="877"/>
      <c r="Q23" s="877"/>
      <c r="R23" s="877"/>
      <c r="S23" s="877"/>
      <c r="T23" s="877"/>
      <c r="U23" s="877">
        <v>2001</v>
      </c>
      <c r="V23" s="877"/>
      <c r="W23" s="877"/>
      <c r="X23" s="877"/>
      <c r="Y23" s="877"/>
      <c r="Z23" s="877"/>
      <c r="AA23" s="877">
        <v>2002</v>
      </c>
      <c r="AB23" s="877"/>
      <c r="AC23" s="877"/>
      <c r="AD23" s="877"/>
      <c r="AE23" s="877"/>
      <c r="AF23" s="877"/>
      <c r="AG23" s="877">
        <v>2003</v>
      </c>
      <c r="AH23" s="877"/>
      <c r="AI23" s="877"/>
      <c r="AJ23" s="877"/>
      <c r="AK23" s="877"/>
      <c r="AL23" s="877"/>
      <c r="AM23" s="877">
        <v>2004</v>
      </c>
      <c r="AN23" s="877"/>
      <c r="AO23" s="877"/>
      <c r="AP23" s="877"/>
      <c r="AQ23" s="877"/>
      <c r="AR23" s="877"/>
      <c r="AS23" s="877">
        <v>2005</v>
      </c>
      <c r="AT23" s="877"/>
      <c r="AU23" s="877"/>
      <c r="AV23" s="877"/>
      <c r="AW23" s="877"/>
      <c r="AX23" s="877"/>
      <c r="AY23" s="124"/>
      <c r="AZ23" s="124"/>
      <c r="BA23" s="132"/>
      <c r="BB23" s="132"/>
      <c r="BC23" s="132"/>
      <c r="BD23" s="132"/>
      <c r="BE23" s="132"/>
      <c r="BF23" s="132"/>
      <c r="BG23" s="132"/>
      <c r="BH23" s="132"/>
      <c r="BI23" s="132"/>
      <c r="BJ23" s="132"/>
    </row>
    <row r="24" spans="2:62" s="125" customFormat="1" ht="25.15" customHeight="1" x14ac:dyDescent="0.2">
      <c r="B24" s="884"/>
      <c r="C24" s="887" t="s">
        <v>179</v>
      </c>
      <c r="D24" s="888"/>
      <c r="E24" s="886" t="s">
        <v>226</v>
      </c>
      <c r="F24" s="888"/>
      <c r="G24" s="886" t="s">
        <v>227</v>
      </c>
      <c r="H24" s="887"/>
      <c r="I24" s="887" t="s">
        <v>179</v>
      </c>
      <c r="J24" s="888"/>
      <c r="K24" s="886" t="s">
        <v>226</v>
      </c>
      <c r="L24" s="888"/>
      <c r="M24" s="886" t="s">
        <v>227</v>
      </c>
      <c r="N24" s="887"/>
      <c r="O24" s="887" t="s">
        <v>179</v>
      </c>
      <c r="P24" s="888"/>
      <c r="Q24" s="886" t="s">
        <v>226</v>
      </c>
      <c r="R24" s="888"/>
      <c r="S24" s="886" t="s">
        <v>227</v>
      </c>
      <c r="T24" s="887"/>
      <c r="U24" s="887" t="s">
        <v>179</v>
      </c>
      <c r="V24" s="888"/>
      <c r="W24" s="886" t="s">
        <v>226</v>
      </c>
      <c r="X24" s="888"/>
      <c r="Y24" s="886" t="s">
        <v>227</v>
      </c>
      <c r="Z24" s="887"/>
      <c r="AA24" s="887" t="s">
        <v>179</v>
      </c>
      <c r="AB24" s="888"/>
      <c r="AC24" s="886" t="s">
        <v>226</v>
      </c>
      <c r="AD24" s="888"/>
      <c r="AE24" s="886" t="s">
        <v>227</v>
      </c>
      <c r="AF24" s="887"/>
      <c r="AG24" s="887" t="s">
        <v>179</v>
      </c>
      <c r="AH24" s="888"/>
      <c r="AI24" s="886" t="s">
        <v>226</v>
      </c>
      <c r="AJ24" s="888"/>
      <c r="AK24" s="886" t="s">
        <v>227</v>
      </c>
      <c r="AL24" s="887"/>
      <c r="AM24" s="887" t="s">
        <v>179</v>
      </c>
      <c r="AN24" s="888"/>
      <c r="AO24" s="886" t="s">
        <v>226</v>
      </c>
      <c r="AP24" s="888"/>
      <c r="AQ24" s="886" t="s">
        <v>227</v>
      </c>
      <c r="AR24" s="887"/>
      <c r="AS24" s="887" t="s">
        <v>179</v>
      </c>
      <c r="AT24" s="888"/>
      <c r="AU24" s="886" t="s">
        <v>226</v>
      </c>
      <c r="AV24" s="888"/>
      <c r="AW24" s="886" t="s">
        <v>227</v>
      </c>
      <c r="AX24" s="887"/>
      <c r="BA24" s="126"/>
      <c r="BB24" s="126"/>
      <c r="BC24" s="126"/>
      <c r="BD24" s="126"/>
      <c r="BE24" s="126"/>
      <c r="BF24" s="126"/>
      <c r="BG24" s="126"/>
      <c r="BH24" s="126"/>
      <c r="BI24" s="126"/>
      <c r="BJ24" s="126"/>
    </row>
    <row r="25" spans="2:62" s="110" customFormat="1" ht="30" customHeight="1" x14ac:dyDescent="0.2">
      <c r="B25" s="463" t="s">
        <v>25</v>
      </c>
      <c r="C25" s="110">
        <v>3</v>
      </c>
      <c r="D25" s="116"/>
      <c r="E25" s="110">
        <v>204</v>
      </c>
      <c r="G25" s="110">
        <v>1632</v>
      </c>
      <c r="H25" s="116"/>
      <c r="I25" s="110">
        <v>6</v>
      </c>
      <c r="K25" s="110">
        <v>888</v>
      </c>
      <c r="L25" s="116"/>
      <c r="M25" s="110">
        <v>16485</v>
      </c>
      <c r="O25" s="110">
        <v>3</v>
      </c>
      <c r="P25" s="116"/>
      <c r="Q25" s="110">
        <v>471</v>
      </c>
      <c r="R25" s="116"/>
      <c r="S25" s="110">
        <v>9912</v>
      </c>
      <c r="T25" s="116"/>
      <c r="U25" s="110">
        <v>3</v>
      </c>
      <c r="W25" s="110">
        <v>684</v>
      </c>
      <c r="Y25" s="110">
        <v>30792</v>
      </c>
      <c r="AA25" s="110">
        <v>13</v>
      </c>
      <c r="AC25" s="110">
        <v>1517</v>
      </c>
      <c r="AE25" s="110">
        <v>51840</v>
      </c>
      <c r="AG25" s="110">
        <v>5</v>
      </c>
      <c r="AI25" s="110">
        <v>16830</v>
      </c>
      <c r="AK25" s="110">
        <v>445824</v>
      </c>
      <c r="AM25" s="110">
        <v>6</v>
      </c>
      <c r="AO25" s="110">
        <v>2471</v>
      </c>
      <c r="AQ25" s="116">
        <v>112008</v>
      </c>
      <c r="AS25" s="110">
        <v>3</v>
      </c>
      <c r="AU25" s="110">
        <v>759</v>
      </c>
      <c r="AW25" s="110">
        <v>7878</v>
      </c>
      <c r="AY25" s="127"/>
      <c r="AZ25" s="127"/>
      <c r="BA25" s="128"/>
      <c r="BB25" s="127"/>
      <c r="BC25" s="127"/>
      <c r="BD25" s="128"/>
      <c r="BE25" s="127"/>
      <c r="BF25" s="128"/>
      <c r="BG25" s="127"/>
      <c r="BH25" s="127"/>
      <c r="BI25" s="127"/>
      <c r="BJ25" s="127"/>
    </row>
    <row r="26" spans="2:62" s="110" customFormat="1" ht="30" customHeight="1" x14ac:dyDescent="0.2">
      <c r="B26" s="463" t="s">
        <v>26</v>
      </c>
      <c r="C26" s="110">
        <v>3</v>
      </c>
      <c r="D26" s="116"/>
      <c r="E26" s="110">
        <v>721</v>
      </c>
      <c r="G26" s="110">
        <v>14944</v>
      </c>
      <c r="H26" s="116"/>
      <c r="I26" s="110">
        <v>12</v>
      </c>
      <c r="K26" s="110">
        <v>6706</v>
      </c>
      <c r="L26" s="116"/>
      <c r="M26" s="110">
        <v>56352</v>
      </c>
      <c r="O26" s="110">
        <v>4</v>
      </c>
      <c r="Q26" s="110">
        <v>931</v>
      </c>
      <c r="S26" s="110">
        <v>12008</v>
      </c>
      <c r="U26" s="110">
        <v>1</v>
      </c>
      <c r="W26" s="110">
        <v>80</v>
      </c>
      <c r="Y26" s="116">
        <v>640</v>
      </c>
      <c r="AA26" s="110">
        <v>1</v>
      </c>
      <c r="AC26" s="110">
        <v>300</v>
      </c>
      <c r="AE26" s="110">
        <v>18976</v>
      </c>
      <c r="AG26" s="110">
        <v>7</v>
      </c>
      <c r="AI26" s="110">
        <v>498</v>
      </c>
      <c r="AK26" s="116">
        <v>17006</v>
      </c>
      <c r="AM26" s="110">
        <v>6</v>
      </c>
      <c r="AO26" s="110">
        <v>1399</v>
      </c>
      <c r="AQ26" s="116">
        <v>24952</v>
      </c>
      <c r="AS26" s="110">
        <v>3</v>
      </c>
      <c r="AU26" s="110">
        <v>440</v>
      </c>
      <c r="AW26" s="110">
        <v>3520</v>
      </c>
      <c r="AY26" s="127"/>
      <c r="AZ26" s="127"/>
      <c r="BA26" s="128"/>
      <c r="BB26" s="127"/>
      <c r="BC26" s="128"/>
      <c r="BD26" s="128"/>
      <c r="BE26" s="128"/>
      <c r="BF26" s="128"/>
      <c r="BG26" s="127"/>
      <c r="BH26" s="127"/>
      <c r="BI26" s="127"/>
      <c r="BJ26" s="127"/>
    </row>
    <row r="27" spans="2:62" s="110" customFormat="1" ht="30" customHeight="1" x14ac:dyDescent="0.2">
      <c r="B27" s="463" t="s">
        <v>27</v>
      </c>
      <c r="C27" s="110">
        <v>4</v>
      </c>
      <c r="E27" s="110">
        <v>1020</v>
      </c>
      <c r="G27" s="110">
        <v>19688</v>
      </c>
      <c r="I27" s="110">
        <v>2</v>
      </c>
      <c r="K27" s="110">
        <v>201</v>
      </c>
      <c r="M27" s="110">
        <v>1608</v>
      </c>
      <c r="O27" s="110">
        <v>7</v>
      </c>
      <c r="Q27" s="110">
        <v>1230</v>
      </c>
      <c r="S27" s="110">
        <v>13340</v>
      </c>
      <c r="U27" s="110">
        <v>4</v>
      </c>
      <c r="W27" s="110">
        <v>1451</v>
      </c>
      <c r="Y27" s="110">
        <v>209712</v>
      </c>
      <c r="AA27" s="110">
        <v>4</v>
      </c>
      <c r="AC27" s="110">
        <v>5332</v>
      </c>
      <c r="AE27" s="110">
        <v>114832</v>
      </c>
      <c r="AG27" s="110">
        <v>2</v>
      </c>
      <c r="AI27" s="110">
        <v>64</v>
      </c>
      <c r="AK27" s="110">
        <v>7264</v>
      </c>
      <c r="AM27" s="110">
        <v>6</v>
      </c>
      <c r="AO27" s="110">
        <v>1106</v>
      </c>
      <c r="AQ27" s="110">
        <v>41968</v>
      </c>
      <c r="AS27" s="110">
        <v>6</v>
      </c>
      <c r="AU27" s="110">
        <v>3968</v>
      </c>
      <c r="AW27" s="110">
        <v>31744</v>
      </c>
      <c r="AY27" s="127"/>
      <c r="AZ27" s="127"/>
      <c r="BA27" s="127"/>
      <c r="BB27" s="127"/>
      <c r="BC27" s="127"/>
      <c r="BD27" s="127"/>
      <c r="BE27" s="127"/>
      <c r="BF27" s="127"/>
      <c r="BG27" s="127"/>
      <c r="BH27" s="127"/>
      <c r="BI27" s="127"/>
      <c r="BJ27" s="127"/>
    </row>
    <row r="28" spans="2:62" s="110" customFormat="1" ht="30" customHeight="1" x14ac:dyDescent="0.2">
      <c r="B28" s="463" t="s">
        <v>28</v>
      </c>
      <c r="C28" s="110">
        <v>3</v>
      </c>
      <c r="E28" s="110">
        <v>562</v>
      </c>
      <c r="G28" s="110">
        <v>27936</v>
      </c>
      <c r="I28" s="110">
        <v>6</v>
      </c>
      <c r="K28" s="110">
        <v>36712</v>
      </c>
      <c r="M28" s="110">
        <v>302872</v>
      </c>
      <c r="O28" s="116" t="s">
        <v>8</v>
      </c>
      <c r="Q28" s="110" t="s">
        <v>8</v>
      </c>
      <c r="S28" s="116" t="s">
        <v>8</v>
      </c>
      <c r="U28" s="110">
        <v>3</v>
      </c>
      <c r="W28" s="110">
        <v>197</v>
      </c>
      <c r="Y28" s="110">
        <v>1376</v>
      </c>
      <c r="AA28" s="110">
        <v>4</v>
      </c>
      <c r="AC28" s="110">
        <v>592</v>
      </c>
      <c r="AE28" s="110">
        <v>9208</v>
      </c>
      <c r="AG28" s="110">
        <v>4</v>
      </c>
      <c r="AH28" s="116"/>
      <c r="AI28" s="110">
        <v>2477</v>
      </c>
      <c r="AJ28" s="116"/>
      <c r="AK28" s="110">
        <v>39186</v>
      </c>
      <c r="AL28" s="116"/>
      <c r="AM28" s="110">
        <v>17</v>
      </c>
      <c r="AO28" s="110">
        <v>6897</v>
      </c>
      <c r="AQ28" s="110">
        <v>96408</v>
      </c>
      <c r="AS28" s="110">
        <v>6</v>
      </c>
      <c r="AU28" s="110">
        <v>2199</v>
      </c>
      <c r="AW28" s="110">
        <v>25544</v>
      </c>
      <c r="AY28" s="127"/>
      <c r="AZ28" s="127"/>
      <c r="BA28" s="127"/>
      <c r="BB28" s="127"/>
      <c r="BC28" s="127"/>
      <c r="BD28" s="127"/>
      <c r="BE28" s="127"/>
      <c r="BF28" s="127"/>
      <c r="BG28" s="127"/>
      <c r="BH28" s="127"/>
      <c r="BI28" s="127"/>
      <c r="BJ28" s="127"/>
    </row>
    <row r="29" spans="2:62" s="110" customFormat="1" ht="30" customHeight="1" x14ac:dyDescent="0.2">
      <c r="B29" s="463" t="s">
        <v>29</v>
      </c>
      <c r="C29" s="110">
        <v>6</v>
      </c>
      <c r="D29" s="116"/>
      <c r="E29" s="110">
        <v>1206</v>
      </c>
      <c r="F29" s="116"/>
      <c r="G29" s="110">
        <v>6660</v>
      </c>
      <c r="H29" s="116"/>
      <c r="I29" s="110">
        <v>5</v>
      </c>
      <c r="K29" s="110">
        <v>646</v>
      </c>
      <c r="L29" s="116"/>
      <c r="M29" s="110">
        <v>8376</v>
      </c>
      <c r="O29" s="110">
        <v>5</v>
      </c>
      <c r="P29" s="116"/>
      <c r="Q29" s="110">
        <v>521</v>
      </c>
      <c r="R29" s="116"/>
      <c r="S29" s="110">
        <v>9400</v>
      </c>
      <c r="T29" s="116"/>
      <c r="U29" s="110">
        <v>4</v>
      </c>
      <c r="W29" s="110">
        <v>1084</v>
      </c>
      <c r="Y29" s="116">
        <v>26704</v>
      </c>
      <c r="AA29" s="110">
        <v>10</v>
      </c>
      <c r="AC29" s="110">
        <v>3720</v>
      </c>
      <c r="AE29" s="110">
        <v>127320</v>
      </c>
      <c r="AG29" s="110">
        <v>5</v>
      </c>
      <c r="AI29" s="110">
        <v>335</v>
      </c>
      <c r="AK29" s="116">
        <v>5584</v>
      </c>
      <c r="AM29" s="110">
        <v>8</v>
      </c>
      <c r="AO29" s="110">
        <v>2176</v>
      </c>
      <c r="AQ29" s="116">
        <v>29576</v>
      </c>
      <c r="AS29" s="110">
        <v>10</v>
      </c>
      <c r="AU29" s="110">
        <v>4685</v>
      </c>
      <c r="AW29" s="110">
        <v>119652</v>
      </c>
      <c r="AY29" s="127"/>
      <c r="AZ29" s="127"/>
      <c r="BA29" s="128"/>
      <c r="BB29" s="128"/>
      <c r="BC29" s="128"/>
      <c r="BD29" s="128"/>
      <c r="BE29" s="128"/>
      <c r="BF29" s="128"/>
      <c r="BG29" s="127"/>
      <c r="BH29" s="127"/>
      <c r="BI29" s="127"/>
      <c r="BJ29" s="127"/>
    </row>
    <row r="30" spans="2:62" s="110" customFormat="1" ht="30" customHeight="1" x14ac:dyDescent="0.2">
      <c r="B30" s="463" t="s">
        <v>30</v>
      </c>
      <c r="C30" s="110">
        <v>4</v>
      </c>
      <c r="E30" s="110">
        <v>445</v>
      </c>
      <c r="G30" s="110">
        <v>5448</v>
      </c>
      <c r="I30" s="116">
        <v>5</v>
      </c>
      <c r="K30" s="110">
        <v>563</v>
      </c>
      <c r="M30" s="110">
        <v>7288</v>
      </c>
      <c r="O30" s="116">
        <v>1</v>
      </c>
      <c r="Q30" s="110">
        <v>280</v>
      </c>
      <c r="S30" s="110">
        <v>7232</v>
      </c>
      <c r="U30" s="110">
        <v>5</v>
      </c>
      <c r="W30" s="110">
        <v>982</v>
      </c>
      <c r="Y30" s="110">
        <v>42848</v>
      </c>
      <c r="AA30" s="110">
        <v>3</v>
      </c>
      <c r="AB30" s="116"/>
      <c r="AC30" s="110">
        <v>2599</v>
      </c>
      <c r="AD30" s="116"/>
      <c r="AE30" s="110">
        <v>37152</v>
      </c>
      <c r="AF30" s="116"/>
      <c r="AG30" s="110">
        <v>3</v>
      </c>
      <c r="AH30" s="116"/>
      <c r="AI30" s="110">
        <v>331</v>
      </c>
      <c r="AJ30" s="116"/>
      <c r="AK30" s="116">
        <v>2648</v>
      </c>
      <c r="AL30" s="116"/>
      <c r="AM30" s="110">
        <v>2</v>
      </c>
      <c r="AO30" s="110">
        <v>888</v>
      </c>
      <c r="AQ30" s="110">
        <v>62672</v>
      </c>
      <c r="AS30" s="110">
        <v>9</v>
      </c>
      <c r="AU30" s="110">
        <v>3876</v>
      </c>
      <c r="AW30" s="110">
        <v>210216</v>
      </c>
      <c r="AY30" s="127"/>
      <c r="AZ30" s="127"/>
      <c r="BA30" s="127"/>
      <c r="BB30" s="127"/>
      <c r="BC30" s="127"/>
      <c r="BD30" s="127"/>
      <c r="BE30" s="128"/>
      <c r="BF30" s="127"/>
      <c r="BG30" s="127"/>
      <c r="BH30" s="127"/>
      <c r="BI30" s="127"/>
      <c r="BJ30" s="127"/>
    </row>
    <row r="31" spans="2:62" s="110" customFormat="1" ht="30" customHeight="1" x14ac:dyDescent="0.2">
      <c r="B31" s="463" t="s">
        <v>31</v>
      </c>
      <c r="C31" s="110">
        <v>8</v>
      </c>
      <c r="D31" s="116"/>
      <c r="E31" s="110">
        <v>959</v>
      </c>
      <c r="F31" s="116"/>
      <c r="G31" s="110">
        <v>19968</v>
      </c>
      <c r="H31" s="116"/>
      <c r="I31" s="116">
        <v>12</v>
      </c>
      <c r="K31" s="110">
        <v>1121</v>
      </c>
      <c r="L31" s="116"/>
      <c r="M31" s="110">
        <v>34023</v>
      </c>
      <c r="O31" s="116">
        <v>1</v>
      </c>
      <c r="P31" s="116"/>
      <c r="Q31" s="110">
        <v>119</v>
      </c>
      <c r="R31" s="116"/>
      <c r="S31" s="110">
        <v>952</v>
      </c>
      <c r="T31" s="116"/>
      <c r="U31" s="110">
        <v>5</v>
      </c>
      <c r="W31" s="110">
        <v>1138</v>
      </c>
      <c r="Y31" s="116">
        <v>15234</v>
      </c>
      <c r="AA31" s="110">
        <v>2</v>
      </c>
      <c r="AB31" s="116"/>
      <c r="AC31" s="110">
        <v>957</v>
      </c>
      <c r="AD31" s="116"/>
      <c r="AE31" s="110">
        <v>50400</v>
      </c>
      <c r="AF31" s="116"/>
      <c r="AG31" s="110">
        <v>3</v>
      </c>
      <c r="AH31" s="116"/>
      <c r="AI31" s="110">
        <v>515</v>
      </c>
      <c r="AJ31" s="116"/>
      <c r="AK31" s="116">
        <v>14008</v>
      </c>
      <c r="AL31" s="116"/>
      <c r="AM31" s="110">
        <v>29</v>
      </c>
      <c r="AO31" s="110">
        <v>5542</v>
      </c>
      <c r="AQ31" s="116">
        <v>46968</v>
      </c>
      <c r="AS31" s="110">
        <v>6</v>
      </c>
      <c r="AU31" s="110">
        <v>937</v>
      </c>
      <c r="AW31" s="110">
        <v>32200</v>
      </c>
      <c r="AY31" s="127"/>
      <c r="AZ31" s="127"/>
      <c r="BA31" s="128"/>
      <c r="BB31" s="128"/>
      <c r="BC31" s="128"/>
      <c r="BD31" s="128"/>
      <c r="BE31" s="128"/>
      <c r="BF31" s="128"/>
      <c r="BG31" s="127"/>
      <c r="BH31" s="127"/>
      <c r="BI31" s="127"/>
      <c r="BJ31" s="127"/>
    </row>
    <row r="32" spans="2:62" s="110" customFormat="1" ht="30" customHeight="1" x14ac:dyDescent="0.2">
      <c r="B32" s="463" t="s">
        <v>32</v>
      </c>
      <c r="C32" s="110">
        <v>3</v>
      </c>
      <c r="E32" s="110">
        <v>464</v>
      </c>
      <c r="G32" s="110">
        <v>37944</v>
      </c>
      <c r="I32" s="110">
        <v>12</v>
      </c>
      <c r="K32" s="110">
        <v>2413</v>
      </c>
      <c r="M32" s="110">
        <v>123208</v>
      </c>
      <c r="O32" s="116" t="s">
        <v>8</v>
      </c>
      <c r="Q32" s="110" t="s">
        <v>8</v>
      </c>
      <c r="S32" s="116" t="s">
        <v>8</v>
      </c>
      <c r="U32" s="110">
        <v>5</v>
      </c>
      <c r="W32" s="110">
        <v>1863</v>
      </c>
      <c r="Y32" s="110">
        <v>45392</v>
      </c>
      <c r="AA32" s="110">
        <v>3</v>
      </c>
      <c r="AC32" s="110">
        <v>724</v>
      </c>
      <c r="AE32" s="110">
        <v>169424</v>
      </c>
      <c r="AG32" s="110">
        <v>11</v>
      </c>
      <c r="AH32" s="116"/>
      <c r="AI32" s="110">
        <v>2936</v>
      </c>
      <c r="AJ32" s="116"/>
      <c r="AK32" s="110">
        <v>50544</v>
      </c>
      <c r="AL32" s="116"/>
      <c r="AM32" s="110">
        <v>9</v>
      </c>
      <c r="AO32" s="110">
        <v>2108</v>
      </c>
      <c r="AQ32" s="110">
        <v>21424</v>
      </c>
      <c r="AS32" s="110">
        <v>3</v>
      </c>
      <c r="AU32" s="110">
        <v>89</v>
      </c>
      <c r="AW32" s="110">
        <v>712</v>
      </c>
      <c r="AY32" s="127"/>
      <c r="AZ32" s="127"/>
      <c r="BA32" s="127"/>
      <c r="BB32" s="127"/>
      <c r="BC32" s="127"/>
      <c r="BD32" s="127"/>
      <c r="BE32" s="127"/>
      <c r="BF32" s="127"/>
      <c r="BG32" s="127"/>
      <c r="BH32" s="127"/>
      <c r="BI32" s="127"/>
      <c r="BJ32" s="127"/>
    </row>
    <row r="33" spans="2:62" s="110" customFormat="1" ht="30" customHeight="1" x14ac:dyDescent="0.2">
      <c r="B33" s="463" t="s">
        <v>33</v>
      </c>
      <c r="C33" s="110">
        <v>10</v>
      </c>
      <c r="D33" s="116"/>
      <c r="E33" s="110">
        <v>9592</v>
      </c>
      <c r="G33" s="110">
        <v>100772</v>
      </c>
      <c r="I33" s="110">
        <v>2</v>
      </c>
      <c r="K33" s="110">
        <v>157</v>
      </c>
      <c r="L33" s="116"/>
      <c r="M33" s="110">
        <v>123932</v>
      </c>
      <c r="O33" s="116" t="s">
        <v>8</v>
      </c>
      <c r="P33" s="116"/>
      <c r="Q33" s="110" t="s">
        <v>8</v>
      </c>
      <c r="R33" s="116"/>
      <c r="S33" s="116" t="s">
        <v>8</v>
      </c>
      <c r="T33" s="116"/>
      <c r="U33" s="110">
        <v>2</v>
      </c>
      <c r="W33" s="110">
        <v>304</v>
      </c>
      <c r="Y33" s="110">
        <v>7600</v>
      </c>
      <c r="AA33" s="110">
        <v>9</v>
      </c>
      <c r="AC33" s="110">
        <v>1776</v>
      </c>
      <c r="AE33" s="110">
        <v>139920</v>
      </c>
      <c r="AG33" s="110">
        <v>7</v>
      </c>
      <c r="AH33" s="116"/>
      <c r="AI33" s="110">
        <v>9922</v>
      </c>
      <c r="AJ33" s="116"/>
      <c r="AK33" s="110">
        <v>250812</v>
      </c>
      <c r="AL33" s="116"/>
      <c r="AM33" s="110">
        <v>3</v>
      </c>
      <c r="AO33" s="110">
        <v>868</v>
      </c>
      <c r="AQ33" s="116">
        <v>13040</v>
      </c>
      <c r="AS33" s="110">
        <v>8</v>
      </c>
      <c r="AU33" s="110">
        <v>1080</v>
      </c>
      <c r="AW33" s="110">
        <v>9328</v>
      </c>
      <c r="AY33" s="127"/>
      <c r="AZ33" s="127"/>
      <c r="BA33" s="128"/>
      <c r="BB33" s="127"/>
      <c r="BC33" s="127"/>
      <c r="BD33" s="127"/>
      <c r="BE33" s="127"/>
      <c r="BF33" s="128"/>
      <c r="BG33" s="127"/>
      <c r="BH33" s="127"/>
      <c r="BI33" s="127"/>
      <c r="BJ33" s="127"/>
    </row>
    <row r="34" spans="2:62" s="110" customFormat="1" ht="30" customHeight="1" x14ac:dyDescent="0.2">
      <c r="B34" s="463" t="s">
        <v>34</v>
      </c>
      <c r="C34" s="110">
        <v>4</v>
      </c>
      <c r="D34" s="116"/>
      <c r="E34" s="110">
        <v>259</v>
      </c>
      <c r="F34" s="116"/>
      <c r="G34" s="110">
        <v>6672</v>
      </c>
      <c r="H34" s="116"/>
      <c r="I34" s="116">
        <v>2</v>
      </c>
      <c r="K34" s="110">
        <v>127</v>
      </c>
      <c r="L34" s="116"/>
      <c r="M34" s="110">
        <v>1016</v>
      </c>
      <c r="O34" s="116">
        <v>3</v>
      </c>
      <c r="P34" s="116"/>
      <c r="Q34" s="110">
        <v>283</v>
      </c>
      <c r="R34" s="116"/>
      <c r="S34" s="110">
        <v>2720</v>
      </c>
      <c r="T34" s="116"/>
      <c r="U34" s="110">
        <v>2</v>
      </c>
      <c r="W34" s="110">
        <v>218</v>
      </c>
      <c r="Y34" s="116">
        <v>9016</v>
      </c>
      <c r="AA34" s="110">
        <v>8</v>
      </c>
      <c r="AB34" s="116"/>
      <c r="AC34" s="110">
        <v>2374</v>
      </c>
      <c r="AD34" s="116"/>
      <c r="AE34" s="110">
        <v>97552</v>
      </c>
      <c r="AF34" s="116"/>
      <c r="AG34" s="110">
        <v>4</v>
      </c>
      <c r="AH34" s="116"/>
      <c r="AI34" s="110">
        <v>458</v>
      </c>
      <c r="AJ34" s="116"/>
      <c r="AK34" s="116">
        <v>8656</v>
      </c>
      <c r="AL34" s="116"/>
      <c r="AM34" s="110">
        <v>5</v>
      </c>
      <c r="AO34" s="110">
        <v>869</v>
      </c>
      <c r="AQ34" s="116">
        <v>66464</v>
      </c>
      <c r="AS34" s="110">
        <v>4</v>
      </c>
      <c r="AU34" s="110">
        <v>177</v>
      </c>
      <c r="AW34" s="110">
        <v>1792</v>
      </c>
      <c r="AY34" s="127"/>
      <c r="AZ34" s="127"/>
      <c r="BA34" s="128"/>
      <c r="BB34" s="128"/>
      <c r="BC34" s="128"/>
      <c r="BD34" s="128"/>
      <c r="BE34" s="128"/>
      <c r="BF34" s="128"/>
      <c r="BG34" s="127"/>
      <c r="BH34" s="127"/>
      <c r="BI34" s="127"/>
      <c r="BJ34" s="127"/>
    </row>
    <row r="35" spans="2:62" s="110" customFormat="1" ht="30" customHeight="1" x14ac:dyDescent="0.2">
      <c r="B35" s="463" t="s">
        <v>35</v>
      </c>
      <c r="C35" s="110">
        <v>4</v>
      </c>
      <c r="D35" s="116"/>
      <c r="E35" s="110">
        <v>781</v>
      </c>
      <c r="F35" s="116"/>
      <c r="G35" s="110">
        <v>62552</v>
      </c>
      <c r="H35" s="116"/>
      <c r="I35" s="116">
        <v>4</v>
      </c>
      <c r="K35" s="110">
        <v>471</v>
      </c>
      <c r="L35" s="116"/>
      <c r="M35" s="110">
        <v>2980</v>
      </c>
      <c r="O35" s="116">
        <v>10</v>
      </c>
      <c r="P35" s="116"/>
      <c r="Q35" s="110">
        <v>1171</v>
      </c>
      <c r="R35" s="116"/>
      <c r="S35" s="110">
        <v>95704</v>
      </c>
      <c r="T35" s="116"/>
      <c r="U35" s="110">
        <v>4</v>
      </c>
      <c r="W35" s="110">
        <v>2934</v>
      </c>
      <c r="Y35" s="116">
        <v>98696</v>
      </c>
      <c r="AA35" s="110">
        <v>3</v>
      </c>
      <c r="AB35" s="116"/>
      <c r="AC35" s="110">
        <v>1115</v>
      </c>
      <c r="AD35" s="116"/>
      <c r="AE35" s="110">
        <v>37112</v>
      </c>
      <c r="AF35" s="116"/>
      <c r="AG35" s="110">
        <v>6</v>
      </c>
      <c r="AH35" s="116"/>
      <c r="AI35" s="110">
        <v>1365</v>
      </c>
      <c r="AJ35" s="116"/>
      <c r="AK35" s="116">
        <v>25248</v>
      </c>
      <c r="AL35" s="116"/>
      <c r="AM35" s="110">
        <v>7</v>
      </c>
      <c r="AO35" s="110">
        <v>1274</v>
      </c>
      <c r="AQ35" s="116">
        <v>10192</v>
      </c>
      <c r="AS35" s="110">
        <v>3</v>
      </c>
      <c r="AU35" s="110">
        <v>213</v>
      </c>
      <c r="AW35" s="110">
        <v>10288</v>
      </c>
      <c r="AY35" s="127"/>
      <c r="AZ35" s="127"/>
      <c r="BA35" s="128"/>
      <c r="BB35" s="128"/>
      <c r="BC35" s="128"/>
      <c r="BD35" s="128"/>
      <c r="BE35" s="128"/>
      <c r="BF35" s="128"/>
      <c r="BG35" s="127"/>
      <c r="BH35" s="127"/>
      <c r="BI35" s="127"/>
      <c r="BJ35" s="127"/>
    </row>
    <row r="36" spans="2:62" s="110" customFormat="1" ht="30" customHeight="1" x14ac:dyDescent="0.2">
      <c r="B36" s="463" t="s">
        <v>36</v>
      </c>
      <c r="C36" s="110">
        <v>6</v>
      </c>
      <c r="D36" s="116"/>
      <c r="E36" s="110">
        <v>1120</v>
      </c>
      <c r="F36" s="116"/>
      <c r="G36" s="110">
        <v>18952</v>
      </c>
      <c r="H36" s="116"/>
      <c r="I36" s="110">
        <v>3</v>
      </c>
      <c r="K36" s="110">
        <v>2075</v>
      </c>
      <c r="L36" s="116"/>
      <c r="M36" s="110">
        <v>46120</v>
      </c>
      <c r="O36" s="110">
        <v>3</v>
      </c>
      <c r="P36" s="116"/>
      <c r="Q36" s="110">
        <v>274</v>
      </c>
      <c r="R36" s="116"/>
      <c r="S36" s="110">
        <v>30423</v>
      </c>
      <c r="T36" s="116"/>
      <c r="U36" s="110">
        <v>2</v>
      </c>
      <c r="W36" s="110">
        <v>115</v>
      </c>
      <c r="Y36" s="116">
        <v>920</v>
      </c>
      <c r="AA36" s="110">
        <v>4</v>
      </c>
      <c r="AC36" s="110">
        <v>1919</v>
      </c>
      <c r="AE36" s="110">
        <v>58912</v>
      </c>
      <c r="AG36" s="110">
        <v>11</v>
      </c>
      <c r="AI36" s="110">
        <v>1592</v>
      </c>
      <c r="AK36" s="116">
        <v>14582</v>
      </c>
      <c r="AM36" s="110">
        <v>9</v>
      </c>
      <c r="AO36" s="110">
        <v>3675</v>
      </c>
      <c r="AQ36" s="116">
        <v>56656</v>
      </c>
      <c r="AS36" s="110">
        <v>4</v>
      </c>
      <c r="AU36" s="110">
        <v>599</v>
      </c>
      <c r="AW36" s="110">
        <v>25864</v>
      </c>
      <c r="AY36" s="127"/>
      <c r="AZ36" s="127"/>
      <c r="BA36" s="128"/>
      <c r="BB36" s="128"/>
      <c r="BC36" s="128"/>
      <c r="BD36" s="128"/>
      <c r="BE36" s="128"/>
      <c r="BF36" s="128"/>
      <c r="BG36" s="127"/>
      <c r="BH36" s="127"/>
      <c r="BI36" s="127"/>
      <c r="BJ36" s="127"/>
    </row>
    <row r="37" spans="2:62" s="125" customFormat="1" ht="30" customHeight="1" x14ac:dyDescent="0.2">
      <c r="B37" s="454" t="s">
        <v>6</v>
      </c>
      <c r="C37" s="455">
        <f>SUM(C25:C36)</f>
        <v>58</v>
      </c>
      <c r="D37" s="455"/>
      <c r="E37" s="455">
        <f>SUM(E25:E36)</f>
        <v>17333</v>
      </c>
      <c r="F37" s="455"/>
      <c r="G37" s="455">
        <f>SUM(G25:G36)</f>
        <v>323168</v>
      </c>
      <c r="H37" s="456"/>
      <c r="I37" s="455">
        <f>SUM(I25:I36)</f>
        <v>71</v>
      </c>
      <c r="J37" s="457"/>
      <c r="K37" s="455">
        <f>SUM(K25:K36)</f>
        <v>52080</v>
      </c>
      <c r="L37" s="455"/>
      <c r="M37" s="455">
        <f>SUM(M25:M36)</f>
        <v>724260</v>
      </c>
      <c r="N37" s="456"/>
      <c r="O37" s="455">
        <f>SUM(O25:O36)</f>
        <v>37</v>
      </c>
      <c r="P37" s="455"/>
      <c r="Q37" s="455">
        <f>SUM(Q25:Q36)</f>
        <v>5280</v>
      </c>
      <c r="R37" s="455"/>
      <c r="S37" s="455">
        <f>SUM(S25:S36)</f>
        <v>181691</v>
      </c>
      <c r="T37" s="456"/>
      <c r="U37" s="455">
        <f>SUM(U25:U36)</f>
        <v>40</v>
      </c>
      <c r="V37" s="455"/>
      <c r="W37" s="455">
        <f>SUM(W25:W36)</f>
        <v>11050</v>
      </c>
      <c r="X37" s="455"/>
      <c r="Y37" s="455">
        <f>SUM(Y25:Y36)</f>
        <v>488930</v>
      </c>
      <c r="Z37" s="456"/>
      <c r="AA37" s="455">
        <f>SUM(AA25:AA36)</f>
        <v>64</v>
      </c>
      <c r="AB37" s="455"/>
      <c r="AC37" s="455">
        <f>SUM(AC25:AC36)</f>
        <v>22925</v>
      </c>
      <c r="AD37" s="455"/>
      <c r="AE37" s="455">
        <f>SUM(AE25:AE36)</f>
        <v>912648</v>
      </c>
      <c r="AF37" s="456"/>
      <c r="AG37" s="455">
        <f>SUM(AG25:AG36)</f>
        <v>68</v>
      </c>
      <c r="AH37" s="455"/>
      <c r="AI37" s="455">
        <f>SUM(AI25:AI36)</f>
        <v>37323</v>
      </c>
      <c r="AJ37" s="455"/>
      <c r="AK37" s="455">
        <f>SUM(AK25:AK36)</f>
        <v>881362</v>
      </c>
      <c r="AL37" s="456"/>
      <c r="AM37" s="455">
        <f>SUM(AM25:AM36)</f>
        <v>107</v>
      </c>
      <c r="AN37" s="455"/>
      <c r="AO37" s="455">
        <f>SUM(AO25:AO36)</f>
        <v>29273</v>
      </c>
      <c r="AP37" s="455"/>
      <c r="AQ37" s="455">
        <f>SUM(AQ25:AQ36)</f>
        <v>582328</v>
      </c>
      <c r="AR37" s="456"/>
      <c r="AS37" s="455">
        <f>SUM(AS25:AS36)</f>
        <v>65</v>
      </c>
      <c r="AT37" s="455"/>
      <c r="AU37" s="455">
        <f>SUM(AU25:AU36)</f>
        <v>19022</v>
      </c>
      <c r="AV37" s="455"/>
      <c r="AW37" s="455">
        <f>SUM(AW25:AW36)</f>
        <v>478738</v>
      </c>
      <c r="AX37" s="455"/>
      <c r="BA37" s="129"/>
      <c r="BB37" s="129"/>
      <c r="BC37" s="129"/>
      <c r="BD37" s="129"/>
      <c r="BE37" s="129"/>
      <c r="BF37" s="129"/>
      <c r="BG37" s="129"/>
      <c r="BH37" s="129"/>
      <c r="BI37" s="129"/>
      <c r="BJ37" s="129"/>
    </row>
    <row r="38" spans="2:62" s="125" customFormat="1" ht="30" customHeight="1" x14ac:dyDescent="0.2">
      <c r="B38" s="134"/>
      <c r="C38" s="139"/>
      <c r="D38" s="139"/>
      <c r="E38" s="139"/>
      <c r="F38" s="139"/>
      <c r="G38" s="139"/>
      <c r="H38" s="139"/>
      <c r="I38" s="139"/>
      <c r="J38" s="141"/>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BA38" s="129"/>
      <c r="BB38" s="129"/>
      <c r="BC38" s="129"/>
      <c r="BD38" s="129"/>
      <c r="BE38" s="129"/>
      <c r="BF38" s="129"/>
      <c r="BG38" s="129"/>
      <c r="BH38" s="129"/>
      <c r="BI38" s="129"/>
      <c r="BJ38" s="129"/>
    </row>
    <row r="39" spans="2:62" s="125" customFormat="1" ht="30" customHeight="1" x14ac:dyDescent="0.2">
      <c r="B39" s="884" t="s">
        <v>24</v>
      </c>
      <c r="C39" s="876" t="s">
        <v>258</v>
      </c>
      <c r="D39" s="876"/>
      <c r="E39" s="876"/>
      <c r="F39" s="876"/>
      <c r="G39" s="876"/>
      <c r="H39" s="876"/>
      <c r="I39" s="876"/>
      <c r="J39" s="876"/>
      <c r="K39" s="876"/>
      <c r="L39" s="876"/>
      <c r="M39" s="876"/>
      <c r="N39" s="876"/>
      <c r="O39" s="876"/>
      <c r="P39" s="876"/>
      <c r="Q39" s="876"/>
      <c r="R39" s="876"/>
      <c r="S39" s="876"/>
      <c r="T39" s="876"/>
      <c r="U39" s="876"/>
      <c r="V39" s="876"/>
      <c r="W39" s="876"/>
      <c r="X39" s="876"/>
      <c r="Y39" s="876"/>
      <c r="Z39" s="876"/>
      <c r="AA39" s="876"/>
      <c r="AB39" s="876"/>
      <c r="AC39" s="876"/>
      <c r="AD39" s="876"/>
      <c r="AE39" s="876"/>
      <c r="AF39" s="876"/>
      <c r="AG39" s="876"/>
      <c r="AH39" s="876"/>
      <c r="AI39" s="876"/>
      <c r="AJ39" s="876"/>
      <c r="AK39" s="876"/>
      <c r="AL39" s="876"/>
      <c r="AM39" s="876"/>
      <c r="AN39" s="876"/>
      <c r="AO39" s="876"/>
      <c r="AP39" s="876"/>
      <c r="AQ39" s="876"/>
      <c r="AR39" s="876"/>
      <c r="AS39" s="876"/>
      <c r="AT39" s="876"/>
      <c r="AU39" s="876"/>
      <c r="AV39" s="876"/>
      <c r="AW39" s="876"/>
      <c r="AX39" s="876"/>
      <c r="AY39" s="133"/>
      <c r="AZ39" s="133"/>
      <c r="BA39" s="133"/>
      <c r="BB39" s="133"/>
      <c r="BC39" s="133"/>
      <c r="BD39" s="133"/>
      <c r="BE39" s="133"/>
      <c r="BF39" s="133"/>
      <c r="BG39" s="133"/>
      <c r="BH39" s="133"/>
      <c r="BI39" s="133"/>
      <c r="BJ39" s="133"/>
    </row>
    <row r="40" spans="2:62" s="125" customFormat="1" ht="30" customHeight="1" x14ac:dyDescent="0.2">
      <c r="B40" s="884"/>
      <c r="C40" s="877">
        <v>2006</v>
      </c>
      <c r="D40" s="877"/>
      <c r="E40" s="877"/>
      <c r="F40" s="877"/>
      <c r="G40" s="877"/>
      <c r="H40" s="877"/>
      <c r="I40" s="877">
        <v>2007</v>
      </c>
      <c r="J40" s="877"/>
      <c r="K40" s="877"/>
      <c r="L40" s="877"/>
      <c r="M40" s="877"/>
      <c r="N40" s="877"/>
      <c r="O40" s="877">
        <v>2008</v>
      </c>
      <c r="P40" s="877"/>
      <c r="Q40" s="877"/>
      <c r="R40" s="877"/>
      <c r="S40" s="877"/>
      <c r="T40" s="877"/>
      <c r="U40" s="877">
        <v>2009</v>
      </c>
      <c r="V40" s="877"/>
      <c r="W40" s="877"/>
      <c r="X40" s="877"/>
      <c r="Y40" s="877"/>
      <c r="Z40" s="877"/>
      <c r="AA40" s="877">
        <v>2010</v>
      </c>
      <c r="AB40" s="877"/>
      <c r="AC40" s="877"/>
      <c r="AD40" s="877"/>
      <c r="AE40" s="877"/>
      <c r="AF40" s="877"/>
      <c r="AG40" s="877">
        <v>2011</v>
      </c>
      <c r="AH40" s="877"/>
      <c r="AI40" s="877"/>
      <c r="AJ40" s="877"/>
      <c r="AK40" s="877"/>
      <c r="AL40" s="877"/>
      <c r="AM40" s="877">
        <v>2012</v>
      </c>
      <c r="AN40" s="877"/>
      <c r="AO40" s="877"/>
      <c r="AP40" s="877"/>
      <c r="AQ40" s="877"/>
      <c r="AR40" s="877"/>
      <c r="AS40" s="877">
        <v>2013</v>
      </c>
      <c r="AT40" s="877"/>
      <c r="AU40" s="877"/>
      <c r="AV40" s="877"/>
      <c r="AW40" s="877"/>
      <c r="AX40" s="877"/>
      <c r="AY40" s="133"/>
      <c r="AZ40" s="133"/>
      <c r="BA40" s="133"/>
      <c r="BB40" s="133"/>
      <c r="BC40" s="133"/>
      <c r="BD40" s="133"/>
      <c r="BE40" s="133"/>
      <c r="BF40" s="133"/>
      <c r="BG40" s="133"/>
      <c r="BH40" s="133"/>
      <c r="BI40" s="133"/>
      <c r="BJ40" s="133"/>
    </row>
    <row r="41" spans="2:62" s="125" customFormat="1" ht="30" customHeight="1" x14ac:dyDescent="0.2">
      <c r="B41" s="884"/>
      <c r="C41" s="882" t="s">
        <v>179</v>
      </c>
      <c r="D41" s="881"/>
      <c r="E41" s="880" t="s">
        <v>226</v>
      </c>
      <c r="F41" s="881"/>
      <c r="G41" s="880" t="s">
        <v>227</v>
      </c>
      <c r="H41" s="882"/>
      <c r="I41" s="882" t="s">
        <v>179</v>
      </c>
      <c r="J41" s="881"/>
      <c r="K41" s="880" t="s">
        <v>226</v>
      </c>
      <c r="L41" s="881"/>
      <c r="M41" s="880" t="s">
        <v>227</v>
      </c>
      <c r="N41" s="882"/>
      <c r="O41" s="882" t="s">
        <v>179</v>
      </c>
      <c r="P41" s="881"/>
      <c r="Q41" s="880" t="s">
        <v>226</v>
      </c>
      <c r="R41" s="881"/>
      <c r="S41" s="880" t="s">
        <v>227</v>
      </c>
      <c r="T41" s="882"/>
      <c r="U41" s="882" t="s">
        <v>179</v>
      </c>
      <c r="V41" s="881"/>
      <c r="W41" s="880" t="s">
        <v>226</v>
      </c>
      <c r="X41" s="881"/>
      <c r="Y41" s="880" t="s">
        <v>227</v>
      </c>
      <c r="Z41" s="882"/>
      <c r="AA41" s="882" t="s">
        <v>179</v>
      </c>
      <c r="AB41" s="881"/>
      <c r="AC41" s="880" t="s">
        <v>226</v>
      </c>
      <c r="AD41" s="881"/>
      <c r="AE41" s="880" t="s">
        <v>227</v>
      </c>
      <c r="AF41" s="882"/>
      <c r="AG41" s="882" t="s">
        <v>179</v>
      </c>
      <c r="AH41" s="881"/>
      <c r="AI41" s="880" t="s">
        <v>226</v>
      </c>
      <c r="AJ41" s="881"/>
      <c r="AK41" s="880" t="s">
        <v>227</v>
      </c>
      <c r="AL41" s="882"/>
      <c r="AM41" s="882" t="s">
        <v>179</v>
      </c>
      <c r="AN41" s="881"/>
      <c r="AO41" s="880" t="s">
        <v>226</v>
      </c>
      <c r="AP41" s="881"/>
      <c r="AQ41" s="880" t="s">
        <v>227</v>
      </c>
      <c r="AR41" s="882"/>
      <c r="AS41" s="882" t="s">
        <v>179</v>
      </c>
      <c r="AT41" s="881"/>
      <c r="AU41" s="880" t="s">
        <v>226</v>
      </c>
      <c r="AV41" s="881"/>
      <c r="AW41" s="880" t="s">
        <v>227</v>
      </c>
      <c r="AX41" s="882"/>
      <c r="AY41" s="126"/>
      <c r="AZ41" s="126"/>
      <c r="BA41" s="126"/>
      <c r="BB41" s="126"/>
      <c r="BC41" s="126"/>
      <c r="BD41" s="126"/>
      <c r="BE41" s="126"/>
      <c r="BF41" s="126"/>
      <c r="BG41" s="126"/>
    </row>
    <row r="42" spans="2:62" s="110" customFormat="1" ht="30" customHeight="1" x14ac:dyDescent="0.2">
      <c r="B42" s="463" t="s">
        <v>25</v>
      </c>
      <c r="C42" s="110">
        <v>8</v>
      </c>
      <c r="E42" s="110">
        <v>2617</v>
      </c>
      <c r="G42" s="110">
        <v>75744</v>
      </c>
      <c r="I42" s="110">
        <v>2</v>
      </c>
      <c r="K42" s="110">
        <v>500</v>
      </c>
      <c r="M42" s="110">
        <v>4248</v>
      </c>
      <c r="O42" s="110">
        <v>3</v>
      </c>
      <c r="Q42" s="110">
        <v>875</v>
      </c>
      <c r="S42" s="110">
        <v>16080</v>
      </c>
      <c r="U42" s="110">
        <v>2</v>
      </c>
      <c r="W42" s="110">
        <v>1950</v>
      </c>
      <c r="Y42" s="110">
        <v>202800</v>
      </c>
      <c r="AA42" s="110">
        <v>5</v>
      </c>
      <c r="AC42" s="110">
        <v>776</v>
      </c>
      <c r="AE42" s="110">
        <v>20048</v>
      </c>
      <c r="AG42" s="110">
        <v>3</v>
      </c>
      <c r="AI42" s="110">
        <v>1917</v>
      </c>
      <c r="AK42" s="110">
        <v>57120</v>
      </c>
      <c r="AM42" s="110">
        <v>4</v>
      </c>
      <c r="AO42" s="97">
        <v>672</v>
      </c>
      <c r="AQ42" s="110">
        <v>31656</v>
      </c>
      <c r="AS42" s="110">
        <v>3</v>
      </c>
      <c r="AU42" s="97">
        <v>202</v>
      </c>
      <c r="AW42" s="110">
        <v>2458</v>
      </c>
      <c r="BB42" s="116"/>
    </row>
    <row r="43" spans="2:62" s="110" customFormat="1" ht="30" customHeight="1" x14ac:dyDescent="0.2">
      <c r="B43" s="463" t="s">
        <v>26</v>
      </c>
      <c r="C43" s="110">
        <v>7</v>
      </c>
      <c r="E43" s="110">
        <v>2855</v>
      </c>
      <c r="G43" s="110">
        <v>24128</v>
      </c>
      <c r="I43" s="110">
        <v>5</v>
      </c>
      <c r="K43" s="110">
        <v>351</v>
      </c>
      <c r="M43" s="110">
        <v>2808</v>
      </c>
      <c r="O43" s="110">
        <v>9</v>
      </c>
      <c r="Q43" s="110">
        <v>3222</v>
      </c>
      <c r="S43" s="110">
        <v>62128</v>
      </c>
      <c r="U43" s="110">
        <v>5</v>
      </c>
      <c r="W43" s="110">
        <v>3603</v>
      </c>
      <c r="Y43" s="110">
        <v>259328</v>
      </c>
      <c r="Z43" s="116"/>
      <c r="AA43" s="110">
        <v>11</v>
      </c>
      <c r="AC43" s="110">
        <v>4888</v>
      </c>
      <c r="AE43" s="110">
        <v>308288</v>
      </c>
      <c r="AG43" s="110">
        <v>8</v>
      </c>
      <c r="AI43" s="110">
        <v>1631</v>
      </c>
      <c r="AK43" s="110">
        <v>95584</v>
      </c>
      <c r="AM43" s="110">
        <v>5</v>
      </c>
      <c r="AO43" s="97">
        <v>717</v>
      </c>
      <c r="AQ43" s="110">
        <v>114316</v>
      </c>
      <c r="AS43" s="110">
        <v>2</v>
      </c>
      <c r="AU43" s="97">
        <v>876</v>
      </c>
      <c r="AW43" s="110">
        <v>50080</v>
      </c>
      <c r="AY43" s="116"/>
      <c r="BA43" s="116"/>
      <c r="BB43" s="116"/>
    </row>
    <row r="44" spans="2:62" s="110" customFormat="1" ht="30" customHeight="1" x14ac:dyDescent="0.2">
      <c r="B44" s="463" t="s">
        <v>27</v>
      </c>
      <c r="C44" s="110">
        <v>5</v>
      </c>
      <c r="E44" s="110">
        <v>3299</v>
      </c>
      <c r="G44" s="110">
        <v>23862</v>
      </c>
      <c r="I44" s="110">
        <v>3</v>
      </c>
      <c r="K44" s="110">
        <v>1897</v>
      </c>
      <c r="M44" s="110">
        <v>15176</v>
      </c>
      <c r="O44" s="110">
        <v>15</v>
      </c>
      <c r="Q44" s="110">
        <v>6188</v>
      </c>
      <c r="S44" s="110">
        <v>121536</v>
      </c>
      <c r="U44" s="110">
        <v>11</v>
      </c>
      <c r="W44" s="110">
        <v>6870</v>
      </c>
      <c r="Y44" s="110">
        <v>192032</v>
      </c>
      <c r="AA44" s="110">
        <v>13</v>
      </c>
      <c r="AC44" s="110">
        <v>5144</v>
      </c>
      <c r="AE44" s="110">
        <v>186376</v>
      </c>
      <c r="AG44" s="110">
        <v>15</v>
      </c>
      <c r="AI44" s="110">
        <v>3935</v>
      </c>
      <c r="AK44" s="110">
        <v>120384</v>
      </c>
      <c r="AM44" s="110">
        <v>12</v>
      </c>
      <c r="AO44" s="97">
        <v>1720</v>
      </c>
      <c r="AQ44" s="110">
        <v>35954</v>
      </c>
      <c r="AS44" s="110">
        <v>8</v>
      </c>
      <c r="AU44" s="97">
        <v>2981</v>
      </c>
      <c r="AW44" s="110">
        <v>56896</v>
      </c>
    </row>
    <row r="45" spans="2:62" s="110" customFormat="1" ht="30" customHeight="1" x14ac:dyDescent="0.2">
      <c r="B45" s="463" t="s">
        <v>28</v>
      </c>
      <c r="C45" s="110">
        <v>6</v>
      </c>
      <c r="E45" s="110">
        <v>359</v>
      </c>
      <c r="G45" s="110">
        <v>2872</v>
      </c>
      <c r="I45" s="110">
        <v>12</v>
      </c>
      <c r="K45" s="110">
        <v>14525</v>
      </c>
      <c r="M45" s="110">
        <v>280464</v>
      </c>
      <c r="O45" s="110">
        <v>8</v>
      </c>
      <c r="Q45" s="110">
        <v>5016</v>
      </c>
      <c r="S45" s="110">
        <v>360984</v>
      </c>
      <c r="T45" s="116"/>
      <c r="U45" s="110">
        <v>16</v>
      </c>
      <c r="W45" s="110">
        <v>3186</v>
      </c>
      <c r="Y45" s="110">
        <v>83968</v>
      </c>
      <c r="AA45" s="116">
        <v>10</v>
      </c>
      <c r="AC45" s="110">
        <v>4208</v>
      </c>
      <c r="AE45" s="110">
        <v>146204</v>
      </c>
      <c r="AG45" s="110">
        <v>8</v>
      </c>
      <c r="AI45" s="110">
        <v>4624</v>
      </c>
      <c r="AK45" s="110">
        <v>363008</v>
      </c>
      <c r="AM45" s="110">
        <v>16</v>
      </c>
      <c r="AO45" s="97">
        <v>4791</v>
      </c>
      <c r="AQ45" s="110">
        <v>190608</v>
      </c>
      <c r="AS45" s="110">
        <v>14</v>
      </c>
      <c r="AU45" s="97">
        <v>4752</v>
      </c>
      <c r="AW45" s="110">
        <v>131872</v>
      </c>
    </row>
    <row r="46" spans="2:62" s="110" customFormat="1" ht="30" customHeight="1" x14ac:dyDescent="0.2">
      <c r="B46" s="463" t="s">
        <v>29</v>
      </c>
      <c r="C46" s="110">
        <v>5</v>
      </c>
      <c r="E46" s="110">
        <v>401</v>
      </c>
      <c r="G46" s="110">
        <v>4938</v>
      </c>
      <c r="I46" s="110">
        <v>6</v>
      </c>
      <c r="K46" s="110">
        <v>2864</v>
      </c>
      <c r="M46" s="110">
        <v>277448</v>
      </c>
      <c r="O46" s="110">
        <v>3</v>
      </c>
      <c r="Q46" s="110">
        <v>702</v>
      </c>
      <c r="S46" s="110">
        <v>262496</v>
      </c>
      <c r="U46" s="110">
        <v>14</v>
      </c>
      <c r="W46" s="110">
        <v>2357</v>
      </c>
      <c r="Y46" s="110">
        <v>114112</v>
      </c>
      <c r="Z46" s="116"/>
      <c r="AA46" s="110">
        <v>5</v>
      </c>
      <c r="AC46" s="110">
        <v>2677</v>
      </c>
      <c r="AE46" s="110">
        <v>196856</v>
      </c>
      <c r="AG46" s="110">
        <v>8</v>
      </c>
      <c r="AI46" s="110">
        <v>2989</v>
      </c>
      <c r="AK46" s="110">
        <v>57560</v>
      </c>
      <c r="AM46" s="110">
        <v>15</v>
      </c>
      <c r="AO46" s="97">
        <v>4087</v>
      </c>
      <c r="AQ46" s="110">
        <v>292984</v>
      </c>
      <c r="AS46" s="110">
        <v>4</v>
      </c>
      <c r="AU46" s="97">
        <v>615</v>
      </c>
      <c r="AW46" s="110">
        <v>209016</v>
      </c>
      <c r="AY46" s="116"/>
      <c r="BA46" s="116"/>
      <c r="BB46" s="116"/>
    </row>
    <row r="47" spans="2:62" s="110" customFormat="1" ht="30" customHeight="1" x14ac:dyDescent="0.2">
      <c r="B47" s="463" t="s">
        <v>30</v>
      </c>
      <c r="C47" s="110">
        <v>7</v>
      </c>
      <c r="E47" s="110">
        <v>2686</v>
      </c>
      <c r="G47" s="110">
        <v>58384</v>
      </c>
      <c r="I47" s="110">
        <v>12</v>
      </c>
      <c r="K47" s="110">
        <v>3555</v>
      </c>
      <c r="M47" s="110">
        <v>506200</v>
      </c>
      <c r="O47" s="110">
        <v>6</v>
      </c>
      <c r="Q47" s="110">
        <v>10855</v>
      </c>
      <c r="S47" s="110">
        <v>153992</v>
      </c>
      <c r="U47" s="110">
        <v>5</v>
      </c>
      <c r="W47" s="110">
        <v>518</v>
      </c>
      <c r="Y47" s="110">
        <v>35032</v>
      </c>
      <c r="Z47" s="116"/>
      <c r="AA47" s="116">
        <v>9</v>
      </c>
      <c r="AC47" s="110">
        <v>4144</v>
      </c>
      <c r="AE47" s="110">
        <v>133368</v>
      </c>
      <c r="AG47" s="110">
        <v>5</v>
      </c>
      <c r="AI47" s="110">
        <v>338</v>
      </c>
      <c r="AK47" s="110">
        <v>14960</v>
      </c>
      <c r="AM47" s="110">
        <v>8</v>
      </c>
      <c r="AO47" s="97">
        <v>2465</v>
      </c>
      <c r="AQ47" s="110">
        <v>260400</v>
      </c>
      <c r="AS47" s="110">
        <v>2</v>
      </c>
      <c r="AU47" s="97">
        <v>731</v>
      </c>
      <c r="AW47" s="110">
        <v>84096</v>
      </c>
      <c r="BA47" s="116"/>
    </row>
    <row r="48" spans="2:62" s="110" customFormat="1" ht="30" customHeight="1" x14ac:dyDescent="0.2">
      <c r="B48" s="463" t="s">
        <v>31</v>
      </c>
      <c r="C48" s="110">
        <v>2</v>
      </c>
      <c r="E48" s="110">
        <v>145</v>
      </c>
      <c r="G48" s="110">
        <v>2312</v>
      </c>
      <c r="I48" s="110">
        <v>4</v>
      </c>
      <c r="K48" s="110">
        <v>2097</v>
      </c>
      <c r="M48" s="110">
        <v>164880</v>
      </c>
      <c r="O48" s="110">
        <v>6</v>
      </c>
      <c r="Q48" s="110">
        <v>3404</v>
      </c>
      <c r="S48" s="110">
        <v>397192</v>
      </c>
      <c r="U48" s="110">
        <v>13</v>
      </c>
      <c r="W48" s="110">
        <v>5885</v>
      </c>
      <c r="Y48" s="110">
        <v>119504</v>
      </c>
      <c r="Z48" s="116"/>
      <c r="AA48" s="116">
        <v>3</v>
      </c>
      <c r="AC48" s="110">
        <v>2119</v>
      </c>
      <c r="AE48" s="110">
        <v>136160</v>
      </c>
      <c r="AG48" s="116" t="s">
        <v>8</v>
      </c>
      <c r="AI48" s="116" t="s">
        <v>8</v>
      </c>
      <c r="AK48" s="110">
        <v>15312</v>
      </c>
      <c r="AM48" s="110">
        <v>2</v>
      </c>
      <c r="AO48" s="97">
        <v>491</v>
      </c>
      <c r="AQ48" s="110">
        <v>64440</v>
      </c>
      <c r="AS48" s="110">
        <v>7</v>
      </c>
      <c r="AU48" s="97">
        <v>2542</v>
      </c>
      <c r="AW48" s="110">
        <v>222688</v>
      </c>
      <c r="AY48" s="116"/>
      <c r="AZ48" s="133"/>
      <c r="BA48" s="116"/>
      <c r="BB48" s="116"/>
    </row>
    <row r="49" spans="2:286" s="110" customFormat="1" ht="30" customHeight="1" x14ac:dyDescent="0.2">
      <c r="B49" s="463" t="s">
        <v>32</v>
      </c>
      <c r="C49" s="110">
        <v>6</v>
      </c>
      <c r="E49" s="110">
        <v>960</v>
      </c>
      <c r="G49" s="110">
        <v>36392</v>
      </c>
      <c r="I49" s="110">
        <v>4</v>
      </c>
      <c r="K49" s="110">
        <v>373</v>
      </c>
      <c r="M49" s="110">
        <v>12720</v>
      </c>
      <c r="O49" s="110">
        <v>1</v>
      </c>
      <c r="Q49" s="110">
        <v>73</v>
      </c>
      <c r="S49" s="110">
        <v>2920</v>
      </c>
      <c r="T49" s="116"/>
      <c r="U49" s="110">
        <v>6</v>
      </c>
      <c r="W49" s="110">
        <v>1465</v>
      </c>
      <c r="Y49" s="110">
        <v>47424</v>
      </c>
      <c r="AA49" s="116">
        <v>2</v>
      </c>
      <c r="AC49" s="110">
        <v>163</v>
      </c>
      <c r="AE49" s="110">
        <v>3864</v>
      </c>
      <c r="AG49" s="110">
        <v>6</v>
      </c>
      <c r="AI49" s="110">
        <v>1709</v>
      </c>
      <c r="AK49" s="110">
        <v>26376</v>
      </c>
      <c r="AM49" s="110">
        <v>2</v>
      </c>
      <c r="AO49" s="97">
        <v>2757</v>
      </c>
      <c r="AQ49" s="110">
        <v>364508</v>
      </c>
      <c r="AS49" s="110">
        <v>12</v>
      </c>
      <c r="AU49" s="97">
        <v>3523</v>
      </c>
      <c r="AW49" s="110">
        <v>165712</v>
      </c>
    </row>
    <row r="50" spans="2:286" s="110" customFormat="1" ht="30" customHeight="1" x14ac:dyDescent="0.2">
      <c r="B50" s="463" t="s">
        <v>33</v>
      </c>
      <c r="C50" s="110">
        <v>7</v>
      </c>
      <c r="E50" s="110">
        <v>2335</v>
      </c>
      <c r="G50" s="110">
        <v>34000</v>
      </c>
      <c r="I50" s="110">
        <v>7</v>
      </c>
      <c r="K50" s="110">
        <v>1834</v>
      </c>
      <c r="M50" s="110">
        <v>102328</v>
      </c>
      <c r="O50" s="110">
        <v>2</v>
      </c>
      <c r="Q50" s="110">
        <v>380</v>
      </c>
      <c r="S50" s="110">
        <v>19680</v>
      </c>
      <c r="T50" s="116"/>
      <c r="U50" s="110">
        <v>8</v>
      </c>
      <c r="W50" s="110">
        <v>2593</v>
      </c>
      <c r="Y50" s="110">
        <v>63496</v>
      </c>
      <c r="AA50" s="116">
        <v>4</v>
      </c>
      <c r="AC50" s="110">
        <v>646</v>
      </c>
      <c r="AE50" s="110">
        <v>8104</v>
      </c>
      <c r="AG50" s="110">
        <v>6</v>
      </c>
      <c r="AI50" s="110">
        <v>3670</v>
      </c>
      <c r="AK50" s="110">
        <v>236296</v>
      </c>
      <c r="AM50" s="110">
        <v>3</v>
      </c>
      <c r="AO50" s="97">
        <v>175</v>
      </c>
      <c r="AQ50" s="110">
        <v>102542</v>
      </c>
      <c r="AS50" s="110">
        <v>10</v>
      </c>
      <c r="AU50" s="97">
        <v>2230</v>
      </c>
      <c r="AW50" s="110">
        <v>156272</v>
      </c>
      <c r="BB50" s="116"/>
    </row>
    <row r="51" spans="2:286" s="110" customFormat="1" ht="30" customHeight="1" x14ac:dyDescent="0.2">
      <c r="B51" s="463" t="s">
        <v>34</v>
      </c>
      <c r="C51" s="110">
        <v>6</v>
      </c>
      <c r="E51" s="110">
        <v>696</v>
      </c>
      <c r="G51" s="110">
        <v>33248</v>
      </c>
      <c r="I51" s="110">
        <v>5</v>
      </c>
      <c r="K51" s="110">
        <v>4496</v>
      </c>
      <c r="M51" s="110">
        <v>168016</v>
      </c>
      <c r="O51" s="110">
        <v>3</v>
      </c>
      <c r="Q51" s="110">
        <v>999</v>
      </c>
      <c r="S51" s="110">
        <v>37416</v>
      </c>
      <c r="U51" s="110">
        <v>4</v>
      </c>
      <c r="W51" s="110">
        <v>2568</v>
      </c>
      <c r="Y51" s="110">
        <v>136082</v>
      </c>
      <c r="Z51" s="116"/>
      <c r="AA51" s="116">
        <v>7</v>
      </c>
      <c r="AC51" s="110">
        <v>2898</v>
      </c>
      <c r="AE51" s="110">
        <v>80328</v>
      </c>
      <c r="AG51" s="110">
        <v>7</v>
      </c>
      <c r="AI51" s="110">
        <v>1199</v>
      </c>
      <c r="AK51" s="110">
        <v>245504</v>
      </c>
      <c r="AM51" s="110">
        <v>7</v>
      </c>
      <c r="AO51" s="97">
        <v>2252</v>
      </c>
      <c r="AQ51" s="110">
        <v>254896</v>
      </c>
      <c r="AS51" s="110">
        <v>7</v>
      </c>
      <c r="AU51" s="97">
        <v>1338</v>
      </c>
      <c r="AW51" s="110">
        <v>186736</v>
      </c>
      <c r="AY51" s="116"/>
      <c r="BA51" s="116"/>
      <c r="BB51" s="116"/>
    </row>
    <row r="52" spans="2:286" s="110" customFormat="1" ht="30" customHeight="1" x14ac:dyDescent="0.2">
      <c r="B52" s="463" t="s">
        <v>35</v>
      </c>
      <c r="C52" s="110">
        <v>6</v>
      </c>
      <c r="E52" s="110">
        <v>3161</v>
      </c>
      <c r="G52" s="110">
        <v>147408</v>
      </c>
      <c r="I52" s="110">
        <v>9</v>
      </c>
      <c r="K52" s="110">
        <v>15157</v>
      </c>
      <c r="M52" s="110">
        <v>532064</v>
      </c>
      <c r="O52" s="110">
        <v>3</v>
      </c>
      <c r="Q52" s="110">
        <v>1843</v>
      </c>
      <c r="S52" s="110">
        <v>78840</v>
      </c>
      <c r="U52" s="110">
        <v>7</v>
      </c>
      <c r="W52" s="110">
        <v>2040</v>
      </c>
      <c r="Y52" s="110">
        <v>129720</v>
      </c>
      <c r="Z52" s="116"/>
      <c r="AA52" s="116">
        <v>8</v>
      </c>
      <c r="AC52" s="110">
        <v>1008</v>
      </c>
      <c r="AE52" s="110">
        <v>20592</v>
      </c>
      <c r="AG52" s="110">
        <v>12</v>
      </c>
      <c r="AI52" s="110">
        <v>3575</v>
      </c>
      <c r="AK52" s="110">
        <v>464584</v>
      </c>
      <c r="AM52" s="110">
        <v>8</v>
      </c>
      <c r="AO52" s="97">
        <v>3965</v>
      </c>
      <c r="AQ52" s="110">
        <v>101952</v>
      </c>
      <c r="AS52" s="110">
        <v>14</v>
      </c>
      <c r="AU52" s="97">
        <v>2195</v>
      </c>
      <c r="AW52" s="110">
        <v>150848</v>
      </c>
      <c r="AY52" s="116"/>
      <c r="BA52" s="116"/>
      <c r="BB52" s="116"/>
    </row>
    <row r="53" spans="2:286" s="110" customFormat="1" ht="30" customHeight="1" x14ac:dyDescent="0.2">
      <c r="B53" s="463" t="s">
        <v>36</v>
      </c>
      <c r="C53" s="110">
        <v>2</v>
      </c>
      <c r="E53" s="110">
        <v>51</v>
      </c>
      <c r="G53" s="110">
        <v>3296</v>
      </c>
      <c r="I53" s="110">
        <v>4</v>
      </c>
      <c r="K53" s="110">
        <v>447</v>
      </c>
      <c r="M53" s="110">
        <v>150168</v>
      </c>
      <c r="O53" s="116">
        <v>4</v>
      </c>
      <c r="Q53" s="116">
        <v>454</v>
      </c>
      <c r="S53" s="110">
        <v>7696</v>
      </c>
      <c r="U53" s="110">
        <v>8</v>
      </c>
      <c r="W53" s="110">
        <v>3079</v>
      </c>
      <c r="Y53" s="110">
        <v>68968</v>
      </c>
      <c r="Z53" s="116"/>
      <c r="AA53" s="110">
        <v>6</v>
      </c>
      <c r="AC53" s="110">
        <v>1935</v>
      </c>
      <c r="AE53" s="110">
        <v>39192</v>
      </c>
      <c r="AG53" s="110">
        <v>6</v>
      </c>
      <c r="AI53" s="110">
        <v>1183</v>
      </c>
      <c r="AK53" s="110">
        <v>102728</v>
      </c>
      <c r="AM53" s="110">
        <v>7</v>
      </c>
      <c r="AO53" s="97">
        <v>1753</v>
      </c>
      <c r="AQ53" s="110">
        <v>64440</v>
      </c>
      <c r="AS53" s="110">
        <v>11</v>
      </c>
      <c r="AU53" s="97">
        <v>4751</v>
      </c>
      <c r="AW53" s="110">
        <v>156528</v>
      </c>
      <c r="AY53" s="116"/>
      <c r="BA53" s="116"/>
      <c r="BB53" s="116"/>
    </row>
    <row r="54" spans="2:286" s="125" customFormat="1" ht="30" customHeight="1" x14ac:dyDescent="0.2">
      <c r="B54" s="454" t="s">
        <v>6</v>
      </c>
      <c r="C54" s="455">
        <f>SUM(C42:C53)</f>
        <v>67</v>
      </c>
      <c r="D54" s="455"/>
      <c r="E54" s="455">
        <f>SUM(E42:E53)</f>
        <v>19565</v>
      </c>
      <c r="F54" s="455"/>
      <c r="G54" s="455">
        <f>SUM(G42:G53)</f>
        <v>446584</v>
      </c>
      <c r="H54" s="456"/>
      <c r="I54" s="455">
        <f>SUM(I42:I53)</f>
        <v>73</v>
      </c>
      <c r="J54" s="455"/>
      <c r="K54" s="455">
        <f>SUM(K42:K53)</f>
        <v>48096</v>
      </c>
      <c r="L54" s="455"/>
      <c r="M54" s="455">
        <f>SUM(M42:M53)</f>
        <v>2216520</v>
      </c>
      <c r="N54" s="456"/>
      <c r="O54" s="455">
        <f>SUM(O42:O53)</f>
        <v>63</v>
      </c>
      <c r="P54" s="455"/>
      <c r="Q54" s="455">
        <f>SUM(Q42:Q53)</f>
        <v>34011</v>
      </c>
      <c r="R54" s="455"/>
      <c r="S54" s="455">
        <f>SUM(S42:S53)</f>
        <v>1520960</v>
      </c>
      <c r="T54" s="456"/>
      <c r="U54" s="455">
        <f>SUM(U42:U53)</f>
        <v>99</v>
      </c>
      <c r="V54" s="457"/>
      <c r="W54" s="455">
        <f>SUM(W42:W53)</f>
        <v>36114</v>
      </c>
      <c r="X54" s="455"/>
      <c r="Y54" s="455">
        <f>SUM(Y42:Y53)</f>
        <v>1452466</v>
      </c>
      <c r="Z54" s="456"/>
      <c r="AA54" s="455">
        <f>SUM(AA42:AA53)</f>
        <v>83</v>
      </c>
      <c r="AB54" s="455"/>
      <c r="AC54" s="455">
        <f>SUM(AC42:AC53)</f>
        <v>30606</v>
      </c>
      <c r="AD54" s="455"/>
      <c r="AE54" s="455">
        <f>SUM(AE42:AE53)</f>
        <v>1279380</v>
      </c>
      <c r="AF54" s="456"/>
      <c r="AG54" s="455">
        <f>SUM(AG42:AG53)</f>
        <v>84</v>
      </c>
      <c r="AH54" s="455"/>
      <c r="AI54" s="455">
        <f>SUM(AI42:AI53)</f>
        <v>26770</v>
      </c>
      <c r="AJ54" s="455"/>
      <c r="AK54" s="455">
        <f>SUM(AK42:AK53)</f>
        <v>1799416</v>
      </c>
      <c r="AL54" s="456"/>
      <c r="AM54" s="455">
        <f>SUM(AM42:AM53)</f>
        <v>89</v>
      </c>
      <c r="AN54" s="455"/>
      <c r="AO54" s="458">
        <f>SUM(AO42:AO53)</f>
        <v>25845</v>
      </c>
      <c r="AP54" s="455"/>
      <c r="AQ54" s="455">
        <f>SUM(AQ42:AQ53)</f>
        <v>1878696</v>
      </c>
      <c r="AR54" s="456"/>
      <c r="AS54" s="455">
        <f>SUM(AS42:AS53)</f>
        <v>94</v>
      </c>
      <c r="AT54" s="455"/>
      <c r="AU54" s="458">
        <f>SUM(AU42:AU53)</f>
        <v>26736</v>
      </c>
      <c r="AV54" s="455"/>
      <c r="AW54" s="455">
        <f>SUM(AW42:AW53)</f>
        <v>1573202</v>
      </c>
      <c r="AX54" s="455"/>
      <c r="AY54" s="129"/>
      <c r="AZ54" s="129"/>
      <c r="BA54" s="129"/>
      <c r="BB54" s="129"/>
      <c r="BC54" s="129"/>
      <c r="BD54" s="129"/>
      <c r="BE54" s="129"/>
      <c r="BF54" s="129"/>
      <c r="BG54" s="129"/>
    </row>
    <row r="55" spans="2:286" s="110" customFormat="1" ht="24.6" customHeight="1" x14ac:dyDescent="0.2">
      <c r="B55" s="134"/>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c r="AO55" s="135"/>
      <c r="AP55" s="135"/>
      <c r="AQ55" s="135"/>
      <c r="AR55" s="135"/>
      <c r="AS55" s="135"/>
      <c r="AT55" s="135"/>
      <c r="AU55" s="135"/>
      <c r="AV55" s="135"/>
      <c r="AW55" s="131" t="s">
        <v>84</v>
      </c>
      <c r="AX55" s="135"/>
      <c r="AY55" s="127"/>
      <c r="AZ55" s="127"/>
      <c r="BA55" s="135"/>
      <c r="BB55" s="135"/>
      <c r="BC55" s="135"/>
      <c r="BD55" s="135"/>
      <c r="BE55" s="135"/>
      <c r="BF55" s="135"/>
      <c r="BG55" s="135"/>
      <c r="BH55" s="135"/>
      <c r="BI55" s="135"/>
      <c r="BJ55" s="135"/>
    </row>
    <row r="56" spans="2:286" s="121" customFormat="1" ht="35.1" customHeight="1" x14ac:dyDescent="0.2">
      <c r="B56" s="119" t="s">
        <v>145</v>
      </c>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19"/>
      <c r="AL56" s="119"/>
      <c r="AM56" s="119"/>
      <c r="AN56" s="119"/>
      <c r="AO56" s="119"/>
      <c r="AP56" s="119"/>
      <c r="AQ56" s="119"/>
      <c r="AR56" s="119"/>
      <c r="AS56" s="119"/>
      <c r="AT56" s="119"/>
      <c r="AU56" s="119"/>
      <c r="AV56" s="119"/>
      <c r="AW56" s="119"/>
      <c r="AX56" s="119"/>
      <c r="AY56" s="119"/>
      <c r="AZ56" s="119"/>
      <c r="BA56" s="119"/>
      <c r="BB56" s="120"/>
    </row>
    <row r="57" spans="2:286" s="121" customFormat="1" ht="35.1" customHeight="1" x14ac:dyDescent="0.2">
      <c r="B57" s="889" t="s">
        <v>105</v>
      </c>
      <c r="C57" s="889"/>
      <c r="D57" s="889"/>
      <c r="E57" s="889"/>
      <c r="F57" s="889"/>
      <c r="G57" s="889"/>
      <c r="H57" s="889"/>
      <c r="I57" s="889"/>
      <c r="J57" s="889"/>
      <c r="K57" s="889"/>
      <c r="L57" s="889"/>
      <c r="M57" s="889"/>
      <c r="N57" s="889"/>
      <c r="O57" s="889"/>
      <c r="P57" s="889"/>
      <c r="Q57" s="889"/>
      <c r="R57" s="889"/>
      <c r="S57" s="889"/>
      <c r="T57" s="889"/>
      <c r="U57" s="889"/>
      <c r="V57" s="889"/>
      <c r="W57" s="889"/>
      <c r="X57" s="889"/>
      <c r="Y57" s="889"/>
      <c r="Z57" s="889"/>
      <c r="AA57" s="889"/>
      <c r="AB57" s="889"/>
      <c r="AC57" s="889"/>
      <c r="AD57" s="889"/>
      <c r="AE57" s="889"/>
      <c r="AF57" s="889"/>
      <c r="AG57" s="889"/>
      <c r="AH57" s="889"/>
      <c r="AI57" s="889"/>
      <c r="AJ57" s="889"/>
      <c r="AK57" s="889"/>
      <c r="AL57" s="889"/>
      <c r="AM57" s="889"/>
      <c r="AN57" s="889"/>
      <c r="AO57" s="889"/>
      <c r="AP57" s="889"/>
      <c r="AQ57" s="889"/>
      <c r="AR57" s="889"/>
      <c r="AS57" s="889"/>
      <c r="AT57" s="889"/>
      <c r="AU57" s="889"/>
      <c r="AV57" s="889"/>
      <c r="AW57" s="889"/>
      <c r="AX57" s="889"/>
      <c r="AY57" s="122"/>
      <c r="AZ57" s="122"/>
      <c r="BA57" s="122"/>
      <c r="BB57" s="122"/>
      <c r="BC57" s="122"/>
      <c r="BD57" s="122"/>
      <c r="BE57" s="122"/>
      <c r="BF57" s="122"/>
      <c r="BG57" s="122"/>
      <c r="BH57" s="122"/>
      <c r="BI57" s="122"/>
      <c r="BJ57" s="122"/>
    </row>
    <row r="58" spans="2:286" s="121" customFormat="1" ht="35.1" customHeight="1" x14ac:dyDescent="0.2">
      <c r="B58" s="885" t="s">
        <v>308</v>
      </c>
      <c r="C58" s="885"/>
      <c r="D58" s="885"/>
      <c r="E58" s="885"/>
      <c r="F58" s="885"/>
      <c r="G58" s="885"/>
      <c r="H58" s="885"/>
      <c r="I58" s="885"/>
      <c r="J58" s="885"/>
      <c r="K58" s="885"/>
      <c r="L58" s="885"/>
      <c r="M58" s="885"/>
      <c r="N58" s="885"/>
      <c r="O58" s="885"/>
      <c r="P58" s="885"/>
      <c r="Q58" s="885"/>
      <c r="R58" s="885"/>
      <c r="S58" s="885"/>
      <c r="T58" s="885"/>
      <c r="U58" s="885"/>
      <c r="V58" s="885"/>
      <c r="W58" s="885"/>
      <c r="X58" s="885"/>
      <c r="Y58" s="885"/>
      <c r="Z58" s="885"/>
      <c r="AA58" s="885"/>
      <c r="AB58" s="885"/>
      <c r="AC58" s="885"/>
      <c r="AD58" s="885"/>
      <c r="AE58" s="885"/>
      <c r="AF58" s="885"/>
      <c r="AG58" s="885"/>
      <c r="AH58" s="885"/>
      <c r="AI58" s="885"/>
      <c r="AJ58" s="885"/>
      <c r="AK58" s="885"/>
      <c r="AL58" s="885"/>
      <c r="AM58" s="885"/>
      <c r="AN58" s="885"/>
      <c r="AO58" s="885"/>
      <c r="AP58" s="885"/>
      <c r="AQ58" s="885"/>
      <c r="AR58" s="885"/>
      <c r="AS58" s="885"/>
      <c r="AT58" s="885"/>
      <c r="AU58" s="885"/>
      <c r="AV58" s="885"/>
      <c r="AW58" s="885"/>
      <c r="AX58" s="885"/>
      <c r="AY58" s="119"/>
      <c r="AZ58" s="119"/>
      <c r="BA58" s="119"/>
      <c r="BB58" s="119"/>
      <c r="BC58" s="119"/>
      <c r="BD58" s="119"/>
      <c r="BE58" s="119"/>
      <c r="BF58" s="119"/>
      <c r="BG58" s="119"/>
      <c r="BH58" s="119"/>
      <c r="BI58" s="119"/>
      <c r="BJ58" s="119"/>
      <c r="BK58" s="119"/>
      <c r="BL58" s="119"/>
      <c r="BM58" s="119"/>
      <c r="BN58" s="119"/>
      <c r="BO58" s="119"/>
      <c r="BP58" s="119"/>
      <c r="BQ58" s="119"/>
      <c r="BR58" s="119"/>
      <c r="BS58" s="119"/>
      <c r="BT58" s="119"/>
      <c r="BU58" s="119"/>
      <c r="BV58" s="119"/>
      <c r="BW58" s="119"/>
      <c r="BX58" s="119"/>
      <c r="BY58" s="119"/>
      <c r="BZ58" s="119"/>
      <c r="CA58" s="119"/>
      <c r="CB58" s="119"/>
      <c r="CC58" s="119"/>
      <c r="CD58" s="119"/>
      <c r="CE58" s="885"/>
      <c r="CF58" s="885"/>
      <c r="CG58" s="885"/>
      <c r="CH58" s="885"/>
      <c r="CI58" s="885"/>
      <c r="CJ58" s="885"/>
      <c r="CK58" s="885"/>
      <c r="CL58" s="885"/>
      <c r="CM58" s="885"/>
      <c r="CN58" s="885"/>
      <c r="CO58" s="885"/>
      <c r="CP58" s="885"/>
      <c r="CQ58" s="885"/>
      <c r="CR58" s="885"/>
      <c r="CS58" s="885"/>
      <c r="CT58" s="885"/>
      <c r="CU58" s="885"/>
      <c r="CV58" s="885"/>
      <c r="CW58" s="885"/>
      <c r="CX58" s="885"/>
      <c r="CY58" s="885"/>
      <c r="CZ58" s="885"/>
      <c r="DA58" s="885"/>
      <c r="DB58" s="885"/>
      <c r="DC58" s="885"/>
      <c r="DD58" s="885"/>
      <c r="DE58" s="885"/>
      <c r="DF58" s="885"/>
      <c r="DG58" s="885"/>
      <c r="DH58" s="885"/>
      <c r="DI58" s="885"/>
      <c r="DJ58" s="885"/>
      <c r="DK58" s="885"/>
      <c r="DL58" s="885"/>
      <c r="DM58" s="885"/>
      <c r="DN58" s="885"/>
      <c r="DO58" s="885"/>
      <c r="DP58" s="885"/>
      <c r="DQ58" s="885"/>
      <c r="DR58" s="885"/>
      <c r="DS58" s="885"/>
      <c r="DT58" s="885"/>
      <c r="DU58" s="885"/>
      <c r="DV58" s="885"/>
      <c r="DW58" s="885"/>
      <c r="DX58" s="885"/>
      <c r="DY58" s="885"/>
      <c r="DZ58" s="885"/>
      <c r="EA58" s="885"/>
      <c r="EB58" s="885"/>
      <c r="EC58" s="885"/>
      <c r="ED58" s="885"/>
      <c r="EE58" s="885"/>
      <c r="EF58" s="885"/>
      <c r="EG58" s="885"/>
      <c r="EH58" s="885"/>
      <c r="EI58" s="885"/>
      <c r="EJ58" s="885"/>
      <c r="EK58" s="885"/>
      <c r="EL58" s="885"/>
      <c r="EM58" s="885"/>
      <c r="EN58" s="885"/>
      <c r="EO58" s="885"/>
      <c r="EP58" s="885"/>
      <c r="EQ58" s="885"/>
      <c r="ER58" s="885"/>
      <c r="ES58" s="885"/>
      <c r="ET58" s="885"/>
      <c r="EU58" s="885"/>
      <c r="EV58" s="885"/>
      <c r="EW58" s="885"/>
      <c r="EX58" s="885"/>
      <c r="EY58" s="885"/>
      <c r="EZ58" s="885"/>
      <c r="FA58" s="885"/>
      <c r="FB58" s="885"/>
      <c r="FC58" s="885"/>
      <c r="FD58" s="885"/>
      <c r="FE58" s="885"/>
      <c r="FF58" s="885"/>
      <c r="FG58" s="885"/>
      <c r="FH58" s="885"/>
      <c r="FI58" s="885"/>
      <c r="FJ58" s="885"/>
      <c r="FK58" s="885"/>
      <c r="FL58" s="885"/>
      <c r="FM58" s="885"/>
      <c r="FN58" s="885"/>
      <c r="FO58" s="885"/>
      <c r="FP58" s="885"/>
      <c r="FQ58" s="885"/>
      <c r="FR58" s="885"/>
      <c r="FS58" s="885"/>
      <c r="FT58" s="885"/>
      <c r="FU58" s="885"/>
      <c r="FV58" s="885"/>
      <c r="FW58" s="885"/>
      <c r="FX58" s="885"/>
      <c r="FY58" s="885"/>
      <c r="FZ58" s="885"/>
      <c r="GA58" s="885"/>
      <c r="GB58" s="885"/>
      <c r="GC58" s="885"/>
      <c r="GD58" s="885"/>
      <c r="GE58" s="885"/>
      <c r="GF58" s="885"/>
      <c r="GG58" s="885"/>
      <c r="GH58" s="885"/>
      <c r="GI58" s="885"/>
      <c r="GJ58" s="885"/>
      <c r="GK58" s="885"/>
      <c r="GL58" s="885"/>
      <c r="GM58" s="885"/>
      <c r="GN58" s="885"/>
      <c r="GO58" s="885"/>
      <c r="GP58" s="885"/>
      <c r="GQ58" s="885"/>
      <c r="GR58" s="885"/>
      <c r="GS58" s="885"/>
      <c r="GT58" s="885"/>
      <c r="GU58" s="885"/>
      <c r="GV58" s="885"/>
      <c r="GW58" s="885"/>
      <c r="GX58" s="885"/>
      <c r="GY58" s="885"/>
      <c r="GZ58" s="885"/>
      <c r="HA58" s="885"/>
      <c r="HB58" s="885"/>
      <c r="HC58" s="885"/>
      <c r="HD58" s="885"/>
      <c r="HE58" s="885"/>
      <c r="HF58" s="885"/>
      <c r="HG58" s="885"/>
      <c r="HH58" s="885"/>
      <c r="HI58" s="885"/>
      <c r="HJ58" s="885"/>
      <c r="HK58" s="885"/>
      <c r="HL58" s="885"/>
      <c r="HM58" s="885"/>
      <c r="HN58" s="885"/>
      <c r="HO58" s="885"/>
      <c r="HP58" s="885"/>
      <c r="HQ58" s="885"/>
      <c r="HR58" s="885"/>
      <c r="HS58" s="885"/>
      <c r="HT58" s="885"/>
      <c r="HU58" s="885"/>
      <c r="HV58" s="885"/>
      <c r="HW58" s="885"/>
      <c r="HX58" s="885"/>
      <c r="HY58" s="885"/>
      <c r="HZ58" s="885"/>
      <c r="IA58" s="885"/>
      <c r="IB58" s="885"/>
      <c r="IC58" s="885"/>
      <c r="ID58" s="885"/>
      <c r="IE58" s="885"/>
      <c r="IF58" s="885"/>
      <c r="IG58" s="885"/>
      <c r="IH58" s="885"/>
      <c r="II58" s="885"/>
      <c r="IJ58" s="885"/>
      <c r="IK58" s="885"/>
      <c r="IL58" s="885"/>
      <c r="IM58" s="885"/>
      <c r="IN58" s="885"/>
      <c r="IO58" s="885"/>
      <c r="IP58" s="885"/>
      <c r="IQ58" s="885"/>
      <c r="IR58" s="885"/>
      <c r="IS58" s="885"/>
      <c r="IT58" s="885"/>
      <c r="IU58" s="885"/>
      <c r="IV58" s="885"/>
      <c r="IW58" s="885"/>
      <c r="IX58" s="885"/>
      <c r="IY58" s="885"/>
      <c r="IZ58" s="885"/>
      <c r="JA58" s="885"/>
      <c r="JB58" s="885"/>
      <c r="JC58" s="885"/>
      <c r="JD58" s="885"/>
      <c r="JE58" s="885"/>
      <c r="JF58" s="885"/>
      <c r="JG58" s="885"/>
      <c r="JH58" s="885"/>
      <c r="JI58" s="885"/>
      <c r="JJ58" s="885"/>
      <c r="JK58" s="885"/>
      <c r="JL58" s="885"/>
      <c r="JM58" s="885"/>
      <c r="JN58" s="885"/>
      <c r="JO58" s="885"/>
      <c r="JP58" s="885"/>
      <c r="JQ58" s="885"/>
      <c r="JR58" s="885"/>
      <c r="JS58" s="885"/>
      <c r="JT58" s="885"/>
      <c r="JU58" s="885"/>
      <c r="JV58" s="885"/>
      <c r="JW58" s="885"/>
      <c r="JX58" s="885"/>
      <c r="JY58" s="885"/>
      <c r="JZ58" s="885"/>
    </row>
    <row r="59" spans="2:286" ht="24" customHeight="1" x14ac:dyDescent="0.2">
      <c r="B59" s="136" t="s">
        <v>136</v>
      </c>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row>
    <row r="60" spans="2:286" s="125" customFormat="1" ht="25.15" customHeight="1" x14ac:dyDescent="0.2">
      <c r="B60" s="884" t="s">
        <v>24</v>
      </c>
      <c r="C60" s="876" t="s">
        <v>258</v>
      </c>
      <c r="D60" s="876"/>
      <c r="E60" s="876"/>
      <c r="F60" s="876"/>
      <c r="G60" s="876"/>
      <c r="H60" s="876"/>
      <c r="I60" s="876"/>
      <c r="J60" s="876"/>
      <c r="K60" s="876"/>
      <c r="L60" s="876"/>
      <c r="M60" s="876"/>
      <c r="N60" s="876"/>
      <c r="O60" s="876"/>
      <c r="P60" s="876"/>
      <c r="Q60" s="876"/>
      <c r="R60" s="876"/>
      <c r="S60" s="876"/>
      <c r="T60" s="876"/>
      <c r="U60" s="876"/>
      <c r="V60" s="876"/>
      <c r="W60" s="876"/>
      <c r="X60" s="876"/>
      <c r="Y60" s="876"/>
      <c r="Z60" s="876"/>
      <c r="AA60" s="876"/>
      <c r="AB60" s="876"/>
      <c r="AC60" s="876"/>
      <c r="AD60" s="876"/>
      <c r="AE60" s="876"/>
      <c r="AF60" s="876"/>
      <c r="AG60" s="876"/>
      <c r="AH60" s="876"/>
      <c r="AI60" s="876"/>
      <c r="AJ60" s="876"/>
      <c r="AK60" s="876"/>
      <c r="AL60" s="876"/>
      <c r="AM60" s="876"/>
      <c r="AN60" s="876"/>
      <c r="AO60" s="876"/>
      <c r="AP60" s="876"/>
      <c r="AQ60" s="876"/>
      <c r="AR60" s="876"/>
      <c r="AS60" s="876"/>
      <c r="AT60" s="876"/>
      <c r="AU60" s="876"/>
      <c r="AV60" s="876"/>
      <c r="AW60" s="876"/>
      <c r="AX60" s="876"/>
      <c r="AY60" s="133"/>
      <c r="AZ60" s="133"/>
      <c r="BA60" s="133"/>
      <c r="BB60" s="133"/>
      <c r="BC60" s="133"/>
      <c r="BD60" s="133"/>
      <c r="BE60" s="133"/>
      <c r="BF60" s="133"/>
      <c r="BG60" s="133"/>
      <c r="BH60" s="133"/>
      <c r="BI60" s="133"/>
      <c r="BJ60" s="133"/>
    </row>
    <row r="61" spans="2:286" s="125" customFormat="1" ht="25.15" customHeight="1" x14ac:dyDescent="0.2">
      <c r="B61" s="884"/>
      <c r="C61" s="877">
        <v>2014</v>
      </c>
      <c r="D61" s="877"/>
      <c r="E61" s="877"/>
      <c r="F61" s="877"/>
      <c r="G61" s="877"/>
      <c r="H61" s="877"/>
      <c r="I61" s="877">
        <v>2015</v>
      </c>
      <c r="J61" s="877"/>
      <c r="K61" s="877"/>
      <c r="L61" s="877"/>
      <c r="M61" s="877"/>
      <c r="N61" s="877"/>
      <c r="O61" s="877">
        <v>2016</v>
      </c>
      <c r="P61" s="877"/>
      <c r="Q61" s="877"/>
      <c r="R61" s="877"/>
      <c r="S61" s="877"/>
      <c r="T61" s="877"/>
      <c r="U61" s="877">
        <v>2017</v>
      </c>
      <c r="V61" s="877"/>
      <c r="W61" s="877"/>
      <c r="X61" s="877"/>
      <c r="Y61" s="877"/>
      <c r="Z61" s="877"/>
      <c r="AA61" s="877">
        <v>2018</v>
      </c>
      <c r="AB61" s="877"/>
      <c r="AC61" s="877"/>
      <c r="AD61" s="877"/>
      <c r="AE61" s="877"/>
      <c r="AF61" s="877"/>
      <c r="AG61" s="877">
        <v>2019</v>
      </c>
      <c r="AH61" s="877"/>
      <c r="AI61" s="877"/>
      <c r="AJ61" s="877"/>
      <c r="AK61" s="877"/>
      <c r="AL61" s="877"/>
      <c r="AM61" s="877">
        <v>2020</v>
      </c>
      <c r="AN61" s="877"/>
      <c r="AO61" s="877"/>
      <c r="AP61" s="877"/>
      <c r="AQ61" s="877"/>
      <c r="AR61" s="877"/>
      <c r="AS61" s="877">
        <v>2021</v>
      </c>
      <c r="AT61" s="877"/>
      <c r="AU61" s="877"/>
      <c r="AV61" s="877"/>
      <c r="AW61" s="877"/>
      <c r="AX61" s="877"/>
      <c r="AY61" s="133"/>
      <c r="AZ61" s="133"/>
      <c r="BA61" s="133"/>
      <c r="BB61" s="133"/>
      <c r="BC61" s="133"/>
      <c r="BD61" s="133"/>
      <c r="BE61" s="133"/>
      <c r="BF61" s="133"/>
      <c r="BG61" s="133"/>
      <c r="BH61" s="133"/>
      <c r="BI61" s="133"/>
      <c r="BJ61" s="133"/>
    </row>
    <row r="62" spans="2:286" s="125" customFormat="1" ht="25.15" customHeight="1" x14ac:dyDescent="0.2">
      <c r="B62" s="884"/>
      <c r="C62" s="882" t="s">
        <v>179</v>
      </c>
      <c r="D62" s="881"/>
      <c r="E62" s="880" t="s">
        <v>226</v>
      </c>
      <c r="F62" s="881"/>
      <c r="G62" s="880" t="s">
        <v>227</v>
      </c>
      <c r="H62" s="882"/>
      <c r="I62" s="882" t="s">
        <v>179</v>
      </c>
      <c r="J62" s="881"/>
      <c r="K62" s="880" t="s">
        <v>226</v>
      </c>
      <c r="L62" s="881"/>
      <c r="M62" s="880" t="s">
        <v>227</v>
      </c>
      <c r="N62" s="882"/>
      <c r="O62" s="882" t="s">
        <v>179</v>
      </c>
      <c r="P62" s="881"/>
      <c r="Q62" s="880" t="s">
        <v>226</v>
      </c>
      <c r="R62" s="881"/>
      <c r="S62" s="880" t="s">
        <v>227</v>
      </c>
      <c r="T62" s="882"/>
      <c r="U62" s="882" t="s">
        <v>179</v>
      </c>
      <c r="V62" s="881"/>
      <c r="W62" s="880" t="s">
        <v>226</v>
      </c>
      <c r="X62" s="881"/>
      <c r="Y62" s="880" t="s">
        <v>227</v>
      </c>
      <c r="Z62" s="882"/>
      <c r="AA62" s="882" t="s">
        <v>179</v>
      </c>
      <c r="AB62" s="881"/>
      <c r="AC62" s="880" t="s">
        <v>226</v>
      </c>
      <c r="AD62" s="881"/>
      <c r="AE62" s="880" t="s">
        <v>227</v>
      </c>
      <c r="AF62" s="882"/>
      <c r="AG62" s="882" t="s">
        <v>179</v>
      </c>
      <c r="AH62" s="881"/>
      <c r="AI62" s="880" t="s">
        <v>226</v>
      </c>
      <c r="AJ62" s="881"/>
      <c r="AK62" s="880" t="s">
        <v>227</v>
      </c>
      <c r="AL62" s="882"/>
      <c r="AM62" s="882" t="s">
        <v>179</v>
      </c>
      <c r="AN62" s="881"/>
      <c r="AO62" s="880" t="s">
        <v>226</v>
      </c>
      <c r="AP62" s="881"/>
      <c r="AQ62" s="880" t="s">
        <v>227</v>
      </c>
      <c r="AR62" s="882"/>
      <c r="AS62" s="882" t="s">
        <v>179</v>
      </c>
      <c r="AT62" s="881"/>
      <c r="AU62" s="880" t="s">
        <v>226</v>
      </c>
      <c r="AV62" s="881"/>
      <c r="AW62" s="880" t="s">
        <v>227</v>
      </c>
      <c r="AX62" s="882"/>
      <c r="AY62" s="126"/>
      <c r="AZ62" s="126"/>
      <c r="BA62" s="126"/>
      <c r="BB62" s="126"/>
      <c r="BC62" s="126"/>
      <c r="BD62" s="126"/>
      <c r="BE62" s="126"/>
      <c r="BF62" s="126"/>
      <c r="BG62" s="126"/>
    </row>
    <row r="63" spans="2:286" s="110" customFormat="1" ht="30" customHeight="1" x14ac:dyDescent="0.2">
      <c r="B63" s="463" t="s">
        <v>25</v>
      </c>
      <c r="C63" s="110">
        <v>3</v>
      </c>
      <c r="E63" s="97">
        <v>4190</v>
      </c>
      <c r="G63" s="110">
        <v>107368</v>
      </c>
      <c r="I63" s="110">
        <v>2</v>
      </c>
      <c r="K63" s="97">
        <v>2930</v>
      </c>
      <c r="M63" s="127">
        <v>48880</v>
      </c>
      <c r="N63" s="127"/>
      <c r="O63" s="116" t="s">
        <v>8</v>
      </c>
      <c r="Q63" s="307" t="s">
        <v>8</v>
      </c>
      <c r="S63" s="127">
        <v>8000</v>
      </c>
      <c r="T63" s="138" t="s">
        <v>62</v>
      </c>
      <c r="U63" s="110">
        <v>2</v>
      </c>
      <c r="W63" s="308">
        <v>328</v>
      </c>
      <c r="Y63" s="127">
        <v>142824</v>
      </c>
      <c r="AA63" s="110">
        <v>3</v>
      </c>
      <c r="AC63" s="97">
        <v>760</v>
      </c>
      <c r="AE63" s="110">
        <v>133160</v>
      </c>
      <c r="AF63" s="309"/>
      <c r="AG63" s="110">
        <v>3</v>
      </c>
      <c r="AI63" s="97">
        <v>2499</v>
      </c>
      <c r="AK63" s="110">
        <v>265360</v>
      </c>
      <c r="AL63" s="309"/>
      <c r="AM63" s="84">
        <v>3</v>
      </c>
      <c r="AN63" s="84"/>
      <c r="AO63" s="23">
        <v>22473</v>
      </c>
      <c r="AP63" s="84"/>
      <c r="AQ63" s="84">
        <v>351792</v>
      </c>
      <c r="AR63" s="310"/>
      <c r="AS63" s="84">
        <v>2</v>
      </c>
      <c r="AT63" s="84"/>
      <c r="AU63" s="23">
        <v>220</v>
      </c>
      <c r="AV63" s="84"/>
      <c r="AW63" s="84">
        <v>20960</v>
      </c>
      <c r="AX63" s="310"/>
      <c r="AY63" s="127"/>
      <c r="BB63" s="116"/>
    </row>
    <row r="64" spans="2:286" s="110" customFormat="1" ht="30" customHeight="1" x14ac:dyDescent="0.2">
      <c r="B64" s="463" t="s">
        <v>26</v>
      </c>
      <c r="C64" s="110">
        <v>5</v>
      </c>
      <c r="E64" s="97">
        <v>1469</v>
      </c>
      <c r="G64" s="110">
        <v>65384</v>
      </c>
      <c r="I64" s="110">
        <v>1</v>
      </c>
      <c r="K64" s="97">
        <v>83</v>
      </c>
      <c r="M64" s="127">
        <v>7968</v>
      </c>
      <c r="N64" s="127"/>
      <c r="O64" s="110">
        <v>3</v>
      </c>
      <c r="Q64" s="97">
        <v>1234</v>
      </c>
      <c r="S64" s="127">
        <v>133496</v>
      </c>
      <c r="T64" s="127"/>
      <c r="U64" s="110">
        <v>2</v>
      </c>
      <c r="W64" s="97">
        <v>621</v>
      </c>
      <c r="Y64" s="127">
        <v>111240</v>
      </c>
      <c r="AA64" s="110">
        <v>5</v>
      </c>
      <c r="AC64" s="97">
        <v>4066</v>
      </c>
      <c r="AE64" s="110">
        <v>53268</v>
      </c>
      <c r="AF64" s="309"/>
      <c r="AG64" s="110">
        <v>2</v>
      </c>
      <c r="AI64" s="97">
        <v>1320</v>
      </c>
      <c r="AK64" s="110">
        <v>10560</v>
      </c>
      <c r="AL64" s="309"/>
      <c r="AM64" s="84">
        <v>8</v>
      </c>
      <c r="AN64" s="84"/>
      <c r="AO64" s="23">
        <v>4250</v>
      </c>
      <c r="AP64" s="84"/>
      <c r="AQ64" s="84">
        <v>167648</v>
      </c>
      <c r="AR64" s="310"/>
      <c r="AS64" s="84">
        <v>1</v>
      </c>
      <c r="AT64" s="84"/>
      <c r="AU64" s="23">
        <v>83</v>
      </c>
      <c r="AV64" s="84"/>
      <c r="AW64" s="84">
        <v>16480</v>
      </c>
      <c r="AX64" s="310"/>
      <c r="AY64" s="128"/>
      <c r="BA64" s="116"/>
      <c r="BB64" s="116"/>
    </row>
    <row r="65" spans="2:62" s="110" customFormat="1" ht="30" customHeight="1" x14ac:dyDescent="0.2">
      <c r="B65" s="463" t="s">
        <v>27</v>
      </c>
      <c r="C65" s="110">
        <v>11</v>
      </c>
      <c r="E65" s="97">
        <v>8175</v>
      </c>
      <c r="G65" s="110">
        <v>291872</v>
      </c>
      <c r="I65" s="116" t="s">
        <v>8</v>
      </c>
      <c r="K65" s="311" t="s">
        <v>8</v>
      </c>
      <c r="M65" s="127">
        <v>10624</v>
      </c>
      <c r="N65" s="309" t="s">
        <v>62</v>
      </c>
      <c r="O65" s="116">
        <v>9</v>
      </c>
      <c r="Q65" s="97">
        <v>4848</v>
      </c>
      <c r="S65" s="127">
        <v>304752</v>
      </c>
      <c r="T65" s="127"/>
      <c r="U65" s="110">
        <v>2</v>
      </c>
      <c r="W65" s="97">
        <v>799</v>
      </c>
      <c r="Y65" s="127">
        <v>169224</v>
      </c>
      <c r="AA65" s="110">
        <v>5</v>
      </c>
      <c r="AC65" s="97">
        <v>1602</v>
      </c>
      <c r="AE65" s="110">
        <v>53824</v>
      </c>
      <c r="AF65" s="309"/>
      <c r="AG65" s="110">
        <v>8</v>
      </c>
      <c r="AI65" s="97">
        <v>6337</v>
      </c>
      <c r="AK65" s="110">
        <v>134984</v>
      </c>
      <c r="AL65" s="309"/>
      <c r="AM65" s="84">
        <v>3</v>
      </c>
      <c r="AN65" s="84"/>
      <c r="AO65" s="23">
        <v>3433</v>
      </c>
      <c r="AP65" s="84"/>
      <c r="AQ65" s="84">
        <v>37528</v>
      </c>
      <c r="AR65" s="310"/>
      <c r="AS65" s="84">
        <v>6</v>
      </c>
      <c r="AT65" s="84"/>
      <c r="AU65" s="23">
        <v>96962</v>
      </c>
      <c r="AV65" s="84"/>
      <c r="AW65" s="84">
        <v>907112</v>
      </c>
      <c r="AX65" s="310"/>
      <c r="AY65" s="127"/>
    </row>
    <row r="66" spans="2:62" s="110" customFormat="1" ht="30" customHeight="1" x14ac:dyDescent="0.2">
      <c r="B66" s="463" t="s">
        <v>28</v>
      </c>
      <c r="C66" s="110">
        <v>13</v>
      </c>
      <c r="E66" s="97">
        <v>3495</v>
      </c>
      <c r="G66" s="110">
        <v>618944</v>
      </c>
      <c r="I66" s="110">
        <v>6</v>
      </c>
      <c r="K66" s="97">
        <v>1869</v>
      </c>
      <c r="M66" s="110">
        <v>44392</v>
      </c>
      <c r="N66" s="127"/>
      <c r="O66" s="110">
        <v>4</v>
      </c>
      <c r="P66" s="116"/>
      <c r="Q66" s="97">
        <v>586</v>
      </c>
      <c r="R66" s="116"/>
      <c r="S66" s="127">
        <v>336384</v>
      </c>
      <c r="T66" s="127"/>
      <c r="U66" s="110">
        <v>6</v>
      </c>
      <c r="W66" s="97">
        <v>1827</v>
      </c>
      <c r="Y66" s="127">
        <v>137080</v>
      </c>
      <c r="AA66" s="110">
        <v>6</v>
      </c>
      <c r="AC66" s="97">
        <v>1295</v>
      </c>
      <c r="AE66" s="110">
        <v>60168</v>
      </c>
      <c r="AF66" s="309"/>
      <c r="AG66" s="110">
        <v>4</v>
      </c>
      <c r="AI66" s="97">
        <v>1866</v>
      </c>
      <c r="AK66" s="110">
        <v>58128</v>
      </c>
      <c r="AL66" s="309"/>
      <c r="AM66" s="84">
        <v>0</v>
      </c>
      <c r="AN66" s="84"/>
      <c r="AO66" s="23">
        <v>0</v>
      </c>
      <c r="AP66" s="84"/>
      <c r="AQ66" s="84">
        <v>0</v>
      </c>
      <c r="AR66" s="310"/>
      <c r="AS66" s="84">
        <v>3</v>
      </c>
      <c r="AT66" s="84"/>
      <c r="AU66" s="23">
        <v>95377</v>
      </c>
      <c r="AV66" s="84"/>
      <c r="AW66" s="84">
        <v>1526032</v>
      </c>
      <c r="AX66" s="310"/>
      <c r="AY66" s="127"/>
    </row>
    <row r="67" spans="2:62" s="110" customFormat="1" ht="30" customHeight="1" x14ac:dyDescent="0.2">
      <c r="B67" s="463" t="s">
        <v>29</v>
      </c>
      <c r="C67" s="110">
        <v>7</v>
      </c>
      <c r="E67" s="97">
        <v>3144</v>
      </c>
      <c r="G67" s="110">
        <v>388036</v>
      </c>
      <c r="I67" s="110">
        <v>4</v>
      </c>
      <c r="K67" s="97">
        <v>8590</v>
      </c>
      <c r="M67" s="110">
        <v>1047304</v>
      </c>
      <c r="N67" s="127"/>
      <c r="O67" s="110">
        <v>3</v>
      </c>
      <c r="Q67" s="97">
        <v>1027</v>
      </c>
      <c r="S67" s="127">
        <v>321936</v>
      </c>
      <c r="T67" s="127"/>
      <c r="U67" s="110">
        <v>3</v>
      </c>
      <c r="W67" s="97">
        <v>470</v>
      </c>
      <c r="Y67" s="127">
        <v>16536</v>
      </c>
      <c r="AA67" s="110">
        <v>6</v>
      </c>
      <c r="AC67" s="97">
        <v>977</v>
      </c>
      <c r="AE67" s="110">
        <v>86704</v>
      </c>
      <c r="AF67" s="309"/>
      <c r="AG67" s="110">
        <v>6</v>
      </c>
      <c r="AI67" s="97">
        <v>6912</v>
      </c>
      <c r="AK67" s="110">
        <v>148616</v>
      </c>
      <c r="AL67" s="309"/>
      <c r="AM67" s="84">
        <v>0</v>
      </c>
      <c r="AN67" s="84"/>
      <c r="AO67" s="23">
        <v>0</v>
      </c>
      <c r="AP67" s="84"/>
      <c r="AQ67" s="84">
        <v>0</v>
      </c>
      <c r="AR67" s="310"/>
      <c r="AS67" s="84">
        <v>5</v>
      </c>
      <c r="AT67" s="84"/>
      <c r="AU67" s="23">
        <v>1715</v>
      </c>
      <c r="AV67" s="84"/>
      <c r="AW67" s="84">
        <v>45160</v>
      </c>
      <c r="AX67" s="310"/>
      <c r="AY67" s="128"/>
      <c r="BA67" s="116"/>
      <c r="BB67" s="116"/>
    </row>
    <row r="68" spans="2:62" s="110" customFormat="1" ht="30" customHeight="1" x14ac:dyDescent="0.2">
      <c r="B68" s="463" t="s">
        <v>30</v>
      </c>
      <c r="C68" s="110">
        <v>6</v>
      </c>
      <c r="E68" s="97">
        <v>3883</v>
      </c>
      <c r="G68" s="110">
        <v>174958</v>
      </c>
      <c r="I68" s="110">
        <v>3</v>
      </c>
      <c r="K68" s="97">
        <v>1058</v>
      </c>
      <c r="M68" s="110">
        <v>125648</v>
      </c>
      <c r="N68" s="127"/>
      <c r="O68" s="110">
        <v>5</v>
      </c>
      <c r="P68" s="116"/>
      <c r="Q68" s="97">
        <v>788</v>
      </c>
      <c r="R68" s="116"/>
      <c r="S68" s="127">
        <v>210936</v>
      </c>
      <c r="T68" s="127"/>
      <c r="U68" s="110">
        <v>7</v>
      </c>
      <c r="W68" s="97">
        <v>1724</v>
      </c>
      <c r="Y68" s="127">
        <v>45472</v>
      </c>
      <c r="AA68" s="110">
        <v>6</v>
      </c>
      <c r="AC68" s="97">
        <v>1272</v>
      </c>
      <c r="AE68" s="110">
        <v>78568</v>
      </c>
      <c r="AF68" s="309"/>
      <c r="AG68" s="110">
        <v>4</v>
      </c>
      <c r="AI68" s="97">
        <v>48593</v>
      </c>
      <c r="AK68" s="110">
        <v>293992</v>
      </c>
      <c r="AL68" s="309"/>
      <c r="AM68" s="84">
        <v>0</v>
      </c>
      <c r="AN68" s="84"/>
      <c r="AO68" s="23">
        <v>0</v>
      </c>
      <c r="AP68" s="84"/>
      <c r="AQ68" s="84">
        <v>0</v>
      </c>
      <c r="AR68" s="310"/>
      <c r="AS68" s="84">
        <v>2</v>
      </c>
      <c r="AT68" s="84"/>
      <c r="AU68" s="23">
        <v>530</v>
      </c>
      <c r="AV68" s="84"/>
      <c r="AW68" s="84">
        <v>67200</v>
      </c>
      <c r="AX68" s="310"/>
      <c r="AY68" s="127"/>
      <c r="BA68" s="116"/>
    </row>
    <row r="69" spans="2:62" s="110" customFormat="1" ht="30" customHeight="1" x14ac:dyDescent="0.2">
      <c r="B69" s="463" t="s">
        <v>31</v>
      </c>
      <c r="C69" s="110">
        <v>8</v>
      </c>
      <c r="E69" s="97">
        <v>1229</v>
      </c>
      <c r="G69" s="110">
        <v>160994</v>
      </c>
      <c r="I69" s="110">
        <v>6</v>
      </c>
      <c r="K69" s="97">
        <v>491</v>
      </c>
      <c r="M69" s="110">
        <v>7128</v>
      </c>
      <c r="N69" s="127"/>
      <c r="O69" s="110">
        <v>1</v>
      </c>
      <c r="P69" s="116"/>
      <c r="Q69" s="97">
        <v>615</v>
      </c>
      <c r="R69" s="116"/>
      <c r="S69" s="127">
        <v>49944</v>
      </c>
      <c r="T69" s="127"/>
      <c r="U69" s="110">
        <v>9</v>
      </c>
      <c r="W69" s="97">
        <v>12475</v>
      </c>
      <c r="Y69" s="127">
        <v>415408</v>
      </c>
      <c r="AA69" s="110">
        <v>2</v>
      </c>
      <c r="AC69" s="97">
        <v>786</v>
      </c>
      <c r="AE69" s="110">
        <v>8626</v>
      </c>
      <c r="AF69" s="309"/>
      <c r="AG69" s="110">
        <v>6</v>
      </c>
      <c r="AI69" s="97">
        <v>10079</v>
      </c>
      <c r="AK69" s="110">
        <v>179416</v>
      </c>
      <c r="AL69" s="309"/>
      <c r="AM69" s="84">
        <v>0</v>
      </c>
      <c r="AN69" s="84"/>
      <c r="AO69" s="23">
        <v>0</v>
      </c>
      <c r="AP69" s="84"/>
      <c r="AQ69" s="84">
        <v>0</v>
      </c>
      <c r="AR69" s="310"/>
      <c r="AS69" s="84">
        <v>1</v>
      </c>
      <c r="AT69" s="84"/>
      <c r="AU69" s="23">
        <v>51</v>
      </c>
      <c r="AV69" s="84"/>
      <c r="AW69" s="84">
        <v>816</v>
      </c>
      <c r="AX69" s="310"/>
      <c r="AY69" s="128"/>
      <c r="AZ69" s="133"/>
      <c r="BA69" s="116"/>
      <c r="BB69" s="116"/>
    </row>
    <row r="70" spans="2:62" s="110" customFormat="1" ht="30" customHeight="1" x14ac:dyDescent="0.2">
      <c r="B70" s="463" t="s">
        <v>32</v>
      </c>
      <c r="C70" s="110">
        <v>5</v>
      </c>
      <c r="E70" s="97">
        <v>2087</v>
      </c>
      <c r="G70" s="110">
        <v>200064</v>
      </c>
      <c r="I70" s="110">
        <v>3</v>
      </c>
      <c r="K70" s="97">
        <v>780</v>
      </c>
      <c r="M70" s="110">
        <v>6240</v>
      </c>
      <c r="N70" s="127"/>
      <c r="O70" s="110">
        <v>1</v>
      </c>
      <c r="P70" s="116"/>
      <c r="Q70" s="97">
        <v>300</v>
      </c>
      <c r="R70" s="116"/>
      <c r="S70" s="127">
        <v>40800</v>
      </c>
      <c r="T70" s="127"/>
      <c r="U70" s="110">
        <v>2</v>
      </c>
      <c r="W70" s="97">
        <v>8143</v>
      </c>
      <c r="Y70" s="127">
        <v>195238</v>
      </c>
      <c r="AA70" s="110">
        <v>4</v>
      </c>
      <c r="AC70" s="97">
        <v>7544</v>
      </c>
      <c r="AE70" s="110">
        <v>46206</v>
      </c>
      <c r="AF70" s="309"/>
      <c r="AG70" s="879" t="s">
        <v>241</v>
      </c>
      <c r="AH70" s="879"/>
      <c r="AI70" s="879"/>
      <c r="AJ70" s="879"/>
      <c r="AK70" s="879"/>
      <c r="AL70" s="309"/>
      <c r="AM70" s="23">
        <v>0</v>
      </c>
      <c r="AN70" s="23"/>
      <c r="AO70" s="23">
        <v>0</v>
      </c>
      <c r="AP70" s="84"/>
      <c r="AQ70" s="84">
        <v>0</v>
      </c>
      <c r="AR70" s="310"/>
      <c r="AS70" s="23">
        <v>2</v>
      </c>
      <c r="AT70" s="23"/>
      <c r="AU70" s="23">
        <v>725</v>
      </c>
      <c r="AV70" s="84"/>
      <c r="AW70" s="84">
        <v>35400</v>
      </c>
      <c r="AX70" s="310"/>
      <c r="AY70" s="127"/>
    </row>
    <row r="71" spans="2:62" s="110" customFormat="1" ht="30" customHeight="1" x14ac:dyDescent="0.2">
      <c r="B71" s="463" t="s">
        <v>33</v>
      </c>
      <c r="C71" s="110">
        <v>12</v>
      </c>
      <c r="E71" s="97">
        <v>3754</v>
      </c>
      <c r="G71" s="110">
        <v>255592</v>
      </c>
      <c r="I71" s="110">
        <v>4</v>
      </c>
      <c r="K71" s="97">
        <v>1217</v>
      </c>
      <c r="M71" s="110">
        <v>59096</v>
      </c>
      <c r="N71" s="127"/>
      <c r="O71" s="110">
        <v>6</v>
      </c>
      <c r="P71" s="116"/>
      <c r="Q71" s="97">
        <v>2500</v>
      </c>
      <c r="R71" s="116"/>
      <c r="S71" s="127">
        <v>156872</v>
      </c>
      <c r="T71" s="127"/>
      <c r="U71" s="110">
        <v>3</v>
      </c>
      <c r="W71" s="97">
        <v>2508</v>
      </c>
      <c r="Y71" s="127">
        <v>126636</v>
      </c>
      <c r="AA71" s="110">
        <v>7</v>
      </c>
      <c r="AC71" s="97">
        <v>1040</v>
      </c>
      <c r="AE71" s="110">
        <v>16216</v>
      </c>
      <c r="AF71" s="309"/>
      <c r="AG71" s="110">
        <v>10</v>
      </c>
      <c r="AI71" s="97">
        <v>6428</v>
      </c>
      <c r="AK71" s="110">
        <v>237360</v>
      </c>
      <c r="AL71" s="309"/>
      <c r="AM71" s="84">
        <v>2</v>
      </c>
      <c r="AN71" s="84"/>
      <c r="AO71" s="23">
        <v>715</v>
      </c>
      <c r="AP71" s="84"/>
      <c r="AQ71" s="84">
        <v>7576</v>
      </c>
      <c r="AR71" s="310"/>
      <c r="AS71" s="84">
        <v>4</v>
      </c>
      <c r="AT71" s="84"/>
      <c r="AU71" s="23">
        <v>1012</v>
      </c>
      <c r="AV71" s="84"/>
      <c r="AW71" s="84">
        <v>132776</v>
      </c>
      <c r="AX71" s="310"/>
      <c r="AY71" s="127"/>
      <c r="BB71" s="116"/>
    </row>
    <row r="72" spans="2:62" s="110" customFormat="1" ht="30" customHeight="1" x14ac:dyDescent="0.2">
      <c r="B72" s="463" t="s">
        <v>34</v>
      </c>
      <c r="C72" s="110">
        <v>12</v>
      </c>
      <c r="E72" s="97">
        <v>1734</v>
      </c>
      <c r="G72" s="110">
        <v>276910</v>
      </c>
      <c r="I72" s="110">
        <v>8</v>
      </c>
      <c r="K72" s="97">
        <v>1865</v>
      </c>
      <c r="M72" s="110">
        <v>215248</v>
      </c>
      <c r="N72" s="127"/>
      <c r="O72" s="110">
        <v>2</v>
      </c>
      <c r="P72" s="116"/>
      <c r="Q72" s="97">
        <v>2666</v>
      </c>
      <c r="R72" s="116"/>
      <c r="S72" s="127">
        <v>67224</v>
      </c>
      <c r="T72" s="127"/>
      <c r="U72" s="110">
        <v>4</v>
      </c>
      <c r="W72" s="97">
        <v>22984</v>
      </c>
      <c r="Y72" s="127">
        <v>1142684</v>
      </c>
      <c r="AA72" s="110">
        <v>4</v>
      </c>
      <c r="AC72" s="97">
        <v>1098</v>
      </c>
      <c r="AE72" s="110">
        <v>97824</v>
      </c>
      <c r="AF72" s="309"/>
      <c r="AG72" s="110">
        <v>4</v>
      </c>
      <c r="AI72" s="97">
        <v>13945</v>
      </c>
      <c r="AK72" s="110">
        <v>277056</v>
      </c>
      <c r="AL72" s="309"/>
      <c r="AM72" s="84">
        <v>2</v>
      </c>
      <c r="AN72" s="84"/>
      <c r="AO72" s="23">
        <v>95624</v>
      </c>
      <c r="AP72" s="84"/>
      <c r="AQ72" s="84">
        <v>3059768</v>
      </c>
      <c r="AR72" s="310"/>
      <c r="AS72" s="84">
        <v>3</v>
      </c>
      <c r="AT72" s="84"/>
      <c r="AU72" s="23">
        <v>898</v>
      </c>
      <c r="AV72" s="84"/>
      <c r="AW72" s="84">
        <v>23640</v>
      </c>
      <c r="AX72" s="310"/>
      <c r="AY72" s="128"/>
      <c r="BA72" s="116"/>
      <c r="BB72" s="116"/>
    </row>
    <row r="73" spans="2:62" s="110" customFormat="1" ht="30" customHeight="1" x14ac:dyDescent="0.2">
      <c r="B73" s="463" t="s">
        <v>35</v>
      </c>
      <c r="C73" s="110">
        <v>4</v>
      </c>
      <c r="E73" s="97">
        <v>2530</v>
      </c>
      <c r="G73" s="110">
        <v>380752</v>
      </c>
      <c r="I73" s="110">
        <v>4</v>
      </c>
      <c r="K73" s="97">
        <v>11238</v>
      </c>
      <c r="M73" s="110">
        <v>240968</v>
      </c>
      <c r="N73" s="127"/>
      <c r="O73" s="110">
        <v>3</v>
      </c>
      <c r="P73" s="116"/>
      <c r="Q73" s="97">
        <v>5218</v>
      </c>
      <c r="R73" s="116"/>
      <c r="S73" s="127">
        <v>478816</v>
      </c>
      <c r="T73" s="127"/>
      <c r="U73" s="110">
        <v>2</v>
      </c>
      <c r="W73" s="97">
        <v>3886</v>
      </c>
      <c r="Y73" s="127">
        <v>282528</v>
      </c>
      <c r="AA73" s="110">
        <v>4</v>
      </c>
      <c r="AC73" s="97">
        <v>613</v>
      </c>
      <c r="AE73" s="110">
        <v>75200</v>
      </c>
      <c r="AF73" s="309"/>
      <c r="AG73" s="110">
        <v>17</v>
      </c>
      <c r="AI73" s="97">
        <v>11494</v>
      </c>
      <c r="AK73" s="110">
        <v>462656</v>
      </c>
      <c r="AL73" s="309"/>
      <c r="AM73" s="879" t="s">
        <v>241</v>
      </c>
      <c r="AN73" s="879"/>
      <c r="AO73" s="879"/>
      <c r="AP73" s="879"/>
      <c r="AQ73" s="879"/>
      <c r="AR73" s="310"/>
      <c r="AS73" s="97">
        <v>4</v>
      </c>
      <c r="AT73" s="97"/>
      <c r="AU73" s="97">
        <v>5161</v>
      </c>
      <c r="AV73" s="97"/>
      <c r="AW73" s="97">
        <v>106968</v>
      </c>
      <c r="AX73" s="310"/>
      <c r="AY73" s="128"/>
      <c r="BA73" s="116"/>
      <c r="BB73" s="116"/>
    </row>
    <row r="74" spans="2:62" s="110" customFormat="1" ht="30" customHeight="1" x14ac:dyDescent="0.2">
      <c r="B74" s="463" t="s">
        <v>36</v>
      </c>
      <c r="C74" s="110">
        <v>9</v>
      </c>
      <c r="D74" s="116"/>
      <c r="E74" s="97">
        <v>4991</v>
      </c>
      <c r="F74" s="116"/>
      <c r="G74" s="110">
        <v>232144</v>
      </c>
      <c r="H74" s="116"/>
      <c r="I74" s="110">
        <v>6</v>
      </c>
      <c r="K74" s="97">
        <v>1945</v>
      </c>
      <c r="M74" s="110">
        <v>112136</v>
      </c>
      <c r="N74" s="127"/>
      <c r="O74" s="110">
        <v>4</v>
      </c>
      <c r="Q74" s="97">
        <v>681</v>
      </c>
      <c r="S74" s="127">
        <v>974896</v>
      </c>
      <c r="T74" s="127"/>
      <c r="U74" s="110">
        <v>3</v>
      </c>
      <c r="W74" s="97">
        <v>845</v>
      </c>
      <c r="Y74" s="127">
        <v>221624</v>
      </c>
      <c r="AA74" s="110">
        <v>2</v>
      </c>
      <c r="AC74" s="97">
        <v>443</v>
      </c>
      <c r="AE74" s="110">
        <v>29100</v>
      </c>
      <c r="AF74" s="309"/>
      <c r="AG74" s="110">
        <v>3</v>
      </c>
      <c r="AI74" s="97">
        <v>681</v>
      </c>
      <c r="AK74" s="110">
        <v>17728</v>
      </c>
      <c r="AL74" s="309"/>
      <c r="AM74" s="84">
        <v>5</v>
      </c>
      <c r="AN74" s="84"/>
      <c r="AO74" s="23">
        <v>1373</v>
      </c>
      <c r="AP74" s="84"/>
      <c r="AQ74" s="84">
        <v>28872</v>
      </c>
      <c r="AR74" s="310"/>
      <c r="AS74" s="84">
        <v>5</v>
      </c>
      <c r="AT74" s="84"/>
      <c r="AU74" s="23">
        <v>6408</v>
      </c>
      <c r="AV74" s="84"/>
      <c r="AW74" s="84">
        <v>144696</v>
      </c>
      <c r="AX74" s="310"/>
      <c r="AY74" s="128"/>
      <c r="BA74" s="116"/>
      <c r="BB74" s="116"/>
    </row>
    <row r="75" spans="2:62" s="125" customFormat="1" ht="30.75" customHeight="1" x14ac:dyDescent="0.2">
      <c r="B75" s="454" t="s">
        <v>6</v>
      </c>
      <c r="C75" s="455">
        <f>SUM(C63:C74)</f>
        <v>95</v>
      </c>
      <c r="D75" s="455"/>
      <c r="E75" s="458">
        <f>SUM(E63:E74)</f>
        <v>40681</v>
      </c>
      <c r="F75" s="455"/>
      <c r="G75" s="455">
        <f>SUM(G63:G74)</f>
        <v>3153018</v>
      </c>
      <c r="H75" s="456"/>
      <c r="I75" s="455">
        <f>SUM(I63:I74)</f>
        <v>47</v>
      </c>
      <c r="J75" s="455"/>
      <c r="K75" s="458">
        <f>SUM(K63:K74)</f>
        <v>32066</v>
      </c>
      <c r="L75" s="455"/>
      <c r="M75" s="455">
        <f>SUM(M63:M74)</f>
        <v>1925632</v>
      </c>
      <c r="N75" s="456"/>
      <c r="O75" s="455">
        <f>SUM(O63:O74)</f>
        <v>41</v>
      </c>
      <c r="P75" s="455"/>
      <c r="Q75" s="458">
        <f>SUM(Q63:Q74)</f>
        <v>20463</v>
      </c>
      <c r="R75" s="455"/>
      <c r="S75" s="455">
        <f>SUM(S63:S74)</f>
        <v>3084056</v>
      </c>
      <c r="T75" s="459"/>
      <c r="U75" s="455">
        <f>SUM(U63:U74)</f>
        <v>45</v>
      </c>
      <c r="V75" s="455"/>
      <c r="W75" s="458">
        <f>SUM(W63:W74)</f>
        <v>56610</v>
      </c>
      <c r="X75" s="455"/>
      <c r="Y75" s="455">
        <f>SUM(Y63:Y74)</f>
        <v>3006494</v>
      </c>
      <c r="Z75" s="456"/>
      <c r="AA75" s="455">
        <f>SUM(AA63:AA74)</f>
        <v>54</v>
      </c>
      <c r="AB75" s="455"/>
      <c r="AC75" s="458">
        <f>SUM(AC63:AC74)</f>
        <v>21496</v>
      </c>
      <c r="AD75" s="455"/>
      <c r="AE75" s="455">
        <f>SUM(AE63:AE74)</f>
        <v>738864</v>
      </c>
      <c r="AF75" s="456"/>
      <c r="AG75" s="455">
        <f>SUM(AG63:AG74)</f>
        <v>67</v>
      </c>
      <c r="AH75" s="455"/>
      <c r="AI75" s="458">
        <f>SUM(AI63:AI74)</f>
        <v>110154</v>
      </c>
      <c r="AJ75" s="455"/>
      <c r="AK75" s="455">
        <f>SUM(AK63:AK74)</f>
        <v>2085856</v>
      </c>
      <c r="AL75" s="456"/>
      <c r="AM75" s="460">
        <f>SUM(AM63:AM74)</f>
        <v>23</v>
      </c>
      <c r="AN75" s="460"/>
      <c r="AO75" s="461">
        <f>SUM(AO63:AO74)</f>
        <v>127868</v>
      </c>
      <c r="AP75" s="460"/>
      <c r="AQ75" s="460">
        <f>SUM(AQ63:AQ74)</f>
        <v>3653184</v>
      </c>
      <c r="AR75" s="462"/>
      <c r="AS75" s="460">
        <f>SUM(AS63:AS74)</f>
        <v>38</v>
      </c>
      <c r="AT75" s="460"/>
      <c r="AU75" s="461">
        <f>SUM(AU63:AU74)</f>
        <v>209142</v>
      </c>
      <c r="AV75" s="460"/>
      <c r="AW75" s="460">
        <f>SUM(AW63:AW74)</f>
        <v>3027240</v>
      </c>
      <c r="AX75" s="460"/>
      <c r="AY75" s="129"/>
      <c r="AZ75" s="129"/>
      <c r="BA75" s="129"/>
      <c r="BB75" s="129"/>
      <c r="BC75" s="129"/>
      <c r="BD75" s="129"/>
      <c r="BE75" s="129"/>
      <c r="BF75" s="129"/>
      <c r="BG75" s="129"/>
    </row>
    <row r="76" spans="2:62" s="125" customFormat="1" ht="21.6" customHeight="1" x14ac:dyDescent="0.2">
      <c r="B76" s="134"/>
      <c r="C76" s="139"/>
      <c r="D76" s="139"/>
      <c r="E76" s="140"/>
      <c r="F76" s="139"/>
      <c r="G76" s="139"/>
      <c r="H76" s="139"/>
      <c r="I76" s="139"/>
      <c r="J76" s="139"/>
      <c r="K76" s="140"/>
      <c r="L76" s="139"/>
      <c r="M76" s="139"/>
      <c r="N76" s="139"/>
      <c r="O76" s="139"/>
      <c r="P76" s="139"/>
      <c r="Q76" s="140"/>
      <c r="R76" s="139"/>
      <c r="S76" s="139"/>
      <c r="T76" s="141"/>
      <c r="U76" s="139"/>
      <c r="V76" s="139"/>
      <c r="W76" s="140"/>
      <c r="X76" s="139"/>
      <c r="Y76" s="139"/>
      <c r="Z76" s="139"/>
      <c r="AA76" s="139"/>
      <c r="AB76" s="139"/>
      <c r="AC76" s="140"/>
      <c r="AD76" s="139"/>
      <c r="AE76" s="139"/>
      <c r="AF76" s="139"/>
      <c r="AG76" s="139"/>
      <c r="AH76" s="139"/>
      <c r="AI76" s="140"/>
      <c r="AJ76" s="139"/>
      <c r="AK76" s="139"/>
      <c r="AL76" s="139"/>
      <c r="AM76" s="142"/>
      <c r="AN76" s="142"/>
      <c r="AO76" s="143"/>
      <c r="AP76" s="142"/>
      <c r="AQ76" s="142"/>
      <c r="AR76" s="142"/>
      <c r="AS76" s="142"/>
      <c r="AT76" s="142"/>
      <c r="AU76" s="143"/>
      <c r="AV76" s="142"/>
      <c r="AW76" s="142"/>
      <c r="AX76" s="142"/>
      <c r="AY76" s="129"/>
      <c r="AZ76" s="129"/>
      <c r="BA76" s="129"/>
      <c r="BB76" s="129"/>
      <c r="BC76" s="129"/>
      <c r="BD76" s="129"/>
      <c r="BE76" s="129"/>
      <c r="BF76" s="129"/>
      <c r="BG76" s="129"/>
    </row>
    <row r="77" spans="2:62" s="125" customFormat="1" ht="25.15" customHeight="1" x14ac:dyDescent="0.2">
      <c r="B77" s="876" t="s">
        <v>24</v>
      </c>
      <c r="C77" s="874" t="s">
        <v>258</v>
      </c>
      <c r="D77" s="875"/>
      <c r="E77" s="875"/>
      <c r="F77" s="875"/>
      <c r="G77" s="875"/>
      <c r="H77" s="875"/>
      <c r="I77" s="875"/>
      <c r="J77" s="875"/>
      <c r="K77" s="875"/>
      <c r="L77" s="875"/>
      <c r="M77" s="875"/>
      <c r="N77" s="875"/>
      <c r="O77" s="875"/>
      <c r="P77" s="875"/>
      <c r="Q77" s="875"/>
      <c r="R77" s="875"/>
      <c r="S77" s="875"/>
      <c r="T77" s="875"/>
      <c r="U77" s="140"/>
      <c r="V77" s="140"/>
      <c r="W77" s="140"/>
      <c r="X77" s="140"/>
      <c r="Y77" s="140"/>
      <c r="Z77" s="140"/>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33"/>
      <c r="AZ77" s="133"/>
      <c r="BA77" s="133"/>
      <c r="BB77" s="133"/>
      <c r="BC77" s="133"/>
      <c r="BD77" s="133"/>
      <c r="BE77" s="133"/>
      <c r="BF77" s="133"/>
      <c r="BG77" s="133"/>
      <c r="BH77" s="133"/>
      <c r="BI77" s="133"/>
      <c r="BJ77" s="133"/>
    </row>
    <row r="78" spans="2:62" s="125" customFormat="1" ht="25.15" customHeight="1" x14ac:dyDescent="0.2">
      <c r="B78" s="877"/>
      <c r="C78" s="877">
        <v>2022</v>
      </c>
      <c r="D78" s="877"/>
      <c r="E78" s="877"/>
      <c r="F78" s="877"/>
      <c r="G78" s="877"/>
      <c r="H78" s="877"/>
      <c r="I78" s="877">
        <v>2023</v>
      </c>
      <c r="J78" s="877"/>
      <c r="K78" s="877"/>
      <c r="L78" s="877"/>
      <c r="M78" s="877"/>
      <c r="N78" s="877"/>
      <c r="O78" s="877">
        <v>2024</v>
      </c>
      <c r="P78" s="877"/>
      <c r="Q78" s="877"/>
      <c r="R78" s="877"/>
      <c r="S78" s="877"/>
      <c r="T78" s="877"/>
      <c r="U78" s="893"/>
      <c r="V78" s="893"/>
      <c r="W78" s="893"/>
      <c r="X78" s="893"/>
      <c r="Y78" s="893"/>
      <c r="Z78" s="893"/>
      <c r="AA78" s="893"/>
      <c r="AB78" s="893"/>
      <c r="AC78" s="893"/>
      <c r="AD78" s="893"/>
      <c r="AE78" s="893"/>
      <c r="AF78" s="893"/>
      <c r="AG78" s="893"/>
      <c r="AH78" s="893"/>
      <c r="AI78" s="893"/>
      <c r="AJ78" s="893"/>
      <c r="AK78" s="893"/>
      <c r="AL78" s="893"/>
      <c r="AM78" s="893"/>
      <c r="AN78" s="893"/>
      <c r="AO78" s="893"/>
      <c r="AP78" s="893"/>
      <c r="AQ78" s="893"/>
      <c r="AR78" s="893"/>
      <c r="AS78" s="893"/>
      <c r="AT78" s="893"/>
      <c r="AU78" s="893"/>
      <c r="AV78" s="893"/>
      <c r="AW78" s="893"/>
      <c r="AX78" s="893"/>
      <c r="AY78" s="133"/>
      <c r="AZ78" s="133"/>
      <c r="BA78" s="133"/>
      <c r="BB78" s="133"/>
      <c r="BC78" s="133"/>
      <c r="BD78" s="133"/>
      <c r="BE78" s="133"/>
      <c r="BF78" s="133"/>
      <c r="BG78" s="133"/>
      <c r="BH78" s="133"/>
      <c r="BI78" s="133"/>
      <c r="BJ78" s="133"/>
    </row>
    <row r="79" spans="2:62" s="125" customFormat="1" ht="25.15" customHeight="1" x14ac:dyDescent="0.2">
      <c r="B79" s="878"/>
      <c r="C79" s="882" t="s">
        <v>179</v>
      </c>
      <c r="D79" s="881"/>
      <c r="E79" s="880" t="s">
        <v>226</v>
      </c>
      <c r="F79" s="881"/>
      <c r="G79" s="880" t="s">
        <v>227</v>
      </c>
      <c r="H79" s="882"/>
      <c r="I79" s="882" t="s">
        <v>179</v>
      </c>
      <c r="J79" s="881"/>
      <c r="K79" s="880" t="s">
        <v>226</v>
      </c>
      <c r="L79" s="881"/>
      <c r="M79" s="880" t="s">
        <v>227</v>
      </c>
      <c r="N79" s="882"/>
      <c r="O79" s="882" t="s">
        <v>179</v>
      </c>
      <c r="P79" s="881"/>
      <c r="Q79" s="880" t="s">
        <v>226</v>
      </c>
      <c r="R79" s="881"/>
      <c r="S79" s="880" t="s">
        <v>227</v>
      </c>
      <c r="T79" s="882"/>
      <c r="U79" s="883"/>
      <c r="V79" s="883"/>
      <c r="W79" s="883"/>
      <c r="X79" s="883"/>
      <c r="Y79" s="883"/>
      <c r="Z79" s="883"/>
      <c r="AA79" s="883"/>
      <c r="AB79" s="883"/>
      <c r="AC79" s="883"/>
      <c r="AD79" s="883"/>
      <c r="AE79" s="883"/>
      <c r="AF79" s="883"/>
      <c r="AG79" s="883"/>
      <c r="AH79" s="883"/>
      <c r="AI79" s="883"/>
      <c r="AJ79" s="883"/>
      <c r="AK79" s="883"/>
      <c r="AL79" s="883"/>
      <c r="AM79" s="883"/>
      <c r="AN79" s="883"/>
      <c r="AO79" s="883"/>
      <c r="AP79" s="883"/>
      <c r="AQ79" s="883"/>
      <c r="AR79" s="883"/>
      <c r="AS79" s="883"/>
      <c r="AT79" s="883"/>
      <c r="AU79" s="883"/>
      <c r="AV79" s="883"/>
      <c r="AW79" s="883"/>
      <c r="AX79" s="883"/>
      <c r="AY79" s="126"/>
      <c r="AZ79" s="126"/>
      <c r="BA79" s="126"/>
      <c r="BB79" s="126"/>
      <c r="BC79" s="126"/>
      <c r="BD79" s="126"/>
      <c r="BE79" s="126"/>
      <c r="BF79" s="126"/>
      <c r="BG79" s="126"/>
    </row>
    <row r="80" spans="2:62" s="110" customFormat="1" ht="30" customHeight="1" x14ac:dyDescent="0.2">
      <c r="B80" s="463" t="s">
        <v>25</v>
      </c>
      <c r="C80" s="291">
        <v>3</v>
      </c>
      <c r="E80" s="291">
        <v>2441</v>
      </c>
      <c r="G80" s="291">
        <v>285544</v>
      </c>
      <c r="I80" s="116">
        <v>1</v>
      </c>
      <c r="K80" s="116">
        <v>23</v>
      </c>
      <c r="M80" s="110">
        <v>13672</v>
      </c>
      <c r="O80" s="304">
        <v>2</v>
      </c>
      <c r="P80" s="54"/>
      <c r="Q80" s="590">
        <v>281</v>
      </c>
      <c r="R80" s="54"/>
      <c r="S80" s="590">
        <v>12752</v>
      </c>
      <c r="U80" s="127"/>
      <c r="V80" s="127"/>
      <c r="W80" s="144"/>
      <c r="X80" s="127"/>
      <c r="Y80" s="127"/>
      <c r="Z80" s="127"/>
      <c r="AA80" s="127"/>
      <c r="AB80" s="127"/>
      <c r="AC80" s="145"/>
      <c r="AD80" s="127"/>
      <c r="AE80" s="127"/>
      <c r="AF80" s="146"/>
      <c r="AG80" s="127"/>
      <c r="AH80" s="127"/>
      <c r="AI80" s="145"/>
      <c r="AJ80" s="127"/>
      <c r="AK80" s="127"/>
      <c r="AL80" s="146"/>
      <c r="AM80" s="147"/>
      <c r="AN80" s="147"/>
      <c r="AO80" s="148"/>
      <c r="AP80" s="147"/>
      <c r="AQ80" s="147"/>
      <c r="AR80" s="149"/>
      <c r="AS80" s="147"/>
      <c r="AT80" s="147"/>
      <c r="AU80" s="148"/>
      <c r="AV80" s="147"/>
      <c r="AW80" s="147"/>
      <c r="AX80" s="149"/>
      <c r="AY80" s="127"/>
      <c r="BB80" s="116"/>
    </row>
    <row r="81" spans="2:59" s="110" customFormat="1" ht="30" customHeight="1" x14ac:dyDescent="0.2">
      <c r="B81" s="463" t="s">
        <v>26</v>
      </c>
      <c r="C81" s="291">
        <v>3</v>
      </c>
      <c r="E81" s="291">
        <v>410</v>
      </c>
      <c r="G81" s="291">
        <v>280840</v>
      </c>
      <c r="I81" s="312" t="s">
        <v>8</v>
      </c>
      <c r="K81" s="116" t="s">
        <v>8</v>
      </c>
      <c r="M81" s="110">
        <v>4416</v>
      </c>
      <c r="N81" s="313" t="s">
        <v>62</v>
      </c>
      <c r="O81" s="304">
        <v>3</v>
      </c>
      <c r="P81" s="54"/>
      <c r="Q81" s="589">
        <v>5250</v>
      </c>
      <c r="R81" s="54"/>
      <c r="S81" s="591">
        <v>55200</v>
      </c>
      <c r="T81" s="313"/>
      <c r="U81" s="127"/>
      <c r="V81" s="127"/>
      <c r="W81" s="145"/>
      <c r="X81" s="127"/>
      <c r="Y81" s="127"/>
      <c r="Z81" s="127"/>
      <c r="AA81" s="127"/>
      <c r="AB81" s="127"/>
      <c r="AC81" s="145"/>
      <c r="AD81" s="127"/>
      <c r="AE81" s="127"/>
      <c r="AF81" s="146"/>
      <c r="AG81" s="127"/>
      <c r="AH81" s="127"/>
      <c r="AI81" s="145"/>
      <c r="AJ81" s="127"/>
      <c r="AK81" s="127"/>
      <c r="AL81" s="146"/>
      <c r="AM81" s="147"/>
      <c r="AN81" s="147"/>
      <c r="AO81" s="148"/>
      <c r="AP81" s="147"/>
      <c r="AQ81" s="147"/>
      <c r="AR81" s="149"/>
      <c r="AS81" s="147"/>
      <c r="AT81" s="147"/>
      <c r="AU81" s="148"/>
      <c r="AV81" s="147"/>
      <c r="AW81" s="147"/>
      <c r="AX81" s="149"/>
      <c r="AY81" s="128"/>
      <c r="BA81" s="116"/>
      <c r="BB81" s="116"/>
    </row>
    <row r="82" spans="2:59" s="110" customFormat="1" ht="30" customHeight="1" x14ac:dyDescent="0.2">
      <c r="B82" s="463" t="s">
        <v>27</v>
      </c>
      <c r="C82" s="291">
        <v>2</v>
      </c>
      <c r="E82" s="291">
        <v>110</v>
      </c>
      <c r="G82" s="291">
        <v>137976</v>
      </c>
      <c r="I82" s="110">
        <v>2</v>
      </c>
      <c r="K82" s="110">
        <v>643</v>
      </c>
      <c r="M82" s="110">
        <v>29400</v>
      </c>
      <c r="O82" s="304">
        <v>3</v>
      </c>
      <c r="P82" s="54"/>
      <c r="Q82" s="589">
        <v>283</v>
      </c>
      <c r="R82" s="54"/>
      <c r="S82" s="591">
        <v>15488</v>
      </c>
      <c r="U82" s="127"/>
      <c r="V82" s="127"/>
      <c r="W82" s="145"/>
      <c r="X82" s="127"/>
      <c r="Y82" s="127"/>
      <c r="Z82" s="127"/>
      <c r="AA82" s="127"/>
      <c r="AB82" s="127"/>
      <c r="AC82" s="145"/>
      <c r="AD82" s="127"/>
      <c r="AE82" s="127"/>
      <c r="AF82" s="146"/>
      <c r="AG82" s="127"/>
      <c r="AH82" s="127"/>
      <c r="AI82" s="145"/>
      <c r="AJ82" s="127"/>
      <c r="AK82" s="127"/>
      <c r="AL82" s="146"/>
      <c r="AM82" s="147"/>
      <c r="AN82" s="147"/>
      <c r="AO82" s="148"/>
      <c r="AP82" s="147"/>
      <c r="AQ82" s="147"/>
      <c r="AR82" s="149"/>
      <c r="AS82" s="147"/>
      <c r="AT82" s="147"/>
      <c r="AU82" s="148"/>
      <c r="AV82" s="147"/>
      <c r="AW82" s="147"/>
      <c r="AX82" s="149"/>
      <c r="AY82" s="127"/>
    </row>
    <row r="83" spans="2:59" s="110" customFormat="1" ht="30" customHeight="1" x14ac:dyDescent="0.2">
      <c r="B83" s="463" t="s">
        <v>28</v>
      </c>
      <c r="C83" s="291">
        <v>6</v>
      </c>
      <c r="E83" s="291">
        <v>3804</v>
      </c>
      <c r="G83" s="291">
        <v>177928</v>
      </c>
      <c r="I83" s="110">
        <v>3</v>
      </c>
      <c r="K83" s="110">
        <v>2018</v>
      </c>
      <c r="M83" s="110">
        <v>110512</v>
      </c>
      <c r="O83" s="304">
        <v>3</v>
      </c>
      <c r="P83" s="54"/>
      <c r="Q83" s="589">
        <v>530</v>
      </c>
      <c r="R83" s="54"/>
      <c r="S83" s="591">
        <v>15936</v>
      </c>
      <c r="U83" s="127"/>
      <c r="V83" s="127"/>
      <c r="W83" s="145"/>
      <c r="X83" s="127"/>
      <c r="Y83" s="127"/>
      <c r="Z83" s="127"/>
      <c r="AA83" s="127"/>
      <c r="AB83" s="127"/>
      <c r="AC83" s="145"/>
      <c r="AD83" s="127"/>
      <c r="AE83" s="127"/>
      <c r="AF83" s="146"/>
      <c r="AG83" s="127"/>
      <c r="AH83" s="127"/>
      <c r="AI83" s="145"/>
      <c r="AJ83" s="127"/>
      <c r="AK83" s="127"/>
      <c r="AL83" s="146"/>
      <c r="AM83" s="147"/>
      <c r="AN83" s="147"/>
      <c r="AO83" s="148"/>
      <c r="AP83" s="147"/>
      <c r="AQ83" s="147"/>
      <c r="AR83" s="149"/>
      <c r="AS83" s="147"/>
      <c r="AT83" s="147"/>
      <c r="AU83" s="148"/>
      <c r="AV83" s="147"/>
      <c r="AW83" s="147"/>
      <c r="AX83" s="149"/>
      <c r="AY83" s="127"/>
    </row>
    <row r="84" spans="2:59" s="110" customFormat="1" ht="30" customHeight="1" x14ac:dyDescent="0.2">
      <c r="B84" s="463" t="s">
        <v>29</v>
      </c>
      <c r="C84" s="291">
        <v>3</v>
      </c>
      <c r="E84" s="291">
        <v>528</v>
      </c>
      <c r="G84" s="291">
        <v>243224</v>
      </c>
      <c r="I84" s="110">
        <v>5</v>
      </c>
      <c r="K84" s="110">
        <v>28190</v>
      </c>
      <c r="M84" s="110">
        <v>229616</v>
      </c>
      <c r="O84" s="304">
        <v>6</v>
      </c>
      <c r="P84" s="54"/>
      <c r="Q84" s="589">
        <v>6609</v>
      </c>
      <c r="R84" s="54"/>
      <c r="S84" s="591">
        <v>32440</v>
      </c>
      <c r="U84" s="127"/>
      <c r="V84" s="127"/>
      <c r="W84" s="145"/>
      <c r="X84" s="127"/>
      <c r="Y84" s="127"/>
      <c r="Z84" s="127"/>
      <c r="AA84" s="127"/>
      <c r="AB84" s="127"/>
      <c r="AC84" s="145"/>
      <c r="AD84" s="127"/>
      <c r="AE84" s="127"/>
      <c r="AF84" s="146"/>
      <c r="AG84" s="127"/>
      <c r="AH84" s="127"/>
      <c r="AI84" s="145"/>
      <c r="AJ84" s="127"/>
      <c r="AK84" s="127"/>
      <c r="AL84" s="146"/>
      <c r="AM84" s="147"/>
      <c r="AN84" s="147"/>
      <c r="AO84" s="148"/>
      <c r="AP84" s="147"/>
      <c r="AQ84" s="147"/>
      <c r="AR84" s="149"/>
      <c r="AS84" s="147"/>
      <c r="AT84" s="147"/>
      <c r="AU84" s="148"/>
      <c r="AV84" s="147"/>
      <c r="AW84" s="147"/>
      <c r="AX84" s="149"/>
      <c r="AY84" s="128"/>
      <c r="BA84" s="116"/>
      <c r="BB84" s="116"/>
    </row>
    <row r="85" spans="2:59" s="110" customFormat="1" ht="30" customHeight="1" x14ac:dyDescent="0.2">
      <c r="B85" s="463" t="s">
        <v>30</v>
      </c>
      <c r="C85" s="291">
        <v>1</v>
      </c>
      <c r="E85" s="291">
        <v>118</v>
      </c>
      <c r="G85" s="291">
        <v>21576</v>
      </c>
      <c r="I85" s="110">
        <v>3</v>
      </c>
      <c r="K85" s="110">
        <v>1040</v>
      </c>
      <c r="M85" s="110">
        <v>75040</v>
      </c>
      <c r="O85" s="304">
        <v>2</v>
      </c>
      <c r="P85" s="54"/>
      <c r="Q85" s="589">
        <v>1574</v>
      </c>
      <c r="R85" s="54"/>
      <c r="S85" s="591">
        <v>63416</v>
      </c>
      <c r="U85" s="127"/>
      <c r="V85" s="127"/>
      <c r="W85" s="145"/>
      <c r="X85" s="127"/>
      <c r="Y85" s="127"/>
      <c r="Z85" s="127"/>
      <c r="AA85" s="127"/>
      <c r="AB85" s="127"/>
      <c r="AC85" s="145"/>
      <c r="AD85" s="127"/>
      <c r="AE85" s="127"/>
      <c r="AF85" s="146"/>
      <c r="AG85" s="127"/>
      <c r="AH85" s="127"/>
      <c r="AI85" s="145"/>
      <c r="AJ85" s="127"/>
      <c r="AK85" s="127"/>
      <c r="AL85" s="146"/>
      <c r="AM85" s="147"/>
      <c r="AN85" s="147"/>
      <c r="AO85" s="148"/>
      <c r="AP85" s="147"/>
      <c r="AQ85" s="147"/>
      <c r="AR85" s="149"/>
      <c r="AS85" s="147"/>
      <c r="AT85" s="147"/>
      <c r="AU85" s="148"/>
      <c r="AV85" s="147"/>
      <c r="AW85" s="147"/>
      <c r="AX85" s="149"/>
      <c r="AY85" s="127"/>
      <c r="BA85" s="116"/>
    </row>
    <row r="86" spans="2:59" s="110" customFormat="1" ht="30" customHeight="1" x14ac:dyDescent="0.2">
      <c r="B86" s="463" t="s">
        <v>31</v>
      </c>
      <c r="C86" s="291">
        <v>1</v>
      </c>
      <c r="E86" s="291">
        <v>680</v>
      </c>
      <c r="G86" s="291">
        <v>12560</v>
      </c>
      <c r="I86" s="110">
        <v>5</v>
      </c>
      <c r="K86" s="110">
        <v>5737</v>
      </c>
      <c r="M86" s="110">
        <v>290888</v>
      </c>
      <c r="O86" s="304">
        <v>5</v>
      </c>
      <c r="P86" s="54"/>
      <c r="Q86" s="589">
        <v>1300</v>
      </c>
      <c r="R86" s="54"/>
      <c r="S86" s="591">
        <v>55648</v>
      </c>
      <c r="U86" s="127"/>
      <c r="V86" s="127"/>
      <c r="W86" s="145"/>
      <c r="X86" s="127"/>
      <c r="Y86" s="127"/>
      <c r="Z86" s="127"/>
      <c r="AA86" s="127"/>
      <c r="AB86" s="127"/>
      <c r="AC86" s="145"/>
      <c r="AD86" s="127"/>
      <c r="AE86" s="127"/>
      <c r="AF86" s="146"/>
      <c r="AG86" s="127"/>
      <c r="AH86" s="127"/>
      <c r="AI86" s="145"/>
      <c r="AJ86" s="127"/>
      <c r="AK86" s="127"/>
      <c r="AL86" s="146"/>
      <c r="AM86" s="147"/>
      <c r="AN86" s="147"/>
      <c r="AO86" s="148"/>
      <c r="AP86" s="147"/>
      <c r="AQ86" s="147"/>
      <c r="AR86" s="149"/>
      <c r="AS86" s="147"/>
      <c r="AT86" s="147"/>
      <c r="AU86" s="148"/>
      <c r="AV86" s="147"/>
      <c r="AW86" s="147"/>
      <c r="AX86" s="149"/>
      <c r="AY86" s="128"/>
      <c r="AZ86" s="133"/>
      <c r="BA86" s="116"/>
      <c r="BB86" s="116"/>
    </row>
    <row r="87" spans="2:59" s="110" customFormat="1" ht="30" customHeight="1" x14ac:dyDescent="0.2">
      <c r="B87" s="463" t="s">
        <v>32</v>
      </c>
      <c r="C87" s="291">
        <v>6</v>
      </c>
      <c r="E87" s="291">
        <v>10750</v>
      </c>
      <c r="G87" s="291">
        <v>583992</v>
      </c>
      <c r="I87" s="110">
        <v>7</v>
      </c>
      <c r="K87" s="110">
        <v>11217</v>
      </c>
      <c r="M87" s="110">
        <v>112848</v>
      </c>
      <c r="O87" s="304">
        <v>9</v>
      </c>
      <c r="P87" s="54"/>
      <c r="Q87" s="589">
        <v>18762</v>
      </c>
      <c r="R87" s="54"/>
      <c r="S87" s="591">
        <v>760496</v>
      </c>
      <c r="U87" s="127"/>
      <c r="V87" s="127"/>
      <c r="W87" s="145"/>
      <c r="X87" s="127"/>
      <c r="Y87" s="127"/>
      <c r="Z87" s="127"/>
      <c r="AA87" s="127"/>
      <c r="AB87" s="127"/>
      <c r="AC87" s="145"/>
      <c r="AD87" s="127"/>
      <c r="AE87" s="127"/>
      <c r="AF87" s="146"/>
      <c r="AG87" s="892"/>
      <c r="AH87" s="892"/>
      <c r="AI87" s="892"/>
      <c r="AJ87" s="892"/>
      <c r="AK87" s="892"/>
      <c r="AL87" s="146"/>
      <c r="AM87" s="148"/>
      <c r="AN87" s="148"/>
      <c r="AO87" s="148"/>
      <c r="AP87" s="147"/>
      <c r="AQ87" s="147"/>
      <c r="AR87" s="149"/>
      <c r="AS87" s="148"/>
      <c r="AT87" s="148"/>
      <c r="AU87" s="148"/>
      <c r="AV87" s="147"/>
      <c r="AW87" s="147"/>
      <c r="AX87" s="149"/>
      <c r="AY87" s="127"/>
    </row>
    <row r="88" spans="2:59" s="110" customFormat="1" ht="30" customHeight="1" x14ac:dyDescent="0.2">
      <c r="B88" s="463" t="s">
        <v>33</v>
      </c>
      <c r="C88" s="291">
        <v>2</v>
      </c>
      <c r="E88" s="291">
        <v>1417</v>
      </c>
      <c r="G88" s="291">
        <v>102760</v>
      </c>
      <c r="I88" s="110">
        <v>12</v>
      </c>
      <c r="K88" s="110">
        <v>20377</v>
      </c>
      <c r="M88" s="110">
        <v>417233</v>
      </c>
      <c r="O88" s="304">
        <v>4</v>
      </c>
      <c r="P88" s="54"/>
      <c r="Q88" s="589">
        <v>597</v>
      </c>
      <c r="R88" s="54"/>
      <c r="S88" s="591">
        <v>347744</v>
      </c>
      <c r="U88" s="127"/>
      <c r="V88" s="127"/>
      <c r="W88" s="145"/>
      <c r="X88" s="127"/>
      <c r="Y88" s="127"/>
      <c r="Z88" s="127"/>
      <c r="AA88" s="127"/>
      <c r="AB88" s="127"/>
      <c r="AC88" s="145"/>
      <c r="AD88" s="127"/>
      <c r="AE88" s="127"/>
      <c r="AF88" s="146"/>
      <c r="AG88" s="127"/>
      <c r="AH88" s="127"/>
      <c r="AI88" s="145"/>
      <c r="AJ88" s="127"/>
      <c r="AK88" s="127"/>
      <c r="AL88" s="146"/>
      <c r="AM88" s="147"/>
      <c r="AN88" s="147"/>
      <c r="AO88" s="148"/>
      <c r="AP88" s="147"/>
      <c r="AQ88" s="147"/>
      <c r="AR88" s="149"/>
      <c r="AS88" s="147"/>
      <c r="AT88" s="147"/>
      <c r="AU88" s="148"/>
      <c r="AV88" s="147"/>
      <c r="AW88" s="147"/>
      <c r="AX88" s="149"/>
      <c r="AY88" s="127"/>
      <c r="BB88" s="116"/>
    </row>
    <row r="89" spans="2:59" s="110" customFormat="1" ht="30" customHeight="1" x14ac:dyDescent="0.2">
      <c r="B89" s="463" t="s">
        <v>34</v>
      </c>
      <c r="C89" s="291">
        <v>4</v>
      </c>
      <c r="E89" s="291">
        <v>5550</v>
      </c>
      <c r="G89" s="291">
        <v>73360</v>
      </c>
      <c r="I89" s="110">
        <v>6</v>
      </c>
      <c r="K89" s="110">
        <v>3840</v>
      </c>
      <c r="M89" s="110">
        <v>65112</v>
      </c>
      <c r="O89" s="304">
        <v>6</v>
      </c>
      <c r="P89" s="54"/>
      <c r="Q89" s="589">
        <v>10650</v>
      </c>
      <c r="R89" s="54"/>
      <c r="S89" s="591">
        <v>149040</v>
      </c>
      <c r="U89" s="127"/>
      <c r="V89" s="127"/>
      <c r="W89" s="145"/>
      <c r="X89" s="127"/>
      <c r="Y89" s="127"/>
      <c r="Z89" s="127"/>
      <c r="AA89" s="127"/>
      <c r="AB89" s="127"/>
      <c r="AC89" s="145"/>
      <c r="AD89" s="127"/>
      <c r="AE89" s="127"/>
      <c r="AF89" s="146"/>
      <c r="AG89" s="127"/>
      <c r="AH89" s="127"/>
      <c r="AI89" s="145"/>
      <c r="AJ89" s="127"/>
      <c r="AK89" s="127"/>
      <c r="AL89" s="146"/>
      <c r="AM89" s="147"/>
      <c r="AN89" s="147"/>
      <c r="AO89" s="148"/>
      <c r="AP89" s="147"/>
      <c r="AQ89" s="147"/>
      <c r="AR89" s="149"/>
      <c r="AS89" s="147"/>
      <c r="AT89" s="147"/>
      <c r="AU89" s="148"/>
      <c r="AV89" s="147"/>
      <c r="AW89" s="147"/>
      <c r="AX89" s="149"/>
      <c r="AY89" s="128"/>
      <c r="BA89" s="116"/>
      <c r="BB89" s="116"/>
    </row>
    <row r="90" spans="2:59" s="110" customFormat="1" ht="30" customHeight="1" x14ac:dyDescent="0.2">
      <c r="B90" s="463" t="s">
        <v>35</v>
      </c>
      <c r="C90" s="291">
        <v>7</v>
      </c>
      <c r="E90" s="291">
        <v>2315</v>
      </c>
      <c r="G90" s="291">
        <v>104928</v>
      </c>
      <c r="I90" s="110">
        <v>7</v>
      </c>
      <c r="K90" s="110">
        <v>3203</v>
      </c>
      <c r="M90" s="110">
        <v>82944</v>
      </c>
      <c r="O90" s="304">
        <v>15</v>
      </c>
      <c r="P90" s="54"/>
      <c r="Q90" s="589">
        <v>30450</v>
      </c>
      <c r="R90" s="54"/>
      <c r="S90" s="591">
        <v>471876</v>
      </c>
      <c r="U90" s="127"/>
      <c r="V90" s="127"/>
      <c r="W90" s="145"/>
      <c r="X90" s="127"/>
      <c r="Y90" s="127"/>
      <c r="Z90" s="127"/>
      <c r="AA90" s="127"/>
      <c r="AB90" s="127"/>
      <c r="AC90" s="145"/>
      <c r="AD90" s="127"/>
      <c r="AE90" s="127"/>
      <c r="AF90" s="146"/>
      <c r="AG90" s="127"/>
      <c r="AH90" s="127"/>
      <c r="AI90" s="145"/>
      <c r="AJ90" s="127"/>
      <c r="AK90" s="127"/>
      <c r="AL90" s="146"/>
      <c r="AM90" s="892"/>
      <c r="AN90" s="892"/>
      <c r="AO90" s="892"/>
      <c r="AP90" s="892"/>
      <c r="AQ90" s="892"/>
      <c r="AR90" s="149"/>
      <c r="AS90" s="145"/>
      <c r="AT90" s="145"/>
      <c r="AU90" s="145"/>
      <c r="AV90" s="145"/>
      <c r="AW90" s="145"/>
      <c r="AX90" s="149"/>
      <c r="AY90" s="128"/>
      <c r="BA90" s="116"/>
      <c r="BB90" s="116"/>
    </row>
    <row r="91" spans="2:59" s="110" customFormat="1" ht="30" customHeight="1" x14ac:dyDescent="0.2">
      <c r="B91" s="463" t="s">
        <v>36</v>
      </c>
      <c r="C91" s="291">
        <v>3</v>
      </c>
      <c r="D91" s="116"/>
      <c r="E91" s="291">
        <v>1022</v>
      </c>
      <c r="F91" s="116"/>
      <c r="G91" s="291">
        <v>98244</v>
      </c>
      <c r="H91" s="116"/>
      <c r="I91" s="110">
        <v>4</v>
      </c>
      <c r="J91" s="116"/>
      <c r="K91" s="110">
        <v>1595</v>
      </c>
      <c r="L91" s="116"/>
      <c r="M91" s="110">
        <v>30328</v>
      </c>
      <c r="N91" s="116"/>
      <c r="O91" s="304">
        <v>5</v>
      </c>
      <c r="P91" s="55"/>
      <c r="Q91" s="589">
        <v>418</v>
      </c>
      <c r="R91" s="55"/>
      <c r="S91" s="591">
        <v>315480</v>
      </c>
      <c r="T91" s="116"/>
      <c r="U91" s="127"/>
      <c r="V91" s="127"/>
      <c r="X91" s="127"/>
      <c r="Y91" s="127"/>
      <c r="Z91" s="127"/>
      <c r="AA91" s="127"/>
      <c r="AB91" s="127"/>
      <c r="AC91" s="145"/>
      <c r="AD91" s="127"/>
      <c r="AE91" s="127"/>
      <c r="AF91" s="146"/>
      <c r="AG91" s="127"/>
      <c r="AH91" s="127"/>
      <c r="AI91" s="145"/>
      <c r="AJ91" s="127"/>
      <c r="AK91" s="127"/>
      <c r="AL91" s="146"/>
      <c r="AM91" s="147"/>
      <c r="AN91" s="147"/>
      <c r="AO91" s="148"/>
      <c r="AP91" s="147"/>
      <c r="AQ91" s="147"/>
      <c r="AR91" s="149"/>
      <c r="AS91" s="147"/>
      <c r="AT91" s="147"/>
      <c r="AU91" s="148"/>
      <c r="AV91" s="147"/>
      <c r="AW91" s="147"/>
      <c r="AX91" s="149"/>
      <c r="AY91" s="128"/>
      <c r="BA91" s="116"/>
      <c r="BB91" s="116"/>
    </row>
    <row r="92" spans="2:59" s="125" customFormat="1" ht="30.75" customHeight="1" x14ac:dyDescent="0.2">
      <c r="B92" s="454" t="s">
        <v>6</v>
      </c>
      <c r="C92" s="455">
        <f>SUM(C80:C91)</f>
        <v>41</v>
      </c>
      <c r="D92" s="455"/>
      <c r="E92" s="458">
        <f>SUM(E80:E91)</f>
        <v>29145</v>
      </c>
      <c r="F92" s="455"/>
      <c r="G92" s="455">
        <f>SUM(G80:G91)</f>
        <v>2122932</v>
      </c>
      <c r="H92" s="456"/>
      <c r="I92" s="455">
        <f>SUM(I80:I91)</f>
        <v>55</v>
      </c>
      <c r="J92" s="455"/>
      <c r="K92" s="458">
        <f>SUM(K80:K91)</f>
        <v>77883</v>
      </c>
      <c r="L92" s="455"/>
      <c r="M92" s="455">
        <f>SUM(M80:M91)</f>
        <v>1462009</v>
      </c>
      <c r="N92" s="455"/>
      <c r="O92" s="552">
        <f>SUM(O80:O91)</f>
        <v>63</v>
      </c>
      <c r="P92" s="552"/>
      <c r="Q92" s="553">
        <f>SUM(Q80:Q91)</f>
        <v>76704</v>
      </c>
      <c r="R92" s="552"/>
      <c r="S92" s="552">
        <f>SUM(S80:S91)</f>
        <v>2295516</v>
      </c>
      <c r="T92" s="455"/>
      <c r="U92" s="139"/>
      <c r="V92" s="139"/>
      <c r="W92" s="140"/>
      <c r="X92" s="139"/>
      <c r="Y92" s="139"/>
      <c r="Z92" s="139"/>
      <c r="AA92" s="139"/>
      <c r="AB92" s="139"/>
      <c r="AC92" s="140"/>
      <c r="AD92" s="139"/>
      <c r="AE92" s="139"/>
      <c r="AF92" s="139"/>
      <c r="AG92" s="139"/>
      <c r="AH92" s="139"/>
      <c r="AI92" s="140"/>
      <c r="AJ92" s="139"/>
      <c r="AK92" s="139"/>
      <c r="AL92" s="139"/>
      <c r="AM92" s="142"/>
      <c r="AN92" s="142"/>
      <c r="AO92" s="143"/>
      <c r="AP92" s="142"/>
      <c r="AQ92" s="142"/>
      <c r="AR92" s="142"/>
      <c r="AS92" s="142"/>
      <c r="AT92" s="142"/>
      <c r="AU92" s="143"/>
      <c r="AV92" s="142"/>
      <c r="AW92" s="142"/>
      <c r="AX92" s="142"/>
      <c r="AY92" s="129"/>
      <c r="AZ92" s="129"/>
      <c r="BA92" s="129"/>
      <c r="BB92" s="129"/>
      <c r="BC92" s="129"/>
      <c r="BD92" s="129"/>
      <c r="BE92" s="129"/>
      <c r="BF92" s="129"/>
      <c r="BG92" s="129"/>
    </row>
    <row r="93" spans="2:59" s="125" customFormat="1" ht="16.899999999999999" customHeight="1" x14ac:dyDescent="0.2">
      <c r="B93" s="134"/>
      <c r="C93" s="139"/>
      <c r="D93" s="139"/>
      <c r="E93" s="140"/>
      <c r="F93" s="139"/>
      <c r="G93" s="139"/>
      <c r="H93" s="139"/>
      <c r="I93" s="139"/>
      <c r="J93" s="139"/>
      <c r="K93" s="140"/>
      <c r="L93" s="139"/>
      <c r="M93" s="139"/>
      <c r="N93" s="139"/>
      <c r="O93" s="139"/>
      <c r="P93" s="139"/>
      <c r="Q93" s="140"/>
      <c r="R93" s="139"/>
      <c r="S93" s="139"/>
      <c r="T93" s="141"/>
      <c r="U93" s="139"/>
      <c r="V93" s="139"/>
      <c r="W93" s="140"/>
      <c r="X93" s="139"/>
      <c r="Y93" s="139"/>
      <c r="Z93" s="139"/>
      <c r="AA93" s="139"/>
      <c r="AB93" s="139"/>
      <c r="AC93" s="140"/>
      <c r="AD93" s="139"/>
      <c r="AE93" s="139"/>
      <c r="AF93" s="139"/>
      <c r="AG93" s="139"/>
      <c r="AH93" s="139"/>
      <c r="AI93" s="140"/>
      <c r="AJ93" s="139"/>
      <c r="AK93" s="139"/>
      <c r="AL93" s="139"/>
      <c r="AM93" s="142"/>
      <c r="AN93" s="142"/>
      <c r="AO93" s="143"/>
      <c r="AP93" s="142"/>
      <c r="AQ93" s="142"/>
      <c r="AR93" s="142"/>
      <c r="AS93" s="142"/>
      <c r="AT93" s="142"/>
      <c r="AU93" s="143"/>
      <c r="AV93" s="142"/>
      <c r="AW93" s="142"/>
      <c r="AX93" s="142"/>
      <c r="AY93" s="129"/>
      <c r="AZ93" s="129"/>
      <c r="BA93" s="129"/>
      <c r="BB93" s="129"/>
      <c r="BC93" s="129"/>
      <c r="BD93" s="129"/>
      <c r="BE93" s="129"/>
      <c r="BF93" s="129"/>
      <c r="BG93" s="129"/>
    </row>
    <row r="94" spans="2:59" s="1" customFormat="1" ht="19.899999999999999" customHeight="1" x14ac:dyDescent="0.2">
      <c r="B94" s="150" t="s">
        <v>245</v>
      </c>
      <c r="Y94" s="14"/>
      <c r="Z94" s="10"/>
      <c r="AA94" s="14"/>
      <c r="AB94" s="15"/>
      <c r="AC94" s="14"/>
      <c r="AD94" s="15"/>
    </row>
    <row r="95" spans="2:59" s="1" customFormat="1" ht="19.899999999999999" customHeight="1" x14ac:dyDescent="0.2">
      <c r="B95" s="60" t="s">
        <v>296</v>
      </c>
      <c r="C95" s="151"/>
      <c r="D95" s="151"/>
      <c r="E95" s="151"/>
      <c r="F95" s="151"/>
      <c r="G95" s="151"/>
      <c r="H95" s="152"/>
      <c r="I95" s="152"/>
      <c r="J95" s="152"/>
      <c r="K95" s="152"/>
      <c r="Z95" s="19"/>
      <c r="AA95" s="20"/>
      <c r="AB95" s="19"/>
      <c r="AC95" s="20"/>
      <c r="AD95" s="21"/>
    </row>
    <row r="96" spans="2:59" s="1" customFormat="1" ht="19.899999999999999" customHeight="1" x14ac:dyDescent="0.2">
      <c r="B96" s="153" t="s">
        <v>281</v>
      </c>
      <c r="D96" s="23"/>
      <c r="E96" s="23"/>
      <c r="F96" s="23"/>
      <c r="G96" s="23"/>
      <c r="H96" s="26"/>
      <c r="I96" s="27"/>
      <c r="J96" s="27"/>
    </row>
    <row r="97" spans="1:44" s="1" customFormat="1" ht="19.899999999999999" customHeight="1" x14ac:dyDescent="0.2">
      <c r="A97" s="26"/>
      <c r="B97" s="98" t="s">
        <v>283</v>
      </c>
      <c r="T97" s="155"/>
      <c r="U97" s="155"/>
      <c r="V97" s="155"/>
      <c r="W97" s="155"/>
      <c r="X97" s="155"/>
      <c r="Y97" s="155"/>
      <c r="Z97" s="155"/>
      <c r="AA97" s="155"/>
      <c r="AB97" s="155"/>
      <c r="AC97" s="155"/>
      <c r="AD97" s="155"/>
      <c r="AE97" s="155"/>
      <c r="AF97" s="155"/>
      <c r="AG97" s="155"/>
      <c r="AH97" s="155"/>
      <c r="AI97" s="155"/>
      <c r="AJ97" s="155"/>
      <c r="AK97" s="155"/>
      <c r="AL97" s="156"/>
    </row>
    <row r="98" spans="1:44" ht="19.899999999999999" customHeight="1" x14ac:dyDescent="0.2">
      <c r="B98" s="154" t="s">
        <v>284</v>
      </c>
      <c r="C98" s="1"/>
      <c r="D98" s="157"/>
      <c r="E98" s="157"/>
      <c r="F98" s="157"/>
      <c r="G98" s="157"/>
      <c r="H98" s="157"/>
      <c r="I98" s="157"/>
      <c r="J98" s="157"/>
      <c r="K98" s="157"/>
      <c r="L98" s="157"/>
      <c r="M98" s="157"/>
      <c r="N98" s="157"/>
      <c r="O98" s="157"/>
      <c r="P98" s="157"/>
      <c r="Q98" s="157"/>
      <c r="R98" s="157"/>
      <c r="S98" s="157"/>
      <c r="T98" s="157"/>
      <c r="U98" s="157"/>
      <c r="V98" s="157"/>
      <c r="W98" s="157"/>
      <c r="X98" s="157"/>
      <c r="Y98" s="157"/>
      <c r="Z98" s="157"/>
      <c r="AA98" s="157"/>
      <c r="AB98" s="157"/>
      <c r="AC98" s="157"/>
      <c r="AD98" s="157"/>
      <c r="AE98" s="157"/>
      <c r="AF98" s="157"/>
      <c r="AG98" s="157"/>
      <c r="AH98" s="157"/>
      <c r="AI98" s="157"/>
      <c r="AJ98" s="157"/>
      <c r="AK98" s="157"/>
      <c r="AL98" s="157"/>
      <c r="AM98" s="157"/>
      <c r="AN98" s="157"/>
      <c r="AO98" s="157"/>
      <c r="AP98" s="157"/>
      <c r="AQ98" s="157"/>
      <c r="AR98" s="157"/>
    </row>
    <row r="99" spans="1:44" ht="19.899999999999999" customHeight="1" x14ac:dyDescent="0.2">
      <c r="B99" s="154" t="s">
        <v>285</v>
      </c>
      <c r="C99" s="157"/>
    </row>
    <row r="100" spans="1:44" ht="22.5" customHeight="1" x14ac:dyDescent="0.2">
      <c r="B100" s="154" t="s">
        <v>286</v>
      </c>
    </row>
  </sheetData>
  <mergeCells count="196">
    <mergeCell ref="C78:H78"/>
    <mergeCell ref="I78:N78"/>
    <mergeCell ref="O78:T78"/>
    <mergeCell ref="U78:Z78"/>
    <mergeCell ref="AA78:AF78"/>
    <mergeCell ref="AG78:AL78"/>
    <mergeCell ref="AM78:AR78"/>
    <mergeCell ref="AS78:AX78"/>
    <mergeCell ref="C79:D79"/>
    <mergeCell ref="E79:F79"/>
    <mergeCell ref="G79:H79"/>
    <mergeCell ref="I79:J79"/>
    <mergeCell ref="K79:L79"/>
    <mergeCell ref="M79:N79"/>
    <mergeCell ref="O79:P79"/>
    <mergeCell ref="Q79:R79"/>
    <mergeCell ref="S79:T79"/>
    <mergeCell ref="U79:V79"/>
    <mergeCell ref="W79:X79"/>
    <mergeCell ref="Y79:Z79"/>
    <mergeCell ref="AA79:AB79"/>
    <mergeCell ref="AC79:AD79"/>
    <mergeCell ref="AM90:AQ90"/>
    <mergeCell ref="AI79:AJ79"/>
    <mergeCell ref="AK79:AL79"/>
    <mergeCell ref="AM79:AN79"/>
    <mergeCell ref="AO79:AP79"/>
    <mergeCell ref="AQ79:AR79"/>
    <mergeCell ref="AS79:AT79"/>
    <mergeCell ref="AU79:AV79"/>
    <mergeCell ref="AE79:AF79"/>
    <mergeCell ref="AG79:AH79"/>
    <mergeCell ref="AG87:AK87"/>
    <mergeCell ref="B22:B24"/>
    <mergeCell ref="AU7:AV7"/>
    <mergeCell ref="AG70:AK70"/>
    <mergeCell ref="B1:AX1"/>
    <mergeCell ref="B3:AX3"/>
    <mergeCell ref="B4:AX4"/>
    <mergeCell ref="I7:J7"/>
    <mergeCell ref="K7:L7"/>
    <mergeCell ref="M7:N7"/>
    <mergeCell ref="O7:P7"/>
    <mergeCell ref="Q7:R7"/>
    <mergeCell ref="S7:T7"/>
    <mergeCell ref="U7:V7"/>
    <mergeCell ref="AC7:AD7"/>
    <mergeCell ref="AE7:AF7"/>
    <mergeCell ref="AW7:AX7"/>
    <mergeCell ref="AG7:AH7"/>
    <mergeCell ref="AI7:AJ7"/>
    <mergeCell ref="AK7:AL7"/>
    <mergeCell ref="AM7:AN7"/>
    <mergeCell ref="AO7:AP7"/>
    <mergeCell ref="W7:X7"/>
    <mergeCell ref="Y7:Z7"/>
    <mergeCell ref="U24:V24"/>
    <mergeCell ref="HE4:ID4"/>
    <mergeCell ref="IE4:JD4"/>
    <mergeCell ref="JE4:JZ4"/>
    <mergeCell ref="B5:B7"/>
    <mergeCell ref="C5:AX5"/>
    <mergeCell ref="C6:H6"/>
    <mergeCell ref="I6:N6"/>
    <mergeCell ref="O6:T6"/>
    <mergeCell ref="U6:Z6"/>
    <mergeCell ref="AA6:AF6"/>
    <mergeCell ref="AG6:AL6"/>
    <mergeCell ref="AM6:AR6"/>
    <mergeCell ref="AS6:AX6"/>
    <mergeCell ref="C7:D7"/>
    <mergeCell ref="E7:F7"/>
    <mergeCell ref="G7:H7"/>
    <mergeCell ref="CE4:DD4"/>
    <mergeCell ref="DE4:ED4"/>
    <mergeCell ref="EE4:FD4"/>
    <mergeCell ref="FE4:GD4"/>
    <mergeCell ref="GE4:HD4"/>
    <mergeCell ref="AQ7:AR7"/>
    <mergeCell ref="AS7:AT7"/>
    <mergeCell ref="AA7:AB7"/>
    <mergeCell ref="BA22:BJ22"/>
    <mergeCell ref="C23:H23"/>
    <mergeCell ref="I23:N23"/>
    <mergeCell ref="O23:T23"/>
    <mergeCell ref="U23:Z23"/>
    <mergeCell ref="AA23:AF23"/>
    <mergeCell ref="AG23:AL23"/>
    <mergeCell ref="AM23:AR23"/>
    <mergeCell ref="AS23:AX23"/>
    <mergeCell ref="C22:AX22"/>
    <mergeCell ref="EE58:FD58"/>
    <mergeCell ref="C24:D24"/>
    <mergeCell ref="E24:F24"/>
    <mergeCell ref="G24:H24"/>
    <mergeCell ref="I24:J24"/>
    <mergeCell ref="K24:L24"/>
    <mergeCell ref="M24:N24"/>
    <mergeCell ref="O24:P24"/>
    <mergeCell ref="Q24:R24"/>
    <mergeCell ref="S24:T24"/>
    <mergeCell ref="AS41:AT41"/>
    <mergeCell ref="AW41:AX41"/>
    <mergeCell ref="AI41:AJ41"/>
    <mergeCell ref="AK41:AL41"/>
    <mergeCell ref="AM41:AN41"/>
    <mergeCell ref="AO41:AP41"/>
    <mergeCell ref="AQ41:AR41"/>
    <mergeCell ref="Y41:Z41"/>
    <mergeCell ref="AA41:AB41"/>
    <mergeCell ref="AC41:AD41"/>
    <mergeCell ref="AE41:AF41"/>
    <mergeCell ref="AG41:AH41"/>
    <mergeCell ref="O41:P41"/>
    <mergeCell ref="Q41:R41"/>
    <mergeCell ref="FE58:GD58"/>
    <mergeCell ref="GE58:HD58"/>
    <mergeCell ref="HE58:ID58"/>
    <mergeCell ref="IE58:JD58"/>
    <mergeCell ref="JE58:JZ58"/>
    <mergeCell ref="AQ24:AR24"/>
    <mergeCell ref="AS24:AT24"/>
    <mergeCell ref="AU24:AV24"/>
    <mergeCell ref="AW24:AX24"/>
    <mergeCell ref="B57:AX57"/>
    <mergeCell ref="AG24:AH24"/>
    <mergeCell ref="AI24:AJ24"/>
    <mergeCell ref="AK24:AL24"/>
    <mergeCell ref="AM24:AN24"/>
    <mergeCell ref="AO24:AP24"/>
    <mergeCell ref="W24:X24"/>
    <mergeCell ref="Y24:Z24"/>
    <mergeCell ref="AA24:AB24"/>
    <mergeCell ref="AC24:AD24"/>
    <mergeCell ref="AE24:AF24"/>
    <mergeCell ref="B58:AX58"/>
    <mergeCell ref="CE58:DD58"/>
    <mergeCell ref="DE58:ED58"/>
    <mergeCell ref="AU41:AV41"/>
    <mergeCell ref="S41:T41"/>
    <mergeCell ref="U41:V41"/>
    <mergeCell ref="W41:X41"/>
    <mergeCell ref="B39:B41"/>
    <mergeCell ref="C39:AX39"/>
    <mergeCell ref="C40:H40"/>
    <mergeCell ref="I40:N40"/>
    <mergeCell ref="O40:T40"/>
    <mergeCell ref="U40:Z40"/>
    <mergeCell ref="AA40:AF40"/>
    <mergeCell ref="AG40:AL40"/>
    <mergeCell ref="AM40:AR40"/>
    <mergeCell ref="AS40:AX40"/>
    <mergeCell ref="C41:D41"/>
    <mergeCell ref="E41:F41"/>
    <mergeCell ref="G41:H41"/>
    <mergeCell ref="I41:J41"/>
    <mergeCell ref="K41:L41"/>
    <mergeCell ref="M41:N41"/>
    <mergeCell ref="B60:B62"/>
    <mergeCell ref="C61:H61"/>
    <mergeCell ref="I61:N61"/>
    <mergeCell ref="O61:T61"/>
    <mergeCell ref="U61:Z61"/>
    <mergeCell ref="AA61:AF61"/>
    <mergeCell ref="AG61:AL61"/>
    <mergeCell ref="AM61:AR61"/>
    <mergeCell ref="AS61:AX61"/>
    <mergeCell ref="C62:D62"/>
    <mergeCell ref="E62:F62"/>
    <mergeCell ref="G62:H62"/>
    <mergeCell ref="S62:T62"/>
    <mergeCell ref="U62:V62"/>
    <mergeCell ref="C77:T77"/>
    <mergeCell ref="B77:B79"/>
    <mergeCell ref="C60:AX60"/>
    <mergeCell ref="AM73:AQ73"/>
    <mergeCell ref="W62:X62"/>
    <mergeCell ref="Y62:Z62"/>
    <mergeCell ref="AA62:AB62"/>
    <mergeCell ref="I62:J62"/>
    <mergeCell ref="K62:L62"/>
    <mergeCell ref="M62:N62"/>
    <mergeCell ref="O62:P62"/>
    <mergeCell ref="Q62:R62"/>
    <mergeCell ref="AW62:AX62"/>
    <mergeCell ref="AM62:AN62"/>
    <mergeCell ref="AO62:AP62"/>
    <mergeCell ref="AQ62:AR62"/>
    <mergeCell ref="AS62:AT62"/>
    <mergeCell ref="AU62:AV62"/>
    <mergeCell ref="AC62:AD62"/>
    <mergeCell ref="AE62:AF62"/>
    <mergeCell ref="AG62:AH62"/>
    <mergeCell ref="AI62:AJ62"/>
    <mergeCell ref="AK62:AL62"/>
    <mergeCell ref="AW79:AX79"/>
  </mergeCells>
  <printOptions horizontalCentered="1" verticalCentered="1"/>
  <pageMargins left="0" right="0" top="0" bottom="0" header="0" footer="0"/>
  <pageSetup paperSize="9" scale="30" orientation="landscape" r:id="rId1"/>
  <rowBreaks count="1" manualBreakCount="1">
    <brk id="55" min="1" max="4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2:L77"/>
  <sheetViews>
    <sheetView view="pageBreakPreview" topLeftCell="A7" zoomScale="93" zoomScaleNormal="100" zoomScaleSheetLayoutView="93" workbookViewId="0">
      <selection activeCell="L63" sqref="L63"/>
    </sheetView>
  </sheetViews>
  <sheetFormatPr baseColWidth="10" defaultColWidth="11.5703125" defaultRowHeight="12.75" x14ac:dyDescent="0.2"/>
  <cols>
    <col min="1" max="1" width="6.42578125" style="6" customWidth="1"/>
    <col min="2" max="2" width="1.5703125" style="6" customWidth="1"/>
    <col min="3" max="3" width="21.28515625" style="6" customWidth="1"/>
    <col min="4" max="4" width="19.7109375" style="6" customWidth="1"/>
    <col min="5" max="5" width="19" style="6" customWidth="1"/>
    <col min="6" max="6" width="7.42578125" style="6" customWidth="1"/>
    <col min="7" max="9" width="12.5703125" style="6" customWidth="1"/>
    <col min="10" max="10" width="14.42578125" style="6" customWidth="1"/>
    <col min="11" max="11" width="13.5703125" style="6" customWidth="1"/>
    <col min="12" max="16384" width="11.5703125" style="6"/>
  </cols>
  <sheetData>
    <row r="2" spans="3:12" ht="27.75" customHeight="1" x14ac:dyDescent="0.2">
      <c r="C2" s="5"/>
      <c r="D2" s="4"/>
      <c r="E2" s="4"/>
      <c r="F2" s="4"/>
      <c r="G2" s="7"/>
      <c r="H2" s="7"/>
      <c r="I2" s="7"/>
      <c r="J2" s="7"/>
    </row>
    <row r="3" spans="3:12" ht="6" customHeight="1" x14ac:dyDescent="0.2">
      <c r="C3" s="4"/>
      <c r="D3" s="4"/>
      <c r="E3" s="4"/>
      <c r="F3" s="4"/>
      <c r="G3" s="7"/>
      <c r="H3" s="7"/>
      <c r="I3" s="7"/>
      <c r="J3" s="7"/>
    </row>
    <row r="4" spans="3:12" ht="12" customHeight="1" x14ac:dyDescent="0.2">
      <c r="G4" s="7"/>
      <c r="H4" s="7"/>
      <c r="I4" s="7"/>
      <c r="J4" s="7"/>
    </row>
    <row r="5" spans="3:12" ht="12" customHeight="1" x14ac:dyDescent="0.2">
      <c r="G5" s="7"/>
      <c r="H5" s="7"/>
      <c r="I5" s="7"/>
      <c r="J5" s="7"/>
    </row>
    <row r="6" spans="3:12" ht="12" customHeight="1" x14ac:dyDescent="0.2">
      <c r="G6" s="7"/>
      <c r="H6" s="7"/>
      <c r="I6" s="7"/>
      <c r="J6" s="7"/>
    </row>
    <row r="7" spans="3:12" ht="12" customHeight="1" x14ac:dyDescent="0.2">
      <c r="G7" s="7"/>
      <c r="H7" s="7"/>
      <c r="I7" s="7"/>
      <c r="J7" s="7"/>
    </row>
    <row r="8" spans="3:12" ht="21.75" customHeight="1" x14ac:dyDescent="0.2">
      <c r="G8" s="7"/>
      <c r="H8" s="7"/>
      <c r="I8" s="7"/>
      <c r="J8" s="7"/>
    </row>
    <row r="9" spans="3:12" ht="12" customHeight="1" x14ac:dyDescent="0.2">
      <c r="G9" s="7"/>
      <c r="H9" s="7"/>
      <c r="I9" s="7"/>
      <c r="J9" s="7"/>
    </row>
    <row r="10" spans="3:12" ht="12" customHeight="1" x14ac:dyDescent="0.2">
      <c r="G10" s="7"/>
      <c r="H10" s="7"/>
      <c r="I10" s="7"/>
      <c r="J10" s="7"/>
    </row>
    <row r="11" spans="3:12" ht="12" customHeight="1" x14ac:dyDescent="0.2">
      <c r="G11" s="7"/>
      <c r="H11" s="7"/>
      <c r="I11" s="7"/>
      <c r="J11" s="7"/>
    </row>
    <row r="12" spans="3:12" ht="12" customHeight="1" x14ac:dyDescent="0.2">
      <c r="G12" s="7"/>
      <c r="H12" s="7"/>
      <c r="I12" s="7"/>
      <c r="J12" s="7"/>
    </row>
    <row r="13" spans="3:12" ht="12" customHeight="1" x14ac:dyDescent="0.2">
      <c r="G13" s="7"/>
      <c r="H13" s="7"/>
      <c r="I13" s="7"/>
      <c r="J13" s="7"/>
    </row>
    <row r="14" spans="3:12" ht="12" customHeight="1" x14ac:dyDescent="0.2">
      <c r="G14" s="7"/>
      <c r="H14" s="7"/>
      <c r="I14" s="7"/>
      <c r="J14" s="7"/>
    </row>
    <row r="15" spans="3:12" ht="12" customHeight="1" x14ac:dyDescent="0.2">
      <c r="G15" s="7"/>
      <c r="H15" s="7"/>
      <c r="I15" s="7"/>
      <c r="J15" s="7"/>
      <c r="L15" s="7"/>
    </row>
    <row r="16" spans="3:12" ht="12" customHeight="1" x14ac:dyDescent="0.2">
      <c r="G16" s="7"/>
      <c r="H16" s="7"/>
      <c r="I16" s="7"/>
      <c r="J16" s="7"/>
    </row>
    <row r="17" spans="7:10" ht="12" customHeight="1" x14ac:dyDescent="0.2">
      <c r="G17" s="7"/>
      <c r="H17" s="7"/>
      <c r="I17" s="7"/>
      <c r="J17" s="7"/>
    </row>
    <row r="18" spans="7:10" ht="12" customHeight="1" x14ac:dyDescent="0.2">
      <c r="G18" s="7"/>
      <c r="H18" s="7"/>
      <c r="I18" s="7"/>
      <c r="J18" s="7"/>
    </row>
    <row r="19" spans="7:10" ht="12" customHeight="1" x14ac:dyDescent="0.2">
      <c r="G19" s="7"/>
      <c r="H19" s="7"/>
      <c r="I19" s="7"/>
      <c r="J19" s="7"/>
    </row>
    <row r="20" spans="7:10" ht="12" customHeight="1" x14ac:dyDescent="0.2">
      <c r="G20" s="7"/>
      <c r="H20" s="7"/>
      <c r="I20" s="7"/>
      <c r="J20" s="7"/>
    </row>
    <row r="21" spans="7:10" ht="12" customHeight="1" x14ac:dyDescent="0.2">
      <c r="G21" s="7"/>
      <c r="H21" s="7"/>
      <c r="I21" s="7"/>
      <c r="J21" s="7"/>
    </row>
    <row r="22" spans="7:10" ht="12" customHeight="1" x14ac:dyDescent="0.2">
      <c r="G22" s="7"/>
      <c r="H22" s="7"/>
      <c r="I22" s="7"/>
      <c r="J22" s="7"/>
    </row>
    <row r="23" spans="7:10" ht="12" customHeight="1" x14ac:dyDescent="0.2">
      <c r="G23" s="7"/>
      <c r="H23" s="7"/>
      <c r="I23" s="7"/>
      <c r="J23" s="7"/>
    </row>
    <row r="24" spans="7:10" ht="12" customHeight="1" x14ac:dyDescent="0.2">
      <c r="G24" s="7"/>
      <c r="H24" s="7"/>
      <c r="I24" s="7"/>
      <c r="J24" s="7"/>
    </row>
    <row r="25" spans="7:10" ht="12" customHeight="1" x14ac:dyDescent="0.2">
      <c r="G25" s="7"/>
      <c r="H25" s="7"/>
      <c r="I25" s="7"/>
      <c r="J25" s="7"/>
    </row>
    <row r="26" spans="7:10" ht="12" customHeight="1" x14ac:dyDescent="0.2">
      <c r="G26" s="7"/>
      <c r="H26" s="7"/>
      <c r="I26" s="7"/>
      <c r="J26" s="7"/>
    </row>
    <row r="27" spans="7:10" ht="12" customHeight="1" x14ac:dyDescent="0.2">
      <c r="G27" s="7"/>
      <c r="H27" s="7"/>
      <c r="I27" s="7"/>
      <c r="J27" s="7"/>
    </row>
    <row r="28" spans="7:10" ht="12" customHeight="1" x14ac:dyDescent="0.2">
      <c r="G28" s="7"/>
      <c r="H28" s="7"/>
      <c r="I28" s="7"/>
      <c r="J28" s="7"/>
    </row>
    <row r="29" spans="7:10" ht="12" customHeight="1" x14ac:dyDescent="0.2">
      <c r="G29" s="7"/>
      <c r="H29" s="7"/>
      <c r="I29" s="7"/>
      <c r="J29" s="7"/>
    </row>
    <row r="30" spans="7:10" ht="12" customHeight="1" x14ac:dyDescent="0.2">
      <c r="G30" s="7"/>
      <c r="H30" s="7"/>
      <c r="I30" s="7"/>
      <c r="J30" s="7"/>
    </row>
    <row r="31" spans="7:10" ht="12" customHeight="1" x14ac:dyDescent="0.2">
      <c r="G31" s="7"/>
      <c r="H31" s="7"/>
      <c r="I31" s="7"/>
      <c r="J31" s="7"/>
    </row>
    <row r="32" spans="7:10" ht="12" customHeight="1" x14ac:dyDescent="0.2">
      <c r="G32" s="7"/>
      <c r="H32" s="7"/>
      <c r="I32" s="7"/>
      <c r="J32" s="7"/>
    </row>
    <row r="33" spans="3:10" ht="12" customHeight="1" x14ac:dyDescent="0.2">
      <c r="G33" s="7"/>
      <c r="H33" s="7"/>
      <c r="I33" s="7"/>
      <c r="J33" s="7"/>
    </row>
    <row r="34" spans="3:10" ht="12" customHeight="1" x14ac:dyDescent="0.2">
      <c r="G34" s="7"/>
      <c r="H34" s="7"/>
      <c r="I34" s="7"/>
      <c r="J34" s="7"/>
    </row>
    <row r="35" spans="3:10" ht="12" customHeight="1" x14ac:dyDescent="0.2">
      <c r="G35" s="7"/>
      <c r="H35" s="7"/>
      <c r="I35" s="7"/>
      <c r="J35" s="7"/>
    </row>
    <row r="36" spans="3:10" ht="12" customHeight="1" x14ac:dyDescent="0.2">
      <c r="G36" s="7"/>
      <c r="H36" s="7"/>
      <c r="I36" s="7"/>
      <c r="J36" s="7"/>
    </row>
    <row r="37" spans="3:10" ht="12" customHeight="1" x14ac:dyDescent="0.2">
      <c r="G37" s="7"/>
      <c r="H37" s="7"/>
      <c r="I37" s="7"/>
      <c r="J37" s="7"/>
    </row>
    <row r="38" spans="3:10" ht="12" customHeight="1" x14ac:dyDescent="0.2">
      <c r="G38" s="7"/>
      <c r="H38" s="7"/>
      <c r="I38" s="7"/>
      <c r="J38" s="7"/>
    </row>
    <row r="39" spans="3:10" ht="12" customHeight="1" x14ac:dyDescent="0.2">
      <c r="C39" s="5"/>
      <c r="G39" s="7"/>
      <c r="H39" s="7"/>
      <c r="I39" s="7"/>
      <c r="J39" s="7"/>
    </row>
    <row r="40" spans="3:10" ht="12" customHeight="1" x14ac:dyDescent="0.2">
      <c r="G40" s="7"/>
      <c r="H40" s="7"/>
      <c r="I40" s="7"/>
      <c r="J40" s="7"/>
    </row>
    <row r="41" spans="3:10" ht="12" customHeight="1" x14ac:dyDescent="0.2">
      <c r="G41" s="7"/>
      <c r="H41" s="7"/>
      <c r="I41" s="7"/>
      <c r="J41" s="7"/>
    </row>
    <row r="42" spans="3:10" ht="12" customHeight="1" x14ac:dyDescent="0.2">
      <c r="G42" s="7"/>
      <c r="H42" s="7"/>
      <c r="I42" s="7"/>
      <c r="J42" s="7"/>
    </row>
    <row r="43" spans="3:10" ht="12" customHeight="1" x14ac:dyDescent="0.2">
      <c r="G43" s="7"/>
      <c r="H43" s="7"/>
      <c r="I43" s="7"/>
      <c r="J43" s="7"/>
    </row>
    <row r="44" spans="3:10" ht="12" customHeight="1" x14ac:dyDescent="0.2">
      <c r="G44" s="7"/>
      <c r="H44" s="7"/>
      <c r="I44" s="7"/>
      <c r="J44" s="7"/>
    </row>
    <row r="45" spans="3:10" ht="12" customHeight="1" x14ac:dyDescent="0.2">
      <c r="G45" s="7"/>
      <c r="H45" s="7"/>
      <c r="I45" s="7"/>
      <c r="J45" s="7"/>
    </row>
    <row r="46" spans="3:10" ht="12" customHeight="1" x14ac:dyDescent="0.2">
      <c r="G46" s="7"/>
      <c r="H46" s="7"/>
      <c r="I46" s="7"/>
      <c r="J46" s="7"/>
    </row>
    <row r="47" spans="3:10" ht="12" customHeight="1" x14ac:dyDescent="0.2">
      <c r="G47" s="7"/>
      <c r="H47" s="7"/>
      <c r="I47" s="7"/>
      <c r="J47" s="7"/>
    </row>
    <row r="48" spans="3:10" x14ac:dyDescent="0.2">
      <c r="G48" s="7"/>
      <c r="H48" s="7"/>
      <c r="I48" s="7"/>
      <c r="J48" s="7"/>
    </row>
    <row r="59" ht="18" customHeight="1" x14ac:dyDescent="0.2"/>
    <row r="60" ht="30" customHeight="1" x14ac:dyDescent="0.2"/>
    <row r="61" ht="28.15" customHeight="1" x14ac:dyDescent="0.2"/>
    <row r="77" spans="7:7" x14ac:dyDescent="0.2">
      <c r="G77" s="5" t="s">
        <v>219</v>
      </c>
    </row>
  </sheetData>
  <printOptions horizontalCentered="1" verticalCentered="1"/>
  <pageMargins left="0" right="0" top="0" bottom="0" header="0" footer="0"/>
  <pageSetup paperSize="9" scale="68"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L49"/>
  <sheetViews>
    <sheetView showGridLines="0" zoomScale="60" zoomScaleNormal="60" workbookViewId="0"/>
  </sheetViews>
  <sheetFormatPr baseColWidth="10" defaultColWidth="11.42578125" defaultRowHeight="12.75" x14ac:dyDescent="0.2"/>
  <cols>
    <col min="1" max="1" width="4.7109375" style="49" customWidth="1"/>
    <col min="2" max="2" width="11.42578125" style="49"/>
    <col min="3" max="3" width="17" style="49" customWidth="1"/>
    <col min="4" max="4" width="15.7109375" style="49" customWidth="1"/>
    <col min="5" max="5" width="18.5703125" style="49" customWidth="1"/>
    <col min="6" max="6" width="17.28515625" style="49" customWidth="1"/>
    <col min="7" max="7" width="16.28515625" style="49" customWidth="1"/>
    <col min="8" max="8" width="18.5703125" style="49" customWidth="1"/>
    <col min="9" max="9" width="17.7109375" style="49" customWidth="1"/>
    <col min="10" max="10" width="15.7109375" style="49" customWidth="1"/>
    <col min="11" max="11" width="20.7109375" style="49" customWidth="1"/>
    <col min="12" max="12" width="4.28515625" style="49" customWidth="1"/>
    <col min="13" max="16384" width="11.42578125" style="49"/>
  </cols>
  <sheetData>
    <row r="1" spans="2:11" ht="30" customHeight="1" x14ac:dyDescent="0.2">
      <c r="B1" s="803" t="s">
        <v>44</v>
      </c>
      <c r="C1" s="803"/>
      <c r="D1" s="803"/>
      <c r="E1" s="803"/>
      <c r="F1" s="803"/>
      <c r="G1" s="803"/>
      <c r="H1" s="803"/>
      <c r="I1" s="803"/>
      <c r="J1" s="803"/>
      <c r="K1" s="803"/>
    </row>
    <row r="2" spans="2:11" ht="30" customHeight="1" x14ac:dyDescent="0.2">
      <c r="B2" s="805" t="s">
        <v>145</v>
      </c>
      <c r="C2" s="805"/>
      <c r="D2" s="805"/>
      <c r="E2" s="805"/>
      <c r="F2" s="805"/>
      <c r="G2" s="805"/>
      <c r="H2" s="805"/>
      <c r="I2" s="805"/>
      <c r="J2" s="805"/>
      <c r="K2" s="805"/>
    </row>
    <row r="3" spans="2:11" ht="48.75" customHeight="1" x14ac:dyDescent="0.2">
      <c r="B3" s="804" t="s">
        <v>195</v>
      </c>
      <c r="C3" s="804"/>
      <c r="D3" s="804"/>
      <c r="E3" s="804"/>
      <c r="F3" s="804"/>
      <c r="G3" s="804"/>
      <c r="H3" s="804"/>
      <c r="I3" s="804"/>
      <c r="J3" s="804"/>
      <c r="K3" s="804"/>
    </row>
    <row r="4" spans="2:11" ht="30" customHeight="1" x14ac:dyDescent="0.2">
      <c r="B4" s="803" t="s">
        <v>309</v>
      </c>
      <c r="C4" s="803"/>
      <c r="D4" s="803"/>
      <c r="E4" s="803"/>
      <c r="F4" s="803"/>
      <c r="G4" s="803"/>
      <c r="H4" s="803"/>
      <c r="I4" s="803"/>
      <c r="J4" s="803"/>
      <c r="K4" s="803"/>
    </row>
    <row r="5" spans="2:11" ht="30" customHeight="1" x14ac:dyDescent="0.2">
      <c r="B5" s="831" t="s">
        <v>1</v>
      </c>
      <c r="C5" s="894" t="s">
        <v>2</v>
      </c>
      <c r="D5" s="894"/>
      <c r="E5" s="894"/>
      <c r="F5" s="894" t="s">
        <v>11</v>
      </c>
      <c r="G5" s="894"/>
      <c r="H5" s="894"/>
      <c r="I5" s="894" t="s">
        <v>12</v>
      </c>
      <c r="J5" s="894"/>
      <c r="K5" s="866"/>
    </row>
    <row r="6" spans="2:11" ht="30" customHeight="1" x14ac:dyDescent="0.2">
      <c r="B6" s="831"/>
      <c r="C6" s="317" t="s">
        <v>64</v>
      </c>
      <c r="D6" s="317" t="s">
        <v>159</v>
      </c>
      <c r="E6" s="318" t="s">
        <v>6</v>
      </c>
      <c r="F6" s="317" t="s">
        <v>64</v>
      </c>
      <c r="G6" s="317" t="s">
        <v>159</v>
      </c>
      <c r="H6" s="318" t="s">
        <v>6</v>
      </c>
      <c r="I6" s="317" t="s">
        <v>64</v>
      </c>
      <c r="J6" s="317" t="s">
        <v>159</v>
      </c>
      <c r="K6" s="319" t="s">
        <v>6</v>
      </c>
    </row>
    <row r="7" spans="2:11" ht="25.15" customHeight="1" x14ac:dyDescent="0.2">
      <c r="B7" s="414">
        <v>1987</v>
      </c>
      <c r="C7" s="314">
        <v>222</v>
      </c>
      <c r="D7" s="314">
        <v>498</v>
      </c>
      <c r="E7" s="315">
        <f>SUM(C7:D7)</f>
        <v>720</v>
      </c>
      <c r="F7" s="314">
        <v>73037</v>
      </c>
      <c r="G7" s="314">
        <v>236370</v>
      </c>
      <c r="H7" s="315">
        <f>SUM(F7:G7)</f>
        <v>309407</v>
      </c>
      <c r="I7" s="314">
        <v>4214256</v>
      </c>
      <c r="J7" s="314">
        <v>4853674</v>
      </c>
      <c r="K7" s="315">
        <f t="shared" ref="K7:K35" si="0">SUM(I7:J7)</f>
        <v>9067930</v>
      </c>
    </row>
    <row r="8" spans="2:11" ht="25.15" customHeight="1" x14ac:dyDescent="0.2">
      <c r="B8" s="414">
        <v>1988</v>
      </c>
      <c r="C8" s="314">
        <v>267</v>
      </c>
      <c r="D8" s="314">
        <v>547</v>
      </c>
      <c r="E8" s="315">
        <f t="shared" ref="E8:E35" si="1">SUM(C8:D8)</f>
        <v>814</v>
      </c>
      <c r="F8" s="314">
        <v>121592</v>
      </c>
      <c r="G8" s="314">
        <v>571660</v>
      </c>
      <c r="H8" s="315">
        <f t="shared" ref="H8:H35" si="2">SUM(F8:G8)</f>
        <v>693252</v>
      </c>
      <c r="I8" s="314">
        <v>22189547</v>
      </c>
      <c r="J8" s="314">
        <v>16085422</v>
      </c>
      <c r="K8" s="315">
        <f t="shared" si="0"/>
        <v>38274969</v>
      </c>
    </row>
    <row r="9" spans="2:11" ht="25.15" customHeight="1" x14ac:dyDescent="0.2">
      <c r="B9" s="414">
        <v>1989</v>
      </c>
      <c r="C9" s="314">
        <v>202</v>
      </c>
      <c r="D9" s="314">
        <v>465</v>
      </c>
      <c r="E9" s="315">
        <f t="shared" si="1"/>
        <v>667</v>
      </c>
      <c r="F9" s="314">
        <v>68264</v>
      </c>
      <c r="G9" s="314">
        <v>139971</v>
      </c>
      <c r="H9" s="315">
        <f t="shared" si="2"/>
        <v>208235</v>
      </c>
      <c r="I9" s="314">
        <v>4941453</v>
      </c>
      <c r="J9" s="314">
        <v>10281713</v>
      </c>
      <c r="K9" s="315">
        <f t="shared" si="0"/>
        <v>15223166</v>
      </c>
    </row>
    <row r="10" spans="2:11" ht="25.15" customHeight="1" x14ac:dyDescent="0.2">
      <c r="B10" s="414">
        <v>1990</v>
      </c>
      <c r="C10" s="314">
        <v>200</v>
      </c>
      <c r="D10" s="314">
        <v>413</v>
      </c>
      <c r="E10" s="315">
        <f t="shared" si="1"/>
        <v>613</v>
      </c>
      <c r="F10" s="314">
        <v>74724</v>
      </c>
      <c r="G10" s="314">
        <v>183510</v>
      </c>
      <c r="H10" s="315">
        <f t="shared" si="2"/>
        <v>258234</v>
      </c>
      <c r="I10" s="314">
        <v>4996251</v>
      </c>
      <c r="J10" s="314">
        <v>10071629</v>
      </c>
      <c r="K10" s="315">
        <f t="shared" si="0"/>
        <v>15067880</v>
      </c>
    </row>
    <row r="11" spans="2:11" ht="25.15" customHeight="1" x14ac:dyDescent="0.2">
      <c r="B11" s="414">
        <v>1991</v>
      </c>
      <c r="C11" s="314">
        <v>126</v>
      </c>
      <c r="D11" s="314">
        <v>189</v>
      </c>
      <c r="E11" s="315">
        <f t="shared" si="1"/>
        <v>315</v>
      </c>
      <c r="F11" s="314">
        <v>48613</v>
      </c>
      <c r="G11" s="314">
        <v>132115</v>
      </c>
      <c r="H11" s="315">
        <f t="shared" si="2"/>
        <v>180728</v>
      </c>
      <c r="I11" s="314">
        <v>2764025</v>
      </c>
      <c r="J11" s="314">
        <v>6116861</v>
      </c>
      <c r="K11" s="315">
        <f t="shared" si="0"/>
        <v>8880886</v>
      </c>
    </row>
    <row r="12" spans="2:11" ht="25.15" customHeight="1" x14ac:dyDescent="0.2">
      <c r="B12" s="414">
        <v>1992</v>
      </c>
      <c r="C12" s="314">
        <v>97</v>
      </c>
      <c r="D12" s="314">
        <v>122</v>
      </c>
      <c r="E12" s="315">
        <f t="shared" si="1"/>
        <v>219</v>
      </c>
      <c r="F12" s="314">
        <v>36318</v>
      </c>
      <c r="G12" s="314">
        <v>78338</v>
      </c>
      <c r="H12" s="315">
        <f t="shared" si="2"/>
        <v>114656</v>
      </c>
      <c r="I12" s="314">
        <v>1109790</v>
      </c>
      <c r="J12" s="314">
        <v>1209589</v>
      </c>
      <c r="K12" s="315">
        <f t="shared" si="0"/>
        <v>2319379</v>
      </c>
    </row>
    <row r="13" spans="2:11" ht="25.15" customHeight="1" x14ac:dyDescent="0.2">
      <c r="B13" s="414">
        <v>1993</v>
      </c>
      <c r="C13" s="314">
        <v>106</v>
      </c>
      <c r="D13" s="314">
        <v>45</v>
      </c>
      <c r="E13" s="315">
        <f t="shared" si="1"/>
        <v>151</v>
      </c>
      <c r="F13" s="314">
        <v>20184</v>
      </c>
      <c r="G13" s="314">
        <v>21290</v>
      </c>
      <c r="H13" s="315">
        <f t="shared" si="2"/>
        <v>41474</v>
      </c>
      <c r="I13" s="314">
        <v>1684707</v>
      </c>
      <c r="J13" s="314">
        <v>483057</v>
      </c>
      <c r="K13" s="315">
        <f t="shared" si="0"/>
        <v>2167764</v>
      </c>
    </row>
    <row r="14" spans="2:11" ht="25.15" customHeight="1" x14ac:dyDescent="0.2">
      <c r="B14" s="414">
        <v>1994</v>
      </c>
      <c r="C14" s="314">
        <v>68</v>
      </c>
      <c r="D14" s="314">
        <v>100</v>
      </c>
      <c r="E14" s="315">
        <f t="shared" si="1"/>
        <v>168</v>
      </c>
      <c r="F14" s="314">
        <v>19824</v>
      </c>
      <c r="G14" s="314">
        <v>43116</v>
      </c>
      <c r="H14" s="315">
        <f t="shared" si="2"/>
        <v>62940</v>
      </c>
      <c r="I14" s="314">
        <v>1270212</v>
      </c>
      <c r="J14" s="314">
        <v>666435</v>
      </c>
      <c r="K14" s="315">
        <f t="shared" si="0"/>
        <v>1936647</v>
      </c>
    </row>
    <row r="15" spans="2:11" ht="25.15" customHeight="1" x14ac:dyDescent="0.2">
      <c r="B15" s="414">
        <v>1995</v>
      </c>
      <c r="C15" s="314">
        <v>33</v>
      </c>
      <c r="D15" s="314">
        <v>69</v>
      </c>
      <c r="E15" s="315">
        <f t="shared" si="1"/>
        <v>102</v>
      </c>
      <c r="F15" s="314">
        <v>11164</v>
      </c>
      <c r="G15" s="314">
        <v>17018</v>
      </c>
      <c r="H15" s="315">
        <f t="shared" si="2"/>
        <v>28182</v>
      </c>
      <c r="I15" s="314">
        <v>579657</v>
      </c>
      <c r="J15" s="314">
        <v>469096</v>
      </c>
      <c r="K15" s="315">
        <f t="shared" si="0"/>
        <v>1048753</v>
      </c>
    </row>
    <row r="16" spans="2:11" ht="25.15" customHeight="1" x14ac:dyDescent="0.2">
      <c r="B16" s="414">
        <v>1996</v>
      </c>
      <c r="C16" s="314">
        <v>28</v>
      </c>
      <c r="D16" s="314">
        <v>49</v>
      </c>
      <c r="E16" s="315">
        <f t="shared" si="1"/>
        <v>77</v>
      </c>
      <c r="F16" s="314">
        <v>19630</v>
      </c>
      <c r="G16" s="314">
        <v>16612</v>
      </c>
      <c r="H16" s="315">
        <f t="shared" si="2"/>
        <v>36242</v>
      </c>
      <c r="I16" s="314">
        <v>727226</v>
      </c>
      <c r="J16" s="314">
        <v>672660</v>
      </c>
      <c r="K16" s="315">
        <f t="shared" si="0"/>
        <v>1399886</v>
      </c>
    </row>
    <row r="17" spans="2:11" ht="25.15" customHeight="1" x14ac:dyDescent="0.2">
      <c r="B17" s="414">
        <v>1997</v>
      </c>
      <c r="C17" s="314">
        <v>21</v>
      </c>
      <c r="D17" s="314">
        <v>45</v>
      </c>
      <c r="E17" s="315">
        <f t="shared" si="1"/>
        <v>66</v>
      </c>
      <c r="F17" s="314">
        <v>7833</v>
      </c>
      <c r="G17" s="314">
        <v>11363</v>
      </c>
      <c r="H17" s="315">
        <f t="shared" si="2"/>
        <v>19196</v>
      </c>
      <c r="I17" s="314">
        <v>163742</v>
      </c>
      <c r="J17" s="314">
        <v>155672</v>
      </c>
      <c r="K17" s="315">
        <f t="shared" si="0"/>
        <v>319414</v>
      </c>
    </row>
    <row r="18" spans="2:11" ht="25.15" customHeight="1" x14ac:dyDescent="0.2">
      <c r="B18" s="414">
        <v>1998</v>
      </c>
      <c r="C18" s="314">
        <v>13</v>
      </c>
      <c r="D18" s="314">
        <v>45</v>
      </c>
      <c r="E18" s="315">
        <f t="shared" si="1"/>
        <v>58</v>
      </c>
      <c r="F18" s="314">
        <v>1489</v>
      </c>
      <c r="G18" s="314">
        <v>15844</v>
      </c>
      <c r="H18" s="315">
        <f t="shared" si="2"/>
        <v>17333</v>
      </c>
      <c r="I18" s="314">
        <v>49011</v>
      </c>
      <c r="J18" s="314">
        <v>274157</v>
      </c>
      <c r="K18" s="315">
        <f t="shared" si="0"/>
        <v>323168</v>
      </c>
    </row>
    <row r="19" spans="2:11" ht="25.15" customHeight="1" x14ac:dyDescent="0.2">
      <c r="B19" s="414">
        <v>1999</v>
      </c>
      <c r="C19" s="314">
        <v>9</v>
      </c>
      <c r="D19" s="314">
        <v>62</v>
      </c>
      <c r="E19" s="315">
        <f t="shared" si="1"/>
        <v>71</v>
      </c>
      <c r="F19" s="314">
        <v>2686</v>
      </c>
      <c r="G19" s="314">
        <v>49394</v>
      </c>
      <c r="H19" s="315">
        <f t="shared" si="2"/>
        <v>52080</v>
      </c>
      <c r="I19" s="314">
        <v>73320</v>
      </c>
      <c r="J19" s="314">
        <v>650940</v>
      </c>
      <c r="K19" s="315">
        <f t="shared" si="0"/>
        <v>724260</v>
      </c>
    </row>
    <row r="20" spans="2:11" ht="25.15" customHeight="1" x14ac:dyDescent="0.2">
      <c r="B20" s="414">
        <v>2000</v>
      </c>
      <c r="C20" s="314">
        <v>15</v>
      </c>
      <c r="D20" s="314">
        <v>22</v>
      </c>
      <c r="E20" s="315">
        <f t="shared" si="1"/>
        <v>37</v>
      </c>
      <c r="F20" s="314">
        <v>2052</v>
      </c>
      <c r="G20" s="314">
        <v>3228</v>
      </c>
      <c r="H20" s="315">
        <f t="shared" si="2"/>
        <v>5280</v>
      </c>
      <c r="I20" s="314">
        <v>138224</v>
      </c>
      <c r="J20" s="314">
        <v>43467</v>
      </c>
      <c r="K20" s="315">
        <f t="shared" si="0"/>
        <v>181691</v>
      </c>
    </row>
    <row r="21" spans="2:11" ht="25.15" customHeight="1" x14ac:dyDescent="0.2">
      <c r="B21" s="414">
        <v>2001</v>
      </c>
      <c r="C21" s="316">
        <v>8</v>
      </c>
      <c r="D21" s="314">
        <v>32</v>
      </c>
      <c r="E21" s="315">
        <f t="shared" si="1"/>
        <v>40</v>
      </c>
      <c r="F21" s="316">
        <v>1140</v>
      </c>
      <c r="G21" s="314">
        <v>9910</v>
      </c>
      <c r="H21" s="315">
        <f t="shared" si="2"/>
        <v>11050</v>
      </c>
      <c r="I21" s="316">
        <v>75992</v>
      </c>
      <c r="J21" s="314">
        <v>412938</v>
      </c>
      <c r="K21" s="315">
        <f t="shared" si="0"/>
        <v>488930</v>
      </c>
    </row>
    <row r="22" spans="2:11" ht="25.15" customHeight="1" x14ac:dyDescent="0.2">
      <c r="B22" s="414">
        <v>2002</v>
      </c>
      <c r="C22" s="316">
        <v>12</v>
      </c>
      <c r="D22" s="314">
        <v>52</v>
      </c>
      <c r="E22" s="315">
        <f t="shared" si="1"/>
        <v>64</v>
      </c>
      <c r="F22" s="316">
        <v>5471</v>
      </c>
      <c r="G22" s="314">
        <v>17454</v>
      </c>
      <c r="H22" s="315">
        <f t="shared" si="2"/>
        <v>22925</v>
      </c>
      <c r="I22" s="316">
        <v>271632</v>
      </c>
      <c r="J22" s="314">
        <v>641016</v>
      </c>
      <c r="K22" s="315">
        <f t="shared" si="0"/>
        <v>912648</v>
      </c>
    </row>
    <row r="23" spans="2:11" ht="25.15" customHeight="1" x14ac:dyDescent="0.2">
      <c r="B23" s="414">
        <v>2003</v>
      </c>
      <c r="C23" s="314">
        <v>13</v>
      </c>
      <c r="D23" s="314">
        <v>55</v>
      </c>
      <c r="E23" s="315">
        <f>SUM(C23:D23)</f>
        <v>68</v>
      </c>
      <c r="F23" s="316">
        <v>20614</v>
      </c>
      <c r="G23" s="314">
        <v>16709</v>
      </c>
      <c r="H23" s="315">
        <f t="shared" si="2"/>
        <v>37323</v>
      </c>
      <c r="I23" s="316">
        <v>641566</v>
      </c>
      <c r="J23" s="314">
        <v>239796</v>
      </c>
      <c r="K23" s="315">
        <f t="shared" si="0"/>
        <v>881362</v>
      </c>
    </row>
    <row r="24" spans="2:11" ht="25.15" customHeight="1" x14ac:dyDescent="0.2">
      <c r="B24" s="414">
        <v>2004</v>
      </c>
      <c r="C24" s="314">
        <v>12</v>
      </c>
      <c r="D24" s="314">
        <v>95</v>
      </c>
      <c r="E24" s="315">
        <f t="shared" si="1"/>
        <v>107</v>
      </c>
      <c r="F24" s="316">
        <v>3541</v>
      </c>
      <c r="G24" s="314">
        <v>25732</v>
      </c>
      <c r="H24" s="315">
        <f t="shared" si="2"/>
        <v>29273</v>
      </c>
      <c r="I24" s="316">
        <v>176824</v>
      </c>
      <c r="J24" s="314">
        <v>405504</v>
      </c>
      <c r="K24" s="315">
        <f t="shared" si="0"/>
        <v>582328</v>
      </c>
    </row>
    <row r="25" spans="2:11" ht="25.15" customHeight="1" x14ac:dyDescent="0.2">
      <c r="B25" s="414">
        <v>2005</v>
      </c>
      <c r="C25" s="314">
        <v>20</v>
      </c>
      <c r="D25" s="314">
        <v>45</v>
      </c>
      <c r="E25" s="315">
        <f t="shared" si="1"/>
        <v>65</v>
      </c>
      <c r="F25" s="316">
        <v>7346</v>
      </c>
      <c r="G25" s="314">
        <v>11676</v>
      </c>
      <c r="H25" s="315">
        <f t="shared" si="2"/>
        <v>19022</v>
      </c>
      <c r="I25" s="316">
        <v>276064</v>
      </c>
      <c r="J25" s="314">
        <v>202674</v>
      </c>
      <c r="K25" s="315">
        <f t="shared" si="0"/>
        <v>478738</v>
      </c>
    </row>
    <row r="26" spans="2:11" ht="25.15" customHeight="1" x14ac:dyDescent="0.2">
      <c r="B26" s="414">
        <v>2006</v>
      </c>
      <c r="C26" s="314">
        <v>18</v>
      </c>
      <c r="D26" s="314">
        <v>49</v>
      </c>
      <c r="E26" s="315">
        <f>SUM(C26:D26)</f>
        <v>67</v>
      </c>
      <c r="F26" s="316">
        <v>7626</v>
      </c>
      <c r="G26" s="314">
        <v>11939</v>
      </c>
      <c r="H26" s="315">
        <f t="shared" si="2"/>
        <v>19565</v>
      </c>
      <c r="I26" s="316">
        <v>287840</v>
      </c>
      <c r="J26" s="314">
        <v>158744</v>
      </c>
      <c r="K26" s="315">
        <f t="shared" si="0"/>
        <v>446584</v>
      </c>
    </row>
    <row r="27" spans="2:11" ht="25.15" customHeight="1" x14ac:dyDescent="0.2">
      <c r="B27" s="414">
        <v>2007</v>
      </c>
      <c r="C27" s="314">
        <v>20</v>
      </c>
      <c r="D27" s="314">
        <v>53</v>
      </c>
      <c r="E27" s="315">
        <f t="shared" si="1"/>
        <v>73</v>
      </c>
      <c r="F27" s="316">
        <v>9760</v>
      </c>
      <c r="G27" s="314">
        <v>38336</v>
      </c>
      <c r="H27" s="315">
        <f t="shared" si="2"/>
        <v>48096</v>
      </c>
      <c r="I27" s="316">
        <v>483072</v>
      </c>
      <c r="J27" s="314">
        <v>1733448</v>
      </c>
      <c r="K27" s="315">
        <f t="shared" si="0"/>
        <v>2216520</v>
      </c>
    </row>
    <row r="28" spans="2:11" ht="25.15" customHeight="1" x14ac:dyDescent="0.2">
      <c r="B28" s="414">
        <v>2008</v>
      </c>
      <c r="C28" s="314">
        <v>20</v>
      </c>
      <c r="D28" s="314">
        <v>43</v>
      </c>
      <c r="E28" s="315">
        <f t="shared" si="1"/>
        <v>63</v>
      </c>
      <c r="F28" s="316">
        <v>5410</v>
      </c>
      <c r="G28" s="314">
        <v>28601</v>
      </c>
      <c r="H28" s="315">
        <f t="shared" si="2"/>
        <v>34011</v>
      </c>
      <c r="I28" s="316">
        <v>325456</v>
      </c>
      <c r="J28" s="314">
        <v>1195504</v>
      </c>
      <c r="K28" s="315">
        <f t="shared" si="0"/>
        <v>1520960</v>
      </c>
    </row>
    <row r="29" spans="2:11" ht="25.15" customHeight="1" x14ac:dyDescent="0.2">
      <c r="B29" s="414">
        <v>2009</v>
      </c>
      <c r="C29" s="314">
        <v>40</v>
      </c>
      <c r="D29" s="314">
        <v>59</v>
      </c>
      <c r="E29" s="315">
        <f t="shared" si="1"/>
        <v>99</v>
      </c>
      <c r="F29" s="316">
        <v>12894</v>
      </c>
      <c r="G29" s="314">
        <v>23220</v>
      </c>
      <c r="H29" s="315">
        <f t="shared" si="2"/>
        <v>36114</v>
      </c>
      <c r="I29" s="316">
        <v>812456</v>
      </c>
      <c r="J29" s="314">
        <v>640010</v>
      </c>
      <c r="K29" s="315">
        <f t="shared" si="0"/>
        <v>1452466</v>
      </c>
    </row>
    <row r="30" spans="2:11" ht="25.15" customHeight="1" x14ac:dyDescent="0.2">
      <c r="B30" s="414">
        <v>2010</v>
      </c>
      <c r="C30" s="314">
        <v>32</v>
      </c>
      <c r="D30" s="314">
        <v>51</v>
      </c>
      <c r="E30" s="315">
        <f t="shared" si="1"/>
        <v>83</v>
      </c>
      <c r="F30" s="316">
        <v>10220</v>
      </c>
      <c r="G30" s="314">
        <v>20386</v>
      </c>
      <c r="H30" s="315">
        <f t="shared" si="2"/>
        <v>30606</v>
      </c>
      <c r="I30" s="316">
        <v>401440</v>
      </c>
      <c r="J30" s="314">
        <v>877940</v>
      </c>
      <c r="K30" s="315">
        <f t="shared" si="0"/>
        <v>1279380</v>
      </c>
    </row>
    <row r="31" spans="2:11" ht="25.15" customHeight="1" x14ac:dyDescent="0.2">
      <c r="B31" s="414">
        <v>2011</v>
      </c>
      <c r="C31" s="314">
        <v>36</v>
      </c>
      <c r="D31" s="314">
        <v>48</v>
      </c>
      <c r="E31" s="315">
        <f t="shared" si="1"/>
        <v>84</v>
      </c>
      <c r="F31" s="316">
        <v>12524</v>
      </c>
      <c r="G31" s="314">
        <v>14246</v>
      </c>
      <c r="H31" s="315">
        <f>SUM(F31:G31)</f>
        <v>26770</v>
      </c>
      <c r="I31" s="316">
        <v>1199880</v>
      </c>
      <c r="J31" s="314">
        <v>599536</v>
      </c>
      <c r="K31" s="315">
        <f t="shared" si="0"/>
        <v>1799416</v>
      </c>
    </row>
    <row r="32" spans="2:11" ht="25.15" customHeight="1" x14ac:dyDescent="0.2">
      <c r="B32" s="414">
        <v>2012</v>
      </c>
      <c r="C32" s="314">
        <v>33</v>
      </c>
      <c r="D32" s="314">
        <v>56</v>
      </c>
      <c r="E32" s="315">
        <f t="shared" si="1"/>
        <v>89</v>
      </c>
      <c r="F32" s="316">
        <v>8325</v>
      </c>
      <c r="G32" s="314">
        <v>17520</v>
      </c>
      <c r="H32" s="315">
        <f>SUM(F32:G32)</f>
        <v>25845</v>
      </c>
      <c r="I32" s="316">
        <v>693240</v>
      </c>
      <c r="J32" s="314">
        <v>1185456</v>
      </c>
      <c r="K32" s="315">
        <f t="shared" si="0"/>
        <v>1878696</v>
      </c>
    </row>
    <row r="33" spans="2:30" ht="25.15" customHeight="1" x14ac:dyDescent="0.2">
      <c r="B33" s="414">
        <v>2013</v>
      </c>
      <c r="C33" s="314">
        <v>44</v>
      </c>
      <c r="D33" s="314">
        <v>50</v>
      </c>
      <c r="E33" s="315">
        <f t="shared" si="1"/>
        <v>94</v>
      </c>
      <c r="F33" s="316">
        <v>10317</v>
      </c>
      <c r="G33" s="314">
        <v>16419</v>
      </c>
      <c r="H33" s="315">
        <f t="shared" si="2"/>
        <v>26736</v>
      </c>
      <c r="I33" s="316">
        <v>727416</v>
      </c>
      <c r="J33" s="314">
        <v>845786</v>
      </c>
      <c r="K33" s="315">
        <f t="shared" si="0"/>
        <v>1573202</v>
      </c>
    </row>
    <row r="34" spans="2:30" ht="25.15" customHeight="1" x14ac:dyDescent="0.2">
      <c r="B34" s="414">
        <v>2014</v>
      </c>
      <c r="C34" s="314">
        <v>45</v>
      </c>
      <c r="D34" s="314">
        <v>50</v>
      </c>
      <c r="E34" s="315">
        <f t="shared" si="1"/>
        <v>95</v>
      </c>
      <c r="F34" s="316">
        <v>15694</v>
      </c>
      <c r="G34" s="314">
        <v>24987</v>
      </c>
      <c r="H34" s="315">
        <f t="shared" si="2"/>
        <v>40681</v>
      </c>
      <c r="I34" s="316">
        <v>1481710</v>
      </c>
      <c r="J34" s="314">
        <v>1671308</v>
      </c>
      <c r="K34" s="315">
        <f t="shared" si="0"/>
        <v>3153018</v>
      </c>
    </row>
    <row r="35" spans="2:30" ht="25.15" customHeight="1" x14ac:dyDescent="0.2">
      <c r="B35" s="414">
        <v>2015</v>
      </c>
      <c r="C35" s="314">
        <v>25</v>
      </c>
      <c r="D35" s="314">
        <v>22</v>
      </c>
      <c r="E35" s="315">
        <f t="shared" si="1"/>
        <v>47</v>
      </c>
      <c r="F35" s="316">
        <v>6695</v>
      </c>
      <c r="G35" s="314">
        <v>25371</v>
      </c>
      <c r="H35" s="315">
        <f t="shared" si="2"/>
        <v>32066</v>
      </c>
      <c r="I35" s="316">
        <v>724320</v>
      </c>
      <c r="J35" s="314">
        <v>1201312</v>
      </c>
      <c r="K35" s="315">
        <f t="shared" si="0"/>
        <v>1925632</v>
      </c>
    </row>
    <row r="36" spans="2:30" ht="25.15" customHeight="1" x14ac:dyDescent="0.2">
      <c r="B36" s="414">
        <v>2016</v>
      </c>
      <c r="C36" s="314">
        <v>22</v>
      </c>
      <c r="D36" s="314">
        <v>19</v>
      </c>
      <c r="E36" s="315">
        <f t="shared" ref="E36:E44" si="3">SUM(C36:D36)</f>
        <v>41</v>
      </c>
      <c r="F36" s="316">
        <v>7209</v>
      </c>
      <c r="G36" s="314">
        <v>13254</v>
      </c>
      <c r="H36" s="315">
        <f t="shared" ref="H36:H44" si="4">SUM(F36:G36)</f>
        <v>20463</v>
      </c>
      <c r="I36" s="316">
        <v>1286160</v>
      </c>
      <c r="J36" s="314">
        <v>1797896</v>
      </c>
      <c r="K36" s="315">
        <f t="shared" ref="K36:K40" si="5">SUM(I36:J36)</f>
        <v>3084056</v>
      </c>
    </row>
    <row r="37" spans="2:30" ht="25.15" customHeight="1" x14ac:dyDescent="0.2">
      <c r="B37" s="414">
        <v>2017</v>
      </c>
      <c r="C37" s="314">
        <v>17</v>
      </c>
      <c r="D37" s="314">
        <v>28</v>
      </c>
      <c r="E37" s="315">
        <f t="shared" si="3"/>
        <v>45</v>
      </c>
      <c r="F37" s="316">
        <v>7198</v>
      </c>
      <c r="G37" s="314">
        <v>49412</v>
      </c>
      <c r="H37" s="315">
        <f t="shared" si="4"/>
        <v>56610</v>
      </c>
      <c r="I37" s="316">
        <v>306592</v>
      </c>
      <c r="J37" s="314">
        <v>2699902</v>
      </c>
      <c r="K37" s="315">
        <f t="shared" si="5"/>
        <v>3006494</v>
      </c>
    </row>
    <row r="38" spans="2:30" ht="25.15" customHeight="1" x14ac:dyDescent="0.2">
      <c r="B38" s="414">
        <v>2018</v>
      </c>
      <c r="C38" s="314">
        <v>26</v>
      </c>
      <c r="D38" s="314">
        <f>27+1</f>
        <v>28</v>
      </c>
      <c r="E38" s="315">
        <f t="shared" si="3"/>
        <v>54</v>
      </c>
      <c r="F38" s="316">
        <v>12486</v>
      </c>
      <c r="G38" s="314">
        <f>8760+250</f>
        <v>9010</v>
      </c>
      <c r="H38" s="315">
        <f t="shared" si="4"/>
        <v>21496</v>
      </c>
      <c r="I38" s="316">
        <v>428320</v>
      </c>
      <c r="J38" s="314">
        <f>308544+2000</f>
        <v>310544</v>
      </c>
      <c r="K38" s="315">
        <f t="shared" si="5"/>
        <v>738864</v>
      </c>
    </row>
    <row r="39" spans="2:30" ht="25.15" customHeight="1" x14ac:dyDescent="0.2">
      <c r="B39" s="414">
        <v>2019</v>
      </c>
      <c r="C39" s="314">
        <v>27</v>
      </c>
      <c r="D39" s="314">
        <v>40</v>
      </c>
      <c r="E39" s="315">
        <f t="shared" si="3"/>
        <v>67</v>
      </c>
      <c r="F39" s="316">
        <v>13454</v>
      </c>
      <c r="G39" s="314">
        <v>96700</v>
      </c>
      <c r="H39" s="315">
        <f t="shared" si="4"/>
        <v>110154</v>
      </c>
      <c r="I39" s="316">
        <v>577032</v>
      </c>
      <c r="J39" s="314">
        <v>1508824</v>
      </c>
      <c r="K39" s="315">
        <f t="shared" si="5"/>
        <v>2085856</v>
      </c>
    </row>
    <row r="40" spans="2:30" ht="25.15" customHeight="1" x14ac:dyDescent="0.2">
      <c r="B40" s="414">
        <v>2020</v>
      </c>
      <c r="C40" s="314">
        <v>5</v>
      </c>
      <c r="D40" s="314">
        <v>18</v>
      </c>
      <c r="E40" s="315">
        <f t="shared" si="3"/>
        <v>23</v>
      </c>
      <c r="F40" s="316">
        <v>22135</v>
      </c>
      <c r="G40" s="314">
        <v>105733</v>
      </c>
      <c r="H40" s="315">
        <f t="shared" si="4"/>
        <v>127868</v>
      </c>
      <c r="I40" s="316">
        <v>358808</v>
      </c>
      <c r="J40" s="314">
        <v>3294376</v>
      </c>
      <c r="K40" s="315">
        <f t="shared" si="5"/>
        <v>3653184</v>
      </c>
    </row>
    <row r="41" spans="2:30" ht="25.15" customHeight="1" x14ac:dyDescent="0.2">
      <c r="B41" s="414">
        <v>2021</v>
      </c>
      <c r="C41" s="314">
        <v>25</v>
      </c>
      <c r="D41" s="314">
        <v>13</v>
      </c>
      <c r="E41" s="315">
        <f t="shared" si="3"/>
        <v>38</v>
      </c>
      <c r="F41" s="316">
        <v>7772</v>
      </c>
      <c r="G41" s="314">
        <v>201370</v>
      </c>
      <c r="H41" s="315">
        <f t="shared" si="4"/>
        <v>209142</v>
      </c>
      <c r="I41" s="316">
        <v>607096</v>
      </c>
      <c r="J41" s="314">
        <v>2420144</v>
      </c>
      <c r="K41" s="315">
        <f>SUM(I41:J41)</f>
        <v>3027240</v>
      </c>
    </row>
    <row r="42" spans="2:30" ht="25.15" customHeight="1" x14ac:dyDescent="0.2">
      <c r="B42" s="414">
        <v>2022</v>
      </c>
      <c r="C42" s="314">
        <v>23</v>
      </c>
      <c r="D42" s="314">
        <v>18</v>
      </c>
      <c r="E42" s="315">
        <f t="shared" ref="E42:E43" si="6">SUM(C42:D42)</f>
        <v>41</v>
      </c>
      <c r="F42" s="316">
        <v>6977</v>
      </c>
      <c r="G42" s="314">
        <v>22168</v>
      </c>
      <c r="H42" s="315">
        <f t="shared" ref="H42:H43" si="7">SUM(F42:G42)</f>
        <v>29145</v>
      </c>
      <c r="I42" s="316">
        <v>537048</v>
      </c>
      <c r="J42" s="314">
        <v>1585884</v>
      </c>
      <c r="K42" s="315">
        <f>SUM(I42:J42)</f>
        <v>2122932</v>
      </c>
    </row>
    <row r="43" spans="2:30" ht="25.15" customHeight="1" x14ac:dyDescent="0.2">
      <c r="B43" s="414">
        <v>2023</v>
      </c>
      <c r="C43" s="314">
        <v>25</v>
      </c>
      <c r="D43" s="314">
        <v>30</v>
      </c>
      <c r="E43" s="315">
        <f t="shared" si="6"/>
        <v>55</v>
      </c>
      <c r="F43" s="316">
        <v>32756</v>
      </c>
      <c r="G43" s="314">
        <v>45127</v>
      </c>
      <c r="H43" s="315">
        <f t="shared" si="7"/>
        <v>77883</v>
      </c>
      <c r="I43" s="316">
        <v>874993</v>
      </c>
      <c r="J43" s="314">
        <v>587016</v>
      </c>
      <c r="K43" s="315">
        <f>SUM(I43:J43)</f>
        <v>1462009</v>
      </c>
    </row>
    <row r="44" spans="2:30" ht="25.15" customHeight="1" x14ac:dyDescent="0.2">
      <c r="B44" s="414">
        <v>2024</v>
      </c>
      <c r="C44" s="314">
        <v>22</v>
      </c>
      <c r="D44" s="314">
        <v>41</v>
      </c>
      <c r="E44" s="315">
        <f t="shared" si="3"/>
        <v>63</v>
      </c>
      <c r="F44" s="316">
        <v>22154</v>
      </c>
      <c r="G44" s="314">
        <v>54550</v>
      </c>
      <c r="H44" s="315">
        <f t="shared" si="4"/>
        <v>76704</v>
      </c>
      <c r="I44" s="316">
        <v>586856</v>
      </c>
      <c r="J44" s="314">
        <v>1708660</v>
      </c>
      <c r="K44" s="315">
        <f>SUM(I44:J44)</f>
        <v>2295516</v>
      </c>
    </row>
    <row r="45" spans="2:30" ht="11.45" customHeight="1" x14ac:dyDescent="0.2">
      <c r="B45" s="414"/>
      <c r="C45" s="314"/>
      <c r="D45" s="314"/>
      <c r="E45" s="315"/>
      <c r="F45" s="316"/>
      <c r="G45" s="314"/>
      <c r="H45" s="315"/>
      <c r="I45" s="316"/>
      <c r="J45" s="314"/>
      <c r="K45" s="315"/>
    </row>
    <row r="46" spans="2:30" s="1" customFormat="1" ht="29.25" customHeight="1" x14ac:dyDescent="0.2">
      <c r="B46" s="11" t="s">
        <v>245</v>
      </c>
      <c r="C46" s="12"/>
      <c r="D46" s="12"/>
      <c r="E46" s="12"/>
      <c r="F46" s="12"/>
      <c r="G46" s="13"/>
      <c r="H46" s="12"/>
      <c r="I46" s="12"/>
      <c r="Y46" s="14"/>
      <c r="Z46" s="10"/>
      <c r="AA46" s="14"/>
      <c r="AB46" s="15"/>
      <c r="AC46" s="14"/>
      <c r="AD46" s="15"/>
    </row>
    <row r="47" spans="2:30" s="1" customFormat="1" ht="29.25" customHeight="1" x14ac:dyDescent="0.2">
      <c r="B47" s="16" t="s">
        <v>296</v>
      </c>
      <c r="C47" s="17"/>
      <c r="D47" s="17"/>
      <c r="E47" s="17"/>
      <c r="F47" s="17"/>
      <c r="G47" s="17"/>
      <c r="H47" s="18"/>
      <c r="I47" s="18"/>
      <c r="J47" s="18"/>
      <c r="K47" s="18"/>
      <c r="Z47" s="19"/>
      <c r="AA47" s="20"/>
      <c r="AB47" s="19"/>
      <c r="AC47" s="20"/>
      <c r="AD47" s="21"/>
    </row>
    <row r="48" spans="2:30" s="1" customFormat="1" ht="29.25" customHeight="1" x14ac:dyDescent="0.2">
      <c r="B48" s="22" t="s">
        <v>279</v>
      </c>
      <c r="D48" s="23"/>
      <c r="E48" s="24"/>
      <c r="F48" s="23"/>
      <c r="G48" s="25"/>
      <c r="H48" s="26"/>
      <c r="I48" s="27"/>
      <c r="J48" s="27"/>
    </row>
    <row r="49" spans="1:38" s="1" customFormat="1" ht="31.9" customHeight="1" x14ac:dyDescent="0.2">
      <c r="A49" s="26"/>
      <c r="B49" s="841" t="s">
        <v>222</v>
      </c>
      <c r="C49" s="841"/>
      <c r="D49" s="841"/>
      <c r="E49" s="841"/>
      <c r="F49" s="841"/>
      <c r="G49" s="841"/>
      <c r="H49" s="841"/>
      <c r="I49" s="841"/>
      <c r="J49" s="841"/>
      <c r="K49" s="841"/>
      <c r="T49" s="155"/>
      <c r="U49" s="155"/>
      <c r="V49" s="155"/>
      <c r="W49" s="155"/>
      <c r="X49" s="155"/>
      <c r="Y49" s="155"/>
      <c r="Z49" s="155"/>
      <c r="AA49" s="155"/>
      <c r="AB49" s="155"/>
      <c r="AC49" s="155"/>
      <c r="AD49" s="155"/>
      <c r="AE49" s="155"/>
      <c r="AF49" s="155"/>
      <c r="AG49" s="155"/>
      <c r="AH49" s="155"/>
      <c r="AI49" s="155"/>
      <c r="AJ49" s="155"/>
      <c r="AK49" s="155"/>
      <c r="AL49" s="156"/>
    </row>
  </sheetData>
  <mergeCells count="9">
    <mergeCell ref="B49:K49"/>
    <mergeCell ref="B1:K1"/>
    <mergeCell ref="B2:K2"/>
    <mergeCell ref="B3:K3"/>
    <mergeCell ref="B4:K4"/>
    <mergeCell ref="B5:B6"/>
    <mergeCell ref="C5:E5"/>
    <mergeCell ref="F5:H5"/>
    <mergeCell ref="I5:K5"/>
  </mergeCells>
  <phoneticPr fontId="2" type="noConversion"/>
  <printOptions horizontalCentered="1" verticalCentered="1"/>
  <pageMargins left="0" right="0" top="0" bottom="0" header="0" footer="0"/>
  <pageSetup paperSize="9" scale="50" orientation="portrait" r:id="rId1"/>
  <headerFooter alignWithMargins="0"/>
  <ignoredErrors>
    <ignoredError sqref="E7:E37"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L36"/>
  <sheetViews>
    <sheetView showGridLines="0" topLeftCell="B1" zoomScale="80" zoomScaleNormal="80" workbookViewId="0">
      <selection activeCell="B3" sqref="B3:W3"/>
    </sheetView>
  </sheetViews>
  <sheetFormatPr baseColWidth="10" defaultColWidth="11.42578125" defaultRowHeight="12.75" x14ac:dyDescent="0.2"/>
  <cols>
    <col min="1" max="1" width="8.28515625" style="49" customWidth="1"/>
    <col min="2" max="2" width="16.42578125" style="49" customWidth="1"/>
    <col min="3" max="3" width="13" style="159" bestFit="1" customWidth="1"/>
    <col min="4" max="4" width="10.7109375" style="160" customWidth="1"/>
    <col min="5" max="5" width="11.5703125" style="49" customWidth="1"/>
    <col min="6" max="6" width="11.42578125" style="49" customWidth="1"/>
    <col min="7" max="7" width="11.5703125" style="49" customWidth="1"/>
    <col min="8" max="8" width="11" style="49" customWidth="1"/>
    <col min="9" max="9" width="15.28515625" style="49" customWidth="1"/>
    <col min="10" max="10" width="3.7109375" style="49" customWidth="1"/>
    <col min="11" max="11" width="9.5703125" style="49" customWidth="1"/>
    <col min="12" max="12" width="16.28515625" style="49" customWidth="1"/>
    <col min="13" max="13" width="9.7109375" style="49" customWidth="1"/>
    <col min="14" max="14" width="17.42578125" style="49" bestFit="1" customWidth="1"/>
    <col min="15" max="15" width="11.7109375" style="49" customWidth="1"/>
    <col min="16" max="16" width="17.28515625" style="49" bestFit="1" customWidth="1"/>
    <col min="17" max="17" width="3.7109375" style="49" customWidth="1"/>
    <col min="18" max="18" width="9.28515625" style="49" customWidth="1"/>
    <col min="19" max="19" width="20" style="49" customWidth="1"/>
    <col min="20" max="20" width="3.5703125" style="49" customWidth="1"/>
    <col min="21" max="21" width="11.28515625" style="49" customWidth="1"/>
    <col min="22" max="22" width="20.28515625" style="49" customWidth="1"/>
    <col min="23" max="23" width="13.5703125" style="49" customWidth="1"/>
    <col min="24" max="24" width="8.28515625" style="49" customWidth="1"/>
    <col min="25" max="16384" width="11.42578125" style="49"/>
  </cols>
  <sheetData>
    <row r="1" spans="2:23" ht="30" customHeight="1" x14ac:dyDescent="0.2">
      <c r="B1" s="811" t="s">
        <v>45</v>
      </c>
      <c r="C1" s="811"/>
      <c r="D1" s="811"/>
      <c r="E1" s="811"/>
      <c r="F1" s="811"/>
      <c r="G1" s="811"/>
      <c r="H1" s="811"/>
      <c r="I1" s="811"/>
      <c r="J1" s="811"/>
      <c r="K1" s="811"/>
      <c r="L1" s="811"/>
      <c r="M1" s="811"/>
      <c r="N1" s="811"/>
      <c r="O1" s="811"/>
      <c r="P1" s="811"/>
      <c r="Q1" s="811"/>
      <c r="R1" s="811"/>
      <c r="S1" s="811"/>
      <c r="T1" s="811"/>
      <c r="U1" s="811"/>
      <c r="V1" s="811"/>
      <c r="W1" s="811"/>
    </row>
    <row r="2" spans="2:23" s="27" customFormat="1" ht="25.15" customHeight="1" x14ac:dyDescent="0.2">
      <c r="B2" s="828" t="s">
        <v>145</v>
      </c>
      <c r="C2" s="828"/>
      <c r="D2" s="828"/>
      <c r="E2" s="828"/>
      <c r="F2" s="828"/>
      <c r="G2" s="828"/>
      <c r="H2" s="828"/>
      <c r="I2" s="828"/>
      <c r="J2" s="828"/>
      <c r="K2" s="828"/>
      <c r="L2" s="828"/>
      <c r="M2" s="828"/>
      <c r="N2" s="828"/>
      <c r="O2" s="828"/>
      <c r="P2" s="828"/>
      <c r="Q2" s="828"/>
      <c r="R2" s="828"/>
      <c r="S2" s="828"/>
      <c r="T2" s="828"/>
      <c r="U2" s="828"/>
      <c r="V2" s="828"/>
      <c r="W2" s="828"/>
    </row>
    <row r="3" spans="2:23" s="27" customFormat="1" ht="27.75" customHeight="1" x14ac:dyDescent="0.2">
      <c r="B3" s="811" t="s">
        <v>106</v>
      </c>
      <c r="C3" s="811"/>
      <c r="D3" s="811"/>
      <c r="E3" s="811"/>
      <c r="F3" s="811"/>
      <c r="G3" s="811"/>
      <c r="H3" s="811"/>
      <c r="I3" s="811"/>
      <c r="J3" s="811"/>
      <c r="K3" s="811"/>
      <c r="L3" s="811"/>
      <c r="M3" s="811"/>
      <c r="N3" s="811"/>
      <c r="O3" s="811"/>
      <c r="P3" s="811"/>
      <c r="Q3" s="811"/>
      <c r="R3" s="811"/>
      <c r="S3" s="811"/>
      <c r="T3" s="811"/>
      <c r="U3" s="811"/>
      <c r="V3" s="811"/>
      <c r="W3" s="811"/>
    </row>
    <row r="4" spans="2:23" s="27" customFormat="1" ht="25.15" customHeight="1" x14ac:dyDescent="0.2">
      <c r="B4" s="811">
        <v>2024</v>
      </c>
      <c r="C4" s="811"/>
      <c r="D4" s="811"/>
      <c r="E4" s="811"/>
      <c r="F4" s="811"/>
      <c r="G4" s="811"/>
      <c r="H4" s="811"/>
      <c r="I4" s="811"/>
      <c r="J4" s="811"/>
      <c r="K4" s="811"/>
      <c r="L4" s="811"/>
      <c r="M4" s="811"/>
      <c r="N4" s="811"/>
      <c r="O4" s="811"/>
      <c r="P4" s="811"/>
      <c r="Q4" s="811"/>
      <c r="R4" s="811"/>
      <c r="S4" s="811"/>
      <c r="T4" s="811"/>
      <c r="U4" s="811"/>
      <c r="V4" s="811"/>
      <c r="W4" s="811"/>
    </row>
    <row r="5" spans="2:23" s="27" customFormat="1" ht="46.9" customHeight="1" x14ac:dyDescent="0.2">
      <c r="B5" s="829" t="s">
        <v>24</v>
      </c>
      <c r="C5" s="897" t="s">
        <v>2</v>
      </c>
      <c r="D5" s="897"/>
      <c r="E5" s="897"/>
      <c r="F5" s="897"/>
      <c r="G5" s="897"/>
      <c r="H5" s="897"/>
      <c r="I5" s="823" t="s">
        <v>15</v>
      </c>
      <c r="J5" s="824"/>
      <c r="K5" s="824"/>
      <c r="L5" s="824"/>
      <c r="M5" s="824"/>
      <c r="N5" s="824"/>
      <c r="O5" s="825"/>
      <c r="P5" s="823" t="s">
        <v>137</v>
      </c>
      <c r="Q5" s="824"/>
      <c r="R5" s="824"/>
      <c r="S5" s="824"/>
      <c r="T5" s="824"/>
      <c r="U5" s="824"/>
      <c r="V5" s="824"/>
      <c r="W5" s="824"/>
    </row>
    <row r="6" spans="2:23" s="27" customFormat="1" ht="25.15" customHeight="1" x14ac:dyDescent="0.2">
      <c r="B6" s="829"/>
      <c r="C6" s="898" t="s">
        <v>64</v>
      </c>
      <c r="D6" s="896"/>
      <c r="E6" s="896" t="s">
        <v>159</v>
      </c>
      <c r="F6" s="896" t="s">
        <v>5</v>
      </c>
      <c r="G6" s="895" t="s">
        <v>6</v>
      </c>
      <c r="H6" s="895"/>
      <c r="I6" s="896" t="s">
        <v>64</v>
      </c>
      <c r="J6" s="896"/>
      <c r="K6" s="896"/>
      <c r="L6" s="896" t="s">
        <v>159</v>
      </c>
      <c r="M6" s="896" t="s">
        <v>5</v>
      </c>
      <c r="N6" s="895" t="s">
        <v>6</v>
      </c>
      <c r="O6" s="895"/>
      <c r="P6" s="896" t="s">
        <v>64</v>
      </c>
      <c r="Q6" s="896"/>
      <c r="R6" s="896"/>
      <c r="S6" s="896" t="s">
        <v>159</v>
      </c>
      <c r="T6" s="896"/>
      <c r="U6" s="896" t="s">
        <v>5</v>
      </c>
      <c r="V6" s="856" t="s">
        <v>6</v>
      </c>
      <c r="W6" s="899"/>
    </row>
    <row r="7" spans="2:23" s="27" customFormat="1" ht="25.15" customHeight="1" x14ac:dyDescent="0.2">
      <c r="B7" s="829"/>
      <c r="C7" s="320" t="s">
        <v>63</v>
      </c>
      <c r="D7" s="338" t="s">
        <v>5</v>
      </c>
      <c r="E7" s="339" t="s">
        <v>63</v>
      </c>
      <c r="F7" s="338" t="s">
        <v>5</v>
      </c>
      <c r="G7" s="339" t="s">
        <v>63</v>
      </c>
      <c r="H7" s="338" t="s">
        <v>5</v>
      </c>
      <c r="I7" s="339" t="s">
        <v>63</v>
      </c>
      <c r="J7" s="320"/>
      <c r="K7" s="338" t="s">
        <v>5</v>
      </c>
      <c r="L7" s="339" t="s">
        <v>63</v>
      </c>
      <c r="M7" s="338" t="s">
        <v>5</v>
      </c>
      <c r="N7" s="339" t="s">
        <v>63</v>
      </c>
      <c r="O7" s="338" t="s">
        <v>5</v>
      </c>
      <c r="P7" s="339" t="s">
        <v>63</v>
      </c>
      <c r="Q7" s="320"/>
      <c r="R7" s="338" t="s">
        <v>5</v>
      </c>
      <c r="S7" s="339" t="s">
        <v>63</v>
      </c>
      <c r="T7" s="320"/>
      <c r="U7" s="338" t="s">
        <v>5</v>
      </c>
      <c r="V7" s="320" t="s">
        <v>63</v>
      </c>
      <c r="W7" s="321" t="s">
        <v>5</v>
      </c>
    </row>
    <row r="8" spans="2:23" s="34" customFormat="1" ht="21" customHeight="1" x14ac:dyDescent="0.2">
      <c r="B8" s="412"/>
      <c r="C8" s="322"/>
      <c r="D8" s="323"/>
      <c r="E8" s="322"/>
      <c r="F8" s="323"/>
      <c r="G8" s="322"/>
      <c r="H8" s="323"/>
      <c r="I8" s="322"/>
      <c r="J8" s="322"/>
      <c r="K8" s="323"/>
      <c r="L8" s="322"/>
      <c r="M8" s="323"/>
      <c r="N8" s="322"/>
      <c r="O8" s="323"/>
      <c r="P8" s="322"/>
      <c r="Q8" s="322"/>
      <c r="R8" s="323"/>
      <c r="S8" s="322"/>
      <c r="T8" s="322"/>
      <c r="U8" s="323"/>
      <c r="V8" s="322"/>
      <c r="W8" s="323"/>
    </row>
    <row r="9" spans="2:23" s="27" customFormat="1" ht="30" customHeight="1" x14ac:dyDescent="0.2">
      <c r="B9" s="427" t="s">
        <v>39</v>
      </c>
      <c r="C9" s="314">
        <v>0</v>
      </c>
      <c r="D9" s="324">
        <f>C9*100/G22</f>
        <v>0</v>
      </c>
      <c r="E9" s="316">
        <v>2</v>
      </c>
      <c r="F9" s="324">
        <f>E9*100/G22</f>
        <v>3.1746031746031744</v>
      </c>
      <c r="G9" s="315">
        <f t="shared" ref="G9:H20" si="0">SUM(C9+E9)</f>
        <v>2</v>
      </c>
      <c r="H9" s="325">
        <f t="shared" si="0"/>
        <v>3.1746031746031744</v>
      </c>
      <c r="I9" s="316">
        <v>0</v>
      </c>
      <c r="J9" s="316"/>
      <c r="K9" s="324">
        <f>I9*100/N22</f>
        <v>0</v>
      </c>
      <c r="L9" s="316">
        <v>281</v>
      </c>
      <c r="M9" s="324">
        <f>L9*100/N22</f>
        <v>0.36634334584897787</v>
      </c>
      <c r="N9" s="315">
        <f t="shared" ref="N9:N20" si="1">SUM(I9+L9)</f>
        <v>281</v>
      </c>
      <c r="O9" s="325">
        <f>SUM(K9+M9)</f>
        <v>0.36634334584897787</v>
      </c>
      <c r="P9" s="316">
        <v>5408</v>
      </c>
      <c r="Q9" s="600" t="s">
        <v>62</v>
      </c>
      <c r="R9" s="324">
        <f>P9*100/V22</f>
        <v>0.23558973233033445</v>
      </c>
      <c r="S9" s="316">
        <v>7344</v>
      </c>
      <c r="T9" s="326"/>
      <c r="U9" s="324">
        <f>S9*100/V22</f>
        <v>0.3199280684604246</v>
      </c>
      <c r="V9" s="315">
        <f>SUM(P9+S9)</f>
        <v>12752</v>
      </c>
      <c r="W9" s="325">
        <f t="shared" ref="W9:W20" si="2">SUM(R9+U9)</f>
        <v>0.55551780079075908</v>
      </c>
    </row>
    <row r="10" spans="2:23" s="27" customFormat="1" ht="30" customHeight="1" x14ac:dyDescent="0.2">
      <c r="B10" s="427" t="s">
        <v>40</v>
      </c>
      <c r="C10" s="314">
        <v>2</v>
      </c>
      <c r="D10" s="324">
        <f>C10*100/G22</f>
        <v>3.1746031746031744</v>
      </c>
      <c r="E10" s="316">
        <v>1</v>
      </c>
      <c r="F10" s="324">
        <f>E10*100/G22</f>
        <v>1.5873015873015872</v>
      </c>
      <c r="G10" s="315">
        <f t="shared" si="0"/>
        <v>3</v>
      </c>
      <c r="H10" s="325">
        <f t="shared" si="0"/>
        <v>4.7619047619047619</v>
      </c>
      <c r="I10" s="316">
        <v>5050</v>
      </c>
      <c r="J10" s="316"/>
      <c r="K10" s="324">
        <f>I10*100/N22</f>
        <v>6.5837505214851895</v>
      </c>
      <c r="L10" s="316">
        <v>200</v>
      </c>
      <c r="M10" s="324">
        <f>L10*100/N22</f>
        <v>0.26074259491030455</v>
      </c>
      <c r="N10" s="315">
        <f t="shared" si="1"/>
        <v>5250</v>
      </c>
      <c r="O10" s="325">
        <f>SUM(K10+M10)</f>
        <v>6.8444931163954941</v>
      </c>
      <c r="P10" s="316">
        <v>52000</v>
      </c>
      <c r="Q10" s="316"/>
      <c r="R10" s="324">
        <f>P10*100/V22</f>
        <v>2.2652858877916775</v>
      </c>
      <c r="S10" s="316">
        <v>3200</v>
      </c>
      <c r="T10" s="327"/>
      <c r="U10" s="324">
        <f>S10*100/V22</f>
        <v>0.13940220847948784</v>
      </c>
      <c r="V10" s="315">
        <f t="shared" ref="V10:V20" si="3">SUM(P10+S10)</f>
        <v>55200</v>
      </c>
      <c r="W10" s="325">
        <f t="shared" si="2"/>
        <v>2.4046880962711654</v>
      </c>
    </row>
    <row r="11" spans="2:23" s="27" customFormat="1" ht="30" customHeight="1" x14ac:dyDescent="0.2">
      <c r="B11" s="427" t="s">
        <v>41</v>
      </c>
      <c r="C11" s="314">
        <v>2</v>
      </c>
      <c r="D11" s="324">
        <f>C11*100/G22</f>
        <v>3.1746031746031744</v>
      </c>
      <c r="E11" s="316">
        <v>1</v>
      </c>
      <c r="F11" s="324">
        <f>E11*100/G22</f>
        <v>1.5873015873015872</v>
      </c>
      <c r="G11" s="315">
        <f t="shared" si="0"/>
        <v>3</v>
      </c>
      <c r="H11" s="325">
        <f t="shared" si="0"/>
        <v>4.7619047619047619</v>
      </c>
      <c r="I11" s="316">
        <v>126</v>
      </c>
      <c r="J11" s="316"/>
      <c r="K11" s="324">
        <f>I11*100/N22</f>
        <v>0.16426783479349186</v>
      </c>
      <c r="L11" s="316">
        <v>157</v>
      </c>
      <c r="M11" s="324">
        <f>L11*100/N22</f>
        <v>0.20468293700458906</v>
      </c>
      <c r="N11" s="315">
        <f t="shared" si="1"/>
        <v>283</v>
      </c>
      <c r="O11" s="325">
        <f>SUM(K11+M11)</f>
        <v>0.36895077179808089</v>
      </c>
      <c r="P11" s="316">
        <v>14232</v>
      </c>
      <c r="Q11" s="326"/>
      <c r="R11" s="324">
        <f>P11*100/V22</f>
        <v>0.61999132221252218</v>
      </c>
      <c r="S11" s="316">
        <v>1256</v>
      </c>
      <c r="T11" s="328"/>
      <c r="U11" s="324">
        <f>S11*100/V22</f>
        <v>5.4715366828198976E-2</v>
      </c>
      <c r="V11" s="315">
        <f t="shared" si="3"/>
        <v>15488</v>
      </c>
      <c r="W11" s="325">
        <f t="shared" si="2"/>
        <v>0.67470668904072117</v>
      </c>
    </row>
    <row r="12" spans="2:23" s="27" customFormat="1" ht="30" customHeight="1" x14ac:dyDescent="0.2">
      <c r="B12" s="427" t="s">
        <v>42</v>
      </c>
      <c r="C12" s="314">
        <v>2</v>
      </c>
      <c r="D12" s="324">
        <f>C12*100/G22</f>
        <v>3.1746031746031744</v>
      </c>
      <c r="E12" s="316">
        <v>1</v>
      </c>
      <c r="F12" s="324">
        <f>E12*100/G22</f>
        <v>1.5873015873015872</v>
      </c>
      <c r="G12" s="315">
        <f t="shared" si="0"/>
        <v>3</v>
      </c>
      <c r="H12" s="325">
        <f t="shared" si="0"/>
        <v>4.7619047619047619</v>
      </c>
      <c r="I12" s="316">
        <v>430</v>
      </c>
      <c r="J12" s="316"/>
      <c r="K12" s="324">
        <f>I12*100/N22</f>
        <v>0.56059657905715476</v>
      </c>
      <c r="L12" s="316">
        <v>100</v>
      </c>
      <c r="M12" s="324">
        <f>L12*100/N22</f>
        <v>0.13037129745515227</v>
      </c>
      <c r="N12" s="315">
        <f t="shared" si="1"/>
        <v>530</v>
      </c>
      <c r="O12" s="325">
        <f t="shared" ref="O12:O20" si="4">SUM(K12+M12)</f>
        <v>0.69096787651230707</v>
      </c>
      <c r="P12" s="316">
        <v>11936</v>
      </c>
      <c r="Q12" s="316"/>
      <c r="R12" s="324">
        <f>P12*100/V22</f>
        <v>0.5199702376284896</v>
      </c>
      <c r="S12" s="316">
        <v>4000</v>
      </c>
      <c r="T12" s="314"/>
      <c r="U12" s="324">
        <f>S12*100/V22</f>
        <v>0.17425276059935979</v>
      </c>
      <c r="V12" s="315">
        <f t="shared" si="3"/>
        <v>15936</v>
      </c>
      <c r="W12" s="325">
        <f t="shared" si="2"/>
        <v>0.69422299822784939</v>
      </c>
    </row>
    <row r="13" spans="2:23" s="27" customFormat="1" ht="30" customHeight="1" x14ac:dyDescent="0.2">
      <c r="B13" s="427" t="s">
        <v>77</v>
      </c>
      <c r="C13" s="314">
        <v>1</v>
      </c>
      <c r="D13" s="324">
        <f>C13*100/G22</f>
        <v>1.5873015873015872</v>
      </c>
      <c r="E13" s="316">
        <v>5</v>
      </c>
      <c r="F13" s="329">
        <f>E13*100/G22</f>
        <v>7.9365079365079367</v>
      </c>
      <c r="G13" s="315">
        <f t="shared" si="0"/>
        <v>6</v>
      </c>
      <c r="H13" s="330">
        <f t="shared" si="0"/>
        <v>9.5238095238095237</v>
      </c>
      <c r="I13" s="316">
        <v>29</v>
      </c>
      <c r="J13" s="316"/>
      <c r="K13" s="324">
        <f>I13*100/N22</f>
        <v>3.7807676261994161E-2</v>
      </c>
      <c r="L13" s="316">
        <v>6580</v>
      </c>
      <c r="M13" s="329">
        <f>L13*100/N22</f>
        <v>8.5784313725490193</v>
      </c>
      <c r="N13" s="315">
        <f t="shared" si="1"/>
        <v>6609</v>
      </c>
      <c r="O13" s="330">
        <f t="shared" si="4"/>
        <v>8.6162390488110141</v>
      </c>
      <c r="P13" s="316">
        <v>6120</v>
      </c>
      <c r="Q13" s="331"/>
      <c r="R13" s="324">
        <f>P13*100/V22</f>
        <v>0.26660672371702049</v>
      </c>
      <c r="S13" s="316">
        <v>26320</v>
      </c>
      <c r="T13" s="314"/>
      <c r="U13" s="329">
        <f>S13*100/V22</f>
        <v>1.1465831647437874</v>
      </c>
      <c r="V13" s="315">
        <f t="shared" si="3"/>
        <v>32440</v>
      </c>
      <c r="W13" s="330">
        <f t="shared" si="2"/>
        <v>1.4131898884608078</v>
      </c>
    </row>
    <row r="14" spans="2:23" s="27" customFormat="1" ht="30" customHeight="1" x14ac:dyDescent="0.2">
      <c r="B14" s="427" t="s">
        <v>43</v>
      </c>
      <c r="C14" s="314">
        <v>0</v>
      </c>
      <c r="D14" s="324">
        <f>C14*100/G22</f>
        <v>0</v>
      </c>
      <c r="E14" s="316">
        <v>2</v>
      </c>
      <c r="F14" s="324">
        <f>E14*100/G22</f>
        <v>3.1746031746031744</v>
      </c>
      <c r="G14" s="315">
        <f t="shared" si="0"/>
        <v>2</v>
      </c>
      <c r="H14" s="325">
        <f t="shared" si="0"/>
        <v>3.1746031746031744</v>
      </c>
      <c r="I14" s="316">
        <v>0</v>
      </c>
      <c r="J14" s="316"/>
      <c r="K14" s="324">
        <f>I14*100/N22</f>
        <v>0</v>
      </c>
      <c r="L14" s="316">
        <v>1574</v>
      </c>
      <c r="M14" s="324">
        <f>L14*100/N22</f>
        <v>2.0520442219440969</v>
      </c>
      <c r="N14" s="315">
        <f t="shared" si="1"/>
        <v>1574</v>
      </c>
      <c r="O14" s="325">
        <f t="shared" si="4"/>
        <v>2.0520442219440969</v>
      </c>
      <c r="P14" s="316">
        <v>0</v>
      </c>
      <c r="Q14" s="316"/>
      <c r="R14" s="324">
        <f>P14*100/V22</f>
        <v>0</v>
      </c>
      <c r="S14" s="316">
        <v>63416</v>
      </c>
      <c r="T14" s="314"/>
      <c r="U14" s="324">
        <f>S14*100/V22</f>
        <v>2.7626032665422504</v>
      </c>
      <c r="V14" s="315">
        <f t="shared" si="3"/>
        <v>63416</v>
      </c>
      <c r="W14" s="325">
        <f t="shared" si="2"/>
        <v>2.7626032665422504</v>
      </c>
    </row>
    <row r="15" spans="2:23" s="27" customFormat="1" ht="30" customHeight="1" x14ac:dyDescent="0.2">
      <c r="B15" s="427" t="s">
        <v>56</v>
      </c>
      <c r="C15" s="314">
        <v>2</v>
      </c>
      <c r="D15" s="324">
        <f>C15*100/G22</f>
        <v>3.1746031746031744</v>
      </c>
      <c r="E15" s="316">
        <v>3</v>
      </c>
      <c r="F15" s="324">
        <f>E15*100/G22</f>
        <v>4.7619047619047619</v>
      </c>
      <c r="G15" s="315">
        <f t="shared" si="0"/>
        <v>5</v>
      </c>
      <c r="H15" s="325">
        <f t="shared" si="0"/>
        <v>7.9365079365079367</v>
      </c>
      <c r="I15" s="316">
        <v>195</v>
      </c>
      <c r="J15" s="316"/>
      <c r="K15" s="324">
        <f>I15*100/N22</f>
        <v>0.25422403003754696</v>
      </c>
      <c r="L15" s="316">
        <v>1105</v>
      </c>
      <c r="M15" s="324">
        <f>L15*100/N22</f>
        <v>1.4406028368794326</v>
      </c>
      <c r="N15" s="315">
        <f t="shared" si="1"/>
        <v>1300</v>
      </c>
      <c r="O15" s="325">
        <f t="shared" si="4"/>
        <v>1.6948268669169795</v>
      </c>
      <c r="P15" s="316">
        <v>1560</v>
      </c>
      <c r="Q15" s="332"/>
      <c r="R15" s="324">
        <f>P15*100/V22</f>
        <v>6.7958576633750323E-2</v>
      </c>
      <c r="S15" s="316">
        <v>54088</v>
      </c>
      <c r="T15" s="333"/>
      <c r="U15" s="324">
        <f>S15*100/V22</f>
        <v>2.3562458288245431</v>
      </c>
      <c r="V15" s="315">
        <f t="shared" si="3"/>
        <v>55648</v>
      </c>
      <c r="W15" s="325">
        <f t="shared" si="2"/>
        <v>2.4242044054582936</v>
      </c>
    </row>
    <row r="16" spans="2:23" s="27" customFormat="1" ht="30" customHeight="1" x14ac:dyDescent="0.2">
      <c r="B16" s="427" t="s">
        <v>55</v>
      </c>
      <c r="C16" s="334">
        <v>1</v>
      </c>
      <c r="D16" s="324">
        <f>C16*100/G22</f>
        <v>1.5873015873015872</v>
      </c>
      <c r="E16" s="334">
        <v>8</v>
      </c>
      <c r="F16" s="324">
        <f>E16*100/G22</f>
        <v>12.698412698412698</v>
      </c>
      <c r="G16" s="315">
        <f t="shared" si="0"/>
        <v>9</v>
      </c>
      <c r="H16" s="325">
        <f t="shared" si="0"/>
        <v>14.285714285714285</v>
      </c>
      <c r="I16" s="316">
        <v>3000</v>
      </c>
      <c r="J16" s="316"/>
      <c r="K16" s="324">
        <f>I16*100/N22</f>
        <v>3.9111389236545682</v>
      </c>
      <c r="L16" s="316">
        <v>15762</v>
      </c>
      <c r="M16" s="324">
        <f>L16*100/N22</f>
        <v>20.5491239048811</v>
      </c>
      <c r="N16" s="315">
        <f t="shared" si="1"/>
        <v>18762</v>
      </c>
      <c r="O16" s="325">
        <f t="shared" si="4"/>
        <v>24.460262828535669</v>
      </c>
      <c r="P16" s="316">
        <v>288000</v>
      </c>
      <c r="Q16" s="335"/>
      <c r="R16" s="324">
        <f>P16*100/V22</f>
        <v>12.546198763153905</v>
      </c>
      <c r="S16" s="316">
        <v>472496</v>
      </c>
      <c r="T16" s="316"/>
      <c r="U16" s="324">
        <f>S16*100/V22</f>
        <v>20.583433093038778</v>
      </c>
      <c r="V16" s="315">
        <f t="shared" si="3"/>
        <v>760496</v>
      </c>
      <c r="W16" s="325">
        <f t="shared" si="2"/>
        <v>33.129631856192681</v>
      </c>
    </row>
    <row r="17" spans="1:38" s="27" customFormat="1" ht="30" customHeight="1" x14ac:dyDescent="0.2">
      <c r="B17" s="427" t="s">
        <v>54</v>
      </c>
      <c r="C17" s="314">
        <v>3</v>
      </c>
      <c r="D17" s="324">
        <f>C17*100/G22</f>
        <v>4.7619047619047619</v>
      </c>
      <c r="E17" s="316">
        <v>1</v>
      </c>
      <c r="F17" s="324">
        <f>E17*100/G22</f>
        <v>1.5873015873015872</v>
      </c>
      <c r="G17" s="315">
        <f t="shared" si="0"/>
        <v>4</v>
      </c>
      <c r="H17" s="325">
        <f t="shared" si="0"/>
        <v>6.3492063492063489</v>
      </c>
      <c r="I17" s="316">
        <v>487</v>
      </c>
      <c r="J17" s="316"/>
      <c r="K17" s="324">
        <f>I17*100/N22</f>
        <v>0.63490821860659152</v>
      </c>
      <c r="L17" s="316">
        <v>110</v>
      </c>
      <c r="M17" s="324">
        <f>L17*100/N22</f>
        <v>0.14340842720066749</v>
      </c>
      <c r="N17" s="315">
        <f>SUM(I17+L17)</f>
        <v>597</v>
      </c>
      <c r="O17" s="325">
        <f t="shared" si="4"/>
        <v>0.77831664580725901</v>
      </c>
      <c r="P17" s="316">
        <v>10864</v>
      </c>
      <c r="Q17" s="316"/>
      <c r="R17" s="324">
        <f>P17*100/V22</f>
        <v>0.47327049778786118</v>
      </c>
      <c r="S17" s="316">
        <v>336880</v>
      </c>
      <c r="T17" s="316"/>
      <c r="U17" s="324">
        <f>S17*100/V22</f>
        <v>14.675567497678083</v>
      </c>
      <c r="V17" s="315">
        <f t="shared" si="3"/>
        <v>347744</v>
      </c>
      <c r="W17" s="325">
        <f t="shared" si="2"/>
        <v>15.148837995465945</v>
      </c>
    </row>
    <row r="18" spans="1:38" s="27" customFormat="1" ht="30" customHeight="1" x14ac:dyDescent="0.2">
      <c r="B18" s="427" t="s">
        <v>53</v>
      </c>
      <c r="C18" s="314">
        <v>3</v>
      </c>
      <c r="D18" s="324">
        <f>C18*100/G22</f>
        <v>4.7619047619047619</v>
      </c>
      <c r="E18" s="316">
        <v>3</v>
      </c>
      <c r="F18" s="324">
        <f>E18*100/G22</f>
        <v>4.7619047619047619</v>
      </c>
      <c r="G18" s="315">
        <f t="shared" si="0"/>
        <v>6</v>
      </c>
      <c r="H18" s="325">
        <f t="shared" si="0"/>
        <v>9.5238095238095237</v>
      </c>
      <c r="I18" s="316">
        <v>2150</v>
      </c>
      <c r="J18" s="316"/>
      <c r="K18" s="324">
        <f>I18*100/N22</f>
        <v>2.802982895285774</v>
      </c>
      <c r="L18" s="316">
        <v>8500</v>
      </c>
      <c r="M18" s="324">
        <f>L18*100/N22</f>
        <v>11.081560283687944</v>
      </c>
      <c r="N18" s="315">
        <f>SUM(I18+L18)</f>
        <v>10650</v>
      </c>
      <c r="O18" s="325">
        <f t="shared" si="4"/>
        <v>13.884543178973718</v>
      </c>
      <c r="P18" s="316">
        <v>53040</v>
      </c>
      <c r="Q18" s="316"/>
      <c r="R18" s="324">
        <f>P18*100/V22</f>
        <v>2.3105916055475109</v>
      </c>
      <c r="S18" s="316">
        <v>96000</v>
      </c>
      <c r="T18" s="316"/>
      <c r="U18" s="324">
        <f>S18*100/V22</f>
        <v>4.182066254384635</v>
      </c>
      <c r="V18" s="315">
        <f t="shared" si="3"/>
        <v>149040</v>
      </c>
      <c r="W18" s="325">
        <f t="shared" si="2"/>
        <v>6.4926578599321463</v>
      </c>
    </row>
    <row r="19" spans="1:38" s="27" customFormat="1" ht="30" customHeight="1" x14ac:dyDescent="0.2">
      <c r="B19" s="427" t="s">
        <v>52</v>
      </c>
      <c r="C19" s="314">
        <v>3</v>
      </c>
      <c r="D19" s="324">
        <f>C19*100/G22</f>
        <v>4.7619047619047619</v>
      </c>
      <c r="E19" s="316">
        <v>12</v>
      </c>
      <c r="F19" s="324">
        <f>E19*100/G22</f>
        <v>19.047619047619047</v>
      </c>
      <c r="G19" s="315">
        <f t="shared" si="0"/>
        <v>15</v>
      </c>
      <c r="H19" s="325">
        <f t="shared" si="0"/>
        <v>23.80952380952381</v>
      </c>
      <c r="I19" s="316">
        <v>10415</v>
      </c>
      <c r="J19" s="316"/>
      <c r="K19" s="324">
        <f>I19*100/N22</f>
        <v>13.578170629954109</v>
      </c>
      <c r="L19" s="316">
        <v>20035</v>
      </c>
      <c r="M19" s="324">
        <f>L19*100/N22</f>
        <v>26.119889445139759</v>
      </c>
      <c r="N19" s="315">
        <f>SUM(I19+L19)</f>
        <v>30450</v>
      </c>
      <c r="O19" s="325">
        <f t="shared" si="4"/>
        <v>39.698060075093863</v>
      </c>
      <c r="P19" s="316">
        <v>88240</v>
      </c>
      <c r="Q19" s="316"/>
      <c r="R19" s="324">
        <f>P19*100/V22</f>
        <v>3.8440158988218771</v>
      </c>
      <c r="S19" s="316">
        <v>383636</v>
      </c>
      <c r="T19" s="314"/>
      <c r="U19" s="324">
        <f>S19*100/V22</f>
        <v>16.712408016323998</v>
      </c>
      <c r="V19" s="315">
        <f t="shared" si="3"/>
        <v>471876</v>
      </c>
      <c r="W19" s="325">
        <f t="shared" si="2"/>
        <v>20.556423915145874</v>
      </c>
    </row>
    <row r="20" spans="1:38" s="27" customFormat="1" ht="30.75" customHeight="1" x14ac:dyDescent="0.2">
      <c r="B20" s="427" t="s">
        <v>165</v>
      </c>
      <c r="C20" s="316">
        <v>3</v>
      </c>
      <c r="D20" s="324">
        <f>C20*100/G22</f>
        <v>4.7619047619047619</v>
      </c>
      <c r="E20" s="316">
        <v>2</v>
      </c>
      <c r="F20" s="324">
        <f>E20*100/G22</f>
        <v>3.1746031746031744</v>
      </c>
      <c r="G20" s="315">
        <f t="shared" si="0"/>
        <v>5</v>
      </c>
      <c r="H20" s="325">
        <f t="shared" si="0"/>
        <v>7.9365079365079367</v>
      </c>
      <c r="I20" s="316">
        <v>272</v>
      </c>
      <c r="J20" s="335"/>
      <c r="K20" s="324">
        <f>I20*100/N22</f>
        <v>0.3546099290780142</v>
      </c>
      <c r="L20" s="316">
        <v>146</v>
      </c>
      <c r="M20" s="324">
        <f>L20*100/N22</f>
        <v>0.19034209428452231</v>
      </c>
      <c r="N20" s="315">
        <f t="shared" si="1"/>
        <v>418</v>
      </c>
      <c r="O20" s="325">
        <f t="shared" si="4"/>
        <v>0.54495202336253645</v>
      </c>
      <c r="P20" s="316">
        <v>55456</v>
      </c>
      <c r="Q20" s="332"/>
      <c r="R20" s="324">
        <f>P20*100/V22</f>
        <v>2.4158402729495241</v>
      </c>
      <c r="S20" s="316">
        <v>260024</v>
      </c>
      <c r="T20" s="314"/>
      <c r="U20" s="324">
        <f>S20*100/V22</f>
        <v>11.327474955521982</v>
      </c>
      <c r="V20" s="315">
        <f t="shared" si="3"/>
        <v>315480</v>
      </c>
      <c r="W20" s="325">
        <f t="shared" si="2"/>
        <v>13.743315228471506</v>
      </c>
    </row>
    <row r="21" spans="1:38" s="27" customFormat="1" ht="9" customHeight="1" x14ac:dyDescent="0.2">
      <c r="B21" s="427"/>
      <c r="C21" s="331"/>
      <c r="D21" s="329"/>
      <c r="E21" s="331"/>
      <c r="F21" s="329"/>
      <c r="G21" s="336"/>
      <c r="H21" s="330"/>
      <c r="I21" s="331"/>
      <c r="J21" s="331"/>
      <c r="K21" s="329"/>
      <c r="L21" s="331"/>
      <c r="M21" s="329"/>
      <c r="N21" s="336"/>
      <c r="O21" s="330"/>
      <c r="P21" s="316"/>
      <c r="Q21" s="337"/>
      <c r="R21" s="329"/>
      <c r="S21" s="316"/>
      <c r="T21" s="316"/>
      <c r="U21" s="329"/>
      <c r="V21" s="315"/>
      <c r="W21" s="330"/>
    </row>
    <row r="22" spans="1:38" s="27" customFormat="1" ht="40.5" customHeight="1" x14ac:dyDescent="0.2">
      <c r="B22" s="449" t="s">
        <v>6</v>
      </c>
      <c r="C22" s="464">
        <f>SUM(C9:C21)</f>
        <v>22</v>
      </c>
      <c r="D22" s="465">
        <f t="shared" ref="D22:M22" si="5">SUM(D9:D21)</f>
        <v>34.920634920634917</v>
      </c>
      <c r="E22" s="466">
        <f>SUM(E9:E21)</f>
        <v>41</v>
      </c>
      <c r="F22" s="465">
        <f t="shared" si="5"/>
        <v>65.079365079365076</v>
      </c>
      <c r="G22" s="466">
        <f>SUM(G9:G21)</f>
        <v>63</v>
      </c>
      <c r="H22" s="467">
        <f t="shared" si="5"/>
        <v>100</v>
      </c>
      <c r="I22" s="466">
        <f>SUM(I9:I21)</f>
        <v>22154</v>
      </c>
      <c r="J22" s="466"/>
      <c r="K22" s="465">
        <f>SUM(K9:K21)</f>
        <v>28.882457238214432</v>
      </c>
      <c r="L22" s="466">
        <f>SUM(L9:L21)</f>
        <v>54550</v>
      </c>
      <c r="M22" s="465">
        <f t="shared" si="5"/>
        <v>71.117542761785558</v>
      </c>
      <c r="N22" s="466">
        <f>SUM(N9:N21)</f>
        <v>76704</v>
      </c>
      <c r="O22" s="467">
        <f>SUM(O9:O21)</f>
        <v>100</v>
      </c>
      <c r="P22" s="466">
        <f>SUM(P9:P21)</f>
        <v>586856</v>
      </c>
      <c r="Q22" s="466"/>
      <c r="R22" s="465">
        <f>SUM(R9:R21)</f>
        <v>25.565319518574473</v>
      </c>
      <c r="S22" s="466">
        <f>SUM(S9:S21)</f>
        <v>1708660</v>
      </c>
      <c r="T22" s="466"/>
      <c r="U22" s="467">
        <f>SUM(U9:U21)</f>
        <v>74.434680481425531</v>
      </c>
      <c r="V22" s="466">
        <f>SUM(V9:V21)</f>
        <v>2295516</v>
      </c>
      <c r="W22" s="465">
        <f>SUM(W9:W21)</f>
        <v>100</v>
      </c>
    </row>
    <row r="23" spans="1:38" s="1" customFormat="1" ht="29.25" customHeight="1" x14ac:dyDescent="0.2">
      <c r="B23" s="11" t="s">
        <v>245</v>
      </c>
      <c r="C23" s="12"/>
      <c r="D23" s="12"/>
      <c r="E23" s="12"/>
      <c r="F23" s="12"/>
      <c r="G23" s="13"/>
      <c r="H23" s="12"/>
      <c r="I23" s="12"/>
      <c r="Y23" s="14"/>
      <c r="Z23" s="10"/>
      <c r="AA23" s="14"/>
      <c r="AB23" s="15"/>
      <c r="AC23" s="14"/>
      <c r="AD23" s="15"/>
    </row>
    <row r="24" spans="1:38" s="1" customFormat="1" ht="29.25" customHeight="1" x14ac:dyDescent="0.2">
      <c r="B24" s="16" t="s">
        <v>296</v>
      </c>
      <c r="C24" s="17"/>
      <c r="D24" s="17"/>
      <c r="E24" s="17"/>
      <c r="F24" s="17"/>
      <c r="G24" s="17"/>
      <c r="H24" s="18"/>
      <c r="I24" s="18"/>
      <c r="J24" s="18"/>
      <c r="K24" s="18"/>
      <c r="Z24" s="19"/>
      <c r="AA24" s="20"/>
      <c r="AB24" s="19"/>
      <c r="AC24" s="20"/>
      <c r="AD24" s="21"/>
    </row>
    <row r="25" spans="1:38" s="1" customFormat="1" ht="16.899999999999999" customHeight="1" x14ac:dyDescent="0.2">
      <c r="B25" s="22" t="s">
        <v>279</v>
      </c>
      <c r="D25" s="23"/>
      <c r="E25" s="24"/>
      <c r="F25" s="23"/>
      <c r="G25" s="25"/>
      <c r="H25" s="26"/>
      <c r="I25" s="27"/>
      <c r="J25" s="27"/>
    </row>
    <row r="26" spans="1:38" s="1" customFormat="1" ht="25.9" customHeight="1" x14ac:dyDescent="0.2">
      <c r="A26" s="26"/>
      <c r="B26" s="841" t="s">
        <v>222</v>
      </c>
      <c r="C26" s="841"/>
      <c r="D26" s="841"/>
      <c r="E26" s="841"/>
      <c r="F26" s="841"/>
      <c r="G26" s="841"/>
      <c r="H26" s="841"/>
      <c r="I26" s="841"/>
      <c r="J26" s="841"/>
      <c r="K26" s="841"/>
      <c r="L26" s="841"/>
      <c r="M26" s="841"/>
      <c r="N26" s="841"/>
      <c r="O26" s="841"/>
      <c r="P26" s="841"/>
      <c r="T26" s="155"/>
      <c r="U26" s="155"/>
      <c r="V26" s="155"/>
      <c r="W26" s="155"/>
      <c r="X26" s="155"/>
      <c r="Y26" s="155"/>
      <c r="Z26" s="155"/>
      <c r="AA26" s="155"/>
      <c r="AB26" s="155"/>
      <c r="AC26" s="155"/>
      <c r="AD26" s="155"/>
      <c r="AE26" s="155"/>
      <c r="AF26" s="155"/>
      <c r="AG26" s="155"/>
      <c r="AH26" s="155"/>
      <c r="AI26" s="155"/>
      <c r="AJ26" s="155"/>
      <c r="AK26" s="155"/>
      <c r="AL26" s="156"/>
    </row>
    <row r="27" spans="1:38" s="1" customFormat="1" ht="18" x14ac:dyDescent="0.2">
      <c r="B27" s="2" t="s">
        <v>287</v>
      </c>
      <c r="H27" s="3"/>
    </row>
    <row r="36" spans="2:2" x14ac:dyDescent="0.2">
      <c r="B36" s="158"/>
    </row>
  </sheetData>
  <mergeCells count="18">
    <mergeCell ref="B1:W1"/>
    <mergeCell ref="B2:W2"/>
    <mergeCell ref="B3:W3"/>
    <mergeCell ref="B4:W4"/>
    <mergeCell ref="B5:B7"/>
    <mergeCell ref="C5:H5"/>
    <mergeCell ref="I5:O5"/>
    <mergeCell ref="P5:W5"/>
    <mergeCell ref="C6:D6"/>
    <mergeCell ref="S6:U6"/>
    <mergeCell ref="V6:W6"/>
    <mergeCell ref="E6:F6"/>
    <mergeCell ref="B26:P26"/>
    <mergeCell ref="G6:H6"/>
    <mergeCell ref="I6:K6"/>
    <mergeCell ref="L6:M6"/>
    <mergeCell ref="N6:O6"/>
    <mergeCell ref="P6:R6"/>
  </mergeCells>
  <phoneticPr fontId="2" type="noConversion"/>
  <printOptions horizontalCentered="1" verticalCentered="1"/>
  <pageMargins left="0.39370078740157483" right="0.39370078740157483" top="0.27559055118110237" bottom="0.39370078740157483" header="0.35433070866141736" footer="0.35433070866141736"/>
  <pageSetup paperSize="9" scale="42"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AA25"/>
  <sheetViews>
    <sheetView showGridLines="0" zoomScaleNormal="100" workbookViewId="0">
      <selection activeCell="B4" sqref="B4:U4"/>
    </sheetView>
  </sheetViews>
  <sheetFormatPr baseColWidth="10" defaultColWidth="11.42578125" defaultRowHeight="12.75" x14ac:dyDescent="0.2"/>
  <cols>
    <col min="1" max="1" width="5.5703125" style="49" customWidth="1"/>
    <col min="2" max="2" width="15.42578125" style="49" customWidth="1"/>
    <col min="3" max="3" width="13.28515625" style="49" customWidth="1"/>
    <col min="4" max="4" width="9.7109375" style="49" customWidth="1"/>
    <col min="5" max="5" width="12.28515625" style="49" customWidth="1"/>
    <col min="6" max="6" width="10" style="49" customWidth="1"/>
    <col min="7" max="7" width="12" style="49" customWidth="1"/>
    <col min="8" max="8" width="10.7109375" style="49" customWidth="1"/>
    <col min="9" max="9" width="11.7109375" style="49" customWidth="1"/>
    <col min="10" max="10" width="10.42578125" style="49" customWidth="1"/>
    <col min="11" max="11" width="11" style="49" customWidth="1"/>
    <col min="12" max="12" width="11.28515625" style="49" customWidth="1"/>
    <col min="13" max="13" width="17.28515625" style="49" customWidth="1"/>
    <col min="14" max="14" width="11.5703125" style="49" customWidth="1"/>
    <col min="15" max="15" width="12.7109375" style="49" customWidth="1"/>
    <col min="16" max="16" width="10" style="49" customWidth="1"/>
    <col min="17" max="17" width="16.5703125" style="49" customWidth="1"/>
    <col min="18" max="18" width="3.28515625" style="49" customWidth="1"/>
    <col min="19" max="19" width="10.5703125" style="49" customWidth="1"/>
    <col min="20" max="20" width="21" style="49" customWidth="1"/>
    <col min="21" max="21" width="12.28515625" style="49" customWidth="1"/>
    <col min="22" max="22" width="5.42578125" style="49" customWidth="1"/>
    <col min="23" max="16384" width="11.42578125" style="49"/>
  </cols>
  <sheetData>
    <row r="1" spans="2:21" s="1" customFormat="1" ht="30" customHeight="1" x14ac:dyDescent="0.2">
      <c r="B1" s="811" t="s">
        <v>87</v>
      </c>
      <c r="C1" s="811"/>
      <c r="D1" s="811"/>
      <c r="E1" s="811"/>
      <c r="F1" s="811"/>
      <c r="G1" s="811"/>
      <c r="H1" s="811"/>
      <c r="I1" s="811"/>
      <c r="J1" s="811"/>
      <c r="K1" s="811"/>
      <c r="L1" s="811"/>
      <c r="M1" s="811"/>
      <c r="N1" s="811"/>
      <c r="O1" s="811"/>
      <c r="P1" s="811"/>
      <c r="Q1" s="811"/>
      <c r="R1" s="811"/>
      <c r="S1" s="811"/>
      <c r="T1" s="811"/>
      <c r="U1" s="811"/>
    </row>
    <row r="2" spans="2:21" s="3" customFormat="1" ht="30" customHeight="1" x14ac:dyDescent="0.2">
      <c r="B2" s="37" t="s">
        <v>145</v>
      </c>
      <c r="C2" s="37"/>
      <c r="D2" s="37"/>
      <c r="E2" s="37"/>
      <c r="F2" s="37"/>
      <c r="G2" s="37"/>
      <c r="H2" s="37"/>
      <c r="I2" s="37"/>
      <c r="J2" s="37"/>
      <c r="K2" s="37"/>
      <c r="L2" s="37"/>
      <c r="M2" s="37"/>
      <c r="N2" s="37"/>
      <c r="O2" s="37"/>
      <c r="P2" s="37"/>
      <c r="Q2" s="37"/>
      <c r="R2" s="37"/>
      <c r="S2" s="37"/>
      <c r="T2" s="37"/>
    </row>
    <row r="3" spans="2:21" s="3" customFormat="1" ht="18" customHeight="1" x14ac:dyDescent="0.2">
      <c r="B3" s="817" t="s">
        <v>189</v>
      </c>
      <c r="C3" s="817"/>
      <c r="D3" s="817"/>
      <c r="E3" s="817"/>
      <c r="F3" s="817"/>
      <c r="G3" s="817"/>
      <c r="H3" s="817"/>
      <c r="I3" s="817"/>
      <c r="J3" s="817"/>
      <c r="K3" s="817"/>
      <c r="L3" s="817"/>
      <c r="M3" s="817"/>
      <c r="N3" s="817"/>
      <c r="O3" s="817"/>
      <c r="P3" s="817"/>
      <c r="Q3" s="817"/>
      <c r="R3" s="817"/>
      <c r="S3" s="817"/>
      <c r="T3" s="817"/>
      <c r="U3" s="817"/>
    </row>
    <row r="4" spans="2:21" s="3" customFormat="1" ht="35.25" customHeight="1" x14ac:dyDescent="0.2">
      <c r="B4" s="811">
        <v>2024</v>
      </c>
      <c r="C4" s="811"/>
      <c r="D4" s="811"/>
      <c r="E4" s="811"/>
      <c r="F4" s="811"/>
      <c r="G4" s="811"/>
      <c r="H4" s="811"/>
      <c r="I4" s="811"/>
      <c r="J4" s="811"/>
      <c r="K4" s="811"/>
      <c r="L4" s="811"/>
      <c r="M4" s="811"/>
      <c r="N4" s="811"/>
      <c r="O4" s="811"/>
      <c r="P4" s="811"/>
      <c r="Q4" s="811"/>
      <c r="R4" s="811"/>
      <c r="S4" s="811"/>
      <c r="T4" s="811"/>
      <c r="U4" s="811"/>
    </row>
    <row r="5" spans="2:21" ht="30" customHeight="1" x14ac:dyDescent="0.2">
      <c r="B5" s="903" t="s">
        <v>24</v>
      </c>
      <c r="C5" s="900" t="s">
        <v>2</v>
      </c>
      <c r="D5" s="900"/>
      <c r="E5" s="901"/>
      <c r="F5" s="901"/>
      <c r="G5" s="901"/>
      <c r="H5" s="901"/>
      <c r="I5" s="348" t="s">
        <v>11</v>
      </c>
      <c r="J5" s="348"/>
      <c r="K5" s="348"/>
      <c r="L5" s="348"/>
      <c r="M5" s="348"/>
      <c r="N5" s="348"/>
      <c r="O5" s="901" t="s">
        <v>96</v>
      </c>
      <c r="P5" s="901"/>
      <c r="Q5" s="901"/>
      <c r="R5" s="901"/>
      <c r="S5" s="901"/>
      <c r="T5" s="901"/>
      <c r="U5" s="902"/>
    </row>
    <row r="6" spans="2:21" ht="25.15" customHeight="1" x14ac:dyDescent="0.2">
      <c r="B6" s="903"/>
      <c r="C6" s="904" t="s">
        <v>14</v>
      </c>
      <c r="D6" s="905"/>
      <c r="E6" s="904" t="s">
        <v>13</v>
      </c>
      <c r="F6" s="905"/>
      <c r="G6" s="907" t="s">
        <v>6</v>
      </c>
      <c r="H6" s="907"/>
      <c r="I6" s="906" t="s">
        <v>14</v>
      </c>
      <c r="J6" s="906"/>
      <c r="K6" s="906" t="s">
        <v>13</v>
      </c>
      <c r="L6" s="906"/>
      <c r="M6" s="907" t="s">
        <v>6</v>
      </c>
      <c r="N6" s="907"/>
      <c r="O6" s="906" t="s">
        <v>14</v>
      </c>
      <c r="P6" s="906"/>
      <c r="Q6" s="906" t="s">
        <v>13</v>
      </c>
      <c r="R6" s="906"/>
      <c r="S6" s="906"/>
      <c r="T6" s="907" t="s">
        <v>6</v>
      </c>
      <c r="U6" s="908"/>
    </row>
    <row r="7" spans="2:21" ht="25.15" customHeight="1" x14ac:dyDescent="0.2">
      <c r="B7" s="903"/>
      <c r="C7" s="339" t="s">
        <v>63</v>
      </c>
      <c r="D7" s="338" t="s">
        <v>5</v>
      </c>
      <c r="E7" s="339" t="s">
        <v>63</v>
      </c>
      <c r="F7" s="338" t="s">
        <v>5</v>
      </c>
      <c r="G7" s="339" t="s">
        <v>63</v>
      </c>
      <c r="H7" s="321" t="s">
        <v>5</v>
      </c>
      <c r="I7" s="349" t="s">
        <v>63</v>
      </c>
      <c r="J7" s="350" t="s">
        <v>5</v>
      </c>
      <c r="K7" s="349" t="s">
        <v>63</v>
      </c>
      <c r="L7" s="350" t="s">
        <v>5</v>
      </c>
      <c r="M7" s="320" t="s">
        <v>63</v>
      </c>
      <c r="N7" s="321" t="s">
        <v>5</v>
      </c>
      <c r="O7" s="349" t="s">
        <v>63</v>
      </c>
      <c r="P7" s="350" t="s">
        <v>5</v>
      </c>
      <c r="Q7" s="909" t="s">
        <v>63</v>
      </c>
      <c r="R7" s="909"/>
      <c r="S7" s="321" t="s">
        <v>5</v>
      </c>
      <c r="T7" s="349" t="s">
        <v>63</v>
      </c>
      <c r="U7" s="350" t="s">
        <v>5</v>
      </c>
    </row>
    <row r="8" spans="2:21" s="53" customFormat="1" ht="15.75" customHeight="1" x14ac:dyDescent="0.2">
      <c r="B8" s="468"/>
      <c r="C8" s="340"/>
      <c r="D8" s="323"/>
      <c r="E8" s="340"/>
      <c r="F8" s="323"/>
      <c r="G8" s="340"/>
      <c r="H8" s="323"/>
      <c r="I8" s="340"/>
      <c r="J8" s="323"/>
      <c r="K8" s="340"/>
      <c r="L8" s="323"/>
      <c r="M8" s="340"/>
      <c r="N8" s="323"/>
      <c r="O8" s="340"/>
      <c r="P8" s="323"/>
      <c r="Q8" s="340"/>
      <c r="R8" s="340"/>
      <c r="S8" s="323"/>
      <c r="T8" s="340"/>
      <c r="U8" s="323"/>
    </row>
    <row r="9" spans="2:21" s="27" customFormat="1" ht="30" customHeight="1" x14ac:dyDescent="0.2">
      <c r="B9" s="427" t="s">
        <v>39</v>
      </c>
      <c r="C9" s="304">
        <v>0</v>
      </c>
      <c r="D9" s="341">
        <f>C9/G21*100</f>
        <v>0</v>
      </c>
      <c r="E9" s="304">
        <v>2</v>
      </c>
      <c r="F9" s="341">
        <f>E9/G21*100</f>
        <v>3.1746031746031744</v>
      </c>
      <c r="G9" s="336">
        <f>SUM(E9+C9)</f>
        <v>2</v>
      </c>
      <c r="H9" s="592">
        <f t="shared" ref="H9:H16" si="0">SUM(D9+F9)</f>
        <v>3.1746031746031744</v>
      </c>
      <c r="I9" s="593">
        <v>0</v>
      </c>
      <c r="J9" s="341">
        <v>0</v>
      </c>
      <c r="K9" s="593">
        <v>281</v>
      </c>
      <c r="L9" s="342">
        <f>K9/M$21*100</f>
        <v>0.36634334584897787</v>
      </c>
      <c r="M9" s="336">
        <f t="shared" ref="M9:N13" si="1">SUM(I9+K9)</f>
        <v>281</v>
      </c>
      <c r="N9" s="343">
        <f>SUM(J9+L9)</f>
        <v>0.36634334584897787</v>
      </c>
      <c r="O9" s="589">
        <v>0</v>
      </c>
      <c r="P9" s="342">
        <v>0</v>
      </c>
      <c r="Q9" s="589">
        <v>12752</v>
      </c>
      <c r="R9" s="594"/>
      <c r="S9" s="342">
        <f t="shared" ref="S9:S20" si="2">Q9/T$21*100</f>
        <v>0.55551780079075908</v>
      </c>
      <c r="T9" s="336">
        <f>SUM(O9+Q9)</f>
        <v>12752</v>
      </c>
      <c r="U9" s="343">
        <f>SUM(P9+S9)</f>
        <v>0.55551780079075908</v>
      </c>
    </row>
    <row r="10" spans="2:21" s="27" customFormat="1" ht="30" customHeight="1" x14ac:dyDescent="0.2">
      <c r="B10" s="427" t="s">
        <v>40</v>
      </c>
      <c r="C10" s="304">
        <v>2</v>
      </c>
      <c r="D10" s="341">
        <f>C10/G21*100</f>
        <v>3.1746031746031744</v>
      </c>
      <c r="E10" s="304">
        <v>1</v>
      </c>
      <c r="F10" s="341">
        <f>E10/G21*100</f>
        <v>1.5873015873015872</v>
      </c>
      <c r="G10" s="336">
        <f>SUM(C10+E10)</f>
        <v>3</v>
      </c>
      <c r="H10" s="592">
        <f t="shared" si="0"/>
        <v>4.7619047619047619</v>
      </c>
      <c r="I10" s="593">
        <v>5200</v>
      </c>
      <c r="J10" s="341">
        <f>I10/M$21*100</f>
        <v>6.7793074676679179</v>
      </c>
      <c r="K10" s="593">
        <v>50</v>
      </c>
      <c r="L10" s="342">
        <f t="shared" ref="L10:L20" si="3">K10/M$21*100</f>
        <v>6.5185648727576137E-2</v>
      </c>
      <c r="M10" s="336">
        <f t="shared" si="1"/>
        <v>5250</v>
      </c>
      <c r="N10" s="343">
        <f>SUM(J10+L10)</f>
        <v>6.8444931163954941</v>
      </c>
      <c r="O10" s="595">
        <v>43200</v>
      </c>
      <c r="P10" s="342">
        <f t="shared" ref="P10:P20" si="4">O10/T$21*100</f>
        <v>1.8819298144730858</v>
      </c>
      <c r="Q10" s="595">
        <v>12000</v>
      </c>
      <c r="R10" s="594"/>
      <c r="S10" s="342">
        <f t="shared" si="2"/>
        <v>0.52275828179807937</v>
      </c>
      <c r="T10" s="336">
        <f>SUM(O10+Q10)</f>
        <v>55200</v>
      </c>
      <c r="U10" s="343">
        <f t="shared" ref="U10:U20" si="5">SUM(P10+S10)</f>
        <v>2.4046880962711654</v>
      </c>
    </row>
    <row r="11" spans="2:21" s="27" customFormat="1" ht="30" customHeight="1" x14ac:dyDescent="0.2">
      <c r="B11" s="427" t="s">
        <v>78</v>
      </c>
      <c r="C11" s="304">
        <v>3</v>
      </c>
      <c r="D11" s="341">
        <f>C11/G21*100</f>
        <v>4.7619047619047619</v>
      </c>
      <c r="E11" s="304">
        <v>0</v>
      </c>
      <c r="F11" s="341">
        <f>E11/G21*100</f>
        <v>0</v>
      </c>
      <c r="G11" s="336">
        <f>SUM(C11+E11)</f>
        <v>3</v>
      </c>
      <c r="H11" s="592">
        <f t="shared" si="0"/>
        <v>4.7619047619047619</v>
      </c>
      <c r="I11" s="593">
        <v>283</v>
      </c>
      <c r="J11" s="341">
        <f t="shared" ref="J11:J12" si="6">I11/M$21*100</f>
        <v>0.36895077179808095</v>
      </c>
      <c r="K11" s="593">
        <v>0</v>
      </c>
      <c r="L11" s="342">
        <f t="shared" si="3"/>
        <v>0</v>
      </c>
      <c r="M11" s="336">
        <f t="shared" si="1"/>
        <v>283</v>
      </c>
      <c r="N11" s="343">
        <f t="shared" si="1"/>
        <v>0.36895077179808095</v>
      </c>
      <c r="O11" s="595">
        <v>2496</v>
      </c>
      <c r="P11" s="342">
        <f t="shared" si="4"/>
        <v>0.10873372261400052</v>
      </c>
      <c r="Q11" s="595">
        <v>12992</v>
      </c>
      <c r="R11" s="594" t="s">
        <v>62</v>
      </c>
      <c r="S11" s="342">
        <f t="shared" si="2"/>
        <v>0.56597296642672057</v>
      </c>
      <c r="T11" s="336">
        <f>SUM(O11+Q11)</f>
        <v>15488</v>
      </c>
      <c r="U11" s="343">
        <f t="shared" si="5"/>
        <v>0.67470668904072106</v>
      </c>
    </row>
    <row r="12" spans="2:21" s="27" customFormat="1" ht="30" customHeight="1" x14ac:dyDescent="0.2">
      <c r="B12" s="427" t="s">
        <v>42</v>
      </c>
      <c r="C12" s="304">
        <v>1</v>
      </c>
      <c r="D12" s="341">
        <f>C12/G21*100</f>
        <v>1.5873015873015872</v>
      </c>
      <c r="E12" s="304">
        <v>2</v>
      </c>
      <c r="F12" s="341">
        <f>E12/G21*100</f>
        <v>3.1746031746031744</v>
      </c>
      <c r="G12" s="336">
        <f>SUM(C12+E12)</f>
        <v>3</v>
      </c>
      <c r="H12" s="592">
        <f t="shared" si="0"/>
        <v>4.7619047619047619</v>
      </c>
      <c r="I12" s="593">
        <v>200</v>
      </c>
      <c r="J12" s="341">
        <f t="shared" si="6"/>
        <v>0.26074259491030455</v>
      </c>
      <c r="K12" s="593">
        <v>330</v>
      </c>
      <c r="L12" s="342">
        <f t="shared" si="3"/>
        <v>0.43022528160200252</v>
      </c>
      <c r="M12" s="336">
        <f t="shared" si="1"/>
        <v>530</v>
      </c>
      <c r="N12" s="343">
        <f t="shared" si="1"/>
        <v>0.69096787651230707</v>
      </c>
      <c r="O12" s="595">
        <v>1600</v>
      </c>
      <c r="P12" s="342">
        <f t="shared" si="4"/>
        <v>6.9701104239743919E-2</v>
      </c>
      <c r="Q12" s="595">
        <v>14336</v>
      </c>
      <c r="R12" s="594"/>
      <c r="S12" s="342">
        <f t="shared" si="2"/>
        <v>0.62452189398810554</v>
      </c>
      <c r="T12" s="336">
        <f t="shared" ref="T12" si="7">SUM(O12+Q12)</f>
        <v>15936</v>
      </c>
      <c r="U12" s="343">
        <f t="shared" si="5"/>
        <v>0.6942229982278495</v>
      </c>
    </row>
    <row r="13" spans="2:21" s="27" customFormat="1" ht="30" customHeight="1" x14ac:dyDescent="0.2">
      <c r="B13" s="427" t="s">
        <v>79</v>
      </c>
      <c r="C13" s="304">
        <v>1</v>
      </c>
      <c r="D13" s="345">
        <f>C13/G21*100</f>
        <v>1.5873015873015872</v>
      </c>
      <c r="E13" s="304">
        <v>5</v>
      </c>
      <c r="F13" s="341">
        <f>E13/G21*100</f>
        <v>7.9365079365079358</v>
      </c>
      <c r="G13" s="336">
        <f>SUM(E13+C13)</f>
        <v>6</v>
      </c>
      <c r="H13" s="596">
        <f t="shared" si="0"/>
        <v>9.5238095238095237</v>
      </c>
      <c r="I13" s="593">
        <v>29</v>
      </c>
      <c r="J13" s="341">
        <f t="shared" ref="J13:J20" si="8">I13/M$21*100</f>
        <v>3.7807676261994161E-2</v>
      </c>
      <c r="K13" s="593">
        <v>6580</v>
      </c>
      <c r="L13" s="342">
        <f t="shared" si="3"/>
        <v>8.5784313725490193</v>
      </c>
      <c r="M13" s="336">
        <f>SUM(I13+K13)</f>
        <v>6609</v>
      </c>
      <c r="N13" s="343">
        <f t="shared" si="1"/>
        <v>8.6162390488110141</v>
      </c>
      <c r="O13" s="595">
        <v>232</v>
      </c>
      <c r="P13" s="342">
        <f t="shared" si="4"/>
        <v>1.0106660114762868E-2</v>
      </c>
      <c r="Q13" s="595">
        <v>32208</v>
      </c>
      <c r="R13" s="594"/>
      <c r="S13" s="342">
        <f t="shared" si="2"/>
        <v>1.403083228346045</v>
      </c>
      <c r="T13" s="336">
        <f>SUM(O13+Q13)</f>
        <v>32440</v>
      </c>
      <c r="U13" s="346">
        <f t="shared" si="5"/>
        <v>1.4131898884608078</v>
      </c>
    </row>
    <row r="14" spans="2:21" s="27" customFormat="1" ht="30" customHeight="1" x14ac:dyDescent="0.2">
      <c r="B14" s="427" t="s">
        <v>43</v>
      </c>
      <c r="C14" s="304">
        <v>0</v>
      </c>
      <c r="D14" s="345">
        <f>C14/G21*100</f>
        <v>0</v>
      </c>
      <c r="E14" s="304">
        <v>2</v>
      </c>
      <c r="F14" s="341">
        <f>E14/G21*100</f>
        <v>3.1746031746031744</v>
      </c>
      <c r="G14" s="336">
        <f t="shared" ref="G14:G20" si="9">SUM(C14+E14)</f>
        <v>2</v>
      </c>
      <c r="H14" s="596">
        <f t="shared" si="0"/>
        <v>3.1746031746031744</v>
      </c>
      <c r="I14" s="593">
        <v>0</v>
      </c>
      <c r="J14" s="341">
        <f t="shared" si="8"/>
        <v>0</v>
      </c>
      <c r="K14" s="593">
        <v>1574</v>
      </c>
      <c r="L14" s="342">
        <f t="shared" si="3"/>
        <v>2.0520442219440969</v>
      </c>
      <c r="M14" s="336">
        <f>SUM(I14+K14)</f>
        <v>1574</v>
      </c>
      <c r="N14" s="346">
        <f>SUM(J14+L14)</f>
        <v>2.0520442219440969</v>
      </c>
      <c r="O14" s="595">
        <v>0</v>
      </c>
      <c r="P14" s="342">
        <f t="shared" si="4"/>
        <v>0</v>
      </c>
      <c r="Q14" s="595">
        <v>63416</v>
      </c>
      <c r="R14" s="589"/>
      <c r="S14" s="342">
        <f t="shared" si="2"/>
        <v>2.7626032665422504</v>
      </c>
      <c r="T14" s="336">
        <f>SUM(O14+Q14)</f>
        <v>63416</v>
      </c>
      <c r="U14" s="346">
        <f t="shared" si="5"/>
        <v>2.7626032665422504</v>
      </c>
    </row>
    <row r="15" spans="2:21" s="27" customFormat="1" ht="30" customHeight="1" x14ac:dyDescent="0.2">
      <c r="B15" s="427" t="s">
        <v>56</v>
      </c>
      <c r="C15" s="304">
        <v>4</v>
      </c>
      <c r="D15" s="341">
        <f>C15/G21*100</f>
        <v>6.3492063492063489</v>
      </c>
      <c r="E15" s="304">
        <v>1</v>
      </c>
      <c r="F15" s="341">
        <f>E15/G21*100</f>
        <v>1.5873015873015872</v>
      </c>
      <c r="G15" s="336">
        <f t="shared" si="9"/>
        <v>5</v>
      </c>
      <c r="H15" s="592">
        <f t="shared" si="0"/>
        <v>7.9365079365079358</v>
      </c>
      <c r="I15" s="593">
        <v>1155</v>
      </c>
      <c r="J15" s="341">
        <f t="shared" si="8"/>
        <v>1.5057884856070087</v>
      </c>
      <c r="K15" s="593">
        <v>145</v>
      </c>
      <c r="L15" s="342">
        <f t="shared" si="3"/>
        <v>0.1890383813099708</v>
      </c>
      <c r="M15" s="336">
        <f>SUM(I15+K15)</f>
        <v>1300</v>
      </c>
      <c r="N15" s="343">
        <f t="shared" ref="N15:N20" si="10">SUM(J15+L15)</f>
        <v>1.6948268669169795</v>
      </c>
      <c r="O15" s="595">
        <v>18080</v>
      </c>
      <c r="P15" s="342">
        <f t="shared" si="4"/>
        <v>0.78762247790910633</v>
      </c>
      <c r="Q15" s="595">
        <v>37568</v>
      </c>
      <c r="R15" s="594"/>
      <c r="S15" s="342">
        <f t="shared" si="2"/>
        <v>1.6365819275491873</v>
      </c>
      <c r="T15" s="336">
        <f>SUM(O15+Q15)</f>
        <v>55648</v>
      </c>
      <c r="U15" s="343">
        <f t="shared" si="5"/>
        <v>2.4242044054582936</v>
      </c>
    </row>
    <row r="16" spans="2:21" s="27" customFormat="1" ht="30" customHeight="1" x14ac:dyDescent="0.2">
      <c r="B16" s="427" t="s">
        <v>55</v>
      </c>
      <c r="C16" s="304">
        <v>6</v>
      </c>
      <c r="D16" s="341">
        <f>C16/G21*100</f>
        <v>9.5238095238095237</v>
      </c>
      <c r="E16" s="304">
        <v>3</v>
      </c>
      <c r="F16" s="341">
        <f>E16/G21*100</f>
        <v>4.7619047619047619</v>
      </c>
      <c r="G16" s="336">
        <f t="shared" si="9"/>
        <v>9</v>
      </c>
      <c r="H16" s="592">
        <f t="shared" si="0"/>
        <v>14.285714285714285</v>
      </c>
      <c r="I16" s="593">
        <v>8062</v>
      </c>
      <c r="J16" s="341">
        <f t="shared" si="8"/>
        <v>10.510534000834376</v>
      </c>
      <c r="K16" s="593">
        <v>10700</v>
      </c>
      <c r="L16" s="342">
        <f t="shared" si="3"/>
        <v>13.949728827701295</v>
      </c>
      <c r="M16" s="336">
        <f>SUM(+I16+K16)</f>
        <v>18762</v>
      </c>
      <c r="N16" s="343">
        <f>SUM(J16+L16)</f>
        <v>24.460262828535669</v>
      </c>
      <c r="O16" s="595">
        <v>69296</v>
      </c>
      <c r="P16" s="342">
        <f t="shared" si="4"/>
        <v>3.0187548246233091</v>
      </c>
      <c r="Q16" s="595">
        <v>691200</v>
      </c>
      <c r="R16" s="589"/>
      <c r="S16" s="342">
        <f t="shared" si="2"/>
        <v>30.110877031569373</v>
      </c>
      <c r="T16" s="336">
        <f>SUM(+O16+Q16)</f>
        <v>760496</v>
      </c>
      <c r="U16" s="343">
        <f t="shared" si="5"/>
        <v>33.129631856192681</v>
      </c>
    </row>
    <row r="17" spans="2:27" s="27" customFormat="1" ht="30" customHeight="1" x14ac:dyDescent="0.2">
      <c r="B17" s="427" t="s">
        <v>54</v>
      </c>
      <c r="C17" s="304">
        <v>2</v>
      </c>
      <c r="D17" s="341">
        <f>C17/G21*100</f>
        <v>3.1746031746031744</v>
      </c>
      <c r="E17" s="304">
        <v>2</v>
      </c>
      <c r="F17" s="341">
        <f>E17/G21*100</f>
        <v>3.1746031746031744</v>
      </c>
      <c r="G17" s="336">
        <f t="shared" si="9"/>
        <v>4</v>
      </c>
      <c r="H17" s="592">
        <f>SUM(D17+F17)</f>
        <v>6.3492063492063489</v>
      </c>
      <c r="I17" s="593">
        <v>452</v>
      </c>
      <c r="J17" s="341">
        <f t="shared" si="8"/>
        <v>0.58927826449728826</v>
      </c>
      <c r="K17" s="593">
        <v>145</v>
      </c>
      <c r="L17" s="342">
        <f t="shared" si="3"/>
        <v>0.1890383813099708</v>
      </c>
      <c r="M17" s="336">
        <f>SUM(I17+K17)</f>
        <v>597</v>
      </c>
      <c r="N17" s="343">
        <f t="shared" si="10"/>
        <v>0.77831664580725901</v>
      </c>
      <c r="O17" s="595">
        <v>3616</v>
      </c>
      <c r="P17" s="342">
        <f t="shared" si="4"/>
        <v>0.15752449558182124</v>
      </c>
      <c r="Q17" s="595">
        <v>344128</v>
      </c>
      <c r="R17" s="594"/>
      <c r="S17" s="342">
        <f t="shared" si="2"/>
        <v>14.991313499884122</v>
      </c>
      <c r="T17" s="336">
        <f>SUM(O17+Q17)</f>
        <v>347744</v>
      </c>
      <c r="U17" s="343">
        <f t="shared" si="5"/>
        <v>15.148837995465943</v>
      </c>
    </row>
    <row r="18" spans="2:27" s="27" customFormat="1" ht="30" customHeight="1" x14ac:dyDescent="0.2">
      <c r="B18" s="427" t="s">
        <v>53</v>
      </c>
      <c r="C18" s="304">
        <v>4</v>
      </c>
      <c r="D18" s="345">
        <f>C18/G21*100</f>
        <v>6.3492063492063489</v>
      </c>
      <c r="E18" s="304">
        <v>2</v>
      </c>
      <c r="F18" s="341">
        <f>E18/G21*100</f>
        <v>3.1746031746031744</v>
      </c>
      <c r="G18" s="336">
        <f t="shared" si="9"/>
        <v>6</v>
      </c>
      <c r="H18" s="592">
        <f>SUM(D18+F18)</f>
        <v>9.5238095238095237</v>
      </c>
      <c r="I18" s="593">
        <v>9625</v>
      </c>
      <c r="J18" s="341">
        <f t="shared" si="8"/>
        <v>12.548237380058405</v>
      </c>
      <c r="K18" s="593">
        <v>1025</v>
      </c>
      <c r="L18" s="342">
        <f t="shared" si="3"/>
        <v>1.3363057989153109</v>
      </c>
      <c r="M18" s="336">
        <f t="shared" ref="M18:M20" si="11">SUM(I18+K18)</f>
        <v>10650</v>
      </c>
      <c r="N18" s="343">
        <f t="shared" si="10"/>
        <v>13.884543178973715</v>
      </c>
      <c r="O18" s="595">
        <v>106000</v>
      </c>
      <c r="P18" s="342">
        <f t="shared" si="4"/>
        <v>4.6176981558830352</v>
      </c>
      <c r="Q18" s="595">
        <v>43040</v>
      </c>
      <c r="R18" s="597"/>
      <c r="S18" s="342">
        <f t="shared" si="2"/>
        <v>1.8749597040491113</v>
      </c>
      <c r="T18" s="336">
        <f>SUM(O18+Q18)</f>
        <v>149040</v>
      </c>
      <c r="U18" s="343">
        <f t="shared" si="5"/>
        <v>6.4926578599321463</v>
      </c>
    </row>
    <row r="19" spans="2:27" s="27" customFormat="1" ht="30" customHeight="1" x14ac:dyDescent="0.2">
      <c r="B19" s="427" t="s">
        <v>52</v>
      </c>
      <c r="C19" s="304">
        <v>5</v>
      </c>
      <c r="D19" s="598">
        <f>C19/G21*100</f>
        <v>7.9365079365079358</v>
      </c>
      <c r="E19" s="304">
        <v>10</v>
      </c>
      <c r="F19" s="341">
        <f>E19/G21*100</f>
        <v>15.873015873015872</v>
      </c>
      <c r="G19" s="336">
        <f t="shared" si="9"/>
        <v>15</v>
      </c>
      <c r="H19" s="592">
        <f>SUM(+D19+F19)</f>
        <v>23.809523809523807</v>
      </c>
      <c r="I19" s="593">
        <v>12403</v>
      </c>
      <c r="J19" s="341">
        <f t="shared" si="8"/>
        <v>16.169952023362537</v>
      </c>
      <c r="K19" s="593">
        <v>18047</v>
      </c>
      <c r="L19" s="342">
        <f t="shared" si="3"/>
        <v>23.52810805173133</v>
      </c>
      <c r="M19" s="336">
        <f t="shared" si="11"/>
        <v>30450</v>
      </c>
      <c r="N19" s="343">
        <f t="shared" si="10"/>
        <v>39.698060075093863</v>
      </c>
      <c r="O19" s="595">
        <v>83888</v>
      </c>
      <c r="P19" s="342">
        <f t="shared" si="4"/>
        <v>3.6544288952897732</v>
      </c>
      <c r="Q19" s="595">
        <v>387988</v>
      </c>
      <c r="R19" s="597"/>
      <c r="S19" s="342">
        <f t="shared" si="2"/>
        <v>16.901995019856102</v>
      </c>
      <c r="T19" s="336">
        <f>SUM(O19+Q19)</f>
        <v>471876</v>
      </c>
      <c r="U19" s="343">
        <f t="shared" si="5"/>
        <v>20.556423915145874</v>
      </c>
    </row>
    <row r="20" spans="2:27" s="27" customFormat="1" ht="30" customHeight="1" x14ac:dyDescent="0.2">
      <c r="B20" s="427" t="s">
        <v>51</v>
      </c>
      <c r="C20" s="304">
        <v>0</v>
      </c>
      <c r="D20" s="345">
        <f>C20/G21*100</f>
        <v>0</v>
      </c>
      <c r="E20" s="304">
        <v>5</v>
      </c>
      <c r="F20" s="341">
        <f>E20/G21*100</f>
        <v>7.9365079365079358</v>
      </c>
      <c r="G20" s="336">
        <f t="shared" si="9"/>
        <v>5</v>
      </c>
      <c r="H20" s="592">
        <f>SUM(D20+F20)</f>
        <v>7.9365079365079358</v>
      </c>
      <c r="I20" s="593">
        <v>0</v>
      </c>
      <c r="J20" s="341">
        <f t="shared" si="8"/>
        <v>0</v>
      </c>
      <c r="K20" s="593">
        <v>418</v>
      </c>
      <c r="L20" s="342">
        <f t="shared" si="3"/>
        <v>0.54495202336253645</v>
      </c>
      <c r="M20" s="336">
        <f t="shared" si="11"/>
        <v>418</v>
      </c>
      <c r="N20" s="343">
        <f t="shared" si="10"/>
        <v>0.54495202336253645</v>
      </c>
      <c r="O20" s="595">
        <v>0</v>
      </c>
      <c r="P20" s="342">
        <f t="shared" si="4"/>
        <v>0</v>
      </c>
      <c r="Q20" s="595">
        <v>315480</v>
      </c>
      <c r="R20" s="599"/>
      <c r="S20" s="342">
        <f t="shared" si="2"/>
        <v>13.743315228471506</v>
      </c>
      <c r="T20" s="336">
        <f>SUM(O20+Q20)</f>
        <v>315480</v>
      </c>
      <c r="U20" s="343">
        <f t="shared" si="5"/>
        <v>13.743315228471506</v>
      </c>
    </row>
    <row r="21" spans="2:27" s="161" customFormat="1" ht="54" customHeight="1" x14ac:dyDescent="0.2">
      <c r="B21" s="449" t="s">
        <v>6</v>
      </c>
      <c r="C21" s="469">
        <f>SUM(C9:C20)</f>
        <v>28</v>
      </c>
      <c r="D21" s="470">
        <f>SUM(D9:D20)</f>
        <v>44.444444444444443</v>
      </c>
      <c r="E21" s="469">
        <f>SUM(E9:E20)</f>
        <v>35</v>
      </c>
      <c r="F21" s="470">
        <f>SUM(F9:F20)</f>
        <v>55.555555555555557</v>
      </c>
      <c r="G21" s="471">
        <f>SUM(G9:G20)</f>
        <v>63</v>
      </c>
      <c r="H21" s="472">
        <f>SUM(D21+F21)</f>
        <v>100</v>
      </c>
      <c r="I21" s="469">
        <f>SUM(I9:I20)</f>
        <v>37409</v>
      </c>
      <c r="J21" s="470">
        <f>SUM(J9:J20)</f>
        <v>48.770598664997905</v>
      </c>
      <c r="K21" s="469">
        <f>SUM(K9:K20)</f>
        <v>39295</v>
      </c>
      <c r="L21" s="473">
        <f>SUM(L9:L20)</f>
        <v>51.229401335002088</v>
      </c>
      <c r="M21" s="471">
        <f>SUM(M9:M20)</f>
        <v>76704</v>
      </c>
      <c r="N21" s="474">
        <f>SUM(J21+L21)</f>
        <v>100</v>
      </c>
      <c r="O21" s="469">
        <f>SUM(O9:O20)</f>
        <v>328408</v>
      </c>
      <c r="P21" s="475">
        <f>SUM(P9:P20)</f>
        <v>14.306500150728638</v>
      </c>
      <c r="Q21" s="469">
        <f>SUM(Q9:Q20)</f>
        <v>1967108</v>
      </c>
      <c r="R21" s="469"/>
      <c r="S21" s="473">
        <f>SUM(S9:S20)</f>
        <v>85.693499849271362</v>
      </c>
      <c r="T21" s="471">
        <f>SUM(T9:T20)</f>
        <v>2295516</v>
      </c>
      <c r="U21" s="475">
        <f>SUM(P21+S21)</f>
        <v>100</v>
      </c>
    </row>
    <row r="22" spans="2:27" s="1" customFormat="1" ht="29.25" customHeight="1" x14ac:dyDescent="0.2">
      <c r="B22" s="11" t="s">
        <v>245</v>
      </c>
      <c r="C22" s="98"/>
      <c r="D22" s="98"/>
      <c r="E22" s="98"/>
      <c r="F22" s="98"/>
      <c r="G22" s="98"/>
      <c r="H22" s="98"/>
      <c r="I22" s="98"/>
      <c r="J22" s="98"/>
      <c r="K22" s="98"/>
      <c r="L22" s="98"/>
      <c r="M22" s="98"/>
      <c r="V22" s="14"/>
      <c r="W22" s="10"/>
      <c r="X22" s="14"/>
      <c r="Y22" s="15"/>
      <c r="Z22" s="14"/>
      <c r="AA22" s="15"/>
    </row>
    <row r="23" spans="2:27" s="1" customFormat="1" ht="20.45" customHeight="1" x14ac:dyDescent="0.2">
      <c r="B23" s="16" t="s">
        <v>296</v>
      </c>
      <c r="C23" s="98"/>
      <c r="D23" s="17"/>
      <c r="E23" s="17"/>
      <c r="F23" s="17"/>
      <c r="G23" s="17"/>
      <c r="H23" s="17"/>
      <c r="I23" s="18"/>
      <c r="J23" s="18"/>
      <c r="K23" s="18"/>
      <c r="L23" s="18"/>
      <c r="M23" s="98"/>
      <c r="W23" s="19"/>
      <c r="X23" s="162"/>
      <c r="Y23" s="19"/>
      <c r="Z23" s="162"/>
      <c r="AA23" s="21"/>
    </row>
    <row r="24" spans="2:27" s="1" customFormat="1" ht="19.149999999999999" customHeight="1" x14ac:dyDescent="0.2">
      <c r="B24" s="22" t="s">
        <v>279</v>
      </c>
      <c r="C24" s="98"/>
      <c r="D24" s="98"/>
      <c r="E24" s="104"/>
      <c r="F24" s="104"/>
      <c r="G24" s="104"/>
      <c r="H24" s="104"/>
      <c r="I24" s="105"/>
      <c r="J24" s="106"/>
      <c r="K24" s="106"/>
      <c r="L24" s="98"/>
      <c r="M24" s="98"/>
    </row>
    <row r="25" spans="2:27" s="1" customFormat="1" ht="18" x14ac:dyDescent="0.2">
      <c r="B25" s="163" t="s">
        <v>288</v>
      </c>
      <c r="H25" s="3"/>
    </row>
  </sheetData>
  <mergeCells count="16">
    <mergeCell ref="B1:U1"/>
    <mergeCell ref="C5:H5"/>
    <mergeCell ref="O5:U5"/>
    <mergeCell ref="B3:U3"/>
    <mergeCell ref="B4:U4"/>
    <mergeCell ref="B5:B7"/>
    <mergeCell ref="C6:D6"/>
    <mergeCell ref="E6:F6"/>
    <mergeCell ref="Q6:S6"/>
    <mergeCell ref="T6:U6"/>
    <mergeCell ref="M6:N6"/>
    <mergeCell ref="O6:P6"/>
    <mergeCell ref="G6:H6"/>
    <mergeCell ref="K6:L6"/>
    <mergeCell ref="I6:J6"/>
    <mergeCell ref="Q7:R7"/>
  </mergeCells>
  <phoneticPr fontId="2" type="noConversion"/>
  <printOptions horizontalCentered="1" verticalCentered="1"/>
  <pageMargins left="0" right="0" top="0" bottom="0" header="0" footer="0"/>
  <pageSetup paperSize="9" scale="46" orientation="landscape" r:id="rId1"/>
  <headerFooter alignWithMargins="0"/>
  <ignoredErrors>
    <ignoredError sqref="H19:H21 N2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JC113"/>
  <sheetViews>
    <sheetView showGridLines="0" view="pageBreakPreview" zoomScale="64" zoomScaleNormal="60" zoomScaleSheetLayoutView="64" workbookViewId="0">
      <selection activeCell="B3" sqref="B3:AY3"/>
    </sheetView>
  </sheetViews>
  <sheetFormatPr baseColWidth="10" defaultColWidth="11.42578125" defaultRowHeight="12.75" x14ac:dyDescent="0.2"/>
  <cols>
    <col min="1" max="1" width="6.28515625" style="1" customWidth="1"/>
    <col min="2" max="2" width="1.7109375" style="1" customWidth="1"/>
    <col min="3" max="3" width="51" style="98" customWidth="1"/>
    <col min="4" max="4" width="8.42578125" style="1" customWidth="1"/>
    <col min="5" max="5" width="1.7109375" style="1" customWidth="1"/>
    <col min="6" max="6" width="8.28515625" style="1" customWidth="1"/>
    <col min="7" max="7" width="3.7109375" style="1" customWidth="1"/>
    <col min="8" max="8" width="8.28515625" style="1" customWidth="1"/>
    <col min="9" max="9" width="1.42578125" style="1" customWidth="1"/>
    <col min="10" max="10" width="11.5703125" style="1" customWidth="1"/>
    <col min="11" max="11" width="1.7109375" style="1" customWidth="1"/>
    <col min="12" max="12" width="12.42578125" style="1" customWidth="1"/>
    <col min="13" max="13" width="1.7109375" style="1" customWidth="1"/>
    <col min="14" max="14" width="15" style="1" customWidth="1"/>
    <col min="15" max="15" width="1.7109375" style="1" customWidth="1"/>
    <col min="16" max="16" width="14.42578125" style="1" customWidth="1"/>
    <col min="17" max="17" width="1.7109375" style="1" customWidth="1"/>
    <col min="18" max="18" width="13.28515625" style="1" customWidth="1"/>
    <col min="19" max="19" width="1.7109375" style="1" customWidth="1"/>
    <col min="20" max="20" width="13.28515625" style="1" customWidth="1"/>
    <col min="21" max="21" width="3.7109375" style="1" customWidth="1"/>
    <col min="22" max="22" width="10.5703125" style="1" customWidth="1"/>
    <col min="23" max="23" width="1.7109375" style="1" customWidth="1"/>
    <col min="24" max="24" width="13" style="1" customWidth="1"/>
    <col min="25" max="25" width="1.7109375" style="1" customWidth="1"/>
    <col min="26" max="26" width="12.28515625" style="1" customWidth="1"/>
    <col min="27" max="27" width="1.7109375" style="1" customWidth="1"/>
    <col min="28" max="28" width="11.28515625" style="1" customWidth="1"/>
    <col min="29" max="29" width="1.7109375" style="1" customWidth="1"/>
    <col min="30" max="30" width="14.28515625" style="1" customWidth="1"/>
    <col min="31" max="31" width="1.7109375" style="1" customWidth="1"/>
    <col min="32" max="32" width="14.28515625" style="1" customWidth="1"/>
    <col min="33" max="33" width="1.7109375" style="1" customWidth="1"/>
    <col min="34" max="34" width="13.5703125" style="1" customWidth="1"/>
    <col min="35" max="35" width="1.5703125" style="1" customWidth="1"/>
    <col min="36" max="36" width="14.5703125" style="1" customWidth="1"/>
    <col min="37" max="37" width="1.7109375" style="1" customWidth="1"/>
    <col min="38" max="38" width="15.42578125" style="1" customWidth="1"/>
    <col min="39" max="39" width="1.7109375" style="1" customWidth="1"/>
    <col min="40" max="40" width="15" style="1" customWidth="1"/>
    <col min="41" max="41" width="1.7109375" style="1" customWidth="1"/>
    <col min="42" max="42" width="13.85546875" style="1" customWidth="1"/>
    <col min="43" max="43" width="1.7109375" style="1" customWidth="1"/>
    <col min="44" max="44" width="14.42578125" style="1" customWidth="1"/>
    <col min="45" max="45" width="1.7109375" style="1" customWidth="1"/>
    <col min="46" max="46" width="14.85546875" style="1" customWidth="1"/>
    <col min="47" max="47" width="1.7109375" style="1" customWidth="1"/>
    <col min="48" max="48" width="13.28515625" style="1" customWidth="1"/>
    <col min="49" max="49" width="1.7109375" style="1" customWidth="1"/>
    <col min="50" max="50" width="13.28515625" style="1" customWidth="1"/>
    <col min="51" max="51" width="1.5703125" style="1" customWidth="1"/>
    <col min="52" max="52" width="6.28515625" style="1" customWidth="1"/>
    <col min="53" max="53" width="1.7109375" style="1" customWidth="1"/>
    <col min="54" max="54" width="13.7109375" style="1" customWidth="1"/>
    <col min="55" max="55" width="1.7109375" style="1" customWidth="1"/>
    <col min="56" max="56" width="13.7109375" style="1" customWidth="1"/>
    <col min="57" max="57" width="1.7109375" style="1" customWidth="1"/>
    <col min="58" max="58" width="13.7109375" style="1" customWidth="1"/>
    <col min="59" max="59" width="1.7109375" style="1" customWidth="1"/>
    <col min="60" max="60" width="13.7109375" style="1" customWidth="1"/>
    <col min="61" max="61" width="1.7109375" style="1" customWidth="1"/>
    <col min="62" max="62" width="13.7109375" style="1" customWidth="1"/>
    <col min="63" max="63" width="1.7109375" style="1" customWidth="1"/>
    <col min="64" max="64" width="13.7109375" style="1" customWidth="1"/>
    <col min="65" max="65" width="1.7109375" style="1" customWidth="1"/>
    <col min="66" max="66" width="13.7109375" style="1" customWidth="1"/>
    <col min="67" max="67" width="1.7109375" style="1" customWidth="1"/>
    <col min="68" max="68" width="13.7109375" style="1" customWidth="1"/>
    <col min="69" max="69" width="1.7109375" style="1" customWidth="1"/>
    <col min="70" max="70" width="5.28515625" style="1" customWidth="1"/>
    <col min="71" max="16384" width="11.42578125" style="1"/>
  </cols>
  <sheetData>
    <row r="1" spans="2:263" s="27" customFormat="1" ht="25.15" customHeight="1" x14ac:dyDescent="0.2">
      <c r="B1" s="891" t="s">
        <v>47</v>
      </c>
      <c r="C1" s="891"/>
      <c r="D1" s="891"/>
      <c r="E1" s="891"/>
      <c r="F1" s="891"/>
      <c r="G1" s="891"/>
      <c r="H1" s="891"/>
      <c r="I1" s="891"/>
      <c r="J1" s="891"/>
      <c r="K1" s="891"/>
      <c r="L1" s="891"/>
      <c r="M1" s="891"/>
      <c r="N1" s="891"/>
      <c r="O1" s="891"/>
      <c r="P1" s="891"/>
      <c r="Q1" s="891"/>
      <c r="R1" s="891"/>
      <c r="S1" s="891"/>
      <c r="T1" s="891"/>
      <c r="U1" s="891"/>
      <c r="V1" s="891"/>
      <c r="W1" s="891"/>
      <c r="X1" s="891"/>
      <c r="Y1" s="891"/>
      <c r="Z1" s="891"/>
      <c r="AA1" s="891"/>
      <c r="AB1" s="891"/>
      <c r="AC1" s="891"/>
      <c r="AD1" s="891"/>
      <c r="AE1" s="891"/>
      <c r="AF1" s="891"/>
      <c r="AG1" s="891"/>
      <c r="AH1" s="891"/>
      <c r="AI1" s="891"/>
      <c r="AJ1" s="891"/>
      <c r="AK1" s="891"/>
      <c r="AL1" s="891"/>
      <c r="AM1" s="891"/>
      <c r="AN1" s="891"/>
      <c r="AO1" s="891"/>
      <c r="AP1" s="891"/>
      <c r="AQ1" s="891"/>
      <c r="AR1" s="891"/>
      <c r="AS1" s="891"/>
      <c r="AT1" s="891"/>
      <c r="AU1" s="891"/>
      <c r="AV1" s="891"/>
      <c r="AW1" s="891"/>
      <c r="AX1" s="891"/>
      <c r="AY1" s="891"/>
      <c r="AZ1" s="118"/>
      <c r="BA1" s="118"/>
      <c r="BB1" s="118"/>
      <c r="BC1" s="118"/>
      <c r="BD1" s="118"/>
      <c r="BE1" s="118"/>
      <c r="BF1" s="118"/>
      <c r="BG1" s="118"/>
      <c r="BH1" s="118"/>
      <c r="BI1" s="118"/>
      <c r="BJ1" s="118"/>
      <c r="BK1" s="118"/>
      <c r="BL1" s="118"/>
      <c r="BM1" s="118"/>
      <c r="BN1" s="118"/>
      <c r="BO1" s="118"/>
      <c r="BP1" s="118"/>
      <c r="BQ1" s="118"/>
    </row>
    <row r="2" spans="2:263" s="27" customFormat="1" ht="25.15" customHeight="1" x14ac:dyDescent="0.2">
      <c r="B2" s="918" t="s">
        <v>145</v>
      </c>
      <c r="C2" s="918"/>
      <c r="D2" s="918"/>
      <c r="E2" s="918"/>
      <c r="F2" s="918"/>
      <c r="G2" s="918"/>
      <c r="H2" s="918"/>
      <c r="I2" s="918"/>
      <c r="J2" s="918"/>
      <c r="K2" s="918"/>
      <c r="L2" s="918"/>
      <c r="M2" s="918"/>
      <c r="N2" s="918"/>
      <c r="O2" s="918"/>
      <c r="P2" s="918"/>
      <c r="Q2" s="918"/>
      <c r="R2" s="918"/>
      <c r="S2" s="918"/>
      <c r="T2" s="918"/>
      <c r="U2" s="918"/>
      <c r="V2" s="918"/>
      <c r="W2" s="918"/>
      <c r="X2" s="918"/>
      <c r="Y2" s="918"/>
      <c r="Z2" s="918"/>
      <c r="AA2" s="918"/>
      <c r="AB2" s="918"/>
      <c r="AC2" s="918"/>
      <c r="AD2" s="918"/>
      <c r="AE2" s="918"/>
      <c r="AF2" s="918"/>
      <c r="AG2" s="918"/>
      <c r="AH2" s="918"/>
      <c r="AI2" s="918"/>
      <c r="AJ2" s="918"/>
      <c r="AK2" s="918"/>
      <c r="AL2" s="918"/>
      <c r="AM2" s="918"/>
      <c r="AN2" s="918"/>
      <c r="AO2" s="918"/>
      <c r="AP2" s="918"/>
      <c r="AQ2" s="918"/>
      <c r="AR2" s="918"/>
      <c r="AS2" s="918"/>
      <c r="AT2" s="918"/>
      <c r="AU2" s="918"/>
      <c r="AV2" s="918"/>
      <c r="AW2" s="918"/>
      <c r="AX2" s="918"/>
      <c r="AY2" s="918"/>
      <c r="AZ2" s="165"/>
      <c r="BA2" s="165"/>
      <c r="BB2" s="165"/>
      <c r="BC2" s="165"/>
      <c r="BD2" s="165"/>
      <c r="BE2" s="165"/>
      <c r="BF2" s="165"/>
      <c r="BG2" s="165"/>
      <c r="BH2" s="165"/>
      <c r="BI2" s="165"/>
      <c r="BJ2" s="165"/>
      <c r="BK2" s="165"/>
      <c r="BL2" s="165"/>
      <c r="BM2" s="165"/>
      <c r="BN2" s="165"/>
      <c r="BO2" s="165"/>
      <c r="BP2" s="165"/>
      <c r="BQ2" s="165"/>
    </row>
    <row r="3" spans="2:263" s="27" customFormat="1" ht="23.25" x14ac:dyDescent="0.2">
      <c r="B3" s="891" t="s">
        <v>107</v>
      </c>
      <c r="C3" s="891"/>
      <c r="D3" s="891"/>
      <c r="E3" s="891"/>
      <c r="F3" s="891"/>
      <c r="G3" s="891"/>
      <c r="H3" s="891"/>
      <c r="I3" s="891"/>
      <c r="J3" s="891"/>
      <c r="K3" s="891"/>
      <c r="L3" s="891"/>
      <c r="M3" s="891"/>
      <c r="N3" s="891"/>
      <c r="O3" s="891"/>
      <c r="P3" s="891"/>
      <c r="Q3" s="891"/>
      <c r="R3" s="891"/>
      <c r="S3" s="891"/>
      <c r="T3" s="891"/>
      <c r="U3" s="891"/>
      <c r="V3" s="891"/>
      <c r="W3" s="891"/>
      <c r="X3" s="891"/>
      <c r="Y3" s="891"/>
      <c r="Z3" s="891"/>
      <c r="AA3" s="891"/>
      <c r="AB3" s="891"/>
      <c r="AC3" s="891"/>
      <c r="AD3" s="891"/>
      <c r="AE3" s="891"/>
      <c r="AF3" s="891"/>
      <c r="AG3" s="891"/>
      <c r="AH3" s="891"/>
      <c r="AI3" s="891"/>
      <c r="AJ3" s="891"/>
      <c r="AK3" s="891"/>
      <c r="AL3" s="891"/>
      <c r="AM3" s="891"/>
      <c r="AN3" s="891"/>
      <c r="AO3" s="891"/>
      <c r="AP3" s="891"/>
      <c r="AQ3" s="891"/>
      <c r="AR3" s="891"/>
      <c r="AS3" s="891"/>
      <c r="AT3" s="891"/>
      <c r="AU3" s="891"/>
      <c r="AV3" s="891"/>
      <c r="AW3" s="891"/>
      <c r="AX3" s="891"/>
      <c r="AY3" s="891"/>
      <c r="AZ3" s="118"/>
      <c r="BA3" s="118"/>
      <c r="BB3" s="118"/>
      <c r="BC3" s="118"/>
      <c r="BD3" s="118"/>
      <c r="BE3" s="118"/>
      <c r="BF3" s="118"/>
      <c r="BG3" s="118"/>
      <c r="BH3" s="118"/>
      <c r="BI3" s="118"/>
      <c r="BJ3" s="118"/>
      <c r="BK3" s="118"/>
      <c r="BL3" s="118"/>
      <c r="BM3" s="118"/>
      <c r="BN3" s="118"/>
      <c r="BO3" s="118"/>
      <c r="BP3" s="118"/>
      <c r="BQ3" s="118"/>
    </row>
    <row r="4" spans="2:263" s="27" customFormat="1" ht="25.15" customHeight="1" x14ac:dyDescent="0.2">
      <c r="B4" s="891" t="s">
        <v>310</v>
      </c>
      <c r="C4" s="891"/>
      <c r="D4" s="891"/>
      <c r="E4" s="891"/>
      <c r="F4" s="891"/>
      <c r="G4" s="891"/>
      <c r="H4" s="891"/>
      <c r="I4" s="891"/>
      <c r="J4" s="891"/>
      <c r="K4" s="891"/>
      <c r="L4" s="891"/>
      <c r="M4" s="891"/>
      <c r="N4" s="891"/>
      <c r="O4" s="891"/>
      <c r="P4" s="891"/>
      <c r="Q4" s="891"/>
      <c r="R4" s="891"/>
      <c r="S4" s="891"/>
      <c r="T4" s="891"/>
      <c r="U4" s="891"/>
      <c r="V4" s="891"/>
      <c r="W4" s="891"/>
      <c r="X4" s="891"/>
      <c r="Y4" s="891"/>
      <c r="Z4" s="891"/>
      <c r="AA4" s="891"/>
      <c r="AB4" s="891"/>
      <c r="AC4" s="891"/>
      <c r="AD4" s="891"/>
      <c r="AE4" s="891"/>
      <c r="AF4" s="891"/>
      <c r="AG4" s="891"/>
      <c r="AH4" s="891"/>
      <c r="AI4" s="891"/>
      <c r="AJ4" s="891"/>
      <c r="AK4" s="891"/>
      <c r="AL4" s="891"/>
      <c r="AM4" s="891"/>
      <c r="AN4" s="891"/>
      <c r="AO4" s="891"/>
      <c r="AP4" s="891"/>
      <c r="AQ4" s="891"/>
      <c r="AR4" s="891"/>
      <c r="AS4" s="891"/>
      <c r="AT4" s="891"/>
      <c r="AU4" s="891"/>
      <c r="AV4" s="891"/>
      <c r="AW4" s="891"/>
      <c r="AX4" s="891"/>
      <c r="AY4" s="891"/>
      <c r="AZ4" s="891"/>
      <c r="BA4" s="891"/>
      <c r="BB4" s="891"/>
      <c r="BC4" s="891"/>
      <c r="BD4" s="891"/>
      <c r="BE4" s="891"/>
      <c r="BF4" s="891"/>
      <c r="BG4" s="891"/>
      <c r="BH4" s="891"/>
      <c r="BI4" s="891"/>
      <c r="BJ4" s="891"/>
      <c r="BK4" s="891"/>
      <c r="BL4" s="891"/>
      <c r="BM4" s="891"/>
      <c r="BN4" s="891"/>
      <c r="BO4" s="891"/>
      <c r="BP4" s="891"/>
      <c r="BQ4" s="891"/>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811"/>
      <c r="DQ4" s="811"/>
      <c r="DR4" s="811"/>
      <c r="DS4" s="811"/>
      <c r="DT4" s="811"/>
      <c r="DU4" s="811"/>
      <c r="DV4" s="811"/>
      <c r="DW4" s="811"/>
      <c r="DX4" s="811"/>
      <c r="DY4" s="811"/>
      <c r="DZ4" s="811"/>
      <c r="EA4" s="811"/>
      <c r="EB4" s="811"/>
      <c r="EC4" s="811"/>
      <c r="ED4" s="811"/>
      <c r="EE4" s="811"/>
      <c r="EF4" s="811"/>
      <c r="EG4" s="811"/>
      <c r="EH4" s="811"/>
      <c r="EI4" s="811"/>
      <c r="EJ4" s="811"/>
      <c r="EK4" s="811"/>
      <c r="EL4" s="811"/>
      <c r="EM4" s="811"/>
      <c r="EN4" s="811"/>
      <c r="EO4" s="811"/>
      <c r="EP4" s="811"/>
      <c r="EQ4" s="811"/>
      <c r="ER4" s="811"/>
      <c r="ES4" s="811"/>
      <c r="ET4" s="811"/>
      <c r="EU4" s="811"/>
      <c r="EV4" s="811"/>
      <c r="EW4" s="811"/>
      <c r="EX4" s="811"/>
      <c r="EY4" s="811"/>
      <c r="EZ4" s="811"/>
      <c r="FA4" s="811"/>
      <c r="FB4" s="811"/>
      <c r="FC4" s="811"/>
      <c r="FD4" s="811"/>
      <c r="FE4" s="811"/>
      <c r="FF4" s="811"/>
      <c r="FG4" s="811"/>
      <c r="FH4" s="811"/>
      <c r="FI4" s="811"/>
      <c r="FJ4" s="811"/>
      <c r="FK4" s="811"/>
      <c r="FL4" s="811"/>
      <c r="FM4" s="811"/>
      <c r="FN4" s="811"/>
      <c r="FO4" s="811"/>
      <c r="FP4" s="811"/>
      <c r="FQ4" s="811"/>
      <c r="FR4" s="811"/>
      <c r="FS4" s="811"/>
      <c r="FT4" s="811"/>
      <c r="FU4" s="811"/>
      <c r="FV4" s="811"/>
      <c r="FW4" s="811"/>
      <c r="FX4" s="811"/>
      <c r="FY4" s="811"/>
      <c r="FZ4" s="811"/>
      <c r="GA4" s="811"/>
      <c r="GB4" s="811"/>
      <c r="GC4" s="811"/>
      <c r="GD4" s="811"/>
      <c r="GE4" s="811"/>
      <c r="GF4" s="811"/>
      <c r="GG4" s="811"/>
      <c r="GH4" s="811"/>
      <c r="GI4" s="811"/>
      <c r="GJ4" s="811"/>
      <c r="GK4" s="811"/>
      <c r="GL4" s="811"/>
      <c r="GM4" s="811"/>
      <c r="GN4" s="811"/>
      <c r="GO4" s="811"/>
      <c r="GP4" s="811"/>
      <c r="GQ4" s="811"/>
      <c r="GR4" s="811"/>
      <c r="GS4" s="811"/>
      <c r="GT4" s="811"/>
      <c r="GU4" s="811"/>
      <c r="GV4" s="811"/>
      <c r="GW4" s="811"/>
      <c r="GX4" s="811"/>
      <c r="GY4" s="811"/>
      <c r="GZ4" s="811"/>
      <c r="HA4" s="811"/>
      <c r="HB4" s="811"/>
      <c r="HC4" s="811"/>
      <c r="HD4" s="811"/>
      <c r="HE4" s="811"/>
      <c r="HF4" s="811"/>
      <c r="HG4" s="811"/>
      <c r="HH4" s="811"/>
      <c r="HI4" s="811"/>
      <c r="HJ4" s="811"/>
      <c r="HK4" s="811"/>
      <c r="HL4" s="811"/>
      <c r="HM4" s="811"/>
      <c r="HN4" s="811"/>
      <c r="HO4" s="811"/>
      <c r="HP4" s="811"/>
      <c r="HQ4" s="811"/>
      <c r="HR4" s="811"/>
      <c r="HS4" s="811"/>
      <c r="HT4" s="811"/>
      <c r="HU4" s="811"/>
      <c r="HV4" s="811"/>
      <c r="HW4" s="811"/>
      <c r="HX4" s="811"/>
      <c r="HY4" s="811"/>
      <c r="HZ4" s="811"/>
      <c r="IA4" s="811"/>
      <c r="IB4" s="811"/>
      <c r="IC4" s="811"/>
      <c r="ID4" s="811"/>
      <c r="IE4" s="811"/>
      <c r="IF4" s="811"/>
      <c r="IG4" s="811"/>
      <c r="IH4" s="811"/>
      <c r="II4" s="811"/>
      <c r="IJ4" s="811"/>
      <c r="IK4" s="811"/>
      <c r="IL4" s="811"/>
      <c r="IM4" s="811"/>
      <c r="IN4" s="811"/>
      <c r="IO4" s="811"/>
      <c r="IP4" s="811"/>
      <c r="IQ4" s="811"/>
      <c r="IR4" s="811"/>
      <c r="IS4" s="811"/>
      <c r="IT4" s="811"/>
      <c r="IU4" s="811"/>
      <c r="IV4" s="811"/>
      <c r="IW4" s="811"/>
      <c r="IX4" s="811"/>
      <c r="IY4" s="811"/>
      <c r="IZ4" s="811"/>
      <c r="JA4" s="811"/>
      <c r="JB4" s="811"/>
      <c r="JC4" s="811"/>
    </row>
    <row r="5" spans="2:263" s="27" customFormat="1" ht="25.15" customHeight="1" x14ac:dyDescent="0.2">
      <c r="B5" s="821" t="s">
        <v>123</v>
      </c>
      <c r="C5" s="829"/>
      <c r="D5" s="823" t="s">
        <v>2</v>
      </c>
      <c r="E5" s="824"/>
      <c r="F5" s="824"/>
      <c r="G5" s="824"/>
      <c r="H5" s="824"/>
      <c r="I5" s="824"/>
      <c r="J5" s="824"/>
      <c r="K5" s="824"/>
      <c r="L5" s="824"/>
      <c r="M5" s="824"/>
      <c r="N5" s="824"/>
      <c r="O5" s="824"/>
      <c r="P5" s="824"/>
      <c r="Q5" s="824"/>
      <c r="R5" s="824"/>
      <c r="S5" s="824"/>
      <c r="T5" s="823" t="s">
        <v>15</v>
      </c>
      <c r="U5" s="824"/>
      <c r="V5" s="824"/>
      <c r="W5" s="824"/>
      <c r="X5" s="824"/>
      <c r="Y5" s="824"/>
      <c r="Z5" s="824"/>
      <c r="AA5" s="824"/>
      <c r="AB5" s="824"/>
      <c r="AC5" s="824"/>
      <c r="AD5" s="824"/>
      <c r="AE5" s="824"/>
      <c r="AF5" s="824"/>
      <c r="AG5" s="824"/>
      <c r="AH5" s="824"/>
      <c r="AI5" s="824"/>
      <c r="AJ5" s="823" t="s">
        <v>12</v>
      </c>
      <c r="AK5" s="824"/>
      <c r="AL5" s="824"/>
      <c r="AM5" s="824"/>
      <c r="AN5" s="824"/>
      <c r="AO5" s="824"/>
      <c r="AP5" s="824"/>
      <c r="AQ5" s="824"/>
      <c r="AR5" s="824"/>
      <c r="AS5" s="824"/>
      <c r="AT5" s="824"/>
      <c r="AU5" s="824"/>
      <c r="AV5" s="824"/>
      <c r="AW5" s="824"/>
      <c r="AX5" s="824"/>
      <c r="AY5" s="824"/>
      <c r="AZ5" s="166"/>
      <c r="BA5" s="166"/>
      <c r="BB5" s="166"/>
      <c r="BC5" s="166"/>
      <c r="BD5" s="166"/>
      <c r="BE5" s="166"/>
      <c r="BF5" s="166"/>
      <c r="BG5" s="166"/>
      <c r="BH5" s="166"/>
      <c r="BI5" s="166"/>
      <c r="BJ5" s="166"/>
      <c r="BK5" s="166"/>
      <c r="BL5" s="166"/>
      <c r="BM5" s="166"/>
      <c r="BN5" s="166"/>
      <c r="BO5" s="166"/>
      <c r="BP5" s="166"/>
      <c r="BQ5" s="166"/>
    </row>
    <row r="6" spans="2:263" s="27" customFormat="1" ht="25.15" customHeight="1" x14ac:dyDescent="0.2">
      <c r="B6" s="821"/>
      <c r="C6" s="829"/>
      <c r="D6" s="834">
        <v>1990</v>
      </c>
      <c r="E6" s="835"/>
      <c r="F6" s="835">
        <v>1991</v>
      </c>
      <c r="G6" s="835"/>
      <c r="H6" s="835">
        <v>1992</v>
      </c>
      <c r="I6" s="835"/>
      <c r="J6" s="835">
        <v>1993</v>
      </c>
      <c r="K6" s="835"/>
      <c r="L6" s="835">
        <v>1994</v>
      </c>
      <c r="M6" s="835"/>
      <c r="N6" s="835">
        <v>1995</v>
      </c>
      <c r="O6" s="835"/>
      <c r="P6" s="835">
        <v>1996</v>
      </c>
      <c r="Q6" s="835"/>
      <c r="R6" s="835">
        <v>1997</v>
      </c>
      <c r="S6" s="835"/>
      <c r="T6" s="834">
        <v>1990</v>
      </c>
      <c r="U6" s="835"/>
      <c r="V6" s="835">
        <v>1991</v>
      </c>
      <c r="W6" s="835"/>
      <c r="X6" s="835">
        <v>1992</v>
      </c>
      <c r="Y6" s="835"/>
      <c r="Z6" s="835">
        <v>1993</v>
      </c>
      <c r="AA6" s="835"/>
      <c r="AB6" s="835">
        <v>1994</v>
      </c>
      <c r="AC6" s="835"/>
      <c r="AD6" s="835">
        <v>1995</v>
      </c>
      <c r="AE6" s="835"/>
      <c r="AF6" s="835">
        <v>1996</v>
      </c>
      <c r="AG6" s="835"/>
      <c r="AH6" s="835">
        <v>1997</v>
      </c>
      <c r="AI6" s="835"/>
      <c r="AJ6" s="834">
        <v>1990</v>
      </c>
      <c r="AK6" s="835"/>
      <c r="AL6" s="835">
        <v>1991</v>
      </c>
      <c r="AM6" s="835"/>
      <c r="AN6" s="835">
        <v>1992</v>
      </c>
      <c r="AO6" s="835"/>
      <c r="AP6" s="835">
        <v>1993</v>
      </c>
      <c r="AQ6" s="835"/>
      <c r="AR6" s="835">
        <v>1994</v>
      </c>
      <c r="AS6" s="835"/>
      <c r="AT6" s="835">
        <v>1995</v>
      </c>
      <c r="AU6" s="835"/>
      <c r="AV6" s="835">
        <v>1996</v>
      </c>
      <c r="AW6" s="835"/>
      <c r="AX6" s="835">
        <v>1997</v>
      </c>
      <c r="AY6" s="835"/>
      <c r="AZ6" s="913"/>
      <c r="BA6" s="913"/>
      <c r="BB6" s="913"/>
      <c r="BC6" s="913"/>
      <c r="BD6" s="913"/>
      <c r="BE6" s="913"/>
      <c r="BF6" s="913"/>
      <c r="BG6" s="913"/>
      <c r="BH6" s="913"/>
      <c r="BI6" s="913"/>
      <c r="BJ6" s="913"/>
      <c r="BK6" s="913"/>
      <c r="BL6" s="913"/>
      <c r="BM6" s="913"/>
      <c r="BN6" s="913"/>
      <c r="BO6" s="913"/>
      <c r="BP6" s="913"/>
      <c r="BQ6" s="913"/>
    </row>
    <row r="7" spans="2:263" s="163" customFormat="1" ht="25.15" customHeight="1" x14ac:dyDescent="0.2">
      <c r="B7" s="476"/>
      <c r="C7" s="477" t="s">
        <v>88</v>
      </c>
      <c r="D7" s="167">
        <v>4</v>
      </c>
      <c r="E7" s="167"/>
      <c r="F7" s="167">
        <v>2</v>
      </c>
      <c r="G7" s="167"/>
      <c r="H7" s="167">
        <v>2</v>
      </c>
      <c r="I7" s="167"/>
      <c r="J7" s="167">
        <v>0</v>
      </c>
      <c r="K7" s="167"/>
      <c r="L7" s="167">
        <v>2</v>
      </c>
      <c r="M7" s="167"/>
      <c r="N7" s="167">
        <v>0</v>
      </c>
      <c r="O7" s="167"/>
      <c r="P7" s="351" t="s">
        <v>8</v>
      </c>
      <c r="Q7" s="168"/>
      <c r="R7" s="167">
        <v>1</v>
      </c>
      <c r="S7" s="167"/>
      <c r="T7" s="167">
        <v>938</v>
      </c>
      <c r="U7" s="167"/>
      <c r="V7" s="167">
        <v>49</v>
      </c>
      <c r="W7" s="167"/>
      <c r="X7" s="167">
        <v>518</v>
      </c>
      <c r="Y7" s="167"/>
      <c r="Z7" s="167">
        <v>0</v>
      </c>
      <c r="AA7" s="167"/>
      <c r="AB7" s="167">
        <v>311</v>
      </c>
      <c r="AC7" s="98"/>
      <c r="AD7" s="167">
        <v>0</v>
      </c>
      <c r="AE7" s="167"/>
      <c r="AF7" s="167">
        <v>0</v>
      </c>
      <c r="AG7" s="167"/>
      <c r="AH7" s="167">
        <v>100</v>
      </c>
      <c r="AI7" s="167"/>
      <c r="AJ7" s="167">
        <v>41668</v>
      </c>
      <c r="AK7" s="167"/>
      <c r="AL7" s="167">
        <v>4140</v>
      </c>
      <c r="AM7" s="167"/>
      <c r="AN7" s="167">
        <v>7576</v>
      </c>
      <c r="AO7" s="167"/>
      <c r="AP7" s="167">
        <v>0</v>
      </c>
      <c r="AQ7" s="167"/>
      <c r="AR7" s="167">
        <v>14928</v>
      </c>
      <c r="AS7" s="167"/>
      <c r="AT7" s="167">
        <v>0</v>
      </c>
      <c r="AU7" s="98"/>
      <c r="AV7" s="167">
        <v>0</v>
      </c>
      <c r="AW7" s="167"/>
      <c r="AX7" s="167">
        <v>2400</v>
      </c>
      <c r="AY7" s="98"/>
      <c r="AZ7" s="169"/>
      <c r="BA7" s="169"/>
      <c r="BB7" s="169"/>
      <c r="BC7" s="169"/>
      <c r="BD7" s="169"/>
      <c r="BE7" s="169"/>
      <c r="BF7" s="169"/>
      <c r="BG7" s="169"/>
      <c r="BH7" s="169"/>
      <c r="BI7" s="170"/>
      <c r="BJ7" s="169"/>
      <c r="BK7" s="169"/>
      <c r="BL7" s="169"/>
      <c r="BM7" s="170"/>
      <c r="BN7" s="169"/>
      <c r="BO7" s="171"/>
      <c r="BP7" s="169"/>
      <c r="BQ7" s="172"/>
    </row>
    <row r="8" spans="2:263" s="163" customFormat="1" ht="25.15" customHeight="1" x14ac:dyDescent="0.2">
      <c r="B8" s="476"/>
      <c r="C8" s="478" t="s">
        <v>18</v>
      </c>
      <c r="D8" s="167">
        <v>11</v>
      </c>
      <c r="E8" s="167"/>
      <c r="F8" s="167">
        <v>4</v>
      </c>
      <c r="G8" s="167"/>
      <c r="H8" s="167">
        <v>6</v>
      </c>
      <c r="I8" s="167"/>
      <c r="J8" s="167">
        <v>0</v>
      </c>
      <c r="K8" s="167"/>
      <c r="L8" s="167">
        <v>5</v>
      </c>
      <c r="M8" s="167"/>
      <c r="N8" s="167">
        <v>0</v>
      </c>
      <c r="O8" s="167"/>
      <c r="P8" s="167">
        <v>5</v>
      </c>
      <c r="Q8" s="167"/>
      <c r="R8" s="167">
        <v>0</v>
      </c>
      <c r="S8" s="167"/>
      <c r="T8" s="167">
        <v>7290</v>
      </c>
      <c r="U8" s="167"/>
      <c r="V8" s="167">
        <v>8556</v>
      </c>
      <c r="W8" s="167"/>
      <c r="X8" s="167">
        <v>8280</v>
      </c>
      <c r="Y8" s="167"/>
      <c r="Z8" s="167">
        <v>0</v>
      </c>
      <c r="AA8" s="167"/>
      <c r="AB8" s="167">
        <v>657</v>
      </c>
      <c r="AC8" s="98"/>
      <c r="AD8" s="167">
        <v>0</v>
      </c>
      <c r="AE8" s="167"/>
      <c r="AF8" s="167">
        <v>1560</v>
      </c>
      <c r="AG8" s="167"/>
      <c r="AH8" s="167">
        <v>0</v>
      </c>
      <c r="AI8" s="167"/>
      <c r="AJ8" s="167">
        <v>260808</v>
      </c>
      <c r="AK8" s="167"/>
      <c r="AL8" s="167">
        <v>1000896</v>
      </c>
      <c r="AM8" s="167"/>
      <c r="AN8" s="167">
        <v>74144</v>
      </c>
      <c r="AO8" s="167"/>
      <c r="AP8" s="167">
        <v>0</v>
      </c>
      <c r="AQ8" s="167"/>
      <c r="AR8" s="167">
        <v>5256</v>
      </c>
      <c r="AS8" s="167"/>
      <c r="AT8" s="167">
        <v>0</v>
      </c>
      <c r="AU8" s="98"/>
      <c r="AV8" s="167">
        <v>215616</v>
      </c>
      <c r="AW8" s="167"/>
      <c r="AX8" s="167">
        <v>0</v>
      </c>
      <c r="AY8" s="98"/>
      <c r="AZ8" s="169"/>
      <c r="BA8" s="169"/>
      <c r="BB8" s="169"/>
      <c r="BC8" s="169"/>
      <c r="BD8" s="169"/>
      <c r="BE8" s="169"/>
      <c r="BF8" s="169"/>
      <c r="BG8" s="169"/>
      <c r="BH8" s="169"/>
      <c r="BI8" s="170"/>
      <c r="BJ8" s="169"/>
      <c r="BK8" s="169"/>
      <c r="BL8" s="169"/>
      <c r="BM8" s="170"/>
      <c r="BN8" s="169"/>
      <c r="BO8" s="171"/>
      <c r="BP8" s="169"/>
      <c r="BQ8" s="172"/>
    </row>
    <row r="9" spans="2:263" s="163" customFormat="1" ht="25.15" customHeight="1" x14ac:dyDescent="0.2">
      <c r="B9" s="476"/>
      <c r="C9" s="478" t="s">
        <v>108</v>
      </c>
      <c r="D9" s="167">
        <v>106</v>
      </c>
      <c r="E9" s="167"/>
      <c r="F9" s="167">
        <v>65</v>
      </c>
      <c r="G9" s="167"/>
      <c r="H9" s="167">
        <v>46</v>
      </c>
      <c r="I9" s="167"/>
      <c r="J9" s="167">
        <v>24</v>
      </c>
      <c r="K9" s="167"/>
      <c r="L9" s="167">
        <v>35</v>
      </c>
      <c r="M9" s="167"/>
      <c r="N9" s="167">
        <v>37</v>
      </c>
      <c r="O9" s="167"/>
      <c r="P9" s="167">
        <v>26</v>
      </c>
      <c r="Q9" s="167"/>
      <c r="R9" s="167">
        <v>7</v>
      </c>
      <c r="S9" s="167"/>
      <c r="T9" s="167">
        <v>68662</v>
      </c>
      <c r="U9" s="167"/>
      <c r="V9" s="167">
        <v>47012</v>
      </c>
      <c r="W9" s="167"/>
      <c r="X9" s="167">
        <v>26701</v>
      </c>
      <c r="Y9" s="167"/>
      <c r="Z9" s="167">
        <v>8505</v>
      </c>
      <c r="AA9" s="167"/>
      <c r="AB9" s="167">
        <v>20010</v>
      </c>
      <c r="AC9" s="98"/>
      <c r="AD9" s="167">
        <v>14214</v>
      </c>
      <c r="AE9" s="167"/>
      <c r="AF9" s="167">
        <v>11764</v>
      </c>
      <c r="AG9" s="167"/>
      <c r="AH9" s="167">
        <v>979</v>
      </c>
      <c r="AI9" s="167"/>
      <c r="AJ9" s="167">
        <v>5425686</v>
      </c>
      <c r="AK9" s="167"/>
      <c r="AL9" s="167">
        <v>1965773</v>
      </c>
      <c r="AM9" s="167"/>
      <c r="AN9" s="167">
        <v>654858</v>
      </c>
      <c r="AO9" s="167"/>
      <c r="AP9" s="167">
        <v>418402</v>
      </c>
      <c r="AQ9" s="167"/>
      <c r="AR9" s="167">
        <v>615688</v>
      </c>
      <c r="AS9" s="167"/>
      <c r="AT9" s="167">
        <v>286656</v>
      </c>
      <c r="AU9" s="98"/>
      <c r="AV9" s="167">
        <v>664692</v>
      </c>
      <c r="AW9" s="167"/>
      <c r="AX9" s="167">
        <v>41498</v>
      </c>
      <c r="AY9" s="98"/>
      <c r="AZ9" s="169"/>
      <c r="BA9" s="169"/>
      <c r="BB9" s="169"/>
      <c r="BC9" s="169"/>
      <c r="BD9" s="169"/>
      <c r="BE9" s="169"/>
      <c r="BF9" s="169"/>
      <c r="BG9" s="169"/>
      <c r="BH9" s="169"/>
      <c r="BI9" s="170"/>
      <c r="BJ9" s="169"/>
      <c r="BK9" s="169"/>
      <c r="BL9" s="169"/>
      <c r="BM9" s="170"/>
      <c r="BN9" s="169"/>
      <c r="BO9" s="171"/>
      <c r="BP9" s="169"/>
      <c r="BQ9" s="172"/>
    </row>
    <row r="10" spans="2:263" s="163" customFormat="1" ht="25.15" customHeight="1" x14ac:dyDescent="0.2">
      <c r="B10" s="476"/>
      <c r="C10" s="478" t="s">
        <v>131</v>
      </c>
      <c r="D10" s="167">
        <v>268</v>
      </c>
      <c r="E10" s="167"/>
      <c r="F10" s="167">
        <v>145</v>
      </c>
      <c r="G10" s="167"/>
      <c r="H10" s="167">
        <v>113</v>
      </c>
      <c r="I10" s="167"/>
      <c r="J10" s="167">
        <v>96</v>
      </c>
      <c r="K10" s="167"/>
      <c r="L10" s="167">
        <v>65</v>
      </c>
      <c r="M10" s="167"/>
      <c r="N10" s="167">
        <v>28</v>
      </c>
      <c r="O10" s="167"/>
      <c r="P10" s="167">
        <v>10</v>
      </c>
      <c r="Q10" s="167"/>
      <c r="R10" s="167">
        <v>14</v>
      </c>
      <c r="S10" s="167"/>
      <c r="T10" s="167">
        <v>47364</v>
      </c>
      <c r="U10" s="167"/>
      <c r="V10" s="167">
        <v>32764</v>
      </c>
      <c r="W10" s="167"/>
      <c r="X10" s="167">
        <v>34744</v>
      </c>
      <c r="Y10" s="167"/>
      <c r="Z10" s="167">
        <v>22580</v>
      </c>
      <c r="AA10" s="167"/>
      <c r="AB10" s="167">
        <v>10890</v>
      </c>
      <c r="AC10" s="98"/>
      <c r="AD10" s="167">
        <v>3621</v>
      </c>
      <c r="AE10" s="167"/>
      <c r="AF10" s="167">
        <v>3079</v>
      </c>
      <c r="AG10" s="167"/>
      <c r="AH10" s="167">
        <v>1691</v>
      </c>
      <c r="AI10" s="167"/>
      <c r="AJ10" s="167">
        <v>3748253</v>
      </c>
      <c r="AK10" s="167"/>
      <c r="AL10" s="167">
        <v>2280591</v>
      </c>
      <c r="AM10" s="167"/>
      <c r="AN10" s="167">
        <v>826290</v>
      </c>
      <c r="AO10" s="167"/>
      <c r="AP10" s="167">
        <v>1207762</v>
      </c>
      <c r="AQ10" s="167"/>
      <c r="AR10" s="167">
        <v>641020</v>
      </c>
      <c r="AS10" s="167"/>
      <c r="AT10" s="167">
        <v>307170</v>
      </c>
      <c r="AU10" s="98"/>
      <c r="AV10" s="167">
        <v>178306</v>
      </c>
      <c r="AW10" s="167"/>
      <c r="AX10" s="167">
        <v>19592</v>
      </c>
      <c r="AY10" s="98"/>
      <c r="AZ10" s="169"/>
      <c r="BA10" s="169"/>
      <c r="BB10" s="169"/>
      <c r="BC10" s="169"/>
      <c r="BD10" s="169"/>
      <c r="BE10" s="169"/>
      <c r="BF10" s="169"/>
      <c r="BG10" s="169"/>
      <c r="BH10" s="169"/>
      <c r="BI10" s="170"/>
      <c r="BJ10" s="169"/>
      <c r="BK10" s="169"/>
      <c r="BL10" s="169"/>
      <c r="BM10" s="170"/>
      <c r="BN10" s="169"/>
      <c r="BO10" s="171"/>
      <c r="BP10" s="169"/>
      <c r="BQ10" s="172"/>
    </row>
    <row r="11" spans="2:263" s="163" customFormat="1" ht="25.15" customHeight="1" x14ac:dyDescent="0.2">
      <c r="B11" s="476"/>
      <c r="C11" s="478" t="s">
        <v>89</v>
      </c>
      <c r="D11" s="167">
        <v>26</v>
      </c>
      <c r="E11" s="167"/>
      <c r="F11" s="167">
        <v>17</v>
      </c>
      <c r="G11" s="167"/>
      <c r="H11" s="167">
        <v>10</v>
      </c>
      <c r="I11" s="167"/>
      <c r="J11" s="167">
        <v>4</v>
      </c>
      <c r="K11" s="167"/>
      <c r="L11" s="167">
        <v>21</v>
      </c>
      <c r="M11" s="167"/>
      <c r="N11" s="167">
        <v>7</v>
      </c>
      <c r="O11" s="167"/>
      <c r="P11" s="167">
        <v>1</v>
      </c>
      <c r="Q11" s="167"/>
      <c r="R11" s="167">
        <v>3</v>
      </c>
      <c r="S11" s="167"/>
      <c r="T11" s="167">
        <v>28059</v>
      </c>
      <c r="U11" s="167"/>
      <c r="V11" s="167">
        <v>22363</v>
      </c>
      <c r="W11" s="167"/>
      <c r="X11" s="167">
        <v>6881</v>
      </c>
      <c r="Y11" s="167"/>
      <c r="Z11" s="167">
        <v>2927</v>
      </c>
      <c r="AA11" s="167"/>
      <c r="AB11" s="167">
        <v>13871</v>
      </c>
      <c r="AC11" s="98"/>
      <c r="AD11" s="167">
        <v>1238</v>
      </c>
      <c r="AE11" s="167"/>
      <c r="AF11" s="167">
        <v>320</v>
      </c>
      <c r="AG11" s="167"/>
      <c r="AH11" s="167">
        <v>6261</v>
      </c>
      <c r="AI11" s="167"/>
      <c r="AJ11" s="167">
        <v>882930</v>
      </c>
      <c r="AK11" s="167"/>
      <c r="AL11" s="167">
        <v>2431328</v>
      </c>
      <c r="AM11" s="167"/>
      <c r="AN11" s="167">
        <v>161469</v>
      </c>
      <c r="AO11" s="167"/>
      <c r="AP11" s="167">
        <v>25760</v>
      </c>
      <c r="AQ11" s="167"/>
      <c r="AR11" s="167">
        <v>169948</v>
      </c>
      <c r="AS11" s="167"/>
      <c r="AT11" s="167">
        <v>15048</v>
      </c>
      <c r="AU11" s="98"/>
      <c r="AV11" s="167">
        <v>2560</v>
      </c>
      <c r="AW11" s="167"/>
      <c r="AX11" s="167">
        <v>57944</v>
      </c>
      <c r="AY11" s="98"/>
      <c r="AZ11" s="169"/>
      <c r="BA11" s="169"/>
      <c r="BB11" s="169"/>
      <c r="BC11" s="169"/>
      <c r="BD11" s="169"/>
      <c r="BE11" s="169"/>
      <c r="BF11" s="169"/>
      <c r="BG11" s="169"/>
      <c r="BH11" s="169"/>
      <c r="BI11" s="170"/>
      <c r="BJ11" s="169"/>
      <c r="BK11" s="169"/>
      <c r="BL11" s="169"/>
      <c r="BM11" s="170"/>
      <c r="BN11" s="169"/>
      <c r="BO11" s="171"/>
      <c r="BP11" s="169"/>
      <c r="BQ11" s="172"/>
    </row>
    <row r="12" spans="2:263" s="163" customFormat="1" ht="25.15" customHeight="1" x14ac:dyDescent="0.2">
      <c r="B12" s="476"/>
      <c r="C12" s="478" t="s">
        <v>109</v>
      </c>
      <c r="D12" s="167">
        <v>6</v>
      </c>
      <c r="E12" s="167"/>
      <c r="F12" s="167">
        <v>8</v>
      </c>
      <c r="G12" s="167"/>
      <c r="H12" s="167">
        <v>2</v>
      </c>
      <c r="I12" s="167"/>
      <c r="J12" s="167">
        <v>1</v>
      </c>
      <c r="K12" s="167"/>
      <c r="L12" s="167">
        <v>0</v>
      </c>
      <c r="M12" s="167"/>
      <c r="N12" s="167">
        <v>12</v>
      </c>
      <c r="O12" s="167"/>
      <c r="P12" s="167">
        <f>14+3+1+1+2</f>
        <v>21</v>
      </c>
      <c r="Q12" s="167"/>
      <c r="R12" s="167">
        <v>22</v>
      </c>
      <c r="S12" s="167"/>
      <c r="T12" s="167">
        <v>3538</v>
      </c>
      <c r="U12" s="167"/>
      <c r="V12" s="167">
        <v>2765</v>
      </c>
      <c r="W12" s="167"/>
      <c r="X12" s="167">
        <v>413</v>
      </c>
      <c r="Y12" s="167"/>
      <c r="Z12" s="167">
        <v>221</v>
      </c>
      <c r="AA12" s="167"/>
      <c r="AB12" s="167">
        <v>0</v>
      </c>
      <c r="AC12" s="98"/>
      <c r="AD12" s="167">
        <v>5168</v>
      </c>
      <c r="AE12" s="167"/>
      <c r="AF12" s="167">
        <f>9872+3640+41+1390+120</f>
        <v>15063</v>
      </c>
      <c r="AG12" s="167"/>
      <c r="AH12" s="167">
        <v>6507</v>
      </c>
      <c r="AI12" s="167"/>
      <c r="AJ12" s="167">
        <v>121448</v>
      </c>
      <c r="AK12" s="167"/>
      <c r="AL12" s="167">
        <v>176971</v>
      </c>
      <c r="AM12" s="167"/>
      <c r="AN12" s="167">
        <v>12904</v>
      </c>
      <c r="AO12" s="167"/>
      <c r="AP12" s="167">
        <v>2652</v>
      </c>
      <c r="AQ12" s="167"/>
      <c r="AR12" s="167">
        <v>0</v>
      </c>
      <c r="AS12" s="167"/>
      <c r="AT12" s="167">
        <v>89216</v>
      </c>
      <c r="AU12" s="98"/>
      <c r="AV12" s="167">
        <f>145104+59640+656+11120+2880</f>
        <v>219400</v>
      </c>
      <c r="AW12" s="167"/>
      <c r="AX12" s="167">
        <v>165832</v>
      </c>
      <c r="AY12" s="98"/>
      <c r="AZ12" s="169"/>
      <c r="BA12" s="169"/>
      <c r="BB12" s="169"/>
      <c r="BC12" s="169"/>
      <c r="BD12" s="169"/>
      <c r="BE12" s="169"/>
      <c r="BF12" s="169"/>
      <c r="BG12" s="169"/>
      <c r="BH12" s="169"/>
      <c r="BI12" s="170"/>
      <c r="BJ12" s="169"/>
      <c r="BK12" s="169"/>
      <c r="BL12" s="169"/>
      <c r="BM12" s="170"/>
      <c r="BN12" s="169"/>
      <c r="BO12" s="171"/>
      <c r="BP12" s="169"/>
      <c r="BQ12" s="172"/>
    </row>
    <row r="13" spans="2:263" s="163" customFormat="1" ht="25.15" customHeight="1" x14ac:dyDescent="0.2">
      <c r="B13" s="476"/>
      <c r="C13" s="478" t="s">
        <v>141</v>
      </c>
      <c r="D13" s="167">
        <v>19</v>
      </c>
      <c r="E13" s="167"/>
      <c r="F13" s="167">
        <v>7</v>
      </c>
      <c r="G13" s="167"/>
      <c r="H13" s="167">
        <v>3</v>
      </c>
      <c r="I13" s="167"/>
      <c r="J13" s="167">
        <v>4</v>
      </c>
      <c r="K13" s="167"/>
      <c r="L13" s="167">
        <v>0</v>
      </c>
      <c r="M13" s="167"/>
      <c r="N13" s="167">
        <v>0</v>
      </c>
      <c r="O13" s="167"/>
      <c r="P13" s="167">
        <v>0</v>
      </c>
      <c r="Q13" s="167"/>
      <c r="R13" s="167">
        <v>0</v>
      </c>
      <c r="S13" s="167"/>
      <c r="T13" s="167">
        <v>1302</v>
      </c>
      <c r="U13" s="167"/>
      <c r="V13" s="167">
        <v>882</v>
      </c>
      <c r="W13" s="167"/>
      <c r="X13" s="167">
        <v>354</v>
      </c>
      <c r="Y13" s="167"/>
      <c r="Z13" s="167">
        <v>280</v>
      </c>
      <c r="AA13" s="167"/>
      <c r="AB13" s="167">
        <v>0</v>
      </c>
      <c r="AC13" s="98"/>
      <c r="AD13" s="167">
        <v>0</v>
      </c>
      <c r="AE13" s="167"/>
      <c r="AF13" s="167">
        <v>0</v>
      </c>
      <c r="AG13" s="167"/>
      <c r="AH13" s="167">
        <v>0</v>
      </c>
      <c r="AI13" s="352"/>
      <c r="AJ13" s="167">
        <v>73249</v>
      </c>
      <c r="AK13" s="167"/>
      <c r="AL13" s="167">
        <v>9947</v>
      </c>
      <c r="AM13" s="167"/>
      <c r="AN13" s="167">
        <v>5984</v>
      </c>
      <c r="AO13" s="167"/>
      <c r="AP13" s="167">
        <v>16416</v>
      </c>
      <c r="AQ13" s="167"/>
      <c r="AR13" s="167">
        <v>0</v>
      </c>
      <c r="AS13" s="167"/>
      <c r="AT13" s="167">
        <v>0</v>
      </c>
      <c r="AU13" s="98"/>
      <c r="AV13" s="167">
        <v>0</v>
      </c>
      <c r="AW13" s="167"/>
      <c r="AX13" s="167">
        <v>0</v>
      </c>
      <c r="AY13" s="98"/>
      <c r="AZ13" s="169"/>
      <c r="BA13" s="169"/>
      <c r="BB13" s="169"/>
      <c r="BC13" s="169"/>
      <c r="BD13" s="169"/>
      <c r="BE13" s="169"/>
      <c r="BF13" s="169"/>
      <c r="BG13" s="169"/>
      <c r="BH13" s="169"/>
      <c r="BI13" s="170"/>
      <c r="BJ13" s="169"/>
      <c r="BK13" s="169"/>
      <c r="BL13" s="169"/>
      <c r="BM13" s="170"/>
      <c r="BN13" s="173"/>
      <c r="BO13" s="171"/>
      <c r="BP13" s="169"/>
      <c r="BQ13" s="172"/>
    </row>
    <row r="14" spans="2:263" s="163" customFormat="1" ht="25.15" customHeight="1" x14ac:dyDescent="0.2">
      <c r="B14" s="476"/>
      <c r="C14" s="478" t="s">
        <v>90</v>
      </c>
      <c r="D14" s="167">
        <v>5</v>
      </c>
      <c r="E14" s="167"/>
      <c r="F14" s="352">
        <v>0</v>
      </c>
      <c r="G14" s="352"/>
      <c r="H14" s="167">
        <v>1</v>
      </c>
      <c r="I14" s="167"/>
      <c r="J14" s="167">
        <v>1</v>
      </c>
      <c r="K14" s="167"/>
      <c r="L14" s="167">
        <v>0</v>
      </c>
      <c r="M14" s="167"/>
      <c r="N14" s="167">
        <v>1</v>
      </c>
      <c r="O14" s="167"/>
      <c r="P14" s="167">
        <v>0</v>
      </c>
      <c r="Q14" s="167"/>
      <c r="R14" s="167">
        <v>0</v>
      </c>
      <c r="S14" s="167"/>
      <c r="T14" s="167">
        <v>293</v>
      </c>
      <c r="U14" s="167"/>
      <c r="V14" s="167">
        <v>0</v>
      </c>
      <c r="W14" s="167"/>
      <c r="X14" s="167">
        <v>30</v>
      </c>
      <c r="Y14" s="167"/>
      <c r="Z14" s="167">
        <v>9</v>
      </c>
      <c r="AA14" s="167"/>
      <c r="AB14" s="167">
        <v>0</v>
      </c>
      <c r="AC14" s="98"/>
      <c r="AD14" s="167">
        <v>28</v>
      </c>
      <c r="AE14" s="167"/>
      <c r="AF14" s="167">
        <v>0</v>
      </c>
      <c r="AG14" s="167"/>
      <c r="AH14" s="167">
        <v>0</v>
      </c>
      <c r="AI14" s="167"/>
      <c r="AJ14" s="167">
        <v>4104</v>
      </c>
      <c r="AK14" s="167"/>
      <c r="AL14" s="167">
        <v>0</v>
      </c>
      <c r="AM14" s="167"/>
      <c r="AN14" s="167">
        <v>256</v>
      </c>
      <c r="AO14" s="167"/>
      <c r="AP14" s="167">
        <v>2448</v>
      </c>
      <c r="AQ14" s="167"/>
      <c r="AR14" s="167">
        <v>0</v>
      </c>
      <c r="AS14" s="167"/>
      <c r="AT14" s="167">
        <v>224</v>
      </c>
      <c r="AU14" s="98"/>
      <c r="AV14" s="167">
        <v>0</v>
      </c>
      <c r="AW14" s="167"/>
      <c r="AX14" s="167">
        <v>0</v>
      </c>
      <c r="AY14" s="98"/>
      <c r="AZ14" s="169"/>
      <c r="BA14" s="169"/>
      <c r="BB14" s="169"/>
      <c r="BC14" s="169"/>
      <c r="BD14" s="169"/>
      <c r="BE14" s="169"/>
      <c r="BF14" s="169"/>
      <c r="BG14" s="169"/>
      <c r="BH14" s="169"/>
      <c r="BI14" s="170"/>
      <c r="BJ14" s="169"/>
      <c r="BK14" s="169"/>
      <c r="BL14" s="169"/>
      <c r="BM14" s="170"/>
      <c r="BN14" s="169"/>
      <c r="BO14" s="171"/>
      <c r="BP14" s="169"/>
      <c r="BQ14" s="172"/>
    </row>
    <row r="15" spans="2:263" s="163" customFormat="1" ht="25.15" customHeight="1" x14ac:dyDescent="0.2">
      <c r="B15" s="476"/>
      <c r="C15" s="478" t="s">
        <v>144</v>
      </c>
      <c r="D15" s="167">
        <v>66</v>
      </c>
      <c r="E15" s="167"/>
      <c r="F15" s="167">
        <v>23</v>
      </c>
      <c r="G15" s="167"/>
      <c r="H15" s="167">
        <v>16</v>
      </c>
      <c r="I15" s="167"/>
      <c r="J15" s="167">
        <v>11</v>
      </c>
      <c r="K15" s="167"/>
      <c r="L15" s="167">
        <v>29</v>
      </c>
      <c r="M15" s="167"/>
      <c r="N15" s="167">
        <v>8</v>
      </c>
      <c r="O15" s="167"/>
      <c r="P15" s="167">
        <v>10</v>
      </c>
      <c r="Q15" s="167"/>
      <c r="R15" s="167">
        <v>15</v>
      </c>
      <c r="S15" s="167"/>
      <c r="T15" s="167">
        <v>37095</v>
      </c>
      <c r="U15" s="167"/>
      <c r="V15" s="167">
        <v>11796</v>
      </c>
      <c r="W15" s="167"/>
      <c r="X15" s="167">
        <v>11758</v>
      </c>
      <c r="Y15" s="167"/>
      <c r="Z15" s="167">
        <v>5628</v>
      </c>
      <c r="AA15" s="167"/>
      <c r="AB15" s="167">
        <v>13784</v>
      </c>
      <c r="AC15" s="98"/>
      <c r="AD15" s="167">
        <v>2745</v>
      </c>
      <c r="AE15" s="167"/>
      <c r="AF15" s="167">
        <f>2778+53+344</f>
        <v>3175</v>
      </c>
      <c r="AG15" s="167"/>
      <c r="AH15" s="167">
        <v>3265</v>
      </c>
      <c r="AI15" s="167"/>
      <c r="AJ15" s="167">
        <v>1375765</v>
      </c>
      <c r="AK15" s="167"/>
      <c r="AL15" s="167">
        <v>181758</v>
      </c>
      <c r="AM15" s="167"/>
      <c r="AN15" s="167">
        <v>349162</v>
      </c>
      <c r="AO15" s="167"/>
      <c r="AP15" s="167">
        <v>458420</v>
      </c>
      <c r="AQ15" s="167"/>
      <c r="AR15" s="167">
        <v>431263</v>
      </c>
      <c r="AS15" s="167"/>
      <c r="AT15" s="167">
        <v>318495</v>
      </c>
      <c r="AU15" s="98"/>
      <c r="AV15" s="167">
        <f>75376+848+2752</f>
        <v>78976</v>
      </c>
      <c r="AW15" s="167"/>
      <c r="AX15" s="167">
        <v>27708</v>
      </c>
      <c r="AY15" s="98"/>
      <c r="AZ15" s="169"/>
      <c r="BA15" s="169"/>
      <c r="BB15" s="169"/>
      <c r="BC15" s="169"/>
      <c r="BD15" s="169"/>
      <c r="BE15" s="169"/>
      <c r="BF15" s="169"/>
      <c r="BG15" s="169"/>
      <c r="BH15" s="169"/>
      <c r="BI15" s="170"/>
      <c r="BJ15" s="169"/>
      <c r="BK15" s="169"/>
      <c r="BL15" s="169"/>
      <c r="BM15" s="170"/>
      <c r="BN15" s="169"/>
      <c r="BO15" s="171"/>
      <c r="BP15" s="169"/>
      <c r="BQ15" s="172"/>
    </row>
    <row r="16" spans="2:263" s="163" customFormat="1" ht="25.15" customHeight="1" x14ac:dyDescent="0.2">
      <c r="B16" s="476"/>
      <c r="C16" s="478" t="s">
        <v>110</v>
      </c>
      <c r="D16" s="167">
        <v>44</v>
      </c>
      <c r="E16" s="167"/>
      <c r="F16" s="167">
        <v>11</v>
      </c>
      <c r="G16" s="167"/>
      <c r="H16" s="167">
        <v>6</v>
      </c>
      <c r="I16" s="167"/>
      <c r="J16" s="167">
        <v>1</v>
      </c>
      <c r="K16" s="167"/>
      <c r="L16" s="167">
        <v>1</v>
      </c>
      <c r="M16" s="167"/>
      <c r="N16" s="167">
        <v>0</v>
      </c>
      <c r="O16" s="167"/>
      <c r="P16" s="167">
        <v>0</v>
      </c>
      <c r="Q16" s="167"/>
      <c r="R16" s="167">
        <v>0</v>
      </c>
      <c r="S16" s="167"/>
      <c r="T16" s="167">
        <v>39546</v>
      </c>
      <c r="U16" s="167"/>
      <c r="V16" s="167">
        <v>8684</v>
      </c>
      <c r="W16" s="167"/>
      <c r="X16" s="167">
        <v>2799</v>
      </c>
      <c r="Y16" s="167"/>
      <c r="Z16" s="167">
        <v>31</v>
      </c>
      <c r="AA16" s="167"/>
      <c r="AB16" s="167">
        <v>520</v>
      </c>
      <c r="AC16" s="98"/>
      <c r="AD16" s="167">
        <v>0</v>
      </c>
      <c r="AE16" s="167"/>
      <c r="AF16" s="167">
        <v>0</v>
      </c>
      <c r="AG16" s="167"/>
      <c r="AH16" s="167">
        <v>0</v>
      </c>
      <c r="AI16" s="167"/>
      <c r="AJ16" s="167">
        <v>2741549</v>
      </c>
      <c r="AK16" s="167"/>
      <c r="AL16" s="167">
        <v>377280</v>
      </c>
      <c r="AM16" s="167"/>
      <c r="AN16" s="167">
        <v>33984</v>
      </c>
      <c r="AO16" s="167"/>
      <c r="AP16" s="167">
        <v>496</v>
      </c>
      <c r="AQ16" s="167"/>
      <c r="AR16" s="167">
        <v>4160</v>
      </c>
      <c r="AS16" s="167"/>
      <c r="AT16" s="167">
        <v>0</v>
      </c>
      <c r="AU16" s="98"/>
      <c r="AV16" s="167">
        <v>0</v>
      </c>
      <c r="AW16" s="167"/>
      <c r="AX16" s="167">
        <v>0</v>
      </c>
      <c r="AY16" s="98"/>
      <c r="AZ16" s="169"/>
      <c r="BA16" s="169"/>
      <c r="BB16" s="169"/>
      <c r="BC16" s="169"/>
      <c r="BD16" s="169"/>
      <c r="BE16" s="169"/>
      <c r="BF16" s="169"/>
      <c r="BG16" s="169"/>
      <c r="BH16" s="169"/>
      <c r="BI16" s="170"/>
      <c r="BJ16" s="169"/>
      <c r="BK16" s="169"/>
      <c r="BL16" s="169"/>
      <c r="BM16" s="170"/>
      <c r="BN16" s="169"/>
      <c r="BO16" s="171"/>
      <c r="BP16" s="169"/>
      <c r="BQ16" s="172"/>
    </row>
    <row r="17" spans="2:69" s="163" customFormat="1" ht="25.15" customHeight="1" x14ac:dyDescent="0.2">
      <c r="B17" s="476"/>
      <c r="C17" s="477" t="s">
        <v>91</v>
      </c>
      <c r="D17" s="167">
        <v>7</v>
      </c>
      <c r="E17" s="167"/>
      <c r="F17" s="352">
        <v>0</v>
      </c>
      <c r="G17" s="352"/>
      <c r="H17" s="167">
        <v>0</v>
      </c>
      <c r="I17" s="167"/>
      <c r="J17" s="167">
        <v>0</v>
      </c>
      <c r="K17" s="167"/>
      <c r="L17" s="167">
        <v>0</v>
      </c>
      <c r="M17" s="167"/>
      <c r="N17" s="167">
        <v>1</v>
      </c>
      <c r="O17" s="167"/>
      <c r="P17" s="167">
        <v>0</v>
      </c>
      <c r="Q17" s="167"/>
      <c r="R17" s="167">
        <v>1</v>
      </c>
      <c r="S17" s="167"/>
      <c r="T17" s="167">
        <v>455</v>
      </c>
      <c r="U17" s="167">
        <v>0</v>
      </c>
      <c r="V17" s="167">
        <v>0</v>
      </c>
      <c r="W17" s="167">
        <v>0</v>
      </c>
      <c r="X17" s="167">
        <v>0</v>
      </c>
      <c r="Y17" s="167"/>
      <c r="Z17" s="167">
        <v>0</v>
      </c>
      <c r="AA17" s="167"/>
      <c r="AB17" s="167">
        <v>0</v>
      </c>
      <c r="AC17" s="98"/>
      <c r="AD17" s="167">
        <v>119</v>
      </c>
      <c r="AE17" s="167"/>
      <c r="AF17" s="167">
        <v>0</v>
      </c>
      <c r="AG17" s="167"/>
      <c r="AH17" s="167">
        <v>6</v>
      </c>
      <c r="AI17" s="167"/>
      <c r="AJ17" s="167">
        <v>53736</v>
      </c>
      <c r="AK17" s="167"/>
      <c r="AL17" s="167">
        <v>0</v>
      </c>
      <c r="AM17" s="167">
        <v>0</v>
      </c>
      <c r="AN17" s="167">
        <v>0</v>
      </c>
      <c r="AO17" s="167">
        <v>0</v>
      </c>
      <c r="AP17" s="167">
        <v>0</v>
      </c>
      <c r="AQ17" s="167">
        <v>0</v>
      </c>
      <c r="AR17" s="167">
        <v>0</v>
      </c>
      <c r="AS17" s="167"/>
      <c r="AT17" s="167">
        <v>4760</v>
      </c>
      <c r="AU17" s="98"/>
      <c r="AV17" s="167">
        <v>0</v>
      </c>
      <c r="AW17" s="167"/>
      <c r="AX17" s="167">
        <v>48</v>
      </c>
      <c r="AY17" s="98"/>
      <c r="AZ17" s="169"/>
      <c r="BA17" s="169"/>
      <c r="BB17" s="169"/>
      <c r="BC17" s="169"/>
      <c r="BD17" s="169"/>
      <c r="BE17" s="169"/>
      <c r="BF17" s="169"/>
      <c r="BG17" s="169"/>
      <c r="BH17" s="169"/>
      <c r="BI17" s="170"/>
      <c r="BJ17" s="169"/>
      <c r="BK17" s="169"/>
      <c r="BL17" s="169"/>
      <c r="BM17" s="170"/>
      <c r="BN17" s="169"/>
      <c r="BO17" s="171"/>
      <c r="BP17" s="169"/>
      <c r="BQ17" s="172"/>
    </row>
    <row r="18" spans="2:69" s="163" customFormat="1" ht="25.15" customHeight="1" x14ac:dyDescent="0.2">
      <c r="B18" s="476"/>
      <c r="C18" s="477" t="s">
        <v>111</v>
      </c>
      <c r="D18" s="352">
        <v>2</v>
      </c>
      <c r="E18" s="352"/>
      <c r="F18" s="352">
        <v>0</v>
      </c>
      <c r="G18" s="352"/>
      <c r="H18" s="352">
        <v>0</v>
      </c>
      <c r="I18" s="352"/>
      <c r="J18" s="352">
        <v>0</v>
      </c>
      <c r="K18" s="352"/>
      <c r="L18" s="352">
        <v>0</v>
      </c>
      <c r="M18" s="352"/>
      <c r="N18" s="352">
        <v>0</v>
      </c>
      <c r="O18" s="167"/>
      <c r="P18" s="167">
        <v>0</v>
      </c>
      <c r="Q18" s="167"/>
      <c r="R18" s="167">
        <v>0</v>
      </c>
      <c r="S18" s="167"/>
      <c r="T18" s="167">
        <v>110</v>
      </c>
      <c r="U18" s="167">
        <v>0</v>
      </c>
      <c r="V18" s="167">
        <v>0</v>
      </c>
      <c r="W18" s="167">
        <v>0</v>
      </c>
      <c r="X18" s="167">
        <v>0</v>
      </c>
      <c r="Y18" s="167"/>
      <c r="Z18" s="167">
        <v>0</v>
      </c>
      <c r="AA18" s="167"/>
      <c r="AB18" s="167">
        <v>0</v>
      </c>
      <c r="AC18" s="98"/>
      <c r="AD18" s="167">
        <v>0</v>
      </c>
      <c r="AE18" s="167"/>
      <c r="AF18" s="167">
        <v>0</v>
      </c>
      <c r="AG18" s="167"/>
      <c r="AH18" s="167">
        <v>0</v>
      </c>
      <c r="AI18" s="167"/>
      <c r="AJ18" s="167">
        <v>2320</v>
      </c>
      <c r="AK18" s="167"/>
      <c r="AL18" s="167">
        <v>0</v>
      </c>
      <c r="AM18" s="167">
        <v>0</v>
      </c>
      <c r="AN18" s="167">
        <v>0</v>
      </c>
      <c r="AO18" s="167">
        <v>0</v>
      </c>
      <c r="AP18" s="167">
        <v>0</v>
      </c>
      <c r="AQ18" s="167">
        <v>0</v>
      </c>
      <c r="AR18" s="167">
        <v>0</v>
      </c>
      <c r="AS18" s="167"/>
      <c r="AT18" s="167">
        <v>0</v>
      </c>
      <c r="AU18" s="98"/>
      <c r="AV18" s="167">
        <v>0</v>
      </c>
      <c r="AW18" s="167"/>
      <c r="AX18" s="167">
        <v>0</v>
      </c>
      <c r="AY18" s="98"/>
      <c r="AZ18" s="169"/>
      <c r="BA18" s="169"/>
      <c r="BB18" s="169"/>
      <c r="BC18" s="169"/>
      <c r="BD18" s="169"/>
      <c r="BE18" s="169"/>
      <c r="BF18" s="169"/>
      <c r="BG18" s="169"/>
      <c r="BH18" s="169"/>
      <c r="BI18" s="170"/>
      <c r="BJ18" s="169"/>
      <c r="BK18" s="169"/>
      <c r="BL18" s="169"/>
      <c r="BM18" s="170"/>
      <c r="BN18" s="169"/>
      <c r="BO18" s="171"/>
      <c r="BP18" s="169"/>
      <c r="BQ18" s="172"/>
    </row>
    <row r="19" spans="2:69" s="163" customFormat="1" ht="25.15" customHeight="1" x14ac:dyDescent="0.2">
      <c r="B19" s="476"/>
      <c r="C19" s="478" t="s">
        <v>19</v>
      </c>
      <c r="D19" s="167">
        <v>22</v>
      </c>
      <c r="E19" s="167"/>
      <c r="F19" s="352">
        <v>7</v>
      </c>
      <c r="G19" s="352"/>
      <c r="H19" s="167">
        <v>3</v>
      </c>
      <c r="I19" s="167"/>
      <c r="J19" s="167">
        <v>2</v>
      </c>
      <c r="K19" s="167"/>
      <c r="L19" s="167">
        <v>0</v>
      </c>
      <c r="M19" s="167"/>
      <c r="N19" s="167">
        <v>3</v>
      </c>
      <c r="O19" s="167"/>
      <c r="P19" s="167">
        <v>0</v>
      </c>
      <c r="Q19" s="167"/>
      <c r="R19" s="167">
        <v>0</v>
      </c>
      <c r="S19" s="167"/>
      <c r="T19" s="167">
        <v>2631</v>
      </c>
      <c r="U19" s="167"/>
      <c r="V19" s="167">
        <v>341</v>
      </c>
      <c r="W19" s="167"/>
      <c r="X19" s="167">
        <v>138</v>
      </c>
      <c r="Y19" s="167"/>
      <c r="Z19" s="167">
        <v>237</v>
      </c>
      <c r="AA19" s="167"/>
      <c r="AB19" s="167">
        <v>0</v>
      </c>
      <c r="AC19" s="98"/>
      <c r="AD19" s="167">
        <v>118</v>
      </c>
      <c r="AE19" s="167"/>
      <c r="AF19" s="167">
        <v>0</v>
      </c>
      <c r="AG19" s="167"/>
      <c r="AH19" s="167">
        <v>0</v>
      </c>
      <c r="AI19" s="167"/>
      <c r="AJ19" s="167">
        <v>88698</v>
      </c>
      <c r="AK19" s="167"/>
      <c r="AL19" s="167">
        <v>8968</v>
      </c>
      <c r="AM19" s="167"/>
      <c r="AN19" s="167">
        <v>2864</v>
      </c>
      <c r="AO19" s="167"/>
      <c r="AP19" s="167">
        <v>20600</v>
      </c>
      <c r="AQ19" s="167"/>
      <c r="AR19" s="167">
        <v>0</v>
      </c>
      <c r="AS19" s="167"/>
      <c r="AT19" s="167">
        <v>2872</v>
      </c>
      <c r="AU19" s="98"/>
      <c r="AV19" s="167">
        <v>0</v>
      </c>
      <c r="AW19" s="167"/>
      <c r="AX19" s="167">
        <v>0</v>
      </c>
      <c r="AY19" s="98"/>
      <c r="AZ19" s="169"/>
      <c r="BA19" s="169"/>
      <c r="BB19" s="169"/>
      <c r="BC19" s="169"/>
      <c r="BD19" s="169"/>
      <c r="BE19" s="169"/>
      <c r="BF19" s="169"/>
      <c r="BG19" s="169"/>
      <c r="BH19" s="169"/>
      <c r="BI19" s="170"/>
      <c r="BJ19" s="169"/>
      <c r="BK19" s="169"/>
      <c r="BL19" s="169"/>
      <c r="BM19" s="170"/>
      <c r="BN19" s="169"/>
      <c r="BO19" s="171"/>
      <c r="BP19" s="169"/>
      <c r="BQ19" s="172"/>
    </row>
    <row r="20" spans="2:69" s="163" customFormat="1" ht="25.15" customHeight="1" x14ac:dyDescent="0.2">
      <c r="B20" s="476"/>
      <c r="C20" s="478" t="s">
        <v>46</v>
      </c>
      <c r="D20" s="167">
        <v>8</v>
      </c>
      <c r="E20" s="167"/>
      <c r="F20" s="352">
        <v>4</v>
      </c>
      <c r="G20" s="352"/>
      <c r="H20" s="167">
        <v>1</v>
      </c>
      <c r="I20" s="167"/>
      <c r="J20" s="167">
        <v>0</v>
      </c>
      <c r="K20" s="167"/>
      <c r="L20" s="167">
        <v>2</v>
      </c>
      <c r="M20" s="167"/>
      <c r="N20" s="167">
        <v>0</v>
      </c>
      <c r="O20" s="167"/>
      <c r="P20" s="167">
        <v>0</v>
      </c>
      <c r="Q20" s="167"/>
      <c r="R20" s="167">
        <v>0</v>
      </c>
      <c r="S20" s="167"/>
      <c r="T20" s="167">
        <v>422</v>
      </c>
      <c r="U20" s="167"/>
      <c r="V20" s="167">
        <v>783</v>
      </c>
      <c r="W20" s="167"/>
      <c r="X20" s="167">
        <v>270</v>
      </c>
      <c r="Y20" s="167"/>
      <c r="Z20" s="167">
        <v>0</v>
      </c>
      <c r="AA20" s="167"/>
      <c r="AB20" s="167">
        <v>217</v>
      </c>
      <c r="AC20" s="98"/>
      <c r="AD20" s="167">
        <v>0</v>
      </c>
      <c r="AE20" s="167"/>
      <c r="AF20" s="167">
        <v>0</v>
      </c>
      <c r="AG20" s="167"/>
      <c r="AH20" s="167">
        <v>0</v>
      </c>
      <c r="AI20" s="167"/>
      <c r="AJ20" s="167">
        <v>19384</v>
      </c>
      <c r="AK20" s="167"/>
      <c r="AL20" s="167">
        <v>9634</v>
      </c>
      <c r="AM20" s="167"/>
      <c r="AN20" s="167">
        <v>4320</v>
      </c>
      <c r="AO20" s="167"/>
      <c r="AP20" s="167" t="s">
        <v>8</v>
      </c>
      <c r="AQ20" s="167"/>
      <c r="AR20" s="167">
        <v>2808</v>
      </c>
      <c r="AS20" s="167"/>
      <c r="AT20" s="167">
        <v>0</v>
      </c>
      <c r="AU20" s="98"/>
      <c r="AV20" s="167">
        <v>0</v>
      </c>
      <c r="AW20" s="167"/>
      <c r="AX20" s="167">
        <v>0</v>
      </c>
      <c r="AY20" s="98"/>
      <c r="AZ20" s="169"/>
      <c r="BA20" s="169"/>
      <c r="BB20" s="169"/>
      <c r="BC20" s="169"/>
      <c r="BD20" s="169"/>
      <c r="BE20" s="169"/>
      <c r="BF20" s="169"/>
      <c r="BG20" s="169"/>
      <c r="BH20" s="169"/>
      <c r="BI20" s="170"/>
      <c r="BJ20" s="169"/>
      <c r="BK20" s="169"/>
      <c r="BL20" s="169"/>
      <c r="BM20" s="170"/>
      <c r="BN20" s="169"/>
      <c r="BO20" s="171"/>
      <c r="BP20" s="169"/>
      <c r="BQ20" s="172"/>
    </row>
    <row r="21" spans="2:69" s="163" customFormat="1" ht="25.15" customHeight="1" x14ac:dyDescent="0.2">
      <c r="B21" s="476"/>
      <c r="C21" s="478" t="s">
        <v>142</v>
      </c>
      <c r="D21" s="167">
        <v>18</v>
      </c>
      <c r="E21" s="167"/>
      <c r="F21" s="167">
        <v>21</v>
      </c>
      <c r="G21" s="167"/>
      <c r="H21" s="167">
        <v>9</v>
      </c>
      <c r="I21" s="167"/>
      <c r="J21" s="167">
        <v>7</v>
      </c>
      <c r="K21" s="167"/>
      <c r="L21" s="167">
        <v>8</v>
      </c>
      <c r="M21" s="167"/>
      <c r="N21" s="167">
        <v>5</v>
      </c>
      <c r="O21" s="167"/>
      <c r="P21" s="167">
        <f>3+1</f>
        <v>4</v>
      </c>
      <c r="Q21" s="167"/>
      <c r="R21" s="167">
        <v>3</v>
      </c>
      <c r="S21" s="167"/>
      <c r="T21" s="167">
        <v>2342</v>
      </c>
      <c r="U21" s="167"/>
      <c r="V21" s="167">
        <v>4232</v>
      </c>
      <c r="W21" s="167"/>
      <c r="X21" s="167">
        <v>791</v>
      </c>
      <c r="Y21" s="167"/>
      <c r="Z21" s="167">
        <v>1056</v>
      </c>
      <c r="AA21" s="167"/>
      <c r="AB21" s="167">
        <v>2680</v>
      </c>
      <c r="AC21" s="98"/>
      <c r="AD21" s="167">
        <v>931</v>
      </c>
      <c r="AE21" s="167"/>
      <c r="AF21" s="167">
        <f>1240+41</f>
        <v>1281</v>
      </c>
      <c r="AG21" s="167"/>
      <c r="AH21" s="167">
        <v>387</v>
      </c>
      <c r="AI21" s="167"/>
      <c r="AJ21" s="167">
        <v>82786</v>
      </c>
      <c r="AK21" s="167"/>
      <c r="AL21" s="167">
        <v>109592</v>
      </c>
      <c r="AM21" s="167"/>
      <c r="AN21" s="167">
        <v>17736</v>
      </c>
      <c r="AO21" s="167"/>
      <c r="AP21" s="167">
        <v>14808</v>
      </c>
      <c r="AQ21" s="167"/>
      <c r="AR21" s="167">
        <v>51576</v>
      </c>
      <c r="AS21" s="167"/>
      <c r="AT21" s="167">
        <v>24312</v>
      </c>
      <c r="AU21" s="98"/>
      <c r="AV21" s="167">
        <f>39680+656</f>
        <v>40336</v>
      </c>
      <c r="AW21" s="167"/>
      <c r="AX21" s="167">
        <v>4392</v>
      </c>
      <c r="AY21" s="98"/>
      <c r="AZ21" s="169"/>
      <c r="BA21" s="169"/>
      <c r="BB21" s="169"/>
      <c r="BC21" s="169"/>
      <c r="BD21" s="169"/>
      <c r="BE21" s="169"/>
      <c r="BF21" s="169"/>
      <c r="BG21" s="169"/>
      <c r="BH21" s="169"/>
      <c r="BI21" s="170"/>
      <c r="BJ21" s="169"/>
      <c r="BK21" s="169"/>
      <c r="BL21" s="169"/>
      <c r="BM21" s="170"/>
      <c r="BN21" s="169"/>
      <c r="BO21" s="171"/>
      <c r="BP21" s="169"/>
      <c r="BQ21" s="172"/>
    </row>
    <row r="22" spans="2:69" s="163" customFormat="1" ht="25.15" customHeight="1" x14ac:dyDescent="0.2">
      <c r="B22" s="476"/>
      <c r="C22" s="478" t="s">
        <v>92</v>
      </c>
      <c r="D22" s="167">
        <v>1</v>
      </c>
      <c r="E22" s="167"/>
      <c r="F22" s="167">
        <v>1</v>
      </c>
      <c r="G22" s="167"/>
      <c r="H22" s="167">
        <v>1</v>
      </c>
      <c r="I22" s="167"/>
      <c r="J22" s="167">
        <v>0</v>
      </c>
      <c r="K22" s="167"/>
      <c r="L22" s="167">
        <v>0</v>
      </c>
      <c r="M22" s="167"/>
      <c r="N22" s="167">
        <v>0</v>
      </c>
      <c r="O22" s="167"/>
      <c r="P22" s="351" t="s">
        <v>8</v>
      </c>
      <c r="Q22" s="167"/>
      <c r="R22" s="351" t="s">
        <v>8</v>
      </c>
      <c r="S22" s="167"/>
      <c r="T22" s="167">
        <v>18187</v>
      </c>
      <c r="U22" s="167"/>
      <c r="V22" s="167">
        <v>40501</v>
      </c>
      <c r="W22" s="167"/>
      <c r="X22" s="167">
        <v>20979</v>
      </c>
      <c r="Y22" s="167">
        <v>0</v>
      </c>
      <c r="Z22" s="167">
        <v>0</v>
      </c>
      <c r="AA22" s="167">
        <v>0</v>
      </c>
      <c r="AB22" s="167">
        <v>0</v>
      </c>
      <c r="AC22" s="167">
        <v>0</v>
      </c>
      <c r="AD22" s="167">
        <v>0</v>
      </c>
      <c r="AE22" s="167"/>
      <c r="AF22" s="167">
        <v>0</v>
      </c>
      <c r="AG22" s="167"/>
      <c r="AH22" s="167">
        <v>0</v>
      </c>
      <c r="AI22" s="167"/>
      <c r="AJ22" s="167">
        <v>145496</v>
      </c>
      <c r="AK22" s="167"/>
      <c r="AL22" s="167">
        <v>324008</v>
      </c>
      <c r="AM22" s="167"/>
      <c r="AN22" s="167">
        <v>167832</v>
      </c>
      <c r="AO22" s="167"/>
      <c r="AP22" s="167">
        <v>0</v>
      </c>
      <c r="AQ22" s="167">
        <v>0</v>
      </c>
      <c r="AR22" s="167">
        <v>0</v>
      </c>
      <c r="AS22" s="167">
        <v>0</v>
      </c>
      <c r="AT22" s="167">
        <v>0</v>
      </c>
      <c r="AU22" s="98"/>
      <c r="AV22" s="167">
        <v>0</v>
      </c>
      <c r="AW22" s="167"/>
      <c r="AX22" s="167">
        <v>0</v>
      </c>
      <c r="AY22" s="98"/>
      <c r="AZ22" s="169"/>
      <c r="BA22" s="169"/>
      <c r="BB22" s="169"/>
      <c r="BC22" s="169"/>
      <c r="BD22" s="169"/>
      <c r="BE22" s="169"/>
      <c r="BF22" s="169"/>
      <c r="BG22" s="169"/>
      <c r="BH22" s="169"/>
      <c r="BI22" s="170"/>
      <c r="BJ22" s="169"/>
      <c r="BK22" s="169"/>
      <c r="BL22" s="169"/>
      <c r="BM22" s="170"/>
      <c r="BN22" s="169"/>
      <c r="BO22" s="171"/>
      <c r="BP22" s="169"/>
      <c r="BQ22" s="172"/>
    </row>
    <row r="23" spans="2:69" ht="30" customHeight="1" x14ac:dyDescent="0.2">
      <c r="B23" s="482"/>
      <c r="C23" s="418" t="s">
        <v>6</v>
      </c>
      <c r="D23" s="497">
        <f>SUM(D7:D22)</f>
        <v>613</v>
      </c>
      <c r="E23" s="497"/>
      <c r="F23" s="497">
        <f>SUM(F7:F22)</f>
        <v>315</v>
      </c>
      <c r="G23" s="497"/>
      <c r="H23" s="497">
        <f>SUM(H7:H22)</f>
        <v>219</v>
      </c>
      <c r="I23" s="497"/>
      <c r="J23" s="497">
        <f>SUM(J7:J22)</f>
        <v>151</v>
      </c>
      <c r="K23" s="497"/>
      <c r="L23" s="497">
        <f>SUM(L7:L22)</f>
        <v>168</v>
      </c>
      <c r="M23" s="497"/>
      <c r="N23" s="497">
        <f>SUM(N7:N22)</f>
        <v>102</v>
      </c>
      <c r="O23" s="498"/>
      <c r="P23" s="497">
        <f>SUM(P7:P22)</f>
        <v>77</v>
      </c>
      <c r="Q23" s="498"/>
      <c r="R23" s="501">
        <f>SUM(R7:R22)</f>
        <v>66</v>
      </c>
      <c r="S23" s="482"/>
      <c r="T23" s="497">
        <f>SUM(T7:T22)</f>
        <v>258234</v>
      </c>
      <c r="U23" s="498"/>
      <c r="V23" s="497">
        <f>SUM(V7:V22)</f>
        <v>180728</v>
      </c>
      <c r="W23" s="498"/>
      <c r="X23" s="497">
        <f>SUM(X7:X22)</f>
        <v>114656</v>
      </c>
      <c r="Y23" s="498"/>
      <c r="Z23" s="497">
        <f>SUM(Z7:Z22)</f>
        <v>41474</v>
      </c>
      <c r="AA23" s="498"/>
      <c r="AB23" s="497">
        <f>SUM(AB7:AB22)</f>
        <v>62940</v>
      </c>
      <c r="AC23" s="482"/>
      <c r="AD23" s="497">
        <f>SUM(AD7:AD22)</f>
        <v>28182</v>
      </c>
      <c r="AE23" s="498"/>
      <c r="AF23" s="497">
        <f>SUM(AF7:AF22)</f>
        <v>36242</v>
      </c>
      <c r="AG23" s="482"/>
      <c r="AH23" s="497">
        <f>SUM(AH7:AH22)</f>
        <v>19196</v>
      </c>
      <c r="AI23" s="501"/>
      <c r="AJ23" s="497">
        <f>SUM(AJ7:AJ22)</f>
        <v>15067880</v>
      </c>
      <c r="AK23" s="498"/>
      <c r="AL23" s="497">
        <f>SUM(AL7:AL22)</f>
        <v>8880886</v>
      </c>
      <c r="AM23" s="498"/>
      <c r="AN23" s="497">
        <f>SUM(AN7:AN22)</f>
        <v>2319379</v>
      </c>
      <c r="AO23" s="498"/>
      <c r="AP23" s="497">
        <f>SUM(AP7:AP22)</f>
        <v>2167764</v>
      </c>
      <c r="AQ23" s="498"/>
      <c r="AR23" s="497">
        <f>SUM(AR7:AR22)</f>
        <v>1936647</v>
      </c>
      <c r="AS23" s="498"/>
      <c r="AT23" s="497">
        <f>SUM(AT7:AT22)</f>
        <v>1048753</v>
      </c>
      <c r="AU23" s="482"/>
      <c r="AV23" s="497">
        <f>SUM(AV7:AV22)</f>
        <v>1399886</v>
      </c>
      <c r="AW23" s="498"/>
      <c r="AX23" s="497">
        <f>SUM(AX7:AX22)</f>
        <v>319414</v>
      </c>
      <c r="AY23" s="482"/>
      <c r="AZ23" s="174"/>
      <c r="BA23" s="175"/>
      <c r="BB23" s="174"/>
      <c r="BC23" s="175"/>
      <c r="BD23" s="174"/>
      <c r="BE23" s="175"/>
      <c r="BF23" s="174"/>
      <c r="BG23" s="175"/>
      <c r="BH23" s="174"/>
      <c r="BI23" s="176"/>
      <c r="BJ23" s="174"/>
      <c r="BK23" s="175"/>
      <c r="BL23" s="174"/>
      <c r="BM23" s="176"/>
      <c r="BN23" s="174"/>
      <c r="BO23" s="175"/>
      <c r="BP23" s="174"/>
      <c r="BQ23" s="176"/>
    </row>
    <row r="24" spans="2:69" s="35" customFormat="1" ht="25.15" customHeight="1" x14ac:dyDescent="0.2">
      <c r="B24" s="176"/>
      <c r="C24" s="177"/>
      <c r="D24" s="174"/>
      <c r="E24" s="174"/>
      <c r="F24" s="174"/>
      <c r="G24" s="174"/>
      <c r="H24" s="174"/>
      <c r="I24" s="174"/>
      <c r="J24" s="174"/>
      <c r="K24" s="174"/>
      <c r="L24" s="174"/>
      <c r="M24" s="174"/>
      <c r="N24" s="174"/>
      <c r="O24" s="175"/>
      <c r="P24" s="175"/>
      <c r="Q24" s="175"/>
      <c r="R24" s="174"/>
      <c r="S24" s="175"/>
      <c r="T24" s="174"/>
      <c r="U24" s="176"/>
      <c r="V24" s="174"/>
      <c r="W24" s="174"/>
      <c r="X24" s="174"/>
      <c r="Y24" s="175"/>
      <c r="Z24" s="174"/>
      <c r="AA24" s="175"/>
      <c r="AB24" s="174"/>
      <c r="AC24" s="175"/>
      <c r="AD24" s="174"/>
      <c r="AE24" s="175"/>
      <c r="AF24" s="175"/>
      <c r="AG24" s="175"/>
      <c r="AH24" s="174"/>
      <c r="AI24" s="175"/>
      <c r="AJ24" s="174"/>
      <c r="AK24" s="176"/>
      <c r="AL24" s="174"/>
      <c r="AM24" s="175"/>
      <c r="AN24" s="174"/>
      <c r="AO24" s="176"/>
      <c r="AP24" s="174"/>
      <c r="AQ24" s="174"/>
      <c r="AR24" s="174"/>
      <c r="AS24" s="176"/>
      <c r="AT24" s="174"/>
      <c r="AU24" s="176"/>
      <c r="AV24" s="176"/>
      <c r="AW24" s="176"/>
      <c r="AX24" s="174"/>
      <c r="AY24" s="175"/>
      <c r="AZ24" s="174"/>
      <c r="BA24" s="175"/>
      <c r="BB24" s="174"/>
      <c r="BC24" s="175"/>
      <c r="BD24" s="174"/>
      <c r="BE24" s="175"/>
      <c r="BF24" s="174"/>
      <c r="BG24" s="175"/>
      <c r="BH24" s="174"/>
      <c r="BI24" s="176"/>
      <c r="BJ24" s="174"/>
      <c r="BK24" s="175"/>
      <c r="BL24" s="174"/>
      <c r="BM24" s="176"/>
      <c r="BN24" s="174"/>
      <c r="BO24" s="175"/>
      <c r="BP24" s="174"/>
      <c r="BQ24" s="176"/>
    </row>
    <row r="25" spans="2:69" s="27" customFormat="1" ht="25.15" customHeight="1" x14ac:dyDescent="0.2">
      <c r="B25" s="821" t="s">
        <v>123</v>
      </c>
      <c r="C25" s="829"/>
      <c r="D25" s="823" t="s">
        <v>2</v>
      </c>
      <c r="E25" s="824"/>
      <c r="F25" s="824"/>
      <c r="G25" s="824"/>
      <c r="H25" s="824"/>
      <c r="I25" s="824"/>
      <c r="J25" s="824"/>
      <c r="K25" s="824"/>
      <c r="L25" s="824"/>
      <c r="M25" s="824"/>
      <c r="N25" s="824"/>
      <c r="O25" s="824"/>
      <c r="P25" s="824"/>
      <c r="Q25" s="824"/>
      <c r="R25" s="824"/>
      <c r="S25" s="824"/>
      <c r="T25" s="823" t="s">
        <v>15</v>
      </c>
      <c r="U25" s="824"/>
      <c r="V25" s="824"/>
      <c r="W25" s="824"/>
      <c r="X25" s="824"/>
      <c r="Y25" s="824"/>
      <c r="Z25" s="824"/>
      <c r="AA25" s="824"/>
      <c r="AB25" s="824"/>
      <c r="AC25" s="824"/>
      <c r="AD25" s="824"/>
      <c r="AE25" s="824"/>
      <c r="AF25" s="824"/>
      <c r="AG25" s="824"/>
      <c r="AH25" s="824"/>
      <c r="AI25" s="824"/>
      <c r="AJ25" s="823" t="s">
        <v>12</v>
      </c>
      <c r="AK25" s="824"/>
      <c r="AL25" s="824"/>
      <c r="AM25" s="824"/>
      <c r="AN25" s="824"/>
      <c r="AO25" s="824"/>
      <c r="AP25" s="824"/>
      <c r="AQ25" s="824"/>
      <c r="AR25" s="824"/>
      <c r="AS25" s="824"/>
      <c r="AT25" s="824"/>
      <c r="AU25" s="824"/>
      <c r="AV25" s="824"/>
      <c r="AW25" s="824"/>
      <c r="AX25" s="824"/>
      <c r="AY25" s="824"/>
      <c r="AZ25" s="166"/>
      <c r="BA25" s="166"/>
      <c r="BB25" s="166"/>
      <c r="BC25" s="166"/>
      <c r="BD25" s="166"/>
      <c r="BE25" s="166"/>
      <c r="BF25" s="166"/>
      <c r="BG25" s="166"/>
      <c r="BH25" s="166"/>
      <c r="BI25" s="166"/>
      <c r="BJ25" s="166"/>
      <c r="BK25" s="166"/>
      <c r="BL25" s="166"/>
      <c r="BM25" s="166"/>
      <c r="BN25" s="166"/>
      <c r="BO25" s="166"/>
      <c r="BP25" s="166"/>
      <c r="BQ25" s="166"/>
    </row>
    <row r="26" spans="2:69" s="27" customFormat="1" ht="25.15" customHeight="1" x14ac:dyDescent="0.2">
      <c r="B26" s="821"/>
      <c r="C26" s="829"/>
      <c r="D26" s="356">
        <v>1998</v>
      </c>
      <c r="E26" s="357"/>
      <c r="F26" s="357">
        <v>1999</v>
      </c>
      <c r="G26" s="357"/>
      <c r="H26" s="357">
        <v>2000</v>
      </c>
      <c r="I26" s="357"/>
      <c r="J26" s="357">
        <v>2001</v>
      </c>
      <c r="K26" s="357"/>
      <c r="L26" s="835">
        <v>2002</v>
      </c>
      <c r="M26" s="835"/>
      <c r="N26" s="835">
        <v>2003</v>
      </c>
      <c r="O26" s="835"/>
      <c r="P26" s="835">
        <v>2004</v>
      </c>
      <c r="Q26" s="835"/>
      <c r="R26" s="835">
        <v>2005</v>
      </c>
      <c r="S26" s="835"/>
      <c r="T26" s="356">
        <v>1998</v>
      </c>
      <c r="U26" s="357"/>
      <c r="V26" s="357">
        <v>1999</v>
      </c>
      <c r="W26" s="357"/>
      <c r="X26" s="357">
        <v>2000</v>
      </c>
      <c r="Y26" s="357"/>
      <c r="Z26" s="357">
        <v>2001</v>
      </c>
      <c r="AA26" s="357"/>
      <c r="AB26" s="835">
        <v>2002</v>
      </c>
      <c r="AC26" s="835"/>
      <c r="AD26" s="835">
        <v>2003</v>
      </c>
      <c r="AE26" s="835"/>
      <c r="AF26" s="835">
        <v>2004</v>
      </c>
      <c r="AG26" s="835"/>
      <c r="AH26" s="835">
        <v>2005</v>
      </c>
      <c r="AI26" s="835"/>
      <c r="AJ26" s="356">
        <v>1998</v>
      </c>
      <c r="AK26" s="357"/>
      <c r="AL26" s="357">
        <v>1999</v>
      </c>
      <c r="AM26" s="357"/>
      <c r="AN26" s="357">
        <v>2000</v>
      </c>
      <c r="AO26" s="357"/>
      <c r="AP26" s="357">
        <v>2001</v>
      </c>
      <c r="AQ26" s="357"/>
      <c r="AR26" s="835">
        <v>2002</v>
      </c>
      <c r="AS26" s="835"/>
      <c r="AT26" s="835">
        <v>2003</v>
      </c>
      <c r="AU26" s="835"/>
      <c r="AV26" s="835">
        <v>2004</v>
      </c>
      <c r="AW26" s="835"/>
      <c r="AX26" s="835">
        <v>2005</v>
      </c>
      <c r="AY26" s="835"/>
      <c r="AZ26" s="913"/>
      <c r="BA26" s="913"/>
      <c r="BB26" s="913"/>
      <c r="BC26" s="913"/>
      <c r="BD26" s="913"/>
      <c r="BE26" s="913"/>
      <c r="BF26" s="913"/>
      <c r="BG26" s="913"/>
      <c r="BH26" s="913"/>
      <c r="BI26" s="913"/>
      <c r="BJ26" s="913"/>
      <c r="BK26" s="913"/>
      <c r="BL26" s="913"/>
      <c r="BM26" s="913"/>
      <c r="BN26" s="913"/>
      <c r="BO26" s="913"/>
      <c r="BP26" s="913"/>
      <c r="BQ26" s="913"/>
    </row>
    <row r="27" spans="2:69" s="163" customFormat="1" ht="25.15" customHeight="1" x14ac:dyDescent="0.2">
      <c r="B27" s="476"/>
      <c r="C27" s="477" t="s">
        <v>88</v>
      </c>
      <c r="D27" s="167">
        <v>0</v>
      </c>
      <c r="E27" s="167"/>
      <c r="F27" s="167">
        <v>1</v>
      </c>
      <c r="G27" s="167"/>
      <c r="H27" s="167">
        <v>0</v>
      </c>
      <c r="I27" s="167"/>
      <c r="J27" s="98">
        <v>2</v>
      </c>
      <c r="K27" s="98"/>
      <c r="L27" s="98">
        <v>1</v>
      </c>
      <c r="M27" s="98"/>
      <c r="N27" s="167">
        <v>2</v>
      </c>
      <c r="O27" s="98"/>
      <c r="P27" s="98">
        <v>1</v>
      </c>
      <c r="Q27" s="98"/>
      <c r="R27" s="167">
        <v>0</v>
      </c>
      <c r="S27" s="98"/>
      <c r="T27" s="167">
        <v>0</v>
      </c>
      <c r="V27" s="167">
        <v>52</v>
      </c>
      <c r="X27" s="167">
        <v>0</v>
      </c>
      <c r="Y27" s="167"/>
      <c r="Z27" s="178">
        <v>1303</v>
      </c>
      <c r="AA27" s="98"/>
      <c r="AB27" s="167">
        <v>67</v>
      </c>
      <c r="AC27" s="98"/>
      <c r="AD27" s="167">
        <v>400</v>
      </c>
      <c r="AE27" s="98"/>
      <c r="AF27" s="167">
        <v>139</v>
      </c>
      <c r="AG27" s="98"/>
      <c r="AH27" s="167">
        <v>0</v>
      </c>
      <c r="AI27" s="98"/>
      <c r="AJ27" s="167">
        <v>0</v>
      </c>
      <c r="AK27" s="358"/>
      <c r="AL27" s="167">
        <v>7488</v>
      </c>
      <c r="AN27" s="167">
        <v>0</v>
      </c>
      <c r="AO27" s="98"/>
      <c r="AP27" s="178">
        <v>207616</v>
      </c>
      <c r="AQ27" s="167"/>
      <c r="AR27" s="98">
        <v>536</v>
      </c>
      <c r="AS27" s="98"/>
      <c r="AT27" s="179">
        <v>2000</v>
      </c>
      <c r="AU27" s="98"/>
      <c r="AV27" s="167">
        <v>1112</v>
      </c>
      <c r="AW27" s="98"/>
      <c r="AX27" s="167">
        <v>0</v>
      </c>
      <c r="AY27" s="98"/>
      <c r="AZ27" s="169"/>
      <c r="BA27" s="169"/>
      <c r="BB27" s="169"/>
      <c r="BC27" s="169"/>
      <c r="BD27" s="169"/>
      <c r="BE27" s="169"/>
      <c r="BF27" s="169"/>
      <c r="BG27" s="169"/>
      <c r="BH27" s="169"/>
      <c r="BI27" s="170"/>
      <c r="BJ27" s="169"/>
      <c r="BK27" s="169"/>
      <c r="BL27" s="169"/>
      <c r="BM27" s="170"/>
      <c r="BN27" s="169"/>
      <c r="BO27" s="171"/>
      <c r="BP27" s="169"/>
      <c r="BQ27" s="172"/>
    </row>
    <row r="28" spans="2:69" s="163" customFormat="1" ht="25.15" customHeight="1" x14ac:dyDescent="0.2">
      <c r="B28" s="476"/>
      <c r="C28" s="478" t="s">
        <v>18</v>
      </c>
      <c r="D28" s="167">
        <v>0</v>
      </c>
      <c r="E28" s="167"/>
      <c r="F28" s="167">
        <v>3</v>
      </c>
      <c r="G28" s="167"/>
      <c r="H28" s="167">
        <v>0</v>
      </c>
      <c r="I28" s="167"/>
      <c r="J28" s="351" t="s">
        <v>8</v>
      </c>
      <c r="K28" s="351"/>
      <c r="L28" s="351" t="s">
        <v>8</v>
      </c>
      <c r="M28" s="351"/>
      <c r="N28" s="351" t="s">
        <v>8</v>
      </c>
      <c r="O28" s="98"/>
      <c r="P28" s="167">
        <v>0</v>
      </c>
      <c r="Q28" s="98"/>
      <c r="R28" s="167">
        <v>0</v>
      </c>
      <c r="S28" s="98"/>
      <c r="T28" s="167">
        <v>0</v>
      </c>
      <c r="V28" s="167">
        <v>912</v>
      </c>
      <c r="X28" s="167">
        <v>0</v>
      </c>
      <c r="Y28" s="167"/>
      <c r="Z28" s="179" t="s">
        <v>8</v>
      </c>
      <c r="AA28" s="98"/>
      <c r="AB28" s="167">
        <v>0</v>
      </c>
      <c r="AC28" s="98"/>
      <c r="AD28" s="351" t="s">
        <v>8</v>
      </c>
      <c r="AE28" s="98"/>
      <c r="AF28" s="167">
        <v>0</v>
      </c>
      <c r="AG28" s="98"/>
      <c r="AH28" s="167">
        <v>0</v>
      </c>
      <c r="AI28" s="98"/>
      <c r="AJ28" s="167">
        <v>0</v>
      </c>
      <c r="AK28" s="358"/>
      <c r="AL28" s="167">
        <v>8448</v>
      </c>
      <c r="AN28" s="167">
        <v>0</v>
      </c>
      <c r="AO28" s="98"/>
      <c r="AP28" s="179" t="s">
        <v>8</v>
      </c>
      <c r="AQ28" s="167"/>
      <c r="AR28" s="179" t="s">
        <v>8</v>
      </c>
      <c r="AS28" s="179"/>
      <c r="AT28" s="179" t="s">
        <v>8</v>
      </c>
      <c r="AU28" s="98"/>
      <c r="AV28" s="167">
        <v>0</v>
      </c>
      <c r="AW28" s="98"/>
      <c r="AX28" s="167">
        <v>0</v>
      </c>
      <c r="AY28" s="98"/>
      <c r="AZ28" s="169"/>
      <c r="BA28" s="169"/>
      <c r="BB28" s="169"/>
      <c r="BC28" s="169"/>
      <c r="BD28" s="169"/>
      <c r="BE28" s="169"/>
      <c r="BF28" s="169"/>
      <c r="BG28" s="169"/>
      <c r="BH28" s="169"/>
      <c r="BI28" s="170"/>
      <c r="BJ28" s="169"/>
      <c r="BK28" s="169"/>
      <c r="BL28" s="169"/>
      <c r="BM28" s="170"/>
      <c r="BN28" s="169"/>
      <c r="BO28" s="171"/>
      <c r="BP28" s="169"/>
      <c r="BQ28" s="172"/>
    </row>
    <row r="29" spans="2:69" s="163" customFormat="1" ht="25.15" customHeight="1" x14ac:dyDescent="0.2">
      <c r="B29" s="476"/>
      <c r="C29" s="478" t="s">
        <v>108</v>
      </c>
      <c r="D29" s="167">
        <v>12</v>
      </c>
      <c r="E29" s="167"/>
      <c r="F29" s="167">
        <v>12</v>
      </c>
      <c r="G29" s="167"/>
      <c r="H29" s="167">
        <v>9</v>
      </c>
      <c r="I29" s="167"/>
      <c r="J29" s="98">
        <v>15</v>
      </c>
      <c r="K29" s="98"/>
      <c r="L29" s="98">
        <v>20</v>
      </c>
      <c r="M29" s="98"/>
      <c r="N29" s="98">
        <v>4</v>
      </c>
      <c r="O29" s="98"/>
      <c r="P29" s="167">
        <v>21</v>
      </c>
      <c r="Q29" s="98"/>
      <c r="R29" s="167">
        <v>12</v>
      </c>
      <c r="S29" s="98"/>
      <c r="T29" s="167">
        <v>2578</v>
      </c>
      <c r="V29" s="167">
        <v>3369</v>
      </c>
      <c r="X29" s="167">
        <v>1323</v>
      </c>
      <c r="Y29" s="167"/>
      <c r="Z29" s="178">
        <v>2121</v>
      </c>
      <c r="AA29" s="98"/>
      <c r="AB29" s="167">
        <v>7712</v>
      </c>
      <c r="AC29" s="98"/>
      <c r="AD29" s="167">
        <v>1554</v>
      </c>
      <c r="AE29" s="98"/>
      <c r="AF29" s="167">
        <v>9020</v>
      </c>
      <c r="AG29" s="98"/>
      <c r="AH29" s="167">
        <v>3475</v>
      </c>
      <c r="AI29" s="98"/>
      <c r="AJ29" s="167">
        <v>76288</v>
      </c>
      <c r="AK29" s="358"/>
      <c r="AL29" s="167">
        <v>63309</v>
      </c>
      <c r="AN29" s="167">
        <v>18576</v>
      </c>
      <c r="AO29" s="98"/>
      <c r="AP29" s="178">
        <v>70008</v>
      </c>
      <c r="AQ29" s="167"/>
      <c r="AR29" s="179">
        <v>376768</v>
      </c>
      <c r="AS29" s="179"/>
      <c r="AT29" s="179">
        <v>43200</v>
      </c>
      <c r="AU29" s="98"/>
      <c r="AV29" s="167">
        <v>179184</v>
      </c>
      <c r="AW29" s="98"/>
      <c r="AX29" s="167">
        <v>118808</v>
      </c>
      <c r="AY29" s="98"/>
      <c r="AZ29" s="169"/>
      <c r="BA29" s="169"/>
      <c r="BB29" s="169"/>
      <c r="BC29" s="169"/>
      <c r="BD29" s="169"/>
      <c r="BE29" s="169"/>
      <c r="BF29" s="169"/>
      <c r="BG29" s="169"/>
      <c r="BH29" s="169"/>
      <c r="BI29" s="170"/>
      <c r="BJ29" s="169"/>
      <c r="BK29" s="169"/>
      <c r="BL29" s="169"/>
      <c r="BM29" s="170"/>
      <c r="BN29" s="169"/>
      <c r="BO29" s="171"/>
      <c r="BP29" s="169"/>
      <c r="BQ29" s="172"/>
    </row>
    <row r="30" spans="2:69" s="163" customFormat="1" ht="25.15" customHeight="1" x14ac:dyDescent="0.2">
      <c r="B30" s="476"/>
      <c r="C30" s="478" t="s">
        <v>131</v>
      </c>
      <c r="D30" s="167">
        <v>15</v>
      </c>
      <c r="E30" s="167"/>
      <c r="F30" s="167">
        <v>17</v>
      </c>
      <c r="G30" s="167"/>
      <c r="H30" s="167">
        <v>7</v>
      </c>
      <c r="I30" s="167"/>
      <c r="J30" s="98">
        <v>11</v>
      </c>
      <c r="K30" s="98"/>
      <c r="L30" s="98">
        <v>10</v>
      </c>
      <c r="M30" s="98"/>
      <c r="N30" s="98">
        <v>21</v>
      </c>
      <c r="O30" s="98"/>
      <c r="P30" s="167">
        <v>26</v>
      </c>
      <c r="Q30" s="98"/>
      <c r="R30" s="167">
        <v>7</v>
      </c>
      <c r="S30" s="98"/>
      <c r="T30" s="167">
        <v>1698</v>
      </c>
      <c r="V30" s="167">
        <v>1690</v>
      </c>
      <c r="X30" s="167">
        <v>1220</v>
      </c>
      <c r="Y30" s="167"/>
      <c r="Z30" s="178">
        <v>6128</v>
      </c>
      <c r="AA30" s="98"/>
      <c r="AB30" s="167">
        <v>3583</v>
      </c>
      <c r="AC30" s="98"/>
      <c r="AD30" s="167">
        <v>9099</v>
      </c>
      <c r="AE30" s="98"/>
      <c r="AF30" s="167">
        <v>7208</v>
      </c>
      <c r="AG30" s="98"/>
      <c r="AH30" s="167">
        <v>4684</v>
      </c>
      <c r="AI30" s="98"/>
      <c r="AJ30" s="167">
        <v>110704</v>
      </c>
      <c r="AK30" s="358"/>
      <c r="AL30" s="167">
        <v>18647</v>
      </c>
      <c r="AN30" s="167">
        <v>19327</v>
      </c>
      <c r="AO30" s="98"/>
      <c r="AP30" s="178">
        <v>175626</v>
      </c>
      <c r="AQ30" s="167"/>
      <c r="AR30" s="179">
        <v>135872</v>
      </c>
      <c r="AS30" s="179"/>
      <c r="AT30" s="179">
        <v>163368</v>
      </c>
      <c r="AU30" s="98"/>
      <c r="AV30" s="167">
        <v>283040</v>
      </c>
      <c r="AW30" s="98"/>
      <c r="AX30" s="167">
        <v>56712</v>
      </c>
      <c r="AY30" s="98"/>
      <c r="AZ30" s="169"/>
      <c r="BA30" s="169"/>
      <c r="BB30" s="169"/>
      <c r="BC30" s="169"/>
      <c r="BD30" s="169"/>
      <c r="BE30" s="169"/>
      <c r="BF30" s="169"/>
      <c r="BG30" s="169"/>
      <c r="BH30" s="169"/>
      <c r="BI30" s="170"/>
      <c r="BJ30" s="169"/>
      <c r="BK30" s="169"/>
      <c r="BL30" s="169"/>
      <c r="BM30" s="170"/>
      <c r="BN30" s="169"/>
      <c r="BO30" s="171"/>
      <c r="BP30" s="169"/>
      <c r="BQ30" s="172"/>
    </row>
    <row r="31" spans="2:69" s="163" customFormat="1" ht="25.15" customHeight="1" x14ac:dyDescent="0.2">
      <c r="B31" s="476"/>
      <c r="C31" s="478" t="s">
        <v>89</v>
      </c>
      <c r="D31" s="167">
        <v>2</v>
      </c>
      <c r="E31" s="167"/>
      <c r="F31" s="167">
        <v>1</v>
      </c>
      <c r="G31" s="167"/>
      <c r="H31" s="167">
        <v>5</v>
      </c>
      <c r="I31" s="167"/>
      <c r="J31" s="353" t="s">
        <v>8</v>
      </c>
      <c r="K31" s="98"/>
      <c r="L31" s="98">
        <v>4</v>
      </c>
      <c r="M31" s="98"/>
      <c r="N31" s="98">
        <v>8</v>
      </c>
      <c r="O31" s="98"/>
      <c r="P31" s="167">
        <v>16</v>
      </c>
      <c r="Q31" s="98"/>
      <c r="R31" s="167">
        <v>14</v>
      </c>
      <c r="S31" s="98"/>
      <c r="T31" s="167">
        <v>52</v>
      </c>
      <c r="V31" s="167">
        <v>31</v>
      </c>
      <c r="X31" s="167">
        <v>514</v>
      </c>
      <c r="Y31" s="167"/>
      <c r="Z31" s="180" t="s">
        <v>8</v>
      </c>
      <c r="AA31" s="98"/>
      <c r="AB31" s="167">
        <v>1724</v>
      </c>
      <c r="AC31" s="98"/>
      <c r="AD31" s="167">
        <v>768</v>
      </c>
      <c r="AE31" s="98"/>
      <c r="AF31" s="167">
        <v>3761</v>
      </c>
      <c r="AG31" s="98"/>
      <c r="AH31" s="167">
        <v>2387</v>
      </c>
      <c r="AI31" s="98"/>
      <c r="AJ31" s="167">
        <v>956</v>
      </c>
      <c r="AK31" s="358"/>
      <c r="AL31" s="167">
        <v>188</v>
      </c>
      <c r="AN31" s="167">
        <v>4900</v>
      </c>
      <c r="AO31" s="98"/>
      <c r="AP31" s="180" t="s">
        <v>8</v>
      </c>
      <c r="AQ31" s="167"/>
      <c r="AR31" s="179">
        <v>13792</v>
      </c>
      <c r="AS31" s="179"/>
      <c r="AT31" s="179">
        <v>4774</v>
      </c>
      <c r="AU31" s="98"/>
      <c r="AV31" s="167">
        <v>31848</v>
      </c>
      <c r="AW31" s="98"/>
      <c r="AX31" s="167">
        <v>22064</v>
      </c>
      <c r="AY31" s="98"/>
      <c r="AZ31" s="169"/>
      <c r="BA31" s="169"/>
      <c r="BB31" s="169"/>
      <c r="BC31" s="169"/>
      <c r="BD31" s="169"/>
      <c r="BE31" s="169"/>
      <c r="BF31" s="169"/>
      <c r="BG31" s="169"/>
      <c r="BH31" s="169"/>
      <c r="BI31" s="170"/>
      <c r="BJ31" s="169"/>
      <c r="BK31" s="169"/>
      <c r="BL31" s="169"/>
      <c r="BM31" s="170"/>
      <c r="BN31" s="169"/>
      <c r="BO31" s="171"/>
      <c r="BP31" s="169"/>
      <c r="BQ31" s="172"/>
    </row>
    <row r="32" spans="2:69" s="163" customFormat="1" ht="25.15" customHeight="1" x14ac:dyDescent="0.2">
      <c r="B32" s="476"/>
      <c r="C32" s="478" t="s">
        <v>109</v>
      </c>
      <c r="D32" s="167">
        <v>14</v>
      </c>
      <c r="E32" s="167"/>
      <c r="F32" s="167">
        <v>13</v>
      </c>
      <c r="G32" s="167"/>
      <c r="H32" s="167">
        <v>6</v>
      </c>
      <c r="I32" s="167"/>
      <c r="J32" s="98">
        <v>9</v>
      </c>
      <c r="K32" s="98"/>
      <c r="L32" s="98">
        <v>4</v>
      </c>
      <c r="M32" s="98"/>
      <c r="N32" s="98">
        <v>6</v>
      </c>
      <c r="O32" s="98"/>
      <c r="P32" s="167">
        <v>5</v>
      </c>
      <c r="Q32" s="98"/>
      <c r="R32" s="167">
        <v>4</v>
      </c>
      <c r="S32" s="98"/>
      <c r="T32" s="167">
        <v>10075</v>
      </c>
      <c r="V32" s="167">
        <v>6398</v>
      </c>
      <c r="X32" s="167">
        <v>1175</v>
      </c>
      <c r="Y32" s="167"/>
      <c r="Z32" s="178">
        <v>1359</v>
      </c>
      <c r="AA32" s="98"/>
      <c r="AB32" s="167">
        <v>3306</v>
      </c>
      <c r="AC32" s="98"/>
      <c r="AD32" s="167">
        <v>19047</v>
      </c>
      <c r="AE32" s="98"/>
      <c r="AF32" s="167">
        <v>569</v>
      </c>
      <c r="AG32" s="98"/>
      <c r="AH32" s="167">
        <v>882</v>
      </c>
      <c r="AI32" s="98"/>
      <c r="AJ32" s="167">
        <v>105153</v>
      </c>
      <c r="AK32" s="358"/>
      <c r="AL32" s="167">
        <v>62860</v>
      </c>
      <c r="AN32" s="167">
        <v>17264</v>
      </c>
      <c r="AO32" s="98"/>
      <c r="AP32" s="178">
        <v>34568</v>
      </c>
      <c r="AQ32" s="167"/>
      <c r="AR32" s="179">
        <v>94880</v>
      </c>
      <c r="AS32" s="179"/>
      <c r="AT32" s="179">
        <v>577112</v>
      </c>
      <c r="AU32" s="98"/>
      <c r="AV32" s="167">
        <v>7544</v>
      </c>
      <c r="AW32" s="98"/>
      <c r="AX32" s="167">
        <v>16112</v>
      </c>
      <c r="AY32" s="98"/>
      <c r="AZ32" s="169"/>
      <c r="BA32" s="169"/>
      <c r="BB32" s="169"/>
      <c r="BC32" s="169"/>
      <c r="BD32" s="169"/>
      <c r="BE32" s="169"/>
      <c r="BF32" s="169"/>
      <c r="BG32" s="169"/>
      <c r="BH32" s="169"/>
      <c r="BI32" s="170"/>
      <c r="BJ32" s="169"/>
      <c r="BK32" s="169"/>
      <c r="BL32" s="169"/>
      <c r="BM32" s="170"/>
      <c r="BN32" s="169"/>
      <c r="BO32" s="171"/>
      <c r="BP32" s="169"/>
      <c r="BQ32" s="172"/>
    </row>
    <row r="33" spans="2:69" s="163" customFormat="1" ht="25.15" customHeight="1" x14ac:dyDescent="0.2">
      <c r="B33" s="476"/>
      <c r="C33" s="478" t="s">
        <v>141</v>
      </c>
      <c r="D33" s="352">
        <v>0</v>
      </c>
      <c r="E33" s="352"/>
      <c r="F33" s="352">
        <v>0</v>
      </c>
      <c r="G33" s="352"/>
      <c r="H33" s="167">
        <v>0</v>
      </c>
      <c r="I33" s="167"/>
      <c r="J33" s="354" t="s">
        <v>8</v>
      </c>
      <c r="K33" s="98"/>
      <c r="L33" s="354" t="s">
        <v>8</v>
      </c>
      <c r="M33" s="98"/>
      <c r="N33" s="98">
        <v>2</v>
      </c>
      <c r="O33" s="98"/>
      <c r="P33" s="167">
        <v>0</v>
      </c>
      <c r="Q33" s="98"/>
      <c r="R33" s="167">
        <v>0</v>
      </c>
      <c r="S33" s="98"/>
      <c r="T33" s="352">
        <v>0</v>
      </c>
      <c r="V33" s="167">
        <v>0</v>
      </c>
      <c r="X33" s="167">
        <v>0</v>
      </c>
      <c r="Y33" s="167"/>
      <c r="Z33" s="179" t="s">
        <v>8</v>
      </c>
      <c r="AA33" s="98"/>
      <c r="AB33" s="167">
        <v>0</v>
      </c>
      <c r="AC33" s="98"/>
      <c r="AD33" s="167">
        <v>13</v>
      </c>
      <c r="AE33" s="98"/>
      <c r="AF33" s="167">
        <v>0</v>
      </c>
      <c r="AG33" s="98"/>
      <c r="AH33" s="167">
        <v>0</v>
      </c>
      <c r="AI33" s="98"/>
      <c r="AJ33" s="352">
        <v>0</v>
      </c>
      <c r="AK33" s="358"/>
      <c r="AL33" s="167">
        <v>0</v>
      </c>
      <c r="AN33" s="167">
        <v>0</v>
      </c>
      <c r="AO33" s="98"/>
      <c r="AP33" s="179" t="s">
        <v>8</v>
      </c>
      <c r="AQ33" s="167"/>
      <c r="AR33" s="179" t="s">
        <v>8</v>
      </c>
      <c r="AS33" s="179"/>
      <c r="AT33" s="179">
        <v>776</v>
      </c>
      <c r="AU33" s="98"/>
      <c r="AV33" s="167">
        <v>0</v>
      </c>
      <c r="AW33" s="98"/>
      <c r="AX33" s="167">
        <v>0</v>
      </c>
      <c r="AY33" s="98"/>
      <c r="AZ33" s="169"/>
      <c r="BA33" s="169"/>
      <c r="BB33" s="169"/>
      <c r="BC33" s="169"/>
      <c r="BD33" s="169"/>
      <c r="BE33" s="169"/>
      <c r="BF33" s="169"/>
      <c r="BG33" s="169"/>
      <c r="BH33" s="169"/>
      <c r="BI33" s="170"/>
      <c r="BJ33" s="169"/>
      <c r="BK33" s="169"/>
      <c r="BL33" s="169"/>
      <c r="BM33" s="170"/>
      <c r="BN33" s="173"/>
      <c r="BO33" s="171"/>
      <c r="BP33" s="169"/>
      <c r="BQ33" s="172"/>
    </row>
    <row r="34" spans="2:69" s="163" customFormat="1" ht="25.15" customHeight="1" x14ac:dyDescent="0.2">
      <c r="B34" s="476"/>
      <c r="C34" s="478" t="s">
        <v>90</v>
      </c>
      <c r="D34" s="167">
        <v>1</v>
      </c>
      <c r="E34" s="167"/>
      <c r="F34" s="352">
        <v>0</v>
      </c>
      <c r="G34" s="352"/>
      <c r="H34" s="167">
        <v>0</v>
      </c>
      <c r="I34" s="167"/>
      <c r="J34" s="98">
        <v>1</v>
      </c>
      <c r="K34" s="98"/>
      <c r="L34" s="354" t="s">
        <v>8</v>
      </c>
      <c r="M34" s="98"/>
      <c r="N34" s="354" t="s">
        <v>8</v>
      </c>
      <c r="O34" s="98"/>
      <c r="P34" s="167">
        <v>0</v>
      </c>
      <c r="Q34" s="98"/>
      <c r="R34" s="167">
        <v>0</v>
      </c>
      <c r="S34" s="98"/>
      <c r="T34" s="167">
        <v>73</v>
      </c>
      <c r="V34" s="167">
        <v>0</v>
      </c>
      <c r="X34" s="167">
        <v>0</v>
      </c>
      <c r="Y34" s="167"/>
      <c r="Z34" s="178">
        <v>73</v>
      </c>
      <c r="AA34" s="98"/>
      <c r="AB34" s="167">
        <v>0</v>
      </c>
      <c r="AC34" s="98"/>
      <c r="AD34" s="351" t="s">
        <v>8</v>
      </c>
      <c r="AE34" s="98"/>
      <c r="AF34" s="167">
        <v>0</v>
      </c>
      <c r="AG34" s="98"/>
      <c r="AH34" s="167">
        <v>0</v>
      </c>
      <c r="AI34" s="98"/>
      <c r="AJ34" s="167">
        <v>1168</v>
      </c>
      <c r="AK34" s="358"/>
      <c r="AL34" s="167">
        <v>0</v>
      </c>
      <c r="AN34" s="167">
        <v>0</v>
      </c>
      <c r="AO34" s="98"/>
      <c r="AP34" s="178">
        <v>584</v>
      </c>
      <c r="AQ34" s="167"/>
      <c r="AR34" s="179" t="s">
        <v>8</v>
      </c>
      <c r="AS34" s="179"/>
      <c r="AT34" s="179" t="s">
        <v>8</v>
      </c>
      <c r="AU34" s="98"/>
      <c r="AV34" s="167">
        <v>0</v>
      </c>
      <c r="AW34" s="98"/>
      <c r="AX34" s="167">
        <v>0</v>
      </c>
      <c r="AY34" s="98"/>
      <c r="AZ34" s="169"/>
      <c r="BA34" s="169"/>
      <c r="BB34" s="169"/>
      <c r="BC34" s="169"/>
      <c r="BD34" s="169"/>
      <c r="BE34" s="169"/>
      <c r="BF34" s="169"/>
      <c r="BG34" s="169"/>
      <c r="BH34" s="169"/>
      <c r="BI34" s="170"/>
      <c r="BJ34" s="169"/>
      <c r="BK34" s="169"/>
      <c r="BL34" s="169"/>
      <c r="BM34" s="170"/>
      <c r="BN34" s="169"/>
      <c r="BO34" s="171"/>
      <c r="BP34" s="169"/>
      <c r="BQ34" s="172"/>
    </row>
    <row r="35" spans="2:69" s="163" customFormat="1" ht="25.15" customHeight="1" x14ac:dyDescent="0.2">
      <c r="B35" s="476"/>
      <c r="C35" s="478" t="s">
        <v>144</v>
      </c>
      <c r="D35" s="167">
        <v>13</v>
      </c>
      <c r="E35" s="167"/>
      <c r="F35" s="167">
        <v>22</v>
      </c>
      <c r="G35" s="167"/>
      <c r="H35" s="167">
        <v>9</v>
      </c>
      <c r="I35" s="167"/>
      <c r="J35" s="354" t="s">
        <v>8</v>
      </c>
      <c r="K35" s="98"/>
      <c r="L35" s="354">
        <v>11</v>
      </c>
      <c r="M35" s="98"/>
      <c r="N35" s="98">
        <v>12</v>
      </c>
      <c r="O35" s="98"/>
      <c r="P35" s="167">
        <v>14</v>
      </c>
      <c r="Q35" s="98"/>
      <c r="R35" s="167">
        <v>7</v>
      </c>
      <c r="S35" s="98"/>
      <c r="T35" s="167">
        <v>2807</v>
      </c>
      <c r="V35" s="167">
        <v>3225</v>
      </c>
      <c r="X35" s="167">
        <v>928</v>
      </c>
      <c r="Y35" s="167"/>
      <c r="Z35" s="179" t="s">
        <v>8</v>
      </c>
      <c r="AA35" s="98"/>
      <c r="AB35" s="167">
        <v>2537</v>
      </c>
      <c r="AC35" s="98"/>
      <c r="AD35" s="167">
        <v>2313</v>
      </c>
      <c r="AE35" s="98"/>
      <c r="AF35" s="167">
        <v>3430</v>
      </c>
      <c r="AG35" s="98"/>
      <c r="AH35" s="167">
        <v>922</v>
      </c>
      <c r="AI35" s="98"/>
      <c r="AJ35" s="167">
        <v>26499</v>
      </c>
      <c r="AK35" s="358"/>
      <c r="AL35" s="167">
        <v>272096</v>
      </c>
      <c r="AN35" s="167">
        <v>119704</v>
      </c>
      <c r="AO35" s="98"/>
      <c r="AP35" s="179" t="s">
        <v>8</v>
      </c>
      <c r="AQ35" s="167"/>
      <c r="AR35" s="179">
        <v>232560</v>
      </c>
      <c r="AS35" s="179"/>
      <c r="AT35" s="179">
        <v>15340</v>
      </c>
      <c r="AU35" s="98"/>
      <c r="AV35" s="167">
        <v>37880</v>
      </c>
      <c r="AW35" s="98"/>
      <c r="AX35" s="167">
        <v>13774</v>
      </c>
      <c r="AY35" s="98"/>
      <c r="AZ35" s="169"/>
      <c r="BA35" s="169"/>
      <c r="BB35" s="169"/>
      <c r="BC35" s="169"/>
      <c r="BD35" s="169"/>
      <c r="BE35" s="169"/>
      <c r="BF35" s="169"/>
      <c r="BG35" s="169"/>
      <c r="BH35" s="169"/>
      <c r="BI35" s="170"/>
      <c r="BJ35" s="169"/>
      <c r="BK35" s="169"/>
      <c r="BL35" s="169"/>
      <c r="BM35" s="170"/>
      <c r="BN35" s="169"/>
      <c r="BO35" s="171"/>
      <c r="BP35" s="169"/>
      <c r="BQ35" s="172"/>
    </row>
    <row r="36" spans="2:69" s="163" customFormat="1" ht="25.15" customHeight="1" x14ac:dyDescent="0.2">
      <c r="B36" s="476"/>
      <c r="C36" s="478" t="s">
        <v>110</v>
      </c>
      <c r="D36" s="167">
        <v>0</v>
      </c>
      <c r="E36" s="167"/>
      <c r="F36" s="352">
        <v>0</v>
      </c>
      <c r="G36" s="352"/>
      <c r="H36" s="167">
        <v>0</v>
      </c>
      <c r="I36" s="167"/>
      <c r="J36" s="354" t="s">
        <v>8</v>
      </c>
      <c r="K36" s="98"/>
      <c r="L36" s="354" t="s">
        <v>8</v>
      </c>
      <c r="M36" s="98"/>
      <c r="N36" s="354" t="s">
        <v>8</v>
      </c>
      <c r="O36" s="98"/>
      <c r="P36" s="167">
        <v>0</v>
      </c>
      <c r="Q36" s="98"/>
      <c r="R36" s="167">
        <v>0</v>
      </c>
      <c r="S36" s="98"/>
      <c r="T36" s="167">
        <v>0</v>
      </c>
      <c r="V36" s="167">
        <v>0</v>
      </c>
      <c r="X36" s="167">
        <v>0</v>
      </c>
      <c r="Y36" s="167"/>
      <c r="Z36" s="179" t="s">
        <v>8</v>
      </c>
      <c r="AA36" s="98"/>
      <c r="AB36" s="167">
        <v>0</v>
      </c>
      <c r="AC36" s="98"/>
      <c r="AD36" s="351" t="s">
        <v>8</v>
      </c>
      <c r="AE36" s="98"/>
      <c r="AF36" s="167">
        <v>0</v>
      </c>
      <c r="AG36" s="98"/>
      <c r="AH36" s="167">
        <v>0</v>
      </c>
      <c r="AI36" s="98"/>
      <c r="AJ36" s="167">
        <v>0</v>
      </c>
      <c r="AK36" s="358"/>
      <c r="AL36" s="167">
        <v>0</v>
      </c>
      <c r="AN36" s="167">
        <v>0</v>
      </c>
      <c r="AO36" s="98"/>
      <c r="AP36" s="179" t="s">
        <v>8</v>
      </c>
      <c r="AQ36" s="167"/>
      <c r="AR36" s="179" t="s">
        <v>8</v>
      </c>
      <c r="AS36" s="179"/>
      <c r="AT36" s="179" t="s">
        <v>8</v>
      </c>
      <c r="AU36" s="98"/>
      <c r="AV36" s="167">
        <v>0</v>
      </c>
      <c r="AW36" s="98"/>
      <c r="AX36" s="167">
        <v>0</v>
      </c>
      <c r="AY36" s="98"/>
      <c r="AZ36" s="169"/>
      <c r="BA36" s="169"/>
      <c r="BB36" s="169"/>
      <c r="BC36" s="169"/>
      <c r="BD36" s="169"/>
      <c r="BE36" s="169"/>
      <c r="BF36" s="169"/>
      <c r="BG36" s="169"/>
      <c r="BH36" s="169"/>
      <c r="BI36" s="170"/>
      <c r="BJ36" s="169"/>
      <c r="BK36" s="169"/>
      <c r="BL36" s="169"/>
      <c r="BM36" s="170"/>
      <c r="BN36" s="169"/>
      <c r="BO36" s="171"/>
      <c r="BP36" s="169"/>
      <c r="BQ36" s="172"/>
    </row>
    <row r="37" spans="2:69" s="163" customFormat="1" ht="25.15" customHeight="1" x14ac:dyDescent="0.2">
      <c r="B37" s="476"/>
      <c r="C37" s="477" t="s">
        <v>91</v>
      </c>
      <c r="D37" s="167">
        <v>1</v>
      </c>
      <c r="E37" s="167"/>
      <c r="F37" s="352">
        <v>0</v>
      </c>
      <c r="G37" s="352"/>
      <c r="H37" s="167">
        <v>0</v>
      </c>
      <c r="I37" s="167"/>
      <c r="J37" s="98">
        <v>1</v>
      </c>
      <c r="K37" s="98"/>
      <c r="L37" s="354">
        <v>9</v>
      </c>
      <c r="M37" s="98"/>
      <c r="N37" s="98">
        <v>3</v>
      </c>
      <c r="O37" s="98"/>
      <c r="P37" s="167">
        <v>3</v>
      </c>
      <c r="Q37" s="98"/>
      <c r="R37" s="167">
        <v>2</v>
      </c>
      <c r="S37" s="98"/>
      <c r="T37" s="167">
        <v>50</v>
      </c>
      <c r="V37" s="167">
        <v>0</v>
      </c>
      <c r="X37" s="167">
        <v>0</v>
      </c>
      <c r="Y37" s="167"/>
      <c r="Z37" s="178">
        <v>30</v>
      </c>
      <c r="AA37" s="98"/>
      <c r="AB37" s="167">
        <v>1642</v>
      </c>
      <c r="AC37" s="98"/>
      <c r="AD37" s="167">
        <v>2483</v>
      </c>
      <c r="AE37" s="98"/>
      <c r="AF37" s="167">
        <v>1984</v>
      </c>
      <c r="AG37" s="98"/>
      <c r="AH37" s="167">
        <v>33</v>
      </c>
      <c r="AI37" s="98"/>
      <c r="AJ37" s="167">
        <v>2400</v>
      </c>
      <c r="AK37" s="358"/>
      <c r="AL37" s="167">
        <v>0</v>
      </c>
      <c r="AN37" s="167">
        <v>0</v>
      </c>
      <c r="AO37" s="98"/>
      <c r="AP37" s="178">
        <v>240</v>
      </c>
      <c r="AQ37" s="167"/>
      <c r="AR37" s="179">
        <v>39408</v>
      </c>
      <c r="AS37" s="179"/>
      <c r="AT37" s="179">
        <v>56168</v>
      </c>
      <c r="AU37" s="98"/>
      <c r="AV37" s="167">
        <v>15872</v>
      </c>
      <c r="AW37" s="98"/>
      <c r="AX37" s="167">
        <v>640</v>
      </c>
      <c r="AY37" s="98"/>
      <c r="AZ37" s="169"/>
      <c r="BA37" s="169"/>
      <c r="BB37" s="169"/>
      <c r="BC37" s="169"/>
      <c r="BD37" s="169"/>
      <c r="BE37" s="169"/>
      <c r="BF37" s="169"/>
      <c r="BG37" s="169"/>
      <c r="BH37" s="169"/>
      <c r="BI37" s="170"/>
      <c r="BJ37" s="169"/>
      <c r="BK37" s="169"/>
      <c r="BL37" s="169"/>
      <c r="BM37" s="170"/>
      <c r="BN37" s="169"/>
      <c r="BO37" s="171"/>
      <c r="BP37" s="169"/>
      <c r="BQ37" s="172"/>
    </row>
    <row r="38" spans="2:69" s="163" customFormat="1" ht="25.15" customHeight="1" x14ac:dyDescent="0.2">
      <c r="B38" s="476"/>
      <c r="C38" s="477" t="s">
        <v>111</v>
      </c>
      <c r="D38" s="167">
        <v>0</v>
      </c>
      <c r="E38" s="167"/>
      <c r="F38" s="352">
        <v>0</v>
      </c>
      <c r="G38" s="352"/>
      <c r="H38" s="167">
        <v>1</v>
      </c>
      <c r="I38" s="167"/>
      <c r="J38" s="98">
        <v>1</v>
      </c>
      <c r="K38" s="98"/>
      <c r="L38" s="354">
        <v>1</v>
      </c>
      <c r="M38" s="98"/>
      <c r="N38" s="98">
        <v>6</v>
      </c>
      <c r="O38" s="98"/>
      <c r="P38" s="167">
        <v>13</v>
      </c>
      <c r="Q38" s="98"/>
      <c r="R38" s="167">
        <v>6</v>
      </c>
      <c r="S38" s="98"/>
      <c r="T38" s="167">
        <v>0</v>
      </c>
      <c r="V38" s="167">
        <v>0</v>
      </c>
      <c r="X38" s="167">
        <v>120</v>
      </c>
      <c r="Y38" s="167"/>
      <c r="Z38" s="178">
        <v>36</v>
      </c>
      <c r="AA38" s="98"/>
      <c r="AB38" s="167">
        <v>11</v>
      </c>
      <c r="AC38" s="98"/>
      <c r="AD38" s="167">
        <v>1325</v>
      </c>
      <c r="AE38" s="98"/>
      <c r="AF38" s="167">
        <v>1811</v>
      </c>
      <c r="AG38" s="98"/>
      <c r="AH38" s="167">
        <v>889</v>
      </c>
      <c r="AI38" s="98"/>
      <c r="AJ38" s="167">
        <v>0</v>
      </c>
      <c r="AK38" s="358"/>
      <c r="AL38" s="167">
        <v>0</v>
      </c>
      <c r="AN38" s="167">
        <v>1920</v>
      </c>
      <c r="AO38" s="98"/>
      <c r="AP38" s="178">
        <v>288</v>
      </c>
      <c r="AQ38" s="167"/>
      <c r="AR38" s="179">
        <v>88</v>
      </c>
      <c r="AS38" s="179"/>
      <c r="AT38" s="179">
        <v>10888</v>
      </c>
      <c r="AU38" s="98"/>
      <c r="AV38" s="167">
        <v>14488</v>
      </c>
      <c r="AW38" s="98"/>
      <c r="AX38" s="167">
        <v>16480</v>
      </c>
      <c r="AY38" s="98"/>
      <c r="AZ38" s="169"/>
      <c r="BA38" s="169"/>
      <c r="BB38" s="169"/>
      <c r="BC38" s="169"/>
      <c r="BD38" s="169"/>
      <c r="BE38" s="169"/>
      <c r="BF38" s="169"/>
      <c r="BG38" s="169"/>
      <c r="BH38" s="169"/>
      <c r="BI38" s="170"/>
      <c r="BJ38" s="169"/>
      <c r="BK38" s="169"/>
      <c r="BL38" s="169"/>
      <c r="BM38" s="170"/>
      <c r="BN38" s="169"/>
      <c r="BO38" s="171"/>
      <c r="BP38" s="169"/>
      <c r="BQ38" s="172"/>
    </row>
    <row r="39" spans="2:69" s="163" customFormat="1" ht="25.15" customHeight="1" x14ac:dyDescent="0.2">
      <c r="B39" s="476"/>
      <c r="C39" s="478" t="s">
        <v>19</v>
      </c>
      <c r="D39" s="167">
        <v>0</v>
      </c>
      <c r="E39" s="167"/>
      <c r="F39" s="352">
        <v>1</v>
      </c>
      <c r="G39" s="352"/>
      <c r="H39" s="167">
        <v>0</v>
      </c>
      <c r="I39" s="167"/>
      <c r="J39" s="354" t="s">
        <v>8</v>
      </c>
      <c r="K39" s="98"/>
      <c r="L39" s="354" t="s">
        <v>8</v>
      </c>
      <c r="M39" s="98"/>
      <c r="N39" s="98">
        <v>1</v>
      </c>
      <c r="O39" s="98"/>
      <c r="P39" s="167">
        <v>1</v>
      </c>
      <c r="Q39" s="98"/>
      <c r="R39" s="167">
        <v>3</v>
      </c>
      <c r="S39" s="98"/>
      <c r="T39" s="167">
        <v>0</v>
      </c>
      <c r="V39" s="167">
        <v>9</v>
      </c>
      <c r="X39" s="167">
        <v>0</v>
      </c>
      <c r="Y39" s="167"/>
      <c r="Z39" s="179" t="s">
        <v>8</v>
      </c>
      <c r="AA39" s="98"/>
      <c r="AB39" s="167">
        <v>0</v>
      </c>
      <c r="AC39" s="98"/>
      <c r="AD39" s="167">
        <v>245</v>
      </c>
      <c r="AE39" s="98"/>
      <c r="AF39" s="167">
        <v>42</v>
      </c>
      <c r="AG39" s="98"/>
      <c r="AH39" s="167">
        <v>224</v>
      </c>
      <c r="AI39" s="98"/>
      <c r="AJ39" s="167">
        <v>0</v>
      </c>
      <c r="AK39" s="358"/>
      <c r="AL39" s="167">
        <v>72</v>
      </c>
      <c r="AN39" s="167">
        <v>0</v>
      </c>
      <c r="AO39" s="98"/>
      <c r="AP39" s="179" t="s">
        <v>8</v>
      </c>
      <c r="AQ39" s="167"/>
      <c r="AR39" s="179" t="s">
        <v>8</v>
      </c>
      <c r="AS39" s="179"/>
      <c r="AT39" s="179">
        <v>1960</v>
      </c>
      <c r="AU39" s="98"/>
      <c r="AV39" s="167">
        <v>336</v>
      </c>
      <c r="AW39" s="98"/>
      <c r="AX39" s="167">
        <v>1792</v>
      </c>
      <c r="AY39" s="98"/>
      <c r="AZ39" s="169"/>
      <c r="BA39" s="169"/>
      <c r="BB39" s="169"/>
      <c r="BC39" s="169"/>
      <c r="BD39" s="169"/>
      <c r="BE39" s="169"/>
      <c r="BF39" s="169"/>
      <c r="BG39" s="169"/>
      <c r="BH39" s="169"/>
      <c r="BI39" s="170"/>
      <c r="BJ39" s="169"/>
      <c r="BK39" s="169"/>
      <c r="BL39" s="169"/>
      <c r="BM39" s="170"/>
      <c r="BN39" s="169"/>
      <c r="BO39" s="171"/>
      <c r="BP39" s="169"/>
      <c r="BQ39" s="172"/>
    </row>
    <row r="40" spans="2:69" s="163" customFormat="1" ht="25.15" customHeight="1" x14ac:dyDescent="0.2">
      <c r="B40" s="476"/>
      <c r="C40" s="478" t="s">
        <v>46</v>
      </c>
      <c r="D40" s="167">
        <v>0</v>
      </c>
      <c r="E40" s="167"/>
      <c r="F40" s="352">
        <v>0</v>
      </c>
      <c r="G40" s="352"/>
      <c r="H40" s="167">
        <v>0</v>
      </c>
      <c r="I40" s="167"/>
      <c r="J40" s="354" t="s">
        <v>8</v>
      </c>
      <c r="K40" s="98"/>
      <c r="L40" s="354">
        <v>1</v>
      </c>
      <c r="M40" s="98"/>
      <c r="N40" s="98">
        <v>2</v>
      </c>
      <c r="O40" s="98"/>
      <c r="P40" s="167">
        <v>6</v>
      </c>
      <c r="Q40" s="98"/>
      <c r="R40" s="167">
        <v>9</v>
      </c>
      <c r="S40" s="98"/>
      <c r="T40" s="167">
        <v>0</v>
      </c>
      <c r="V40" s="167">
        <v>0</v>
      </c>
      <c r="X40" s="167">
        <v>0</v>
      </c>
      <c r="Y40" s="167"/>
      <c r="Z40" s="179" t="s">
        <v>8</v>
      </c>
      <c r="AA40" s="98"/>
      <c r="AB40" s="167">
        <v>77</v>
      </c>
      <c r="AC40" s="98"/>
      <c r="AD40" s="167">
        <v>37</v>
      </c>
      <c r="AE40" s="98"/>
      <c r="AF40" s="167">
        <v>1197</v>
      </c>
      <c r="AG40" s="98"/>
      <c r="AH40" s="167">
        <v>5480</v>
      </c>
      <c r="AI40" s="98"/>
      <c r="AJ40" s="167">
        <v>0</v>
      </c>
      <c r="AK40" s="358"/>
      <c r="AL40" s="167">
        <v>0</v>
      </c>
      <c r="AN40" s="167">
        <v>0</v>
      </c>
      <c r="AO40" s="98"/>
      <c r="AP40" s="179" t="s">
        <v>8</v>
      </c>
      <c r="AQ40" s="167"/>
      <c r="AR40" s="179">
        <v>616</v>
      </c>
      <c r="AS40" s="179"/>
      <c r="AT40" s="179">
        <v>464</v>
      </c>
      <c r="AU40" s="98"/>
      <c r="AV40" s="167">
        <v>10128</v>
      </c>
      <c r="AW40" s="98"/>
      <c r="AX40" s="167">
        <v>231988</v>
      </c>
      <c r="AY40" s="98"/>
      <c r="AZ40" s="169"/>
      <c r="BA40" s="169"/>
      <c r="BB40" s="169"/>
      <c r="BC40" s="169"/>
      <c r="BD40" s="169"/>
      <c r="BE40" s="169"/>
      <c r="BF40" s="169"/>
      <c r="BG40" s="169"/>
      <c r="BH40" s="169"/>
      <c r="BI40" s="170"/>
      <c r="BJ40" s="169"/>
      <c r="BK40" s="169"/>
      <c r="BL40" s="169"/>
      <c r="BM40" s="170"/>
      <c r="BN40" s="169"/>
      <c r="BO40" s="171"/>
      <c r="BP40" s="169"/>
      <c r="BQ40" s="172"/>
    </row>
    <row r="41" spans="2:69" s="163" customFormat="1" ht="25.15" customHeight="1" x14ac:dyDescent="0.2">
      <c r="B41" s="476"/>
      <c r="C41" s="478" t="s">
        <v>142</v>
      </c>
      <c r="D41" s="167">
        <v>0</v>
      </c>
      <c r="E41" s="167"/>
      <c r="F41" s="352">
        <v>0</v>
      </c>
      <c r="G41" s="352"/>
      <c r="H41" s="167">
        <v>0</v>
      </c>
      <c r="I41" s="167"/>
      <c r="J41" s="354" t="s">
        <v>8</v>
      </c>
      <c r="K41" s="98"/>
      <c r="L41" s="354" t="s">
        <v>8</v>
      </c>
      <c r="M41" s="98"/>
      <c r="N41" s="98">
        <v>1</v>
      </c>
      <c r="O41" s="98"/>
      <c r="P41" s="167">
        <v>1</v>
      </c>
      <c r="Q41" s="98"/>
      <c r="R41" s="167">
        <v>1</v>
      </c>
      <c r="S41" s="98"/>
      <c r="T41" s="167">
        <v>0</v>
      </c>
      <c r="V41" s="167">
        <v>0</v>
      </c>
      <c r="X41" s="167">
        <v>0</v>
      </c>
      <c r="Y41" s="167"/>
      <c r="Z41" s="179" t="s">
        <v>8</v>
      </c>
      <c r="AA41" s="98"/>
      <c r="AB41" s="167">
        <v>0</v>
      </c>
      <c r="AC41" s="98"/>
      <c r="AD41" s="167">
        <v>39</v>
      </c>
      <c r="AE41" s="98"/>
      <c r="AF41" s="167">
        <v>112</v>
      </c>
      <c r="AG41" s="98"/>
      <c r="AH41" s="167">
        <v>46</v>
      </c>
      <c r="AI41" s="98"/>
      <c r="AJ41" s="167">
        <v>0</v>
      </c>
      <c r="AK41" s="358"/>
      <c r="AL41" s="167">
        <v>0</v>
      </c>
      <c r="AN41" s="167">
        <v>0</v>
      </c>
      <c r="AO41" s="98"/>
      <c r="AP41" s="179" t="s">
        <v>8</v>
      </c>
      <c r="AQ41" s="167"/>
      <c r="AR41" s="179" t="s">
        <v>8</v>
      </c>
      <c r="AS41" s="179"/>
      <c r="AT41" s="179">
        <v>5312</v>
      </c>
      <c r="AU41" s="98"/>
      <c r="AV41" s="167">
        <v>896</v>
      </c>
      <c r="AW41" s="98"/>
      <c r="AX41" s="167">
        <v>368</v>
      </c>
      <c r="AY41" s="98"/>
      <c r="AZ41" s="169"/>
      <c r="BA41" s="169"/>
      <c r="BB41" s="169"/>
      <c r="BC41" s="169"/>
      <c r="BD41" s="169"/>
      <c r="BE41" s="169"/>
      <c r="BF41" s="169"/>
      <c r="BG41" s="169"/>
      <c r="BH41" s="169"/>
      <c r="BI41" s="170"/>
      <c r="BJ41" s="169"/>
      <c r="BK41" s="169"/>
      <c r="BL41" s="169"/>
      <c r="BM41" s="170"/>
      <c r="BN41" s="169"/>
      <c r="BO41" s="171"/>
      <c r="BP41" s="169"/>
      <c r="BQ41" s="172"/>
    </row>
    <row r="42" spans="2:69" s="163" customFormat="1" ht="25.15" customHeight="1" x14ac:dyDescent="0.2">
      <c r="B42" s="476"/>
      <c r="C42" s="478" t="s">
        <v>92</v>
      </c>
      <c r="D42" s="167">
        <v>0</v>
      </c>
      <c r="E42" s="167"/>
      <c r="F42" s="167">
        <v>1</v>
      </c>
      <c r="G42" s="167"/>
      <c r="H42" s="167">
        <v>0</v>
      </c>
      <c r="I42" s="167"/>
      <c r="J42" s="354" t="s">
        <v>8</v>
      </c>
      <c r="K42" s="98"/>
      <c r="L42" s="354">
        <v>3</v>
      </c>
      <c r="M42" s="98"/>
      <c r="N42" s="354" t="s">
        <v>8</v>
      </c>
      <c r="O42" s="98"/>
      <c r="P42" s="167">
        <v>0</v>
      </c>
      <c r="Q42" s="98"/>
      <c r="R42" s="167">
        <v>0</v>
      </c>
      <c r="S42" s="98"/>
      <c r="T42" s="167">
        <v>0</v>
      </c>
      <c r="V42" s="167">
        <v>36394</v>
      </c>
      <c r="X42" s="167">
        <v>0</v>
      </c>
      <c r="Y42" s="167"/>
      <c r="Z42" s="179" t="s">
        <v>8</v>
      </c>
      <c r="AA42" s="98"/>
      <c r="AB42" s="167">
        <v>2266</v>
      </c>
      <c r="AC42" s="98"/>
      <c r="AD42" s="351" t="s">
        <v>8</v>
      </c>
      <c r="AE42" s="98"/>
      <c r="AF42" s="167">
        <v>0</v>
      </c>
      <c r="AG42" s="98"/>
      <c r="AH42" s="167">
        <v>0</v>
      </c>
      <c r="AI42" s="98"/>
      <c r="AJ42" s="167">
        <v>0</v>
      </c>
      <c r="AK42" s="358"/>
      <c r="AL42" s="167">
        <v>291152</v>
      </c>
      <c r="AN42" s="167">
        <v>0</v>
      </c>
      <c r="AO42" s="98"/>
      <c r="AP42" s="179" t="s">
        <v>8</v>
      </c>
      <c r="AQ42" s="167"/>
      <c r="AR42" s="179">
        <v>18128</v>
      </c>
      <c r="AS42" s="179"/>
      <c r="AT42" s="179" t="s">
        <v>8</v>
      </c>
      <c r="AU42" s="98"/>
      <c r="AV42" s="167">
        <v>0</v>
      </c>
      <c r="AW42" s="98"/>
      <c r="AX42" s="167">
        <v>0</v>
      </c>
      <c r="AY42" s="98"/>
      <c r="AZ42" s="169"/>
      <c r="BA42" s="169"/>
      <c r="BB42" s="169"/>
      <c r="BC42" s="169"/>
      <c r="BD42" s="169"/>
      <c r="BE42" s="169"/>
      <c r="BF42" s="169"/>
      <c r="BG42" s="169"/>
      <c r="BH42" s="169"/>
      <c r="BI42" s="170"/>
      <c r="BJ42" s="169"/>
      <c r="BK42" s="169"/>
      <c r="BL42" s="169"/>
      <c r="BM42" s="170"/>
      <c r="BN42" s="169"/>
      <c r="BO42" s="171"/>
      <c r="BP42" s="169"/>
      <c r="BQ42" s="172"/>
    </row>
    <row r="43" spans="2:69" ht="30" customHeight="1" x14ac:dyDescent="0.2">
      <c r="B43" s="482"/>
      <c r="C43" s="418" t="s">
        <v>6</v>
      </c>
      <c r="D43" s="497">
        <f>SUM(D27:D42)</f>
        <v>58</v>
      </c>
      <c r="E43" s="497"/>
      <c r="F43" s="497">
        <f>SUM(F27:F42)</f>
        <v>71</v>
      </c>
      <c r="G43" s="497"/>
      <c r="H43" s="497">
        <f>SUM(H27:H42)</f>
        <v>37</v>
      </c>
      <c r="I43" s="498"/>
      <c r="J43" s="497">
        <f>SUM(J27:J42)</f>
        <v>40</v>
      </c>
      <c r="K43" s="497"/>
      <c r="L43" s="490">
        <f>SUM(L27:L42)</f>
        <v>64</v>
      </c>
      <c r="M43" s="482"/>
      <c r="N43" s="489">
        <f>SUM(N27:N42)</f>
        <v>68</v>
      </c>
      <c r="O43" s="482"/>
      <c r="P43" s="490">
        <f>SUM(P27:P42)</f>
        <v>107</v>
      </c>
      <c r="Q43" s="482"/>
      <c r="R43" s="489">
        <f>SUM(R27:R42)</f>
        <v>65</v>
      </c>
      <c r="S43" s="499"/>
      <c r="T43" s="497">
        <f>SUM(T27:T42)</f>
        <v>17333</v>
      </c>
      <c r="U43" s="482"/>
      <c r="V43" s="497">
        <f>SUM(V27:V42)</f>
        <v>52080</v>
      </c>
      <c r="W43" s="482"/>
      <c r="X43" s="497">
        <f>SUM(X27:X42)</f>
        <v>5280</v>
      </c>
      <c r="Y43" s="498"/>
      <c r="Z43" s="497">
        <f>SUM(Z27:Z42)</f>
        <v>11050</v>
      </c>
      <c r="AA43" s="498"/>
      <c r="AB43" s="500">
        <f>SUM(AB27:AB42)</f>
        <v>22925</v>
      </c>
      <c r="AC43" s="482"/>
      <c r="AD43" s="489">
        <f>SUM(AD27:AD42)</f>
        <v>37323</v>
      </c>
      <c r="AE43" s="482"/>
      <c r="AF43" s="489">
        <f>SUM(AF27:AF42)</f>
        <v>29273</v>
      </c>
      <c r="AG43" s="482"/>
      <c r="AH43" s="489">
        <f>SUM(AH27:AH42)</f>
        <v>19022</v>
      </c>
      <c r="AI43" s="499"/>
      <c r="AJ43" s="497">
        <f>SUM(AJ27:AJ42)</f>
        <v>323168</v>
      </c>
      <c r="AK43" s="498"/>
      <c r="AL43" s="497">
        <f>SUM(AL27:AL42)</f>
        <v>724260</v>
      </c>
      <c r="AM43" s="482"/>
      <c r="AN43" s="497">
        <f>SUM(AN27:AN42)</f>
        <v>181691</v>
      </c>
      <c r="AO43" s="482"/>
      <c r="AP43" s="500">
        <f>SUM(AP27:AP42)</f>
        <v>488930</v>
      </c>
      <c r="AQ43" s="498"/>
      <c r="AR43" s="500">
        <f>SUM(AR27:AR42)</f>
        <v>912648</v>
      </c>
      <c r="AS43" s="500"/>
      <c r="AT43" s="500">
        <f>SUM(AT27:AT42)</f>
        <v>881362</v>
      </c>
      <c r="AU43" s="482"/>
      <c r="AV43" s="500">
        <f>SUM(AV27:AV42)</f>
        <v>582328</v>
      </c>
      <c r="AW43" s="482"/>
      <c r="AX43" s="489">
        <f>SUM(AX27:AX42)</f>
        <v>478738</v>
      </c>
      <c r="AY43" s="482"/>
      <c r="AZ43" s="174"/>
      <c r="BA43" s="175"/>
      <c r="BB43" s="174"/>
      <c r="BC43" s="175"/>
      <c r="BD43" s="174"/>
      <c r="BE43" s="175"/>
      <c r="BF43" s="174"/>
      <c r="BG43" s="175"/>
      <c r="BH43" s="174"/>
      <c r="BI43" s="176"/>
      <c r="BJ43" s="174"/>
      <c r="BK43" s="175"/>
      <c r="BL43" s="174"/>
      <c r="BM43" s="176"/>
      <c r="BN43" s="174"/>
      <c r="BO43" s="175"/>
      <c r="BP43" s="174"/>
      <c r="BQ43" s="176"/>
    </row>
    <row r="44" spans="2:69" ht="28.5" customHeight="1" x14ac:dyDescent="0.2">
      <c r="D44" s="168"/>
      <c r="E44" s="168"/>
      <c r="F44" s="168"/>
      <c r="G44" s="168"/>
      <c r="H44" s="168"/>
      <c r="I44" s="168"/>
      <c r="J44" s="168"/>
      <c r="K44" s="168"/>
      <c r="L44" s="168"/>
      <c r="M44" s="168"/>
      <c r="N44" s="167"/>
      <c r="O44" s="167"/>
      <c r="P44" s="167"/>
      <c r="Q44" s="167"/>
      <c r="R44" s="167"/>
      <c r="S44" s="167"/>
      <c r="T44" s="168"/>
      <c r="U44" s="168"/>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row>
    <row r="45" spans="2:69" ht="25.15" customHeight="1" x14ac:dyDescent="0.2">
      <c r="B45" s="821" t="s">
        <v>123</v>
      </c>
      <c r="C45" s="821"/>
      <c r="D45" s="915" t="s">
        <v>2</v>
      </c>
      <c r="E45" s="916"/>
      <c r="F45" s="916"/>
      <c r="G45" s="916"/>
      <c r="H45" s="916"/>
      <c r="I45" s="916"/>
      <c r="J45" s="916"/>
      <c r="K45" s="916"/>
      <c r="L45" s="916"/>
      <c r="M45" s="916"/>
      <c r="N45" s="916"/>
      <c r="O45" s="916"/>
      <c r="P45" s="916"/>
      <c r="Q45" s="916"/>
      <c r="R45" s="916"/>
      <c r="S45" s="917"/>
      <c r="T45" s="824" t="s">
        <v>15</v>
      </c>
      <c r="U45" s="824"/>
      <c r="V45" s="824"/>
      <c r="W45" s="824"/>
      <c r="X45" s="824"/>
      <c r="Y45" s="824"/>
      <c r="Z45" s="824"/>
      <c r="AA45" s="824"/>
      <c r="AB45" s="824"/>
      <c r="AC45" s="824"/>
      <c r="AD45" s="824"/>
      <c r="AE45" s="824"/>
      <c r="AF45" s="824"/>
      <c r="AG45" s="824"/>
      <c r="AH45" s="824"/>
      <c r="AI45" s="825"/>
      <c r="AJ45" s="824" t="s">
        <v>12</v>
      </c>
      <c r="AK45" s="824"/>
      <c r="AL45" s="824"/>
      <c r="AM45" s="824"/>
      <c r="AN45" s="824"/>
      <c r="AO45" s="824"/>
      <c r="AP45" s="824"/>
      <c r="AQ45" s="824"/>
      <c r="AR45" s="824"/>
      <c r="AS45" s="824"/>
      <c r="AT45" s="824"/>
      <c r="AU45" s="824"/>
      <c r="AV45" s="824"/>
      <c r="AW45" s="824"/>
      <c r="AX45" s="824"/>
      <c r="AY45" s="359"/>
      <c r="AZ45" s="166"/>
      <c r="BA45" s="166"/>
      <c r="BB45" s="166"/>
      <c r="BC45" s="166"/>
      <c r="BD45" s="166"/>
      <c r="BE45" s="166"/>
      <c r="BF45" s="166"/>
      <c r="BG45" s="166"/>
      <c r="BH45" s="166"/>
      <c r="BI45" s="166"/>
      <c r="BJ45" s="166"/>
      <c r="BK45" s="166"/>
      <c r="BL45" s="166"/>
      <c r="BM45" s="166"/>
      <c r="BN45" s="166"/>
      <c r="BO45" s="166"/>
      <c r="BP45" s="166"/>
      <c r="BQ45" s="166"/>
    </row>
    <row r="46" spans="2:69" ht="25.15" customHeight="1" x14ac:dyDescent="0.2">
      <c r="B46" s="821"/>
      <c r="C46" s="821"/>
      <c r="D46" s="356">
        <v>2006</v>
      </c>
      <c r="E46" s="357"/>
      <c r="F46" s="357">
        <v>2007</v>
      </c>
      <c r="G46" s="357"/>
      <c r="H46" s="835">
        <v>2008</v>
      </c>
      <c r="I46" s="835"/>
      <c r="J46" s="835">
        <v>2009</v>
      </c>
      <c r="K46" s="835"/>
      <c r="L46" s="835">
        <v>2010</v>
      </c>
      <c r="M46" s="835"/>
      <c r="N46" s="835">
        <v>2011</v>
      </c>
      <c r="O46" s="835"/>
      <c r="P46" s="835">
        <v>2012</v>
      </c>
      <c r="Q46" s="835"/>
      <c r="R46" s="835">
        <v>2013</v>
      </c>
      <c r="S46" s="849"/>
      <c r="T46" s="357">
        <v>2006</v>
      </c>
      <c r="U46" s="357"/>
      <c r="V46" s="357">
        <v>2007</v>
      </c>
      <c r="W46" s="357"/>
      <c r="X46" s="835">
        <v>2008</v>
      </c>
      <c r="Y46" s="835"/>
      <c r="Z46" s="835">
        <v>2009</v>
      </c>
      <c r="AA46" s="835"/>
      <c r="AB46" s="835">
        <v>2010</v>
      </c>
      <c r="AC46" s="835"/>
      <c r="AD46" s="360">
        <v>2011</v>
      </c>
      <c r="AE46" s="360"/>
      <c r="AF46" s="360">
        <v>2012</v>
      </c>
      <c r="AG46" s="360"/>
      <c r="AH46" s="360">
        <v>2013</v>
      </c>
      <c r="AI46" s="361">
        <v>2010</v>
      </c>
      <c r="AJ46" s="255">
        <v>2006</v>
      </c>
      <c r="AK46" s="255"/>
      <c r="AL46" s="255">
        <v>2007</v>
      </c>
      <c r="AM46" s="255"/>
      <c r="AN46" s="831">
        <v>2008</v>
      </c>
      <c r="AO46" s="831"/>
      <c r="AP46" s="831">
        <v>2009</v>
      </c>
      <c r="AQ46" s="831"/>
      <c r="AR46" s="831">
        <v>2010</v>
      </c>
      <c r="AS46" s="831"/>
      <c r="AT46" s="831">
        <v>2011</v>
      </c>
      <c r="AU46" s="831"/>
      <c r="AV46" s="355">
        <v>2012</v>
      </c>
      <c r="AW46" s="255"/>
      <c r="AX46" s="355">
        <v>2013</v>
      </c>
      <c r="AY46" s="355">
        <v>2013</v>
      </c>
      <c r="AZ46" s="913"/>
      <c r="BA46" s="913"/>
      <c r="BB46" s="913"/>
      <c r="BC46" s="913"/>
      <c r="BD46" s="913"/>
      <c r="BE46" s="913"/>
      <c r="BF46" s="913"/>
      <c r="BG46" s="913"/>
      <c r="BH46" s="913"/>
      <c r="BI46" s="913"/>
      <c r="BJ46" s="913"/>
      <c r="BK46" s="913"/>
      <c r="BL46" s="913"/>
      <c r="BM46" s="913"/>
      <c r="BN46" s="913"/>
      <c r="BO46" s="913"/>
      <c r="BP46" s="913"/>
      <c r="BQ46" s="913"/>
    </row>
    <row r="47" spans="2:69" ht="25.15" customHeight="1" x14ac:dyDescent="0.2">
      <c r="B47" s="51"/>
      <c r="C47" s="477" t="s">
        <v>88</v>
      </c>
      <c r="D47" s="84">
        <v>0</v>
      </c>
      <c r="E47" s="84"/>
      <c r="F47" s="84">
        <v>2</v>
      </c>
      <c r="H47" s="1">
        <v>1</v>
      </c>
      <c r="J47" s="1">
        <v>3</v>
      </c>
      <c r="L47" s="10">
        <v>1</v>
      </c>
      <c r="M47" s="10"/>
      <c r="N47" s="84">
        <v>1</v>
      </c>
      <c r="O47" s="84"/>
      <c r="P47" s="84">
        <v>2</v>
      </c>
      <c r="Q47" s="23"/>
      <c r="R47" s="84">
        <v>2</v>
      </c>
      <c r="S47" s="84"/>
      <c r="T47" s="84">
        <v>0</v>
      </c>
      <c r="V47" s="84">
        <v>800</v>
      </c>
      <c r="X47" s="1">
        <v>800</v>
      </c>
      <c r="Z47" s="84">
        <v>2488</v>
      </c>
      <c r="AB47" s="10">
        <v>250</v>
      </c>
      <c r="AD47" s="285">
        <v>160</v>
      </c>
      <c r="AE47" s="23"/>
      <c r="AF47" s="285">
        <v>116</v>
      </c>
      <c r="AG47" s="23"/>
      <c r="AH47" s="285">
        <v>225</v>
      </c>
      <c r="AI47" s="10">
        <v>250</v>
      </c>
      <c r="AJ47" s="84">
        <v>0</v>
      </c>
      <c r="AL47" s="84">
        <v>6400</v>
      </c>
      <c r="AN47" s="84">
        <v>12800</v>
      </c>
      <c r="AP47" s="84">
        <v>19904</v>
      </c>
      <c r="AR47" s="81">
        <v>27968</v>
      </c>
      <c r="AS47" s="81"/>
      <c r="AT47" s="84">
        <v>1280</v>
      </c>
      <c r="AV47" s="23">
        <v>5104</v>
      </c>
      <c r="AX47" s="285">
        <v>6720</v>
      </c>
      <c r="AY47" s="352">
        <v>6720</v>
      </c>
      <c r="AZ47" s="181"/>
      <c r="BA47" s="169"/>
      <c r="BB47" s="170"/>
      <c r="BC47" s="170"/>
      <c r="BD47" s="182"/>
      <c r="BE47" s="170"/>
      <c r="BF47" s="169"/>
      <c r="BG47" s="170"/>
      <c r="BH47" s="169"/>
      <c r="BI47" s="170"/>
      <c r="BJ47" s="169"/>
      <c r="BK47" s="170"/>
      <c r="BL47" s="169"/>
      <c r="BM47" s="35"/>
      <c r="BN47" s="169"/>
      <c r="BO47" s="170"/>
      <c r="BP47" s="169"/>
      <c r="BQ47" s="35"/>
    </row>
    <row r="48" spans="2:69" ht="25.15" customHeight="1" x14ac:dyDescent="0.2">
      <c r="B48" s="51"/>
      <c r="C48" s="478" t="s">
        <v>18</v>
      </c>
      <c r="D48" s="84">
        <v>0</v>
      </c>
      <c r="E48" s="84"/>
      <c r="F48" s="84">
        <v>0</v>
      </c>
      <c r="H48" s="84">
        <v>0</v>
      </c>
      <c r="J48" s="1">
        <v>2</v>
      </c>
      <c r="L48" s="10">
        <v>0</v>
      </c>
      <c r="M48" s="10"/>
      <c r="N48" s="84">
        <v>1</v>
      </c>
      <c r="O48" s="84"/>
      <c r="P48" s="147">
        <v>1</v>
      </c>
      <c r="Q48" s="33"/>
      <c r="R48" s="285">
        <v>0</v>
      </c>
      <c r="S48" s="285"/>
      <c r="T48" s="84">
        <v>0</v>
      </c>
      <c r="V48" s="84">
        <v>0</v>
      </c>
      <c r="X48" s="84">
        <v>0</v>
      </c>
      <c r="Z48" s="84">
        <v>465</v>
      </c>
      <c r="AB48" s="10">
        <v>0</v>
      </c>
      <c r="AD48" s="285">
        <v>30</v>
      </c>
      <c r="AE48" s="23"/>
      <c r="AF48" s="285">
        <v>113</v>
      </c>
      <c r="AG48" s="23"/>
      <c r="AH48" s="285">
        <v>0</v>
      </c>
      <c r="AI48" s="10">
        <v>0</v>
      </c>
      <c r="AJ48" s="84">
        <v>0</v>
      </c>
      <c r="AL48" s="84">
        <v>0</v>
      </c>
      <c r="AN48" s="84">
        <v>0</v>
      </c>
      <c r="AP48" s="84">
        <v>15792</v>
      </c>
      <c r="AR48" s="81">
        <v>0</v>
      </c>
      <c r="AS48" s="81"/>
      <c r="AT48" s="84">
        <v>240</v>
      </c>
      <c r="AV48" s="84">
        <v>904</v>
      </c>
      <c r="AX48" s="285">
        <v>0</v>
      </c>
      <c r="AY48" s="352">
        <v>0</v>
      </c>
      <c r="AZ48" s="182"/>
      <c r="BA48" s="169"/>
      <c r="BB48" s="182"/>
      <c r="BC48" s="182"/>
      <c r="BD48" s="182"/>
      <c r="BE48" s="170"/>
      <c r="BF48" s="169"/>
      <c r="BG48" s="170"/>
      <c r="BH48" s="169"/>
      <c r="BI48" s="170"/>
      <c r="BJ48" s="169"/>
      <c r="BK48" s="170"/>
      <c r="BL48" s="169"/>
      <c r="BM48" s="35"/>
      <c r="BN48" s="169"/>
      <c r="BO48" s="170"/>
      <c r="BP48" s="169"/>
      <c r="BQ48" s="35"/>
    </row>
    <row r="49" spans="2:69" ht="25.15" customHeight="1" x14ac:dyDescent="0.2">
      <c r="B49" s="51"/>
      <c r="C49" s="478" t="s">
        <v>108</v>
      </c>
      <c r="D49" s="84">
        <v>10</v>
      </c>
      <c r="E49" s="84"/>
      <c r="F49" s="84">
        <v>29</v>
      </c>
      <c r="H49" s="84">
        <v>39</v>
      </c>
      <c r="J49" s="1">
        <v>33</v>
      </c>
      <c r="L49" s="10">
        <v>36</v>
      </c>
      <c r="M49" s="10"/>
      <c r="N49" s="84">
        <v>30</v>
      </c>
      <c r="O49" s="84"/>
      <c r="P49" s="84">
        <v>30</v>
      </c>
      <c r="Q49" s="23"/>
      <c r="R49" s="84">
        <v>33</v>
      </c>
      <c r="S49" s="84"/>
      <c r="T49" s="84">
        <v>2841</v>
      </c>
      <c r="V49" s="84">
        <v>41676</v>
      </c>
      <c r="X49" s="84">
        <v>28136</v>
      </c>
      <c r="Z49" s="84">
        <v>20577</v>
      </c>
      <c r="AB49" s="10">
        <v>16377</v>
      </c>
      <c r="AD49" s="285">
        <v>14416</v>
      </c>
      <c r="AE49" s="23"/>
      <c r="AF49" s="285">
        <v>9049</v>
      </c>
      <c r="AG49" s="23"/>
      <c r="AH49" s="285">
        <v>12144</v>
      </c>
      <c r="AI49" s="10">
        <v>16377</v>
      </c>
      <c r="AJ49" s="84">
        <v>82632</v>
      </c>
      <c r="AL49" s="84">
        <v>2057232</v>
      </c>
      <c r="AN49" s="84">
        <v>1418424</v>
      </c>
      <c r="AP49" s="84">
        <v>1034840</v>
      </c>
      <c r="AR49" s="81">
        <v>613540</v>
      </c>
      <c r="AS49" s="81"/>
      <c r="AT49" s="84">
        <v>1308808</v>
      </c>
      <c r="AV49" s="84">
        <v>1034080</v>
      </c>
      <c r="AX49" s="285">
        <v>1057074</v>
      </c>
      <c r="AY49" s="352">
        <v>1057074</v>
      </c>
      <c r="AZ49" s="181"/>
      <c r="BA49" s="169"/>
      <c r="BB49" s="182"/>
      <c r="BC49" s="182"/>
      <c r="BD49" s="182"/>
      <c r="BE49" s="170"/>
      <c r="BF49" s="169"/>
      <c r="BG49" s="170"/>
      <c r="BH49" s="169"/>
      <c r="BI49" s="170"/>
      <c r="BJ49" s="169"/>
      <c r="BK49" s="170"/>
      <c r="BL49" s="169"/>
      <c r="BM49" s="35"/>
      <c r="BN49" s="169"/>
      <c r="BO49" s="170"/>
      <c r="BP49" s="169"/>
      <c r="BQ49" s="35"/>
    </row>
    <row r="50" spans="2:69" ht="25.15" customHeight="1" x14ac:dyDescent="0.2">
      <c r="B50" s="51"/>
      <c r="C50" s="478" t="s">
        <v>131</v>
      </c>
      <c r="D50" s="84">
        <v>6</v>
      </c>
      <c r="E50" s="84"/>
      <c r="F50" s="84">
        <v>8</v>
      </c>
      <c r="H50" s="84">
        <v>8</v>
      </c>
      <c r="J50" s="1">
        <v>22</v>
      </c>
      <c r="L50" s="10">
        <v>22</v>
      </c>
      <c r="M50" s="10"/>
      <c r="N50" s="84">
        <v>24</v>
      </c>
      <c r="O50" s="84"/>
      <c r="P50" s="84">
        <v>13</v>
      </c>
      <c r="Q50" s="23"/>
      <c r="R50" s="84">
        <v>28</v>
      </c>
      <c r="S50" s="84"/>
      <c r="T50" s="84">
        <v>702</v>
      </c>
      <c r="V50" s="84">
        <v>1089</v>
      </c>
      <c r="X50" s="84">
        <v>610</v>
      </c>
      <c r="Z50" s="84">
        <v>7242</v>
      </c>
      <c r="AB50" s="10">
        <v>6199</v>
      </c>
      <c r="AD50" s="285">
        <v>5858</v>
      </c>
      <c r="AE50" s="23"/>
      <c r="AF50" s="285">
        <v>5286</v>
      </c>
      <c r="AG50" s="23"/>
      <c r="AH50" s="285">
        <v>6388</v>
      </c>
      <c r="AI50" s="10">
        <v>6199</v>
      </c>
      <c r="AJ50" s="84">
        <v>17832</v>
      </c>
      <c r="AL50" s="84">
        <v>24368</v>
      </c>
      <c r="AN50" s="84">
        <v>40856</v>
      </c>
      <c r="AP50" s="84">
        <v>284576</v>
      </c>
      <c r="AR50" s="81">
        <v>341952</v>
      </c>
      <c r="AS50" s="81"/>
      <c r="AT50" s="84">
        <v>328816</v>
      </c>
      <c r="AV50" s="84">
        <v>212656</v>
      </c>
      <c r="AX50" s="285">
        <v>269400</v>
      </c>
      <c r="AY50" s="352">
        <v>269400</v>
      </c>
      <c r="AZ50" s="181"/>
      <c r="BA50" s="169"/>
      <c r="BB50" s="182"/>
      <c r="BC50" s="182"/>
      <c r="BD50" s="182"/>
      <c r="BE50" s="170"/>
      <c r="BF50" s="169"/>
      <c r="BG50" s="170"/>
      <c r="BH50" s="169"/>
      <c r="BI50" s="170"/>
      <c r="BJ50" s="169"/>
      <c r="BK50" s="170"/>
      <c r="BL50" s="169"/>
      <c r="BM50" s="35"/>
      <c r="BN50" s="169"/>
      <c r="BO50" s="170"/>
      <c r="BP50" s="169"/>
      <c r="BQ50" s="35"/>
    </row>
    <row r="51" spans="2:69" ht="25.15" customHeight="1" x14ac:dyDescent="0.2">
      <c r="B51" s="51"/>
      <c r="C51" s="478" t="s">
        <v>89</v>
      </c>
      <c r="D51" s="84">
        <v>12</v>
      </c>
      <c r="E51" s="84"/>
      <c r="F51" s="84">
        <v>3</v>
      </c>
      <c r="H51" s="84">
        <v>2</v>
      </c>
      <c r="J51" s="1">
        <v>2</v>
      </c>
      <c r="L51" s="304">
        <v>5</v>
      </c>
      <c r="M51" s="10"/>
      <c r="N51" s="84">
        <v>2</v>
      </c>
      <c r="O51" s="84"/>
      <c r="P51" s="84">
        <v>2</v>
      </c>
      <c r="Q51" s="23"/>
      <c r="R51" s="84">
        <v>2</v>
      </c>
      <c r="S51" s="84"/>
      <c r="T51" s="84">
        <v>5686</v>
      </c>
      <c r="V51" s="84">
        <v>518</v>
      </c>
      <c r="X51" s="84">
        <v>913</v>
      </c>
      <c r="Z51" s="84">
        <v>229</v>
      </c>
      <c r="AB51" s="10">
        <v>2493</v>
      </c>
      <c r="AD51" s="285">
        <v>1660</v>
      </c>
      <c r="AE51" s="23"/>
      <c r="AF51" s="285">
        <v>279</v>
      </c>
      <c r="AG51" s="23"/>
      <c r="AH51" s="285">
        <v>190</v>
      </c>
      <c r="AI51" s="10">
        <v>2493</v>
      </c>
      <c r="AJ51" s="84">
        <v>42958</v>
      </c>
      <c r="AL51" s="84">
        <v>9776</v>
      </c>
      <c r="AN51" s="84">
        <v>9112</v>
      </c>
      <c r="AP51" s="84">
        <v>1658</v>
      </c>
      <c r="AR51" s="81">
        <v>53048</v>
      </c>
      <c r="AS51" s="81"/>
      <c r="AT51" s="84">
        <v>39160</v>
      </c>
      <c r="AV51" s="84">
        <v>2896</v>
      </c>
      <c r="AX51" s="285">
        <v>1520</v>
      </c>
      <c r="AY51" s="352">
        <v>1520</v>
      </c>
      <c r="AZ51" s="183"/>
      <c r="BA51" s="169"/>
      <c r="BB51" s="182"/>
      <c r="BC51" s="182"/>
      <c r="BD51" s="182"/>
      <c r="BE51" s="170"/>
      <c r="BF51" s="169"/>
      <c r="BG51" s="170"/>
      <c r="BH51" s="169"/>
      <c r="BI51" s="170"/>
      <c r="BJ51" s="169"/>
      <c r="BK51" s="170"/>
      <c r="BL51" s="169"/>
      <c r="BM51" s="35"/>
      <c r="BN51" s="169"/>
      <c r="BO51" s="170"/>
      <c r="BP51" s="169"/>
      <c r="BQ51" s="35"/>
    </row>
    <row r="52" spans="2:69" ht="25.15" customHeight="1" x14ac:dyDescent="0.2">
      <c r="B52" s="51"/>
      <c r="C52" s="478" t="s">
        <v>109</v>
      </c>
      <c r="D52" s="84">
        <v>9</v>
      </c>
      <c r="E52" s="84"/>
      <c r="F52" s="84">
        <v>9</v>
      </c>
      <c r="H52" s="84">
        <v>4</v>
      </c>
      <c r="J52" s="1">
        <v>14</v>
      </c>
      <c r="L52" s="10">
        <v>4</v>
      </c>
      <c r="M52" s="10"/>
      <c r="N52" s="84">
        <v>10</v>
      </c>
      <c r="O52" s="84"/>
      <c r="P52" s="84">
        <v>5</v>
      </c>
      <c r="Q52" s="23"/>
      <c r="R52" s="84">
        <v>2</v>
      </c>
      <c r="S52" s="84"/>
      <c r="T52" s="84">
        <v>550</v>
      </c>
      <c r="V52" s="84">
        <v>730</v>
      </c>
      <c r="X52" s="84">
        <v>577</v>
      </c>
      <c r="Z52" s="84">
        <v>1359</v>
      </c>
      <c r="AB52" s="10">
        <v>530</v>
      </c>
      <c r="AD52" s="285">
        <v>2629</v>
      </c>
      <c r="AE52" s="23"/>
      <c r="AF52" s="285">
        <v>250</v>
      </c>
      <c r="AG52" s="23"/>
      <c r="AH52" s="285">
        <v>482</v>
      </c>
      <c r="AI52" s="10">
        <v>530</v>
      </c>
      <c r="AJ52" s="84">
        <v>20440</v>
      </c>
      <c r="AL52" s="84">
        <v>25792</v>
      </c>
      <c r="AN52" s="84">
        <v>7680</v>
      </c>
      <c r="AP52" s="84">
        <v>31960</v>
      </c>
      <c r="AR52" s="81">
        <v>20040</v>
      </c>
      <c r="AS52" s="81"/>
      <c r="AT52" s="84">
        <v>33496</v>
      </c>
      <c r="AV52" s="84">
        <v>3520</v>
      </c>
      <c r="AX52" s="285">
        <v>10576</v>
      </c>
      <c r="AY52" s="352">
        <v>10576</v>
      </c>
      <c r="AZ52" s="181"/>
      <c r="BA52" s="169"/>
      <c r="BB52" s="182"/>
      <c r="BC52" s="182"/>
      <c r="BD52" s="182"/>
      <c r="BE52" s="170"/>
      <c r="BF52" s="169"/>
      <c r="BG52" s="170"/>
      <c r="BH52" s="169"/>
      <c r="BI52" s="170"/>
      <c r="BJ52" s="169"/>
      <c r="BK52" s="170"/>
      <c r="BL52" s="169"/>
      <c r="BM52" s="35"/>
      <c r="BN52" s="169"/>
      <c r="BO52" s="170"/>
      <c r="BP52" s="169"/>
      <c r="BQ52" s="35"/>
    </row>
    <row r="53" spans="2:69" ht="25.15" customHeight="1" x14ac:dyDescent="0.2">
      <c r="B53" s="51"/>
      <c r="C53" s="478" t="s">
        <v>141</v>
      </c>
      <c r="D53" s="84">
        <v>2</v>
      </c>
      <c r="E53" s="84"/>
      <c r="F53" s="84">
        <v>0</v>
      </c>
      <c r="H53" s="84">
        <v>0</v>
      </c>
      <c r="J53" s="84">
        <v>0</v>
      </c>
      <c r="L53" s="304">
        <v>4</v>
      </c>
      <c r="M53" s="10"/>
      <c r="N53" s="84">
        <v>2</v>
      </c>
      <c r="O53" s="84"/>
      <c r="P53" s="84">
        <v>5</v>
      </c>
      <c r="Q53" s="23"/>
      <c r="R53" s="84">
        <v>3</v>
      </c>
      <c r="S53" s="84"/>
      <c r="T53" s="84">
        <v>306</v>
      </c>
      <c r="V53" s="84">
        <v>0</v>
      </c>
      <c r="X53" s="84">
        <v>0</v>
      </c>
      <c r="Z53" s="84">
        <v>0</v>
      </c>
      <c r="AB53" s="10">
        <v>698</v>
      </c>
      <c r="AD53" s="285">
        <v>96</v>
      </c>
      <c r="AE53" s="23"/>
      <c r="AF53" s="285">
        <v>1151</v>
      </c>
      <c r="AG53" s="23"/>
      <c r="AH53" s="285">
        <v>1737</v>
      </c>
      <c r="AI53" s="10">
        <v>698</v>
      </c>
      <c r="AJ53" s="84">
        <v>2448</v>
      </c>
      <c r="AL53" s="84">
        <v>0</v>
      </c>
      <c r="AN53" s="84">
        <v>0</v>
      </c>
      <c r="AP53" s="84">
        <v>0</v>
      </c>
      <c r="AR53" s="81">
        <v>6208</v>
      </c>
      <c r="AS53" s="81"/>
      <c r="AT53" s="84">
        <v>1520</v>
      </c>
      <c r="AV53" s="84">
        <v>11496</v>
      </c>
      <c r="AX53" s="285">
        <v>41688</v>
      </c>
      <c r="AY53" s="352">
        <v>41688</v>
      </c>
      <c r="AZ53" s="182"/>
      <c r="BA53" s="169"/>
      <c r="BB53" s="182"/>
      <c r="BC53" s="182"/>
      <c r="BD53" s="182"/>
      <c r="BE53" s="170"/>
      <c r="BF53" s="169"/>
      <c r="BG53" s="170"/>
      <c r="BH53" s="169"/>
      <c r="BI53" s="170"/>
      <c r="BJ53" s="169"/>
      <c r="BK53" s="170"/>
      <c r="BL53" s="169"/>
      <c r="BM53" s="35"/>
      <c r="BN53" s="169"/>
      <c r="BO53" s="170"/>
      <c r="BP53" s="169"/>
      <c r="BQ53" s="35"/>
    </row>
    <row r="54" spans="2:69" ht="25.15" customHeight="1" x14ac:dyDescent="0.2">
      <c r="B54" s="51"/>
      <c r="C54" s="478" t="s">
        <v>93</v>
      </c>
      <c r="D54" s="84">
        <v>0</v>
      </c>
      <c r="E54" s="84"/>
      <c r="F54" s="84">
        <v>0</v>
      </c>
      <c r="H54" s="84">
        <v>0</v>
      </c>
      <c r="J54" s="84">
        <v>0</v>
      </c>
      <c r="L54" s="10">
        <v>0</v>
      </c>
      <c r="M54" s="10"/>
      <c r="N54" s="285">
        <v>0</v>
      </c>
      <c r="O54" s="84"/>
      <c r="P54" s="285">
        <v>0</v>
      </c>
      <c r="Q54" s="23"/>
      <c r="R54" s="285">
        <v>0</v>
      </c>
      <c r="S54" s="285"/>
      <c r="T54" s="84">
        <v>0</v>
      </c>
      <c r="V54" s="84">
        <v>0</v>
      </c>
      <c r="X54" s="84">
        <v>0</v>
      </c>
      <c r="Z54" s="84">
        <v>0</v>
      </c>
      <c r="AB54" s="304">
        <v>0</v>
      </c>
      <c r="AD54" s="546">
        <v>0</v>
      </c>
      <c r="AE54" s="23"/>
      <c r="AF54" s="546">
        <v>0</v>
      </c>
      <c r="AG54" s="23"/>
      <c r="AH54" s="285">
        <v>0</v>
      </c>
      <c r="AI54" s="304">
        <v>0</v>
      </c>
      <c r="AJ54" s="84">
        <v>0</v>
      </c>
      <c r="AL54" s="84">
        <v>0</v>
      </c>
      <c r="AN54" s="84">
        <v>0</v>
      </c>
      <c r="AP54" s="84">
        <v>0</v>
      </c>
      <c r="AR54" s="81">
        <v>0</v>
      </c>
      <c r="AS54" s="81"/>
      <c r="AT54" s="23">
        <v>0</v>
      </c>
      <c r="AV54" s="285">
        <v>0</v>
      </c>
      <c r="AX54" s="285">
        <v>0</v>
      </c>
      <c r="AY54" s="352">
        <v>0</v>
      </c>
      <c r="AZ54" s="181"/>
      <c r="BA54" s="169"/>
      <c r="BB54" s="182"/>
      <c r="BC54" s="182"/>
      <c r="BD54" s="182"/>
      <c r="BE54" s="170"/>
      <c r="BF54" s="169"/>
      <c r="BG54" s="170"/>
      <c r="BH54" s="169"/>
      <c r="BI54" s="170"/>
      <c r="BJ54" s="169"/>
      <c r="BK54" s="170"/>
      <c r="BL54" s="169"/>
      <c r="BM54" s="35"/>
      <c r="BN54" s="169"/>
      <c r="BO54" s="170"/>
      <c r="BP54" s="169"/>
      <c r="BQ54" s="35"/>
    </row>
    <row r="55" spans="2:69" ht="25.15" customHeight="1" x14ac:dyDescent="0.2">
      <c r="B55" s="51"/>
      <c r="C55" s="478" t="s">
        <v>144</v>
      </c>
      <c r="D55" s="84">
        <v>13</v>
      </c>
      <c r="E55" s="84"/>
      <c r="F55" s="84">
        <v>13</v>
      </c>
      <c r="H55" s="84">
        <v>3</v>
      </c>
      <c r="J55" s="1">
        <v>9</v>
      </c>
      <c r="L55" s="304">
        <v>4</v>
      </c>
      <c r="M55" s="10"/>
      <c r="N55" s="84">
        <v>8</v>
      </c>
      <c r="O55" s="84"/>
      <c r="P55" s="84">
        <v>5</v>
      </c>
      <c r="Q55" s="23"/>
      <c r="R55" s="84">
        <v>8</v>
      </c>
      <c r="S55" s="84"/>
      <c r="T55" s="84">
        <v>4971</v>
      </c>
      <c r="V55" s="84">
        <v>2736</v>
      </c>
      <c r="X55" s="84">
        <v>908</v>
      </c>
      <c r="Z55" s="84">
        <v>1957</v>
      </c>
      <c r="AB55" s="10">
        <v>2731</v>
      </c>
      <c r="AD55" s="546">
        <v>1098</v>
      </c>
      <c r="AE55" s="23"/>
      <c r="AF55" s="546">
        <v>1126</v>
      </c>
      <c r="AG55" s="23"/>
      <c r="AH55" s="285">
        <v>847</v>
      </c>
      <c r="AI55" s="10">
        <v>2731</v>
      </c>
      <c r="AJ55" s="84">
        <v>86458</v>
      </c>
      <c r="AL55" s="84">
        <v>87632</v>
      </c>
      <c r="AN55" s="84">
        <v>9576</v>
      </c>
      <c r="AP55" s="84">
        <v>36272</v>
      </c>
      <c r="AR55" s="81">
        <v>190584</v>
      </c>
      <c r="AS55" s="81"/>
      <c r="AT55" s="84">
        <v>53424</v>
      </c>
      <c r="AV55" s="84">
        <v>108966</v>
      </c>
      <c r="AX55" s="285">
        <v>18008</v>
      </c>
      <c r="AY55" s="352">
        <v>18008</v>
      </c>
      <c r="AZ55" s="182"/>
      <c r="BA55" s="169"/>
      <c r="BB55" s="182"/>
      <c r="BC55" s="182"/>
      <c r="BD55" s="182"/>
      <c r="BE55" s="170"/>
      <c r="BF55" s="169"/>
      <c r="BG55" s="170"/>
      <c r="BH55" s="169"/>
      <c r="BI55" s="170"/>
      <c r="BJ55" s="169"/>
      <c r="BK55" s="170"/>
      <c r="BL55" s="169"/>
      <c r="BM55" s="35"/>
      <c r="BN55" s="169"/>
      <c r="BO55" s="170"/>
      <c r="BP55" s="169"/>
      <c r="BQ55" s="35"/>
    </row>
    <row r="56" spans="2:69" ht="25.15" customHeight="1" x14ac:dyDescent="0.2">
      <c r="B56" s="51"/>
      <c r="C56" s="478" t="s">
        <v>110</v>
      </c>
      <c r="D56" s="84">
        <v>0</v>
      </c>
      <c r="E56" s="84"/>
      <c r="F56" s="84">
        <v>1</v>
      </c>
      <c r="H56" s="84">
        <v>0</v>
      </c>
      <c r="J56" s="84">
        <v>0</v>
      </c>
      <c r="L56" s="304">
        <v>0</v>
      </c>
      <c r="M56" s="10"/>
      <c r="N56" s="84">
        <v>1</v>
      </c>
      <c r="O56" s="84"/>
      <c r="P56" s="84">
        <v>4</v>
      </c>
      <c r="Q56" s="23"/>
      <c r="R56" s="84">
        <v>1</v>
      </c>
      <c r="S56" s="84"/>
      <c r="T56" s="84">
        <v>0</v>
      </c>
      <c r="V56" s="84">
        <v>8</v>
      </c>
      <c r="X56" s="84">
        <v>0</v>
      </c>
      <c r="Z56" s="84">
        <v>0</v>
      </c>
      <c r="AB56" s="304">
        <v>0</v>
      </c>
      <c r="AD56" s="546">
        <v>70</v>
      </c>
      <c r="AE56" s="23"/>
      <c r="AF56" s="546">
        <v>352</v>
      </c>
      <c r="AG56" s="23"/>
      <c r="AH56" s="285">
        <v>1374</v>
      </c>
      <c r="AI56" s="304">
        <v>0</v>
      </c>
      <c r="AJ56" s="84">
        <v>0</v>
      </c>
      <c r="AL56" s="84">
        <v>64</v>
      </c>
      <c r="AN56" s="84">
        <v>0</v>
      </c>
      <c r="AP56" s="84">
        <v>0</v>
      </c>
      <c r="AR56" s="81">
        <v>0</v>
      </c>
      <c r="AS56" s="81"/>
      <c r="AT56" s="84">
        <v>1120</v>
      </c>
      <c r="AV56" s="84">
        <v>4192</v>
      </c>
      <c r="AX56" s="285">
        <v>30856</v>
      </c>
      <c r="AY56" s="352">
        <v>30856</v>
      </c>
      <c r="AZ56" s="182"/>
      <c r="BA56" s="169"/>
      <c r="BB56" s="182"/>
      <c r="BC56" s="182"/>
      <c r="BD56" s="182"/>
      <c r="BE56" s="170"/>
      <c r="BF56" s="169"/>
      <c r="BG56" s="170"/>
      <c r="BH56" s="169"/>
      <c r="BI56" s="170"/>
      <c r="BJ56" s="169"/>
      <c r="BK56" s="170"/>
      <c r="BL56" s="169"/>
      <c r="BM56" s="35"/>
      <c r="BN56" s="169"/>
      <c r="BO56" s="170"/>
      <c r="BP56" s="169"/>
      <c r="BQ56" s="35"/>
    </row>
    <row r="57" spans="2:69" ht="25.15" customHeight="1" x14ac:dyDescent="0.2">
      <c r="B57" s="51"/>
      <c r="C57" s="477" t="s">
        <v>91</v>
      </c>
      <c r="D57" s="84">
        <v>7</v>
      </c>
      <c r="E57" s="84"/>
      <c r="F57" s="84">
        <v>2</v>
      </c>
      <c r="H57" s="84">
        <v>1</v>
      </c>
      <c r="J57" s="84">
        <v>0</v>
      </c>
      <c r="L57" s="10">
        <v>0</v>
      </c>
      <c r="M57" s="10"/>
      <c r="N57" s="84">
        <v>1</v>
      </c>
      <c r="O57" s="84"/>
      <c r="P57" s="84">
        <v>2</v>
      </c>
      <c r="Q57" s="23"/>
      <c r="R57" s="84">
        <v>1</v>
      </c>
      <c r="S57" s="84"/>
      <c r="T57" s="84">
        <v>3387</v>
      </c>
      <c r="V57" s="84">
        <v>100</v>
      </c>
      <c r="X57" s="84">
        <v>57</v>
      </c>
      <c r="Z57" s="84">
        <v>0</v>
      </c>
      <c r="AB57" s="10">
        <v>0</v>
      </c>
      <c r="AD57" s="546">
        <v>64</v>
      </c>
      <c r="AE57" s="23"/>
      <c r="AF57" s="546">
        <v>320</v>
      </c>
      <c r="AG57" s="23"/>
      <c r="AH57" s="285">
        <v>334</v>
      </c>
      <c r="AI57" s="10">
        <v>0</v>
      </c>
      <c r="AJ57" s="84">
        <v>185184</v>
      </c>
      <c r="AL57" s="84">
        <v>800</v>
      </c>
      <c r="AN57" s="84">
        <v>1368</v>
      </c>
      <c r="AP57" s="84">
        <v>0</v>
      </c>
      <c r="AR57" s="81">
        <v>0</v>
      </c>
      <c r="AS57" s="81"/>
      <c r="AT57" s="84">
        <v>512</v>
      </c>
      <c r="AV57" s="84">
        <v>10688</v>
      </c>
      <c r="AX57" s="285">
        <v>13360</v>
      </c>
      <c r="AY57" s="352">
        <v>13360</v>
      </c>
      <c r="AZ57" s="181"/>
      <c r="BA57" s="169"/>
      <c r="BB57" s="182"/>
      <c r="BC57" s="182"/>
      <c r="BD57" s="182"/>
      <c r="BE57" s="170"/>
      <c r="BF57" s="169"/>
      <c r="BG57" s="170"/>
      <c r="BH57" s="169"/>
      <c r="BI57" s="170"/>
      <c r="BJ57" s="169"/>
      <c r="BK57" s="170"/>
      <c r="BL57" s="169"/>
      <c r="BM57" s="35"/>
      <c r="BN57" s="169"/>
      <c r="BO57" s="170"/>
      <c r="BP57" s="169"/>
      <c r="BQ57" s="35"/>
    </row>
    <row r="58" spans="2:69" ht="25.15" customHeight="1" x14ac:dyDescent="0.2">
      <c r="B58" s="51"/>
      <c r="C58" s="477" t="s">
        <v>111</v>
      </c>
      <c r="D58" s="84">
        <v>6</v>
      </c>
      <c r="E58" s="84"/>
      <c r="F58" s="84">
        <v>4</v>
      </c>
      <c r="H58" s="84">
        <v>1</v>
      </c>
      <c r="J58" s="1">
        <v>4</v>
      </c>
      <c r="L58" s="10">
        <v>5</v>
      </c>
      <c r="M58" s="10"/>
      <c r="N58" s="84">
        <v>3</v>
      </c>
      <c r="O58" s="84"/>
      <c r="P58" s="84">
        <v>12</v>
      </c>
      <c r="Q58" s="23"/>
      <c r="R58" s="84">
        <v>7</v>
      </c>
      <c r="S58" s="84"/>
      <c r="T58" s="84">
        <v>956</v>
      </c>
      <c r="V58" s="84">
        <v>386</v>
      </c>
      <c r="X58" s="84">
        <v>341</v>
      </c>
      <c r="Z58" s="84">
        <v>892</v>
      </c>
      <c r="AB58" s="10">
        <v>1083</v>
      </c>
      <c r="AD58" s="546">
        <v>655</v>
      </c>
      <c r="AE58" s="23"/>
      <c r="AF58" s="546">
        <v>3555</v>
      </c>
      <c r="AG58" s="23"/>
      <c r="AH58" s="285">
        <v>771</v>
      </c>
      <c r="AI58" s="10">
        <v>1083</v>
      </c>
      <c r="AJ58" s="84">
        <v>7304</v>
      </c>
      <c r="AL58" s="84">
        <v>4032</v>
      </c>
      <c r="AN58" s="84">
        <v>8192</v>
      </c>
      <c r="AP58" s="84">
        <v>13088</v>
      </c>
      <c r="AR58" s="81">
        <v>20512</v>
      </c>
      <c r="AS58" s="81"/>
      <c r="AT58" s="84">
        <v>30496</v>
      </c>
      <c r="AV58" s="84">
        <v>29624</v>
      </c>
      <c r="AX58" s="285">
        <v>27688</v>
      </c>
      <c r="AY58" s="352">
        <v>27688</v>
      </c>
      <c r="AZ58" s="181"/>
      <c r="BA58" s="169"/>
      <c r="BB58" s="182"/>
      <c r="BC58" s="182"/>
      <c r="BD58" s="182"/>
      <c r="BE58" s="170"/>
      <c r="BF58" s="169"/>
      <c r="BG58" s="170"/>
      <c r="BH58" s="169"/>
      <c r="BI58" s="170"/>
      <c r="BJ58" s="169"/>
      <c r="BK58" s="170"/>
      <c r="BL58" s="169"/>
      <c r="BM58" s="35"/>
      <c r="BN58" s="169"/>
      <c r="BO58" s="170"/>
      <c r="BP58" s="169"/>
      <c r="BQ58" s="35"/>
    </row>
    <row r="59" spans="2:69" ht="25.15" customHeight="1" x14ac:dyDescent="0.2">
      <c r="B59" s="51"/>
      <c r="C59" s="478" t="s">
        <v>19</v>
      </c>
      <c r="D59" s="84">
        <v>1</v>
      </c>
      <c r="E59" s="84"/>
      <c r="F59" s="84">
        <v>2</v>
      </c>
      <c r="H59" s="84">
        <v>2</v>
      </c>
      <c r="J59" s="1">
        <v>3</v>
      </c>
      <c r="L59" s="304">
        <v>0</v>
      </c>
      <c r="M59" s="10"/>
      <c r="N59" s="84">
        <v>1</v>
      </c>
      <c r="O59" s="84"/>
      <c r="P59" s="84">
        <v>1</v>
      </c>
      <c r="Q59" s="23"/>
      <c r="R59" s="84">
        <v>2</v>
      </c>
      <c r="S59" s="84"/>
      <c r="T59" s="84">
        <v>148</v>
      </c>
      <c r="V59" s="84">
        <v>53</v>
      </c>
      <c r="X59" s="84">
        <v>143</v>
      </c>
      <c r="Z59" s="84">
        <v>520</v>
      </c>
      <c r="AB59" s="10">
        <v>0</v>
      </c>
      <c r="AD59" s="546">
        <v>34</v>
      </c>
      <c r="AE59" s="23"/>
      <c r="AF59" s="546">
        <v>15</v>
      </c>
      <c r="AG59" s="23"/>
      <c r="AH59" s="285">
        <v>601</v>
      </c>
      <c r="AI59" s="10">
        <v>0</v>
      </c>
      <c r="AJ59" s="84">
        <v>1184</v>
      </c>
      <c r="AL59" s="84">
        <v>424</v>
      </c>
      <c r="AN59" s="84">
        <v>1144</v>
      </c>
      <c r="AP59" s="84">
        <v>4160</v>
      </c>
      <c r="AR59" s="81">
        <v>0</v>
      </c>
      <c r="AS59" s="81"/>
      <c r="AT59" s="84">
        <v>544</v>
      </c>
      <c r="AV59" s="84">
        <v>120</v>
      </c>
      <c r="AX59" s="285">
        <v>31344</v>
      </c>
      <c r="AY59" s="352">
        <v>31344</v>
      </c>
      <c r="AZ59" s="182"/>
      <c r="BA59" s="169"/>
      <c r="BB59" s="182"/>
      <c r="BC59" s="182"/>
      <c r="BD59" s="182"/>
      <c r="BE59" s="170"/>
      <c r="BF59" s="169"/>
      <c r="BG59" s="170"/>
      <c r="BH59" s="169"/>
      <c r="BI59" s="170"/>
      <c r="BJ59" s="169"/>
      <c r="BK59" s="170"/>
      <c r="BL59" s="169"/>
      <c r="BM59" s="35"/>
      <c r="BN59" s="169"/>
      <c r="BO59" s="170"/>
      <c r="BP59" s="169"/>
      <c r="BQ59" s="35"/>
    </row>
    <row r="60" spans="2:69" ht="25.15" customHeight="1" x14ac:dyDescent="0.2">
      <c r="B60" s="51"/>
      <c r="C60" s="478" t="s">
        <v>46</v>
      </c>
      <c r="D60" s="84">
        <v>1</v>
      </c>
      <c r="E60" s="84"/>
      <c r="F60" s="84">
        <v>0</v>
      </c>
      <c r="H60" s="84">
        <v>1</v>
      </c>
      <c r="J60" s="1">
        <v>7</v>
      </c>
      <c r="L60" s="304">
        <v>1</v>
      </c>
      <c r="M60" s="10"/>
      <c r="N60" s="285">
        <v>0</v>
      </c>
      <c r="O60" s="84"/>
      <c r="P60" s="84">
        <v>3</v>
      </c>
      <c r="Q60" s="23"/>
      <c r="R60" s="84">
        <v>3</v>
      </c>
      <c r="S60" s="84"/>
      <c r="T60" s="84">
        <v>18</v>
      </c>
      <c r="V60" s="84">
        <v>0</v>
      </c>
      <c r="X60" s="84">
        <v>100</v>
      </c>
      <c r="Z60" s="84">
        <v>385</v>
      </c>
      <c r="AB60" s="10">
        <v>22</v>
      </c>
      <c r="AD60" s="546">
        <v>0</v>
      </c>
      <c r="AE60" s="23"/>
      <c r="AF60" s="546">
        <v>4085</v>
      </c>
      <c r="AG60" s="23"/>
      <c r="AH60" s="285">
        <v>1567</v>
      </c>
      <c r="AI60" s="10">
        <v>22</v>
      </c>
      <c r="AJ60" s="84">
        <v>144</v>
      </c>
      <c r="AL60" s="84">
        <v>0</v>
      </c>
      <c r="AN60" s="84">
        <v>400</v>
      </c>
      <c r="AP60" s="84">
        <v>10216</v>
      </c>
      <c r="AR60" s="81">
        <v>176</v>
      </c>
      <c r="AS60" s="81"/>
      <c r="AT60" s="23">
        <v>0</v>
      </c>
      <c r="AV60" s="84">
        <v>439154</v>
      </c>
      <c r="AX60" s="285">
        <v>62952</v>
      </c>
      <c r="AY60" s="352">
        <v>62952</v>
      </c>
      <c r="AZ60" s="182"/>
      <c r="BA60" s="169"/>
      <c r="BB60" s="182"/>
      <c r="BC60" s="182"/>
      <c r="BD60" s="182"/>
      <c r="BE60" s="170"/>
      <c r="BF60" s="169"/>
      <c r="BG60" s="170"/>
      <c r="BH60" s="169"/>
      <c r="BI60" s="170"/>
      <c r="BJ60" s="169"/>
      <c r="BK60" s="170"/>
      <c r="BL60" s="169"/>
      <c r="BM60" s="35"/>
      <c r="BN60" s="169"/>
      <c r="BO60" s="170"/>
      <c r="BP60" s="169"/>
      <c r="BQ60" s="35"/>
    </row>
    <row r="61" spans="2:69" ht="25.15" customHeight="1" x14ac:dyDescent="0.2">
      <c r="B61" s="51"/>
      <c r="C61" s="478" t="s">
        <v>142</v>
      </c>
      <c r="D61" s="84">
        <v>0</v>
      </c>
      <c r="E61" s="84"/>
      <c r="F61" s="84">
        <v>0</v>
      </c>
      <c r="H61" s="84">
        <v>0</v>
      </c>
      <c r="J61" s="84">
        <v>0</v>
      </c>
      <c r="L61" s="304">
        <v>1</v>
      </c>
      <c r="M61" s="10"/>
      <c r="N61" s="285">
        <v>0</v>
      </c>
      <c r="O61" s="84"/>
      <c r="P61" s="84">
        <v>4</v>
      </c>
      <c r="Q61" s="23"/>
      <c r="R61" s="84">
        <v>2</v>
      </c>
      <c r="S61" s="84"/>
      <c r="T61" s="84">
        <v>0</v>
      </c>
      <c r="V61" s="84">
        <v>0</v>
      </c>
      <c r="X61" s="84">
        <v>0</v>
      </c>
      <c r="Z61" s="84">
        <v>0</v>
      </c>
      <c r="AB61" s="10">
        <v>223</v>
      </c>
      <c r="AD61" s="546">
        <v>0</v>
      </c>
      <c r="AE61" s="23"/>
      <c r="AF61" s="546">
        <v>148</v>
      </c>
      <c r="AG61" s="23"/>
      <c r="AH61" s="285">
        <v>76</v>
      </c>
      <c r="AI61" s="10">
        <v>223</v>
      </c>
      <c r="AJ61" s="84">
        <v>0</v>
      </c>
      <c r="AL61" s="84">
        <v>0</v>
      </c>
      <c r="AN61" s="84">
        <v>0</v>
      </c>
      <c r="AP61" s="84">
        <v>0</v>
      </c>
      <c r="AR61" s="81">
        <v>5352</v>
      </c>
      <c r="AS61" s="81"/>
      <c r="AT61" s="23">
        <v>0</v>
      </c>
      <c r="AV61" s="84">
        <v>15296</v>
      </c>
      <c r="AX61" s="285">
        <v>2016</v>
      </c>
      <c r="AY61" s="352">
        <v>2016</v>
      </c>
      <c r="AZ61" s="182"/>
      <c r="BA61" s="169"/>
      <c r="BB61" s="182"/>
      <c r="BC61" s="182"/>
      <c r="BD61" s="182"/>
      <c r="BE61" s="170"/>
      <c r="BF61" s="169"/>
      <c r="BG61" s="170"/>
      <c r="BH61" s="169"/>
      <c r="BI61" s="170"/>
      <c r="BJ61" s="169"/>
      <c r="BK61" s="170"/>
      <c r="BL61" s="169"/>
      <c r="BM61" s="35"/>
      <c r="BN61" s="169"/>
      <c r="BO61" s="170"/>
      <c r="BP61" s="169"/>
      <c r="BQ61" s="35"/>
    </row>
    <row r="62" spans="2:69" ht="25.15" customHeight="1" x14ac:dyDescent="0.2">
      <c r="B62" s="51"/>
      <c r="C62" s="478" t="s">
        <v>92</v>
      </c>
      <c r="D62" s="84">
        <v>0</v>
      </c>
      <c r="E62" s="84"/>
      <c r="F62" s="84">
        <v>0</v>
      </c>
      <c r="H62" s="84">
        <v>1</v>
      </c>
      <c r="J62" s="84">
        <v>0</v>
      </c>
      <c r="L62" s="304">
        <v>0</v>
      </c>
      <c r="M62" s="10"/>
      <c r="N62" s="285">
        <v>0</v>
      </c>
      <c r="O62" s="84"/>
      <c r="P62" s="285">
        <v>0</v>
      </c>
      <c r="Q62" s="23"/>
      <c r="R62" s="285">
        <v>0</v>
      </c>
      <c r="S62" s="285"/>
      <c r="T62" s="84">
        <v>0</v>
      </c>
      <c r="V62" s="84">
        <v>0</v>
      </c>
      <c r="X62" s="84">
        <v>1426</v>
      </c>
      <c r="Z62" s="84">
        <v>0</v>
      </c>
      <c r="AB62" s="304">
        <v>0</v>
      </c>
      <c r="AD62" s="546">
        <v>0</v>
      </c>
      <c r="AE62" s="23"/>
      <c r="AF62" s="546">
        <v>0</v>
      </c>
      <c r="AG62" s="23"/>
      <c r="AH62" s="285">
        <v>0</v>
      </c>
      <c r="AI62" s="304">
        <v>0</v>
      </c>
      <c r="AJ62" s="84">
        <v>0</v>
      </c>
      <c r="AL62" s="84">
        <v>0</v>
      </c>
      <c r="AN62" s="84">
        <v>11408</v>
      </c>
      <c r="AP62" s="84">
        <v>0</v>
      </c>
      <c r="AR62" s="81">
        <v>0</v>
      </c>
      <c r="AS62" s="81"/>
      <c r="AT62" s="84">
        <v>0</v>
      </c>
      <c r="AV62" s="285">
        <v>0</v>
      </c>
      <c r="AX62" s="285">
        <v>0</v>
      </c>
      <c r="AY62" s="352">
        <v>0</v>
      </c>
      <c r="AZ62" s="182"/>
      <c r="BA62" s="169"/>
      <c r="BB62" s="182"/>
      <c r="BC62" s="182"/>
      <c r="BD62" s="182"/>
      <c r="BE62" s="170"/>
      <c r="BF62" s="169"/>
      <c r="BG62" s="170"/>
      <c r="BH62" s="169"/>
      <c r="BI62" s="170"/>
      <c r="BJ62" s="169"/>
      <c r="BK62" s="170"/>
      <c r="BL62" s="169"/>
      <c r="BM62" s="35"/>
      <c r="BN62" s="169"/>
      <c r="BO62" s="170"/>
      <c r="BP62" s="169"/>
      <c r="BQ62" s="35"/>
    </row>
    <row r="63" spans="2:69" ht="30" customHeight="1" x14ac:dyDescent="0.2">
      <c r="B63" s="482"/>
      <c r="C63" s="418" t="s">
        <v>6</v>
      </c>
      <c r="D63" s="489">
        <f>SUM(D47:D62)</f>
        <v>67</v>
      </c>
      <c r="E63" s="489"/>
      <c r="F63" s="489">
        <f>SUM(F47:F62)</f>
        <v>73</v>
      </c>
      <c r="G63" s="482"/>
      <c r="H63" s="489">
        <f>SUM(H47:H62)</f>
        <v>63</v>
      </c>
      <c r="I63" s="482"/>
      <c r="J63" s="490">
        <f>SUM(J47:J62)</f>
        <v>99</v>
      </c>
      <c r="K63" s="482"/>
      <c r="L63" s="450">
        <f>SUM(L47:L62)</f>
        <v>83</v>
      </c>
      <c r="M63" s="491"/>
      <c r="N63" s="492">
        <f>SUM(N47:N62)</f>
        <v>84</v>
      </c>
      <c r="O63" s="490"/>
      <c r="P63" s="492">
        <f>SUM(P47:P62)</f>
        <v>89</v>
      </c>
      <c r="Q63" s="450"/>
      <c r="R63" s="492">
        <f>SUM(R47:R62)</f>
        <v>94</v>
      </c>
      <c r="S63" s="449"/>
      <c r="T63" s="489">
        <f>SUM(T47:T62)</f>
        <v>19565</v>
      </c>
      <c r="U63" s="482"/>
      <c r="V63" s="489">
        <f>SUM(V47:V62)</f>
        <v>48096</v>
      </c>
      <c r="W63" s="482"/>
      <c r="X63" s="489">
        <f>SUM(X47:X62)</f>
        <v>34011</v>
      </c>
      <c r="Y63" s="482"/>
      <c r="Z63" s="489">
        <f>SUM(Z47:Z62)</f>
        <v>36114</v>
      </c>
      <c r="AA63" s="482"/>
      <c r="AB63" s="450">
        <f>SUM(AB47:AB62)</f>
        <v>30606</v>
      </c>
      <c r="AC63" s="493"/>
      <c r="AD63" s="494">
        <f>SUM(AD47:AD62)</f>
        <v>26770</v>
      </c>
      <c r="AE63" s="490"/>
      <c r="AF63" s="494">
        <f>SUM(AF47:AF62)</f>
        <v>25845</v>
      </c>
      <c r="AG63" s="495"/>
      <c r="AH63" s="496">
        <f>SUM(AH47:AH62)</f>
        <v>26736</v>
      </c>
      <c r="AI63" s="452">
        <f>SUM(AI47:AI62)</f>
        <v>30606</v>
      </c>
      <c r="AJ63" s="489">
        <f>SUM(AJ47:AJ62)</f>
        <v>446584</v>
      </c>
      <c r="AK63" s="482"/>
      <c r="AL63" s="489">
        <f>SUM(AL47:AL62)</f>
        <v>2216520</v>
      </c>
      <c r="AM63" s="482"/>
      <c r="AN63" s="489">
        <f>SUM(AN47:AN62)</f>
        <v>1520960</v>
      </c>
      <c r="AO63" s="482"/>
      <c r="AP63" s="489">
        <f>SUM(AP47:AP62)</f>
        <v>1452466</v>
      </c>
      <c r="AQ63" s="482"/>
      <c r="AR63" s="496">
        <f>SUM(AR47:AR62)</f>
        <v>1279380</v>
      </c>
      <c r="AS63" s="495"/>
      <c r="AT63" s="489">
        <f>SUM(AT47:AT62)</f>
        <v>1799416</v>
      </c>
      <c r="AU63" s="489">
        <f>SUM(AU47:AU62)</f>
        <v>0</v>
      </c>
      <c r="AV63" s="489">
        <f>SUM(AV47:AV62)</f>
        <v>1878696</v>
      </c>
      <c r="AW63" s="482"/>
      <c r="AX63" s="489">
        <f>SUM(AX47:AX62)</f>
        <v>1573202</v>
      </c>
      <c r="AY63" s="489">
        <f>SUM(AY47:AY62)</f>
        <v>1573202</v>
      </c>
      <c r="AZ63" s="184"/>
      <c r="BA63" s="175"/>
      <c r="BB63" s="184"/>
      <c r="BC63" s="184"/>
      <c r="BD63" s="184"/>
      <c r="BE63" s="176"/>
      <c r="BF63" s="184"/>
      <c r="BG63" s="176"/>
      <c r="BH63" s="185"/>
      <c r="BI63" s="176"/>
      <c r="BJ63" s="185"/>
      <c r="BK63" s="176"/>
      <c r="BL63" s="185"/>
      <c r="BM63" s="176"/>
      <c r="BN63" s="185"/>
      <c r="BO63" s="176"/>
      <c r="BP63" s="185"/>
      <c r="BQ63" s="176"/>
    </row>
    <row r="64" spans="2:69" ht="28.5" customHeight="1" x14ac:dyDescent="0.2">
      <c r="D64" s="168"/>
      <c r="E64" s="168"/>
      <c r="F64" s="168"/>
      <c r="G64" s="168"/>
      <c r="H64" s="168"/>
      <c r="I64" s="168"/>
      <c r="J64" s="168"/>
      <c r="K64" s="168"/>
      <c r="L64" s="168"/>
      <c r="M64" s="168"/>
      <c r="N64" s="167"/>
      <c r="O64" s="167"/>
      <c r="P64" s="167"/>
      <c r="Q64" s="167"/>
      <c r="R64" s="167"/>
      <c r="S64" s="167"/>
      <c r="T64" s="168"/>
      <c r="U64" s="168"/>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X64" s="67" t="s">
        <v>84</v>
      </c>
    </row>
    <row r="65" spans="2:263" s="27" customFormat="1" ht="25.15" customHeight="1" x14ac:dyDescent="0.2">
      <c r="B65" s="918" t="s">
        <v>145</v>
      </c>
      <c r="C65" s="918"/>
      <c r="D65" s="918"/>
      <c r="E65" s="918"/>
      <c r="F65" s="918"/>
      <c r="G65" s="918"/>
      <c r="H65" s="918"/>
      <c r="I65" s="918"/>
      <c r="J65" s="918"/>
      <c r="K65" s="918"/>
      <c r="L65" s="918"/>
      <c r="M65" s="918"/>
      <c r="N65" s="918"/>
      <c r="O65" s="918"/>
      <c r="P65" s="918"/>
      <c r="Q65" s="918"/>
      <c r="R65" s="918"/>
      <c r="S65" s="918"/>
      <c r="T65" s="918"/>
      <c r="U65" s="918"/>
      <c r="V65" s="918"/>
      <c r="W65" s="918"/>
      <c r="X65" s="918"/>
      <c r="Y65" s="918"/>
      <c r="Z65" s="918"/>
      <c r="AA65" s="918"/>
      <c r="AB65" s="918"/>
      <c r="AC65" s="918"/>
      <c r="AD65" s="918"/>
      <c r="AE65" s="918"/>
      <c r="AF65" s="918"/>
      <c r="AG65" s="918"/>
      <c r="AH65" s="918"/>
      <c r="AI65" s="918"/>
      <c r="AJ65" s="918"/>
      <c r="AK65" s="918"/>
      <c r="AL65" s="918"/>
      <c r="AM65" s="918"/>
      <c r="AN65" s="918"/>
      <c r="AO65" s="918"/>
      <c r="AP65" s="918"/>
      <c r="AQ65" s="918"/>
      <c r="AR65" s="918"/>
      <c r="AS65" s="918"/>
      <c r="AT65" s="918"/>
      <c r="AU65" s="918"/>
      <c r="AV65" s="918"/>
      <c r="AW65" s="918"/>
      <c r="AX65" s="918"/>
      <c r="AY65" s="918"/>
      <c r="AZ65" s="165"/>
      <c r="BA65" s="165"/>
      <c r="BB65" s="165"/>
      <c r="BC65" s="165"/>
      <c r="BD65" s="165"/>
      <c r="BE65" s="165"/>
      <c r="BF65" s="165"/>
      <c r="BG65" s="165"/>
      <c r="BH65" s="165"/>
      <c r="BI65" s="165"/>
      <c r="BJ65" s="165"/>
      <c r="BK65" s="165"/>
      <c r="BL65" s="165"/>
      <c r="BM65" s="165"/>
      <c r="BN65" s="165"/>
      <c r="BO65" s="165"/>
      <c r="BP65" s="165"/>
      <c r="BQ65" s="165"/>
    </row>
    <row r="66" spans="2:263" s="27" customFormat="1" ht="23.25" x14ac:dyDescent="0.2">
      <c r="B66" s="891" t="s">
        <v>107</v>
      </c>
      <c r="C66" s="891"/>
      <c r="D66" s="891"/>
      <c r="E66" s="891"/>
      <c r="F66" s="891"/>
      <c r="G66" s="891"/>
      <c r="H66" s="891"/>
      <c r="I66" s="891"/>
      <c r="J66" s="891"/>
      <c r="K66" s="891"/>
      <c r="L66" s="891"/>
      <c r="M66" s="891"/>
      <c r="N66" s="891"/>
      <c r="O66" s="891"/>
      <c r="P66" s="891"/>
      <c r="Q66" s="891"/>
      <c r="R66" s="891"/>
      <c r="S66" s="891"/>
      <c r="T66" s="891"/>
      <c r="U66" s="891"/>
      <c r="V66" s="891"/>
      <c r="W66" s="891"/>
      <c r="X66" s="891"/>
      <c r="Y66" s="891"/>
      <c r="Z66" s="891"/>
      <c r="AA66" s="891"/>
      <c r="AB66" s="891"/>
      <c r="AC66" s="891"/>
      <c r="AD66" s="891"/>
      <c r="AE66" s="891"/>
      <c r="AF66" s="891"/>
      <c r="AG66" s="891"/>
      <c r="AH66" s="891"/>
      <c r="AI66" s="891"/>
      <c r="AJ66" s="891"/>
      <c r="AK66" s="891"/>
      <c r="AL66" s="891"/>
      <c r="AM66" s="891"/>
      <c r="AN66" s="891"/>
      <c r="AO66" s="891"/>
      <c r="AP66" s="891"/>
      <c r="AQ66" s="891"/>
      <c r="AR66" s="891"/>
      <c r="AS66" s="891"/>
      <c r="AT66" s="891"/>
      <c r="AU66" s="891"/>
      <c r="AV66" s="891"/>
      <c r="AW66" s="891"/>
      <c r="AX66" s="891"/>
      <c r="AY66" s="891"/>
      <c r="AZ66" s="118"/>
      <c r="BA66" s="118"/>
      <c r="BB66" s="118"/>
      <c r="BC66" s="118"/>
      <c r="BD66" s="118"/>
      <c r="BE66" s="118"/>
      <c r="BF66" s="118"/>
      <c r="BG66" s="118"/>
      <c r="BH66" s="118"/>
      <c r="BI66" s="118"/>
      <c r="BJ66" s="118"/>
      <c r="BK66" s="118"/>
      <c r="BL66" s="118"/>
      <c r="BM66" s="118"/>
      <c r="BN66" s="118"/>
      <c r="BO66" s="118"/>
      <c r="BP66" s="118"/>
      <c r="BQ66" s="118"/>
    </row>
    <row r="67" spans="2:263" s="27" customFormat="1" ht="25.15" customHeight="1" x14ac:dyDescent="0.2">
      <c r="B67" s="891" t="s">
        <v>310</v>
      </c>
      <c r="C67" s="891"/>
      <c r="D67" s="891"/>
      <c r="E67" s="891"/>
      <c r="F67" s="891"/>
      <c r="G67" s="891"/>
      <c r="H67" s="891"/>
      <c r="I67" s="891"/>
      <c r="J67" s="891"/>
      <c r="K67" s="891"/>
      <c r="L67" s="891"/>
      <c r="M67" s="891"/>
      <c r="N67" s="891"/>
      <c r="O67" s="891"/>
      <c r="P67" s="891"/>
      <c r="Q67" s="891"/>
      <c r="R67" s="891"/>
      <c r="S67" s="891"/>
      <c r="T67" s="891"/>
      <c r="U67" s="891"/>
      <c r="V67" s="891"/>
      <c r="W67" s="891"/>
      <c r="X67" s="891"/>
      <c r="Y67" s="891"/>
      <c r="Z67" s="891"/>
      <c r="AA67" s="891"/>
      <c r="AB67" s="891"/>
      <c r="AC67" s="891"/>
      <c r="AD67" s="891"/>
      <c r="AE67" s="891"/>
      <c r="AF67" s="891"/>
      <c r="AG67" s="891"/>
      <c r="AH67" s="891"/>
      <c r="AI67" s="891"/>
      <c r="AJ67" s="891"/>
      <c r="AK67" s="891"/>
      <c r="AL67" s="891"/>
      <c r="AM67" s="891"/>
      <c r="AN67" s="891"/>
      <c r="AO67" s="891"/>
      <c r="AP67" s="891"/>
      <c r="AQ67" s="891"/>
      <c r="AR67" s="891"/>
      <c r="AS67" s="891"/>
      <c r="AT67" s="891"/>
      <c r="AU67" s="891"/>
      <c r="AV67" s="891"/>
      <c r="AW67" s="891"/>
      <c r="AX67" s="891"/>
      <c r="AY67" s="891"/>
      <c r="AZ67" s="891"/>
      <c r="BA67" s="891"/>
      <c r="BB67" s="891"/>
      <c r="BC67" s="891"/>
      <c r="BD67" s="891"/>
      <c r="BE67" s="891"/>
      <c r="BF67" s="891"/>
      <c r="BG67" s="891"/>
      <c r="BH67" s="891"/>
      <c r="BI67" s="891"/>
      <c r="BJ67" s="891"/>
      <c r="BK67" s="891"/>
      <c r="BL67" s="891"/>
      <c r="BM67" s="891"/>
      <c r="BN67" s="891"/>
      <c r="BO67" s="891"/>
      <c r="BP67" s="891"/>
      <c r="BQ67" s="891"/>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811"/>
      <c r="DQ67" s="811"/>
      <c r="DR67" s="811"/>
      <c r="DS67" s="811"/>
      <c r="DT67" s="811"/>
      <c r="DU67" s="811"/>
      <c r="DV67" s="811"/>
      <c r="DW67" s="811"/>
      <c r="DX67" s="811"/>
      <c r="DY67" s="811"/>
      <c r="DZ67" s="811"/>
      <c r="EA67" s="811"/>
      <c r="EB67" s="811"/>
      <c r="EC67" s="811"/>
      <c r="ED67" s="811"/>
      <c r="EE67" s="811"/>
      <c r="EF67" s="811"/>
      <c r="EG67" s="811"/>
      <c r="EH67" s="811"/>
      <c r="EI67" s="811"/>
      <c r="EJ67" s="811"/>
      <c r="EK67" s="811"/>
      <c r="EL67" s="811"/>
      <c r="EM67" s="811"/>
      <c r="EN67" s="811"/>
      <c r="EO67" s="811"/>
      <c r="EP67" s="811"/>
      <c r="EQ67" s="811"/>
      <c r="ER67" s="811"/>
      <c r="ES67" s="811"/>
      <c r="ET67" s="811"/>
      <c r="EU67" s="811"/>
      <c r="EV67" s="811"/>
      <c r="EW67" s="811"/>
      <c r="EX67" s="811"/>
      <c r="EY67" s="811"/>
      <c r="EZ67" s="811"/>
      <c r="FA67" s="811"/>
      <c r="FB67" s="811"/>
      <c r="FC67" s="811"/>
      <c r="FD67" s="811"/>
      <c r="FE67" s="811"/>
      <c r="FF67" s="811"/>
      <c r="FG67" s="811"/>
      <c r="FH67" s="811"/>
      <c r="FI67" s="811"/>
      <c r="FJ67" s="811"/>
      <c r="FK67" s="811"/>
      <c r="FL67" s="811"/>
      <c r="FM67" s="811"/>
      <c r="FN67" s="811"/>
      <c r="FO67" s="811"/>
      <c r="FP67" s="811"/>
      <c r="FQ67" s="811"/>
      <c r="FR67" s="811"/>
      <c r="FS67" s="811"/>
      <c r="FT67" s="811"/>
      <c r="FU67" s="811"/>
      <c r="FV67" s="811"/>
      <c r="FW67" s="811"/>
      <c r="FX67" s="811"/>
      <c r="FY67" s="811"/>
      <c r="FZ67" s="811"/>
      <c r="GA67" s="811"/>
      <c r="GB67" s="811"/>
      <c r="GC67" s="811"/>
      <c r="GD67" s="811"/>
      <c r="GE67" s="811"/>
      <c r="GF67" s="811"/>
      <c r="GG67" s="811"/>
      <c r="GH67" s="811"/>
      <c r="GI67" s="811"/>
      <c r="GJ67" s="811"/>
      <c r="GK67" s="811"/>
      <c r="GL67" s="811"/>
      <c r="GM67" s="811"/>
      <c r="GN67" s="811"/>
      <c r="GO67" s="811"/>
      <c r="GP67" s="811"/>
      <c r="GQ67" s="811"/>
      <c r="GR67" s="811"/>
      <c r="GS67" s="811"/>
      <c r="GT67" s="811"/>
      <c r="GU67" s="811"/>
      <c r="GV67" s="811"/>
      <c r="GW67" s="811"/>
      <c r="GX67" s="811"/>
      <c r="GY67" s="811"/>
      <c r="GZ67" s="811"/>
      <c r="HA67" s="811"/>
      <c r="HB67" s="811"/>
      <c r="HC67" s="811"/>
      <c r="HD67" s="811"/>
      <c r="HE67" s="811"/>
      <c r="HF67" s="811"/>
      <c r="HG67" s="811"/>
      <c r="HH67" s="811"/>
      <c r="HI67" s="811"/>
      <c r="HJ67" s="811"/>
      <c r="HK67" s="811"/>
      <c r="HL67" s="811"/>
      <c r="HM67" s="811"/>
      <c r="HN67" s="811"/>
      <c r="HO67" s="811"/>
      <c r="HP67" s="811"/>
      <c r="HQ67" s="811"/>
      <c r="HR67" s="811"/>
      <c r="HS67" s="811"/>
      <c r="HT67" s="811"/>
      <c r="HU67" s="811"/>
      <c r="HV67" s="811"/>
      <c r="HW67" s="811"/>
      <c r="HX67" s="811"/>
      <c r="HY67" s="811"/>
      <c r="HZ67" s="811"/>
      <c r="IA67" s="811"/>
      <c r="IB67" s="811"/>
      <c r="IC67" s="811"/>
      <c r="ID67" s="811"/>
      <c r="IE67" s="811"/>
      <c r="IF67" s="811"/>
      <c r="IG67" s="811"/>
      <c r="IH67" s="811"/>
      <c r="II67" s="811"/>
      <c r="IJ67" s="811"/>
      <c r="IK67" s="811"/>
      <c r="IL67" s="811"/>
      <c r="IM67" s="811"/>
      <c r="IN67" s="811"/>
      <c r="IO67" s="811"/>
      <c r="IP67" s="811"/>
      <c r="IQ67" s="811"/>
      <c r="IR67" s="811"/>
      <c r="IS67" s="811"/>
      <c r="IT67" s="811"/>
      <c r="IU67" s="811"/>
      <c r="IV67" s="811"/>
      <c r="IW67" s="811"/>
      <c r="IX67" s="811"/>
      <c r="IY67" s="811"/>
      <c r="IZ67" s="811"/>
      <c r="JA67" s="811"/>
      <c r="JB67" s="811"/>
      <c r="JC67" s="811"/>
    </row>
    <row r="68" spans="2:263" s="27" customFormat="1" ht="25.15" customHeight="1" x14ac:dyDescent="0.2">
      <c r="B68" s="914" t="s">
        <v>199</v>
      </c>
      <c r="C68" s="914"/>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117"/>
      <c r="BL68" s="117"/>
      <c r="BM68" s="117"/>
      <c r="BN68" s="117"/>
      <c r="BO68" s="117"/>
      <c r="BP68" s="117"/>
      <c r="BQ68" s="11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107"/>
      <c r="DQ68" s="107"/>
      <c r="DR68" s="107"/>
      <c r="DS68" s="107"/>
      <c r="DT68" s="107"/>
      <c r="DU68" s="107"/>
      <c r="DV68" s="107"/>
      <c r="DW68" s="107"/>
      <c r="DX68" s="107"/>
      <c r="DY68" s="107"/>
      <c r="DZ68" s="107"/>
      <c r="EA68" s="107"/>
      <c r="EB68" s="107"/>
      <c r="EC68" s="107"/>
      <c r="ED68" s="107"/>
      <c r="EE68" s="107"/>
      <c r="EF68" s="107"/>
      <c r="EG68" s="107"/>
      <c r="EH68" s="107"/>
      <c r="EI68" s="107"/>
      <c r="EJ68" s="107"/>
      <c r="EK68" s="107"/>
      <c r="EL68" s="107"/>
      <c r="EM68" s="107"/>
      <c r="EN68" s="107"/>
      <c r="EO68" s="107"/>
      <c r="EP68" s="107"/>
      <c r="EQ68" s="107"/>
      <c r="ER68" s="107"/>
      <c r="ES68" s="107"/>
      <c r="ET68" s="107"/>
      <c r="EU68" s="107"/>
      <c r="EV68" s="107"/>
      <c r="EW68" s="107"/>
      <c r="EX68" s="107"/>
      <c r="EY68" s="107"/>
      <c r="EZ68" s="107"/>
      <c r="FA68" s="107"/>
      <c r="FB68" s="107"/>
      <c r="FC68" s="107"/>
      <c r="FD68" s="107"/>
      <c r="FE68" s="107"/>
      <c r="FF68" s="107"/>
      <c r="FG68" s="107"/>
      <c r="FH68" s="107"/>
      <c r="FI68" s="107"/>
      <c r="FJ68" s="107"/>
      <c r="FK68" s="107"/>
      <c r="FL68" s="107"/>
      <c r="FM68" s="107"/>
      <c r="FN68" s="107"/>
      <c r="FO68" s="107"/>
      <c r="FP68" s="107"/>
      <c r="FQ68" s="107"/>
      <c r="FR68" s="107"/>
      <c r="FS68" s="107"/>
      <c r="FT68" s="107"/>
      <c r="FU68" s="107"/>
      <c r="FV68" s="107"/>
      <c r="FW68" s="107"/>
      <c r="FX68" s="107"/>
      <c r="FY68" s="107"/>
      <c r="FZ68" s="107"/>
      <c r="GA68" s="107"/>
      <c r="GB68" s="107"/>
      <c r="GC68" s="107"/>
      <c r="GD68" s="107"/>
      <c r="GE68" s="107"/>
      <c r="GF68" s="107"/>
      <c r="GG68" s="107"/>
      <c r="GH68" s="107"/>
      <c r="GI68" s="107"/>
      <c r="GJ68" s="107"/>
      <c r="GK68" s="107"/>
      <c r="GL68" s="107"/>
      <c r="GM68" s="107"/>
      <c r="GN68" s="107"/>
      <c r="GO68" s="107"/>
      <c r="GP68" s="107"/>
      <c r="GQ68" s="107"/>
      <c r="GR68" s="107"/>
      <c r="GS68" s="107"/>
      <c r="GT68" s="107"/>
      <c r="GU68" s="107"/>
      <c r="GV68" s="107"/>
      <c r="GW68" s="107"/>
      <c r="GX68" s="107"/>
      <c r="GY68" s="107"/>
      <c r="GZ68" s="107"/>
      <c r="HA68" s="107"/>
      <c r="HB68" s="107"/>
      <c r="HC68" s="107"/>
      <c r="HD68" s="107"/>
      <c r="HE68" s="107"/>
      <c r="HF68" s="107"/>
      <c r="HG68" s="107"/>
      <c r="HH68" s="107"/>
      <c r="HI68" s="107"/>
      <c r="HJ68" s="107"/>
      <c r="HK68" s="107"/>
      <c r="HL68" s="107"/>
      <c r="HM68" s="107"/>
      <c r="HN68" s="107"/>
      <c r="HO68" s="107"/>
      <c r="HP68" s="107"/>
      <c r="HQ68" s="107"/>
      <c r="HR68" s="107"/>
      <c r="HS68" s="107"/>
      <c r="HT68" s="107"/>
      <c r="HU68" s="107"/>
      <c r="HV68" s="107"/>
      <c r="HW68" s="107"/>
      <c r="HX68" s="107"/>
      <c r="HY68" s="107"/>
      <c r="HZ68" s="107"/>
      <c r="IA68" s="107"/>
      <c r="IB68" s="107"/>
      <c r="IC68" s="107"/>
      <c r="ID68" s="107"/>
      <c r="IE68" s="107"/>
      <c r="IF68" s="107"/>
      <c r="IG68" s="107"/>
      <c r="IH68" s="107"/>
      <c r="II68" s="107"/>
      <c r="IJ68" s="107"/>
      <c r="IK68" s="107"/>
      <c r="IL68" s="107"/>
      <c r="IM68" s="107"/>
      <c r="IN68" s="107"/>
      <c r="IO68" s="107"/>
      <c r="IP68" s="107"/>
      <c r="IQ68" s="107"/>
      <c r="IR68" s="107"/>
      <c r="IS68" s="107"/>
      <c r="IT68" s="107"/>
      <c r="IU68" s="107"/>
      <c r="IV68" s="107"/>
      <c r="IW68" s="107"/>
      <c r="IX68" s="107"/>
      <c r="IY68" s="107"/>
      <c r="IZ68" s="107"/>
      <c r="JA68" s="107"/>
      <c r="JB68" s="107"/>
      <c r="JC68" s="107"/>
    </row>
    <row r="69" spans="2:263" ht="25.15" customHeight="1" x14ac:dyDescent="0.2">
      <c r="B69" s="821" t="s">
        <v>123</v>
      </c>
      <c r="C69" s="821"/>
      <c r="D69" s="915" t="s">
        <v>2</v>
      </c>
      <c r="E69" s="916"/>
      <c r="F69" s="916"/>
      <c r="G69" s="916"/>
      <c r="H69" s="916"/>
      <c r="I69" s="916"/>
      <c r="J69" s="916"/>
      <c r="K69" s="916"/>
      <c r="L69" s="916"/>
      <c r="M69" s="916"/>
      <c r="N69" s="916"/>
      <c r="O69" s="916"/>
      <c r="P69" s="916"/>
      <c r="Q69" s="916"/>
      <c r="R69" s="916"/>
      <c r="S69" s="917"/>
      <c r="T69" s="836" t="s">
        <v>15</v>
      </c>
      <c r="U69" s="850"/>
      <c r="V69" s="850"/>
      <c r="W69" s="850"/>
      <c r="X69" s="850"/>
      <c r="Y69" s="850"/>
      <c r="Z69" s="850"/>
      <c r="AA69" s="850"/>
      <c r="AB69" s="850"/>
      <c r="AC69" s="850"/>
      <c r="AD69" s="850"/>
      <c r="AE69" s="850"/>
      <c r="AF69" s="850"/>
      <c r="AG69" s="850"/>
      <c r="AH69" s="850"/>
      <c r="AI69" s="851"/>
      <c r="AJ69" s="836" t="s">
        <v>12</v>
      </c>
      <c r="AK69" s="850"/>
      <c r="AL69" s="850"/>
      <c r="AM69" s="850"/>
      <c r="AN69" s="850"/>
      <c r="AO69" s="850"/>
      <c r="AP69" s="850"/>
      <c r="AQ69" s="850"/>
      <c r="AR69" s="850"/>
      <c r="AS69" s="850"/>
      <c r="AT69" s="850"/>
      <c r="AU69" s="850"/>
      <c r="AV69" s="850"/>
      <c r="AW69" s="850"/>
      <c r="AX69" s="850"/>
      <c r="AY69" s="851"/>
      <c r="AZ69" s="29"/>
      <c r="BA69" s="29"/>
      <c r="BB69" s="29"/>
      <c r="BC69" s="29"/>
      <c r="BD69" s="29"/>
      <c r="BE69" s="29"/>
      <c r="BF69" s="29"/>
      <c r="BG69" s="29"/>
      <c r="BH69" s="29"/>
      <c r="BI69" s="29"/>
      <c r="BJ69" s="29"/>
      <c r="BK69" s="29"/>
      <c r="BL69" s="29"/>
      <c r="BM69" s="29"/>
      <c r="BN69" s="29"/>
      <c r="BO69" s="29"/>
      <c r="BP69" s="29"/>
      <c r="BQ69" s="29"/>
    </row>
    <row r="70" spans="2:263" ht="25.15" customHeight="1" x14ac:dyDescent="0.2">
      <c r="B70" s="821"/>
      <c r="C70" s="821"/>
      <c r="D70" s="834">
        <v>2014</v>
      </c>
      <c r="E70" s="835"/>
      <c r="F70" s="835">
        <v>2015</v>
      </c>
      <c r="G70" s="835"/>
      <c r="H70" s="835">
        <v>2016</v>
      </c>
      <c r="I70" s="835"/>
      <c r="J70" s="835">
        <v>2017</v>
      </c>
      <c r="K70" s="835"/>
      <c r="L70" s="835">
        <v>2018</v>
      </c>
      <c r="M70" s="835"/>
      <c r="N70" s="835">
        <v>2019</v>
      </c>
      <c r="O70" s="835"/>
      <c r="P70" s="835">
        <v>2020</v>
      </c>
      <c r="Q70" s="835"/>
      <c r="R70" s="835">
        <v>2021</v>
      </c>
      <c r="S70" s="849"/>
      <c r="T70" s="834">
        <v>2014</v>
      </c>
      <c r="U70" s="835"/>
      <c r="V70" s="835">
        <v>2015</v>
      </c>
      <c r="W70" s="835"/>
      <c r="X70" s="835">
        <v>2016</v>
      </c>
      <c r="Y70" s="835"/>
      <c r="Z70" s="835">
        <v>2017</v>
      </c>
      <c r="AA70" s="835"/>
      <c r="AB70" s="835">
        <v>2018</v>
      </c>
      <c r="AC70" s="835"/>
      <c r="AD70" s="835">
        <v>2019</v>
      </c>
      <c r="AE70" s="835"/>
      <c r="AF70" s="835">
        <v>2020</v>
      </c>
      <c r="AG70" s="835"/>
      <c r="AH70" s="835">
        <v>2021</v>
      </c>
      <c r="AI70" s="849"/>
      <c r="AJ70" s="834">
        <v>2014</v>
      </c>
      <c r="AK70" s="835"/>
      <c r="AL70" s="835">
        <v>2015</v>
      </c>
      <c r="AM70" s="835"/>
      <c r="AN70" s="835">
        <v>2016</v>
      </c>
      <c r="AO70" s="835"/>
      <c r="AP70" s="835">
        <v>2017</v>
      </c>
      <c r="AQ70" s="835"/>
      <c r="AR70" s="835">
        <v>2018</v>
      </c>
      <c r="AS70" s="835"/>
      <c r="AT70" s="835">
        <v>2019</v>
      </c>
      <c r="AU70" s="835"/>
      <c r="AV70" s="835">
        <v>2020</v>
      </c>
      <c r="AW70" s="835"/>
      <c r="AX70" s="835">
        <v>2021</v>
      </c>
      <c r="AY70" s="849"/>
      <c r="AZ70" s="29"/>
      <c r="BA70" s="29"/>
      <c r="BB70" s="29"/>
      <c r="BC70" s="29"/>
      <c r="BD70" s="29"/>
      <c r="BE70" s="29"/>
      <c r="BF70" s="29"/>
      <c r="BG70" s="29"/>
      <c r="BH70" s="29"/>
      <c r="BI70" s="29"/>
      <c r="BJ70" s="29"/>
      <c r="BK70" s="29"/>
      <c r="BL70" s="29"/>
      <c r="BM70" s="29"/>
      <c r="BN70" s="29"/>
      <c r="BO70" s="29"/>
      <c r="BP70" s="29"/>
      <c r="BQ70" s="29"/>
    </row>
    <row r="71" spans="2:263" ht="25.15" customHeight="1" x14ac:dyDescent="0.2">
      <c r="B71" s="51"/>
      <c r="C71" s="477" t="s">
        <v>88</v>
      </c>
      <c r="D71" s="54">
        <v>3</v>
      </c>
      <c r="E71" s="186"/>
      <c r="F71" s="54">
        <v>1</v>
      </c>
      <c r="G71" s="186"/>
      <c r="H71" s="55">
        <v>2</v>
      </c>
      <c r="I71" s="54"/>
      <c r="J71" s="186">
        <v>1</v>
      </c>
      <c r="K71" s="186"/>
      <c r="L71" s="186">
        <v>0</v>
      </c>
      <c r="M71" s="186"/>
      <c r="N71" s="186">
        <v>0</v>
      </c>
      <c r="O71" s="186"/>
      <c r="P71" s="10">
        <v>0</v>
      </c>
      <c r="R71" s="10">
        <v>1</v>
      </c>
      <c r="T71" s="54">
        <v>556</v>
      </c>
      <c r="U71" s="362"/>
      <c r="V71" s="363" t="s">
        <v>62</v>
      </c>
      <c r="W71" s="362"/>
      <c r="X71" s="55">
        <v>440</v>
      </c>
      <c r="Y71" s="54"/>
      <c r="Z71" s="186">
        <v>171</v>
      </c>
      <c r="AA71" s="186"/>
      <c r="AB71" s="55">
        <v>0</v>
      </c>
      <c r="AC71" s="186"/>
      <c r="AD71" s="55">
        <v>0</v>
      </c>
      <c r="AE71" s="186"/>
      <c r="AF71" s="15">
        <v>0</v>
      </c>
      <c r="AH71" s="10">
        <v>298</v>
      </c>
      <c r="AJ71" s="54">
        <v>15552</v>
      </c>
      <c r="AK71" s="187"/>
      <c r="AL71" s="188" t="s">
        <v>62</v>
      </c>
      <c r="AM71" s="187"/>
      <c r="AN71" s="55">
        <v>7280</v>
      </c>
      <c r="AO71" s="186"/>
      <c r="AP71" s="54">
        <v>2736</v>
      </c>
      <c r="AQ71" s="186"/>
      <c r="AR71" s="54">
        <v>0</v>
      </c>
      <c r="AS71" s="54"/>
      <c r="AT71" s="54">
        <v>0</v>
      </c>
      <c r="AU71" s="189"/>
      <c r="AV71" s="15">
        <v>0</v>
      </c>
      <c r="AW71" s="35"/>
      <c r="AX71" s="15">
        <v>4768</v>
      </c>
      <c r="AZ71" s="178"/>
      <c r="BA71" s="167"/>
      <c r="BB71" s="98"/>
      <c r="BC71" s="98"/>
      <c r="BD71" s="179"/>
      <c r="BE71" s="98"/>
      <c r="BF71" s="167"/>
      <c r="BG71" s="98"/>
      <c r="BH71" s="167"/>
      <c r="BI71" s="98"/>
      <c r="BJ71" s="167"/>
      <c r="BK71" s="98"/>
      <c r="BL71" s="167"/>
      <c r="BN71" s="167"/>
      <c r="BO71" s="98"/>
      <c r="BP71" s="167"/>
    </row>
    <row r="72" spans="2:263" ht="25.15" customHeight="1" x14ac:dyDescent="0.2">
      <c r="B72" s="51"/>
      <c r="C72" s="478" t="s">
        <v>18</v>
      </c>
      <c r="D72" s="55">
        <v>0</v>
      </c>
      <c r="E72" s="275"/>
      <c r="F72" s="55">
        <v>2</v>
      </c>
      <c r="G72" s="275"/>
      <c r="H72" s="55">
        <v>0</v>
      </c>
      <c r="I72" s="186"/>
      <c r="J72" s="186">
        <v>0</v>
      </c>
      <c r="K72" s="186"/>
      <c r="L72" s="186">
        <v>0</v>
      </c>
      <c r="M72" s="186"/>
      <c r="N72" s="186">
        <v>0</v>
      </c>
      <c r="O72" s="186"/>
      <c r="P72" s="10">
        <v>0</v>
      </c>
      <c r="R72" s="10">
        <v>0</v>
      </c>
      <c r="T72" s="364" t="s">
        <v>8</v>
      </c>
      <c r="U72" s="362"/>
      <c r="V72" s="54">
        <v>96</v>
      </c>
      <c r="W72" s="186"/>
      <c r="X72" s="55" t="s">
        <v>8</v>
      </c>
      <c r="Y72" s="186"/>
      <c r="Z72" s="186">
        <v>0</v>
      </c>
      <c r="AA72" s="186"/>
      <c r="AB72" s="55">
        <v>0</v>
      </c>
      <c r="AC72" s="186"/>
      <c r="AD72" s="55">
        <v>0</v>
      </c>
      <c r="AE72" s="186"/>
      <c r="AF72" s="15">
        <v>0</v>
      </c>
      <c r="AH72" s="10">
        <v>0</v>
      </c>
      <c r="AJ72" s="55">
        <v>0</v>
      </c>
      <c r="AK72" s="187"/>
      <c r="AL72" s="55">
        <v>768</v>
      </c>
      <c r="AM72" s="187"/>
      <c r="AN72" s="55" t="s">
        <v>8</v>
      </c>
      <c r="AO72" s="186"/>
      <c r="AP72" s="54">
        <v>0</v>
      </c>
      <c r="AQ72" s="186"/>
      <c r="AR72" s="186">
        <v>0</v>
      </c>
      <c r="AS72" s="186"/>
      <c r="AT72" s="186">
        <v>0</v>
      </c>
      <c r="AU72" s="189"/>
      <c r="AV72" s="15">
        <v>0</v>
      </c>
      <c r="AW72" s="35"/>
      <c r="AX72" s="15">
        <v>0</v>
      </c>
      <c r="AZ72" s="179"/>
      <c r="BA72" s="167"/>
      <c r="BB72" s="179"/>
      <c r="BC72" s="179"/>
      <c r="BD72" s="179"/>
      <c r="BE72" s="98"/>
      <c r="BF72" s="167"/>
      <c r="BG72" s="98"/>
      <c r="BH72" s="167"/>
      <c r="BI72" s="98"/>
      <c r="BJ72" s="167"/>
      <c r="BK72" s="98"/>
      <c r="BL72" s="167"/>
      <c r="BN72" s="167"/>
      <c r="BO72" s="98"/>
      <c r="BP72" s="167"/>
    </row>
    <row r="73" spans="2:263" ht="25.15" customHeight="1" x14ac:dyDescent="0.2">
      <c r="B73" s="51"/>
      <c r="C73" s="478" t="s">
        <v>108</v>
      </c>
      <c r="D73" s="54">
        <v>32</v>
      </c>
      <c r="E73" s="186"/>
      <c r="F73" s="54">
        <v>11</v>
      </c>
      <c r="G73" s="186"/>
      <c r="H73" s="55">
        <v>14</v>
      </c>
      <c r="I73" s="186"/>
      <c r="J73" s="186">
        <v>14</v>
      </c>
      <c r="K73" s="186"/>
      <c r="L73" s="186">
        <v>14</v>
      </c>
      <c r="M73" s="186"/>
      <c r="N73" s="186">
        <v>18</v>
      </c>
      <c r="O73" s="186"/>
      <c r="P73" s="284">
        <f>2+1+1+2</f>
        <v>6</v>
      </c>
      <c r="R73" s="10">
        <v>15</v>
      </c>
      <c r="T73" s="54">
        <v>14748</v>
      </c>
      <c r="U73" s="362"/>
      <c r="V73" s="54">
        <v>11173</v>
      </c>
      <c r="W73" s="186"/>
      <c r="X73" s="55">
        <v>5565</v>
      </c>
      <c r="Y73" s="186"/>
      <c r="Z73" s="55">
        <v>8643</v>
      </c>
      <c r="AA73" s="186"/>
      <c r="AB73" s="55">
        <v>4531</v>
      </c>
      <c r="AC73" s="186"/>
      <c r="AD73" s="186">
        <v>12403</v>
      </c>
      <c r="AE73" s="186"/>
      <c r="AF73" s="286">
        <f>382+116+624+441</f>
        <v>1563</v>
      </c>
      <c r="AH73" s="284">
        <v>5268</v>
      </c>
      <c r="AJ73" s="55">
        <v>1170064</v>
      </c>
      <c r="AK73" s="187"/>
      <c r="AL73" s="55">
        <v>1176912</v>
      </c>
      <c r="AM73" s="187"/>
      <c r="AN73" s="55">
        <v>544312</v>
      </c>
      <c r="AO73" s="186"/>
      <c r="AP73" s="54">
        <v>991464</v>
      </c>
      <c r="AQ73" s="186"/>
      <c r="AR73" s="186">
        <v>425512</v>
      </c>
      <c r="AS73" s="186"/>
      <c r="AT73" s="186">
        <v>823176</v>
      </c>
      <c r="AU73" s="173"/>
      <c r="AV73" s="287">
        <f>19976+6176+2784+14976+19560</f>
        <v>63472</v>
      </c>
      <c r="AW73" s="35"/>
      <c r="AX73" s="15">
        <v>403056</v>
      </c>
      <c r="AZ73" s="178"/>
      <c r="BA73" s="167"/>
      <c r="BB73" s="179"/>
      <c r="BC73" s="179"/>
      <c r="BD73" s="179"/>
      <c r="BE73" s="98"/>
      <c r="BF73" s="167"/>
      <c r="BG73" s="98"/>
      <c r="BH73" s="167"/>
      <c r="BI73" s="98"/>
      <c r="BJ73" s="167"/>
      <c r="BK73" s="98"/>
      <c r="BL73" s="167"/>
      <c r="BN73" s="167"/>
      <c r="BO73" s="98"/>
      <c r="BP73" s="167"/>
    </row>
    <row r="74" spans="2:263" ht="25.15" customHeight="1" x14ac:dyDescent="0.2">
      <c r="B74" s="51"/>
      <c r="C74" s="478" t="s">
        <v>131</v>
      </c>
      <c r="D74" s="54">
        <v>32</v>
      </c>
      <c r="E74" s="186"/>
      <c r="F74" s="54">
        <v>11</v>
      </c>
      <c r="G74" s="186"/>
      <c r="H74" s="55">
        <v>12</v>
      </c>
      <c r="I74" s="186"/>
      <c r="J74" s="186">
        <v>8</v>
      </c>
      <c r="K74" s="186"/>
      <c r="L74" s="186">
        <v>6</v>
      </c>
      <c r="M74" s="186"/>
      <c r="N74" s="186">
        <v>10</v>
      </c>
      <c r="O74" s="186"/>
      <c r="P74" s="284">
        <f>1+1</f>
        <v>2</v>
      </c>
      <c r="R74" s="10">
        <v>9</v>
      </c>
      <c r="T74" s="54">
        <v>7766</v>
      </c>
      <c r="U74" s="362"/>
      <c r="V74" s="54">
        <v>5425</v>
      </c>
      <c r="W74" s="186"/>
      <c r="X74" s="55">
        <v>5321</v>
      </c>
      <c r="Y74" s="186"/>
      <c r="Z74" s="186">
        <v>1794</v>
      </c>
      <c r="AA74" s="186"/>
      <c r="AB74" s="55">
        <v>1270</v>
      </c>
      <c r="AC74" s="186"/>
      <c r="AD74" s="186">
        <v>5417</v>
      </c>
      <c r="AE74" s="186"/>
      <c r="AF74" s="286">
        <f>1860+599</f>
        <v>2459</v>
      </c>
      <c r="AH74" s="284">
        <v>2435</v>
      </c>
      <c r="AJ74" s="55">
        <v>367688</v>
      </c>
      <c r="AK74" s="187"/>
      <c r="AL74" s="55">
        <v>159192</v>
      </c>
      <c r="AM74" s="187"/>
      <c r="AN74" s="55">
        <v>1045240</v>
      </c>
      <c r="AO74" s="186"/>
      <c r="AP74" s="54">
        <v>89880</v>
      </c>
      <c r="AQ74" s="186"/>
      <c r="AR74" s="186">
        <v>85888</v>
      </c>
      <c r="AS74" s="186"/>
      <c r="AT74" s="186">
        <v>72424</v>
      </c>
      <c r="AU74" s="173"/>
      <c r="AV74" s="287">
        <f>119040+4792+4792</f>
        <v>128624</v>
      </c>
      <c r="AW74" s="35"/>
      <c r="AX74" s="15">
        <v>200960</v>
      </c>
      <c r="AZ74" s="178"/>
      <c r="BA74" s="167"/>
      <c r="BB74" s="179"/>
      <c r="BC74" s="179"/>
      <c r="BD74" s="179"/>
      <c r="BE74" s="98"/>
      <c r="BF74" s="167"/>
      <c r="BG74" s="98"/>
      <c r="BH74" s="167"/>
      <c r="BI74" s="98"/>
      <c r="BJ74" s="167"/>
      <c r="BK74" s="98"/>
      <c r="BL74" s="167"/>
      <c r="BN74" s="167"/>
      <c r="BO74" s="98"/>
      <c r="BP74" s="167"/>
    </row>
    <row r="75" spans="2:263" ht="25.15" customHeight="1" x14ac:dyDescent="0.2">
      <c r="B75" s="51"/>
      <c r="C75" s="478" t="s">
        <v>89</v>
      </c>
      <c r="D75" s="54">
        <v>1</v>
      </c>
      <c r="E75" s="186"/>
      <c r="F75" s="54">
        <v>3</v>
      </c>
      <c r="G75" s="186"/>
      <c r="H75" s="55">
        <v>0</v>
      </c>
      <c r="I75" s="186"/>
      <c r="J75" s="186">
        <v>0</v>
      </c>
      <c r="K75" s="186"/>
      <c r="L75" s="186">
        <v>0</v>
      </c>
      <c r="M75" s="186"/>
      <c r="N75" s="186">
        <v>2</v>
      </c>
      <c r="O75" s="186"/>
      <c r="P75" s="10">
        <v>0</v>
      </c>
      <c r="R75" s="10">
        <v>0</v>
      </c>
      <c r="T75" s="54">
        <v>377</v>
      </c>
      <c r="U75" s="362"/>
      <c r="V75" s="54">
        <v>165</v>
      </c>
      <c r="W75" s="186"/>
      <c r="X75" s="55">
        <v>0</v>
      </c>
      <c r="Y75" s="186"/>
      <c r="Z75" s="186">
        <v>0</v>
      </c>
      <c r="AA75" s="186"/>
      <c r="AB75" s="55">
        <v>0</v>
      </c>
      <c r="AC75" s="186"/>
      <c r="AD75" s="186">
        <v>2830</v>
      </c>
      <c r="AE75" s="186"/>
      <c r="AF75" s="15">
        <v>0</v>
      </c>
      <c r="AH75" s="10">
        <v>0</v>
      </c>
      <c r="AJ75" s="55">
        <v>6032</v>
      </c>
      <c r="AK75" s="187"/>
      <c r="AL75" s="55">
        <v>1320</v>
      </c>
      <c r="AM75" s="187"/>
      <c r="AN75" s="55" t="s">
        <v>8</v>
      </c>
      <c r="AO75" s="186"/>
      <c r="AP75" s="54">
        <v>0</v>
      </c>
      <c r="AQ75" s="186"/>
      <c r="AR75" s="186">
        <v>0</v>
      </c>
      <c r="AS75" s="186"/>
      <c r="AT75" s="186">
        <v>22640</v>
      </c>
      <c r="AU75" s="173"/>
      <c r="AV75" s="15">
        <v>0</v>
      </c>
      <c r="AW75" s="35"/>
      <c r="AX75" s="15">
        <v>0</v>
      </c>
      <c r="AZ75" s="180"/>
      <c r="BA75" s="167"/>
      <c r="BB75" s="179"/>
      <c r="BC75" s="179"/>
      <c r="BD75" s="179"/>
      <c r="BE75" s="98"/>
      <c r="BF75" s="167"/>
      <c r="BG75" s="98"/>
      <c r="BH75" s="167"/>
      <c r="BI75" s="98"/>
      <c r="BJ75" s="167"/>
      <c r="BK75" s="98"/>
      <c r="BL75" s="167"/>
      <c r="BN75" s="167"/>
      <c r="BO75" s="98"/>
      <c r="BP75" s="167"/>
    </row>
    <row r="76" spans="2:263" ht="25.15" customHeight="1" x14ac:dyDescent="0.2">
      <c r="B76" s="51"/>
      <c r="C76" s="478" t="s">
        <v>109</v>
      </c>
      <c r="D76" s="54">
        <v>2</v>
      </c>
      <c r="E76" s="186"/>
      <c r="F76" s="54">
        <v>0</v>
      </c>
      <c r="G76" s="186"/>
      <c r="H76" s="55">
        <v>0</v>
      </c>
      <c r="I76" s="186"/>
      <c r="J76" s="186">
        <v>0</v>
      </c>
      <c r="K76" s="186"/>
      <c r="L76" s="186">
        <v>2</v>
      </c>
      <c r="M76" s="186"/>
      <c r="N76" s="186">
        <v>1</v>
      </c>
      <c r="O76" s="186"/>
      <c r="P76" s="10">
        <v>0</v>
      </c>
      <c r="R76" s="10">
        <v>0</v>
      </c>
      <c r="T76" s="54">
        <v>1108</v>
      </c>
      <c r="U76" s="362"/>
      <c r="V76" s="54">
        <v>0</v>
      </c>
      <c r="W76" s="186"/>
      <c r="X76" s="55">
        <v>0</v>
      </c>
      <c r="Y76" s="186"/>
      <c r="Z76" s="186">
        <v>0</v>
      </c>
      <c r="AA76" s="186"/>
      <c r="AB76" s="55">
        <v>250</v>
      </c>
      <c r="AC76" s="186"/>
      <c r="AD76" s="186">
        <v>200</v>
      </c>
      <c r="AE76" s="186"/>
      <c r="AF76" s="15">
        <v>0</v>
      </c>
      <c r="AH76" s="10">
        <v>0</v>
      </c>
      <c r="AJ76" s="55">
        <v>21952</v>
      </c>
      <c r="AK76" s="187"/>
      <c r="AL76" s="55">
        <v>0</v>
      </c>
      <c r="AM76" s="187"/>
      <c r="AN76" s="55" t="s">
        <v>8</v>
      </c>
      <c r="AO76" s="186"/>
      <c r="AP76" s="54">
        <v>0</v>
      </c>
      <c r="AQ76" s="186"/>
      <c r="AR76" s="186">
        <v>2000</v>
      </c>
      <c r="AS76" s="186"/>
      <c r="AT76" s="186">
        <v>6400</v>
      </c>
      <c r="AU76" s="173"/>
      <c r="AV76" s="15">
        <v>0</v>
      </c>
      <c r="AW76" s="35"/>
      <c r="AX76" s="15">
        <v>0</v>
      </c>
      <c r="AZ76" s="178"/>
      <c r="BA76" s="167"/>
      <c r="BB76" s="179"/>
      <c r="BC76" s="179"/>
      <c r="BD76" s="179"/>
      <c r="BE76" s="98"/>
      <c r="BF76" s="167"/>
      <c r="BG76" s="98"/>
      <c r="BH76" s="167"/>
      <c r="BI76" s="98"/>
      <c r="BJ76" s="167"/>
      <c r="BK76" s="98"/>
      <c r="BL76" s="167"/>
      <c r="BN76" s="167"/>
      <c r="BO76" s="98"/>
      <c r="BP76" s="167"/>
    </row>
    <row r="77" spans="2:263" ht="25.15" customHeight="1" x14ac:dyDescent="0.2">
      <c r="B77" s="51"/>
      <c r="C77" s="478" t="s">
        <v>141</v>
      </c>
      <c r="D77" s="54">
        <v>5</v>
      </c>
      <c r="E77" s="186"/>
      <c r="F77" s="54">
        <v>3</v>
      </c>
      <c r="G77" s="186"/>
      <c r="H77" s="55">
        <v>1</v>
      </c>
      <c r="I77" s="186"/>
      <c r="J77" s="186">
        <v>1</v>
      </c>
      <c r="K77" s="186"/>
      <c r="L77" s="186">
        <v>3</v>
      </c>
      <c r="M77" s="186"/>
      <c r="N77" s="186">
        <v>3</v>
      </c>
      <c r="O77" s="186"/>
      <c r="P77" s="10">
        <v>0</v>
      </c>
      <c r="R77" s="10">
        <v>1</v>
      </c>
      <c r="T77" s="54">
        <v>1582</v>
      </c>
      <c r="U77" s="362"/>
      <c r="V77" s="54">
        <v>850</v>
      </c>
      <c r="W77" s="186"/>
      <c r="X77" s="55">
        <v>52</v>
      </c>
      <c r="Y77" s="186"/>
      <c r="Z77" s="186">
        <v>68</v>
      </c>
      <c r="AA77" s="186"/>
      <c r="AB77" s="55">
        <v>1048</v>
      </c>
      <c r="AC77" s="186"/>
      <c r="AD77" s="186">
        <v>1066</v>
      </c>
      <c r="AE77" s="186"/>
      <c r="AF77" s="15">
        <v>0</v>
      </c>
      <c r="AH77" s="10">
        <v>115</v>
      </c>
      <c r="AJ77" s="55">
        <v>23040</v>
      </c>
      <c r="AK77" s="187"/>
      <c r="AL77" s="55">
        <v>30960</v>
      </c>
      <c r="AM77" s="187"/>
      <c r="AN77" s="55">
        <v>8416</v>
      </c>
      <c r="AO77" s="186"/>
      <c r="AP77" s="54">
        <v>1088</v>
      </c>
      <c r="AQ77" s="186"/>
      <c r="AR77" s="186">
        <v>40608</v>
      </c>
      <c r="AS77" s="186"/>
      <c r="AT77" s="186">
        <v>12128</v>
      </c>
      <c r="AU77" s="173"/>
      <c r="AV77" s="15">
        <v>0</v>
      </c>
      <c r="AW77" s="35"/>
      <c r="AX77" s="15">
        <v>1840</v>
      </c>
      <c r="AZ77" s="179"/>
      <c r="BA77" s="167"/>
      <c r="BB77" s="179"/>
      <c r="BC77" s="179"/>
      <c r="BD77" s="179"/>
      <c r="BE77" s="98"/>
      <c r="BF77" s="167"/>
      <c r="BG77" s="98"/>
      <c r="BH77" s="167"/>
      <c r="BI77" s="98"/>
      <c r="BJ77" s="167"/>
      <c r="BK77" s="98"/>
      <c r="BL77" s="167"/>
      <c r="BN77" s="167"/>
      <c r="BO77" s="98"/>
      <c r="BP77" s="167"/>
    </row>
    <row r="78" spans="2:263" ht="25.15" customHeight="1" x14ac:dyDescent="0.2">
      <c r="B78" s="51"/>
      <c r="C78" s="478" t="s">
        <v>93</v>
      </c>
      <c r="D78" s="55">
        <v>0</v>
      </c>
      <c r="E78" s="186"/>
      <c r="F78" s="55">
        <v>0</v>
      </c>
      <c r="G78" s="186"/>
      <c r="H78" s="55">
        <v>0</v>
      </c>
      <c r="I78" s="186"/>
      <c r="J78" s="186">
        <v>0</v>
      </c>
      <c r="K78" s="186"/>
      <c r="L78" s="186">
        <v>0</v>
      </c>
      <c r="M78" s="186"/>
      <c r="N78" s="186">
        <v>0</v>
      </c>
      <c r="O78" s="186"/>
      <c r="P78" s="10">
        <v>0</v>
      </c>
      <c r="R78" s="10">
        <v>0</v>
      </c>
      <c r="T78" s="55">
        <v>0</v>
      </c>
      <c r="U78" s="362"/>
      <c r="V78" s="186">
        <v>0</v>
      </c>
      <c r="W78" s="186"/>
      <c r="X78" s="55">
        <v>0</v>
      </c>
      <c r="Y78" s="186"/>
      <c r="Z78" s="186">
        <v>0</v>
      </c>
      <c r="AA78" s="186"/>
      <c r="AB78" s="365">
        <v>0</v>
      </c>
      <c r="AC78" s="365"/>
      <c r="AD78" s="365">
        <v>0</v>
      </c>
      <c r="AE78" s="186"/>
      <c r="AF78" s="15">
        <v>0</v>
      </c>
      <c r="AH78" s="10">
        <v>0</v>
      </c>
      <c r="AJ78" s="55">
        <v>0</v>
      </c>
      <c r="AK78" s="187"/>
      <c r="AL78" s="55">
        <v>0</v>
      </c>
      <c r="AM78" s="187"/>
      <c r="AN78" s="55" t="s">
        <v>8</v>
      </c>
      <c r="AO78" s="186"/>
      <c r="AP78" s="54">
        <v>0</v>
      </c>
      <c r="AQ78" s="186"/>
      <c r="AR78" s="186">
        <v>0</v>
      </c>
      <c r="AS78" s="186"/>
      <c r="AT78" s="186">
        <v>0</v>
      </c>
      <c r="AU78" s="173"/>
      <c r="AV78" s="15">
        <v>0</v>
      </c>
      <c r="AW78" s="35"/>
      <c r="AX78" s="15">
        <v>0</v>
      </c>
      <c r="AZ78" s="178"/>
      <c r="BA78" s="167"/>
      <c r="BB78" s="179"/>
      <c r="BC78" s="179"/>
      <c r="BD78" s="179"/>
      <c r="BE78" s="98"/>
      <c r="BF78" s="167"/>
      <c r="BG78" s="98"/>
      <c r="BH78" s="167"/>
      <c r="BI78" s="98"/>
      <c r="BJ78" s="167"/>
      <c r="BK78" s="98"/>
      <c r="BL78" s="167"/>
      <c r="BN78" s="167"/>
      <c r="BO78" s="98"/>
      <c r="BP78" s="167"/>
    </row>
    <row r="79" spans="2:263" ht="25.15" customHeight="1" x14ac:dyDescent="0.2">
      <c r="B79" s="51"/>
      <c r="C79" s="478" t="s">
        <v>144</v>
      </c>
      <c r="D79" s="54">
        <v>3</v>
      </c>
      <c r="E79" s="186"/>
      <c r="F79" s="54">
        <v>5</v>
      </c>
      <c r="G79" s="186"/>
      <c r="H79" s="55">
        <v>0</v>
      </c>
      <c r="I79" s="186"/>
      <c r="J79" s="186">
        <v>1</v>
      </c>
      <c r="K79" s="186"/>
      <c r="L79" s="186">
        <v>2</v>
      </c>
      <c r="M79" s="186"/>
      <c r="N79" s="186">
        <v>4</v>
      </c>
      <c r="O79" s="186"/>
      <c r="P79" s="10">
        <v>1</v>
      </c>
      <c r="R79" s="10">
        <v>2</v>
      </c>
      <c r="T79" s="54">
        <v>1276</v>
      </c>
      <c r="U79" s="362"/>
      <c r="V79" s="186">
        <v>1550</v>
      </c>
      <c r="W79" s="186"/>
      <c r="X79" s="55">
        <v>0</v>
      </c>
      <c r="Y79" s="186"/>
      <c r="Z79" s="186">
        <v>45</v>
      </c>
      <c r="AA79" s="186"/>
      <c r="AB79" s="365">
        <v>190</v>
      </c>
      <c r="AC79" s="186"/>
      <c r="AD79" s="365">
        <v>1467</v>
      </c>
      <c r="AE79" s="186"/>
      <c r="AF79" s="15">
        <v>232</v>
      </c>
      <c r="AH79" s="10">
        <v>584</v>
      </c>
      <c r="AJ79" s="55">
        <v>278126</v>
      </c>
      <c r="AK79" s="187"/>
      <c r="AL79" s="55">
        <v>209440</v>
      </c>
      <c r="AM79" s="187"/>
      <c r="AN79" s="55" t="s">
        <v>8</v>
      </c>
      <c r="AO79" s="186"/>
      <c r="AP79" s="54">
        <v>1800</v>
      </c>
      <c r="AQ79" s="186"/>
      <c r="AR79" s="186">
        <v>9280</v>
      </c>
      <c r="AS79" s="186"/>
      <c r="AT79" s="186">
        <v>19928</v>
      </c>
      <c r="AU79" s="173"/>
      <c r="AV79" s="15">
        <v>3712</v>
      </c>
      <c r="AW79" s="35"/>
      <c r="AX79" s="15">
        <v>19520</v>
      </c>
      <c r="AZ79" s="179"/>
      <c r="BA79" s="167"/>
      <c r="BB79" s="179"/>
      <c r="BC79" s="179"/>
      <c r="BD79" s="179"/>
      <c r="BE79" s="98"/>
      <c r="BF79" s="167"/>
      <c r="BG79" s="98"/>
      <c r="BH79" s="167"/>
      <c r="BI79" s="98"/>
      <c r="BJ79" s="167"/>
      <c r="BK79" s="98"/>
      <c r="BL79" s="167"/>
      <c r="BN79" s="167"/>
      <c r="BO79" s="98"/>
      <c r="BP79" s="167"/>
    </row>
    <row r="80" spans="2:263" ht="25.15" customHeight="1" x14ac:dyDescent="0.2">
      <c r="B80" s="51"/>
      <c r="C80" s="478" t="s">
        <v>110</v>
      </c>
      <c r="D80" s="54">
        <v>5</v>
      </c>
      <c r="E80" s="186"/>
      <c r="F80" s="55">
        <v>0</v>
      </c>
      <c r="G80" s="186"/>
      <c r="H80" s="55">
        <v>0</v>
      </c>
      <c r="I80" s="186"/>
      <c r="J80" s="186">
        <v>3</v>
      </c>
      <c r="K80" s="186"/>
      <c r="L80" s="186">
        <v>1</v>
      </c>
      <c r="M80" s="186"/>
      <c r="N80" s="186">
        <v>0</v>
      </c>
      <c r="O80" s="186"/>
      <c r="P80" s="10">
        <v>2</v>
      </c>
      <c r="R80" s="10">
        <v>0</v>
      </c>
      <c r="T80" s="54">
        <v>2651</v>
      </c>
      <c r="U80" s="362"/>
      <c r="V80" s="54">
        <v>0</v>
      </c>
      <c r="W80" s="186"/>
      <c r="X80" s="55">
        <v>0</v>
      </c>
      <c r="Y80" s="186"/>
      <c r="Z80" s="186">
        <v>399</v>
      </c>
      <c r="AA80" s="186"/>
      <c r="AB80" s="365">
        <v>808</v>
      </c>
      <c r="AC80" s="186"/>
      <c r="AD80" s="365">
        <v>0</v>
      </c>
      <c r="AE80" s="186"/>
      <c r="AF80" s="15">
        <v>3271</v>
      </c>
      <c r="AH80" s="10">
        <v>0</v>
      </c>
      <c r="AJ80" s="55">
        <v>40680</v>
      </c>
      <c r="AK80" s="187"/>
      <c r="AL80" s="55">
        <v>0</v>
      </c>
      <c r="AM80" s="187"/>
      <c r="AN80" s="55" t="s">
        <v>8</v>
      </c>
      <c r="AO80" s="186"/>
      <c r="AP80" s="54">
        <v>6936</v>
      </c>
      <c r="AQ80" s="186"/>
      <c r="AR80" s="186">
        <v>12928</v>
      </c>
      <c r="AS80" s="186"/>
      <c r="AT80" s="186">
        <v>0</v>
      </c>
      <c r="AU80" s="173"/>
      <c r="AV80" s="15">
        <v>26168</v>
      </c>
      <c r="AW80" s="35"/>
      <c r="AX80" s="15">
        <v>0</v>
      </c>
      <c r="AZ80" s="179"/>
      <c r="BA80" s="167"/>
      <c r="BB80" s="179"/>
      <c r="BC80" s="179"/>
      <c r="BD80" s="179"/>
      <c r="BE80" s="98"/>
      <c r="BF80" s="167"/>
      <c r="BG80" s="98"/>
      <c r="BH80" s="167"/>
      <c r="BI80" s="98"/>
      <c r="BJ80" s="167"/>
      <c r="BK80" s="98"/>
      <c r="BL80" s="167"/>
      <c r="BN80" s="167"/>
      <c r="BO80" s="98"/>
      <c r="BP80" s="167"/>
    </row>
    <row r="81" spans="2:69" ht="25.15" customHeight="1" x14ac:dyDescent="0.2">
      <c r="B81" s="51"/>
      <c r="C81" s="477" t="s">
        <v>91</v>
      </c>
      <c r="D81" s="54">
        <v>1</v>
      </c>
      <c r="E81" s="186"/>
      <c r="F81" s="55">
        <v>0</v>
      </c>
      <c r="G81" s="186"/>
      <c r="H81" s="55">
        <v>2</v>
      </c>
      <c r="I81" s="186"/>
      <c r="J81" s="186">
        <v>0</v>
      </c>
      <c r="K81" s="186"/>
      <c r="L81" s="186">
        <v>3</v>
      </c>
      <c r="M81" s="186"/>
      <c r="N81" s="186">
        <v>1</v>
      </c>
      <c r="O81" s="186"/>
      <c r="P81" s="10">
        <v>0</v>
      </c>
      <c r="R81" s="10">
        <v>0</v>
      </c>
      <c r="T81" s="54">
        <v>100</v>
      </c>
      <c r="U81" s="362"/>
      <c r="V81" s="54">
        <v>0</v>
      </c>
      <c r="W81" s="186"/>
      <c r="X81" s="55">
        <v>430</v>
      </c>
      <c r="Y81" s="186"/>
      <c r="Z81" s="186">
        <v>0</v>
      </c>
      <c r="AA81" s="186"/>
      <c r="AB81" s="365">
        <v>344</v>
      </c>
      <c r="AC81" s="186"/>
      <c r="AD81" s="365">
        <v>1038</v>
      </c>
      <c r="AE81" s="186"/>
      <c r="AF81" s="15">
        <v>0</v>
      </c>
      <c r="AH81" s="10">
        <v>0</v>
      </c>
      <c r="AJ81" s="55">
        <v>2400</v>
      </c>
      <c r="AK81" s="187"/>
      <c r="AL81" s="55">
        <v>0</v>
      </c>
      <c r="AM81" s="187"/>
      <c r="AN81" s="55">
        <v>12320</v>
      </c>
      <c r="AO81" s="186"/>
      <c r="AP81" s="54">
        <v>0</v>
      </c>
      <c r="AQ81" s="186"/>
      <c r="AR81" s="186">
        <v>10760</v>
      </c>
      <c r="AS81" s="186"/>
      <c r="AT81" s="186">
        <v>58128</v>
      </c>
      <c r="AU81" s="173"/>
      <c r="AV81" s="15">
        <v>0</v>
      </c>
      <c r="AW81" s="35"/>
      <c r="AX81" s="15">
        <v>0</v>
      </c>
      <c r="AZ81" s="178"/>
      <c r="BA81" s="167"/>
      <c r="BB81" s="179"/>
      <c r="BC81" s="179"/>
      <c r="BD81" s="179"/>
      <c r="BE81" s="98"/>
      <c r="BF81" s="167"/>
      <c r="BG81" s="98"/>
      <c r="BH81" s="167"/>
      <c r="BI81" s="98"/>
      <c r="BJ81" s="167"/>
      <c r="BK81" s="98"/>
      <c r="BL81" s="167"/>
      <c r="BN81" s="167"/>
      <c r="BO81" s="98"/>
      <c r="BP81" s="167"/>
    </row>
    <row r="82" spans="2:69" ht="25.15" customHeight="1" x14ac:dyDescent="0.2">
      <c r="B82" s="51"/>
      <c r="C82" s="477" t="s">
        <v>111</v>
      </c>
      <c r="D82" s="54">
        <v>5</v>
      </c>
      <c r="E82" s="186"/>
      <c r="F82" s="54">
        <v>7</v>
      </c>
      <c r="G82" s="186"/>
      <c r="H82" s="55">
        <v>6</v>
      </c>
      <c r="I82" s="186"/>
      <c r="J82" s="186">
        <v>12</v>
      </c>
      <c r="K82" s="186"/>
      <c r="L82" s="186">
        <v>15</v>
      </c>
      <c r="M82" s="186"/>
      <c r="N82" s="186">
        <v>25</v>
      </c>
      <c r="O82" s="186"/>
      <c r="P82" s="284">
        <f>1+5+1+1</f>
        <v>8</v>
      </c>
      <c r="R82" s="10">
        <v>8</v>
      </c>
      <c r="T82" s="54">
        <v>6359</v>
      </c>
      <c r="U82" s="362"/>
      <c r="V82" s="54">
        <v>12395</v>
      </c>
      <c r="W82" s="186"/>
      <c r="X82" s="55">
        <v>7843</v>
      </c>
      <c r="Y82" s="186"/>
      <c r="Z82" s="186">
        <v>35105</v>
      </c>
      <c r="AA82" s="186"/>
      <c r="AB82" s="365">
        <v>2637</v>
      </c>
      <c r="AC82" s="186"/>
      <c r="AD82" s="365">
        <v>85337</v>
      </c>
      <c r="AE82" s="186"/>
      <c r="AF82" s="286">
        <f>972+2008+95000</f>
        <v>97980</v>
      </c>
      <c r="AH82" s="284">
        <v>195370</v>
      </c>
      <c r="AJ82" s="55">
        <v>684648</v>
      </c>
      <c r="AK82" s="187"/>
      <c r="AL82" s="55">
        <v>325920</v>
      </c>
      <c r="AM82" s="187"/>
      <c r="AN82" s="55">
        <v>1437200</v>
      </c>
      <c r="AO82" s="186"/>
      <c r="AP82" s="54">
        <v>1843538</v>
      </c>
      <c r="AQ82" s="186"/>
      <c r="AR82" s="186">
        <v>76004</v>
      </c>
      <c r="AS82" s="186"/>
      <c r="AT82" s="186">
        <v>1048128</v>
      </c>
      <c r="AU82" s="173"/>
      <c r="AV82" s="287">
        <f>7776+28632+3040000</f>
        <v>3076408</v>
      </c>
      <c r="AW82" s="35"/>
      <c r="AX82" s="15">
        <v>2330808</v>
      </c>
      <c r="AZ82" s="178"/>
      <c r="BA82" s="167"/>
      <c r="BB82" s="179"/>
      <c r="BC82" s="179"/>
      <c r="BD82" s="179"/>
      <c r="BE82" s="98"/>
      <c r="BF82" s="167"/>
      <c r="BG82" s="98"/>
      <c r="BH82" s="167"/>
      <c r="BI82" s="98"/>
      <c r="BJ82" s="167"/>
      <c r="BK82" s="98"/>
      <c r="BL82" s="167"/>
      <c r="BN82" s="167"/>
      <c r="BO82" s="98"/>
      <c r="BP82" s="167"/>
    </row>
    <row r="83" spans="2:69" ht="25.15" customHeight="1" x14ac:dyDescent="0.2">
      <c r="B83" s="51"/>
      <c r="C83" s="478" t="s">
        <v>19</v>
      </c>
      <c r="D83" s="54">
        <v>1</v>
      </c>
      <c r="E83" s="186"/>
      <c r="F83" s="54">
        <v>2</v>
      </c>
      <c r="G83" s="186"/>
      <c r="H83" s="55">
        <v>1</v>
      </c>
      <c r="I83" s="186"/>
      <c r="J83" s="186">
        <v>3</v>
      </c>
      <c r="K83" s="186"/>
      <c r="L83" s="186">
        <v>0</v>
      </c>
      <c r="M83" s="186"/>
      <c r="N83" s="186">
        <v>0</v>
      </c>
      <c r="O83" s="186"/>
      <c r="P83" s="10">
        <v>1</v>
      </c>
      <c r="R83" s="10">
        <v>1</v>
      </c>
      <c r="T83" s="54">
        <v>245</v>
      </c>
      <c r="U83" s="362"/>
      <c r="V83" s="54">
        <v>256</v>
      </c>
      <c r="W83" s="186"/>
      <c r="X83" s="55">
        <v>615</v>
      </c>
      <c r="Y83" s="186"/>
      <c r="Z83" s="186">
        <v>916</v>
      </c>
      <c r="AA83" s="186"/>
      <c r="AB83" s="365">
        <v>0</v>
      </c>
      <c r="AC83" s="186"/>
      <c r="AD83" s="365">
        <v>0</v>
      </c>
      <c r="AE83" s="186"/>
      <c r="AF83" s="15">
        <v>700</v>
      </c>
      <c r="AH83" s="10">
        <v>72</v>
      </c>
      <c r="AJ83" s="55">
        <v>7840</v>
      </c>
      <c r="AK83" s="187"/>
      <c r="AL83" s="55">
        <v>2352</v>
      </c>
      <c r="AM83" s="187"/>
      <c r="AN83" s="55">
        <v>24600</v>
      </c>
      <c r="AO83" s="186"/>
      <c r="AP83" s="54">
        <v>9088</v>
      </c>
      <c r="AQ83" s="186"/>
      <c r="AR83" s="186">
        <v>0</v>
      </c>
      <c r="AS83" s="186"/>
      <c r="AT83" s="186">
        <v>0</v>
      </c>
      <c r="AU83" s="173"/>
      <c r="AV83" s="15">
        <v>5600</v>
      </c>
      <c r="AW83" s="35"/>
      <c r="AX83" s="15">
        <v>36288</v>
      </c>
      <c r="AZ83" s="179"/>
      <c r="BA83" s="167"/>
      <c r="BB83" s="179"/>
      <c r="BC83" s="179"/>
      <c r="BD83" s="179"/>
      <c r="BE83" s="98"/>
      <c r="BF83" s="167"/>
      <c r="BG83" s="98"/>
      <c r="BH83" s="167"/>
      <c r="BI83" s="98"/>
      <c r="BJ83" s="167"/>
      <c r="BK83" s="98"/>
      <c r="BL83" s="167"/>
      <c r="BN83" s="167"/>
      <c r="BO83" s="98"/>
      <c r="BP83" s="167"/>
    </row>
    <row r="84" spans="2:69" ht="25.15" customHeight="1" x14ac:dyDescent="0.2">
      <c r="B84" s="51"/>
      <c r="C84" s="478" t="s">
        <v>46</v>
      </c>
      <c r="D84" s="54">
        <v>5</v>
      </c>
      <c r="E84" s="186"/>
      <c r="F84" s="55">
        <v>0</v>
      </c>
      <c r="G84" s="186"/>
      <c r="H84" s="55">
        <v>1</v>
      </c>
      <c r="I84" s="186"/>
      <c r="J84" s="186">
        <v>1</v>
      </c>
      <c r="K84" s="186"/>
      <c r="L84" s="186">
        <v>8</v>
      </c>
      <c r="M84" s="186"/>
      <c r="N84" s="186">
        <v>2</v>
      </c>
      <c r="O84" s="186"/>
      <c r="P84" s="10">
        <f>2+1</f>
        <v>3</v>
      </c>
      <c r="R84" s="10">
        <v>1</v>
      </c>
      <c r="T84" s="54">
        <v>3913</v>
      </c>
      <c r="U84" s="362"/>
      <c r="V84" s="186">
        <v>0</v>
      </c>
      <c r="W84" s="186"/>
      <c r="X84" s="55">
        <v>91</v>
      </c>
      <c r="Y84" s="186"/>
      <c r="Z84" s="186">
        <v>9154</v>
      </c>
      <c r="AA84" s="186"/>
      <c r="AB84" s="365">
        <v>10418</v>
      </c>
      <c r="AC84" s="186"/>
      <c r="AD84" s="365">
        <v>134</v>
      </c>
      <c r="AE84" s="186"/>
      <c r="AF84" s="15">
        <f>21501+162</f>
        <v>21663</v>
      </c>
      <c r="AH84" s="10">
        <v>5000</v>
      </c>
      <c r="AJ84" s="55">
        <v>534996</v>
      </c>
      <c r="AK84" s="187"/>
      <c r="AL84" s="55">
        <v>0</v>
      </c>
      <c r="AM84" s="187"/>
      <c r="AN84" s="55">
        <v>1456</v>
      </c>
      <c r="AO84" s="186"/>
      <c r="AP84" s="54">
        <v>54924</v>
      </c>
      <c r="AQ84" s="186"/>
      <c r="AR84" s="186">
        <v>75884</v>
      </c>
      <c r="AS84" s="186"/>
      <c r="AT84" s="186">
        <v>1944</v>
      </c>
      <c r="AU84" s="173"/>
      <c r="AV84" s="15">
        <f>344016+5184</f>
        <v>349200</v>
      </c>
      <c r="AW84" s="35"/>
      <c r="AX84" s="15">
        <v>30000</v>
      </c>
      <c r="AZ84" s="179"/>
      <c r="BA84" s="167"/>
      <c r="BB84" s="179"/>
      <c r="BC84" s="179"/>
      <c r="BD84" s="179"/>
      <c r="BE84" s="98"/>
      <c r="BF84" s="167"/>
      <c r="BG84" s="98"/>
      <c r="BH84" s="167"/>
      <c r="BI84" s="98"/>
      <c r="BJ84" s="167"/>
      <c r="BK84" s="98"/>
      <c r="BL84" s="167"/>
      <c r="BN84" s="167"/>
      <c r="BO84" s="98"/>
      <c r="BP84" s="167"/>
    </row>
    <row r="85" spans="2:69" ht="25.15" customHeight="1" x14ac:dyDescent="0.2">
      <c r="B85" s="51"/>
      <c r="C85" s="478" t="s">
        <v>142</v>
      </c>
      <c r="D85" s="55">
        <v>0</v>
      </c>
      <c r="E85" s="186"/>
      <c r="F85" s="54">
        <v>2</v>
      </c>
      <c r="G85" s="186"/>
      <c r="H85" s="55">
        <v>2</v>
      </c>
      <c r="I85" s="186"/>
      <c r="J85" s="186">
        <v>1</v>
      </c>
      <c r="K85" s="186"/>
      <c r="L85" s="186">
        <v>0</v>
      </c>
      <c r="M85" s="186"/>
      <c r="N85" s="186">
        <v>1</v>
      </c>
      <c r="O85" s="186"/>
      <c r="P85" s="10">
        <v>0</v>
      </c>
      <c r="R85" s="10">
        <v>0</v>
      </c>
      <c r="T85" s="364" t="s">
        <v>8</v>
      </c>
      <c r="U85" s="362"/>
      <c r="V85" s="186">
        <v>156</v>
      </c>
      <c r="W85" s="186"/>
      <c r="X85" s="55">
        <v>106</v>
      </c>
      <c r="Y85" s="186"/>
      <c r="Z85" s="186">
        <v>315</v>
      </c>
      <c r="AA85" s="186"/>
      <c r="AB85" s="365">
        <v>0</v>
      </c>
      <c r="AC85" s="186"/>
      <c r="AD85" s="365">
        <v>262</v>
      </c>
      <c r="AE85" s="186"/>
      <c r="AF85" s="15">
        <v>0</v>
      </c>
      <c r="AH85" s="10">
        <v>0</v>
      </c>
      <c r="AJ85" s="55">
        <v>0</v>
      </c>
      <c r="AK85" s="187"/>
      <c r="AL85" s="55">
        <v>18768</v>
      </c>
      <c r="AM85" s="187"/>
      <c r="AN85" s="55">
        <v>3232</v>
      </c>
      <c r="AO85" s="186"/>
      <c r="AP85" s="54">
        <v>5040</v>
      </c>
      <c r="AQ85" s="186"/>
      <c r="AR85" s="186">
        <v>0</v>
      </c>
      <c r="AS85" s="186"/>
      <c r="AT85" s="186">
        <v>20960</v>
      </c>
      <c r="AU85" s="189"/>
      <c r="AV85" s="15">
        <v>0</v>
      </c>
      <c r="AW85" s="35"/>
      <c r="AX85" s="15">
        <v>0</v>
      </c>
      <c r="AZ85" s="179"/>
      <c r="BA85" s="167"/>
      <c r="BB85" s="179"/>
      <c r="BC85" s="179"/>
      <c r="BD85" s="179"/>
      <c r="BE85" s="98"/>
      <c r="BF85" s="167"/>
      <c r="BG85" s="98"/>
      <c r="BH85" s="167"/>
      <c r="BI85" s="98"/>
      <c r="BJ85" s="167"/>
      <c r="BK85" s="98"/>
      <c r="BL85" s="167"/>
      <c r="BN85" s="167"/>
      <c r="BO85" s="98"/>
      <c r="BP85" s="167"/>
    </row>
    <row r="86" spans="2:69" ht="25.15" customHeight="1" x14ac:dyDescent="0.2">
      <c r="B86" s="51"/>
      <c r="C86" s="478" t="s">
        <v>92</v>
      </c>
      <c r="D86" s="55">
        <v>0</v>
      </c>
      <c r="E86" s="186"/>
      <c r="F86" s="55">
        <v>0</v>
      </c>
      <c r="G86" s="186"/>
      <c r="H86" s="55">
        <v>0</v>
      </c>
      <c r="I86" s="186"/>
      <c r="J86" s="186">
        <v>0</v>
      </c>
      <c r="K86" s="186"/>
      <c r="L86" s="186">
        <v>0</v>
      </c>
      <c r="M86" s="186"/>
      <c r="N86" s="186">
        <v>0</v>
      </c>
      <c r="O86" s="186"/>
      <c r="P86" s="186">
        <v>0</v>
      </c>
      <c r="R86" s="10">
        <v>0</v>
      </c>
      <c r="T86" s="364" t="s">
        <v>8</v>
      </c>
      <c r="U86" s="362"/>
      <c r="V86" s="54">
        <v>0</v>
      </c>
      <c r="W86" s="186"/>
      <c r="X86" s="55">
        <v>0</v>
      </c>
      <c r="Y86" s="186"/>
      <c r="Z86" s="186">
        <v>0</v>
      </c>
      <c r="AA86" s="186"/>
      <c r="AB86" s="365">
        <v>0</v>
      </c>
      <c r="AC86" s="186"/>
      <c r="AD86" s="365">
        <v>0</v>
      </c>
      <c r="AE86" s="186"/>
      <c r="AF86" s="186">
        <v>0</v>
      </c>
      <c r="AH86" s="186">
        <v>0</v>
      </c>
      <c r="AJ86" s="55">
        <v>0</v>
      </c>
      <c r="AK86" s="187"/>
      <c r="AL86" s="55">
        <v>0</v>
      </c>
      <c r="AM86" s="187"/>
      <c r="AN86" s="55" t="s">
        <v>8</v>
      </c>
      <c r="AO86" s="186"/>
      <c r="AP86" s="54">
        <v>0</v>
      </c>
      <c r="AQ86" s="186"/>
      <c r="AR86" s="186">
        <v>0</v>
      </c>
      <c r="AS86" s="186"/>
      <c r="AT86" s="186">
        <v>0</v>
      </c>
      <c r="AU86" s="189"/>
      <c r="AV86" s="186">
        <v>0</v>
      </c>
      <c r="AW86" s="35"/>
      <c r="AX86" s="15">
        <v>0</v>
      </c>
      <c r="AZ86" s="179"/>
      <c r="BA86" s="167"/>
      <c r="BB86" s="179"/>
      <c r="BC86" s="179"/>
      <c r="BD86" s="179"/>
      <c r="BE86" s="98"/>
      <c r="BF86" s="167"/>
      <c r="BG86" s="98"/>
      <c r="BH86" s="167"/>
      <c r="BI86" s="98"/>
      <c r="BJ86" s="167"/>
      <c r="BK86" s="98"/>
      <c r="BL86" s="167"/>
      <c r="BN86" s="167"/>
      <c r="BO86" s="98"/>
      <c r="BP86" s="167"/>
    </row>
    <row r="87" spans="2:69" ht="30" customHeight="1" x14ac:dyDescent="0.2">
      <c r="B87" s="482"/>
      <c r="C87" s="418" t="s">
        <v>6</v>
      </c>
      <c r="D87" s="479">
        <f>SUM(D71:D86)</f>
        <v>95</v>
      </c>
      <c r="E87" s="480"/>
      <c r="F87" s="910">
        <f>SUM(F71:F86)</f>
        <v>47</v>
      </c>
      <c r="G87" s="910"/>
      <c r="H87" s="910">
        <f>SUM(H71:H86)</f>
        <v>41</v>
      </c>
      <c r="I87" s="910"/>
      <c r="J87" s="910">
        <f>SUM(J71:J86)</f>
        <v>45</v>
      </c>
      <c r="K87" s="910"/>
      <c r="L87" s="910">
        <f>SUM(L71:L86)</f>
        <v>54</v>
      </c>
      <c r="M87" s="910"/>
      <c r="N87" s="910">
        <f t="shared" ref="N87:P87" si="0">SUM(N71:N86)</f>
        <v>67</v>
      </c>
      <c r="O87" s="910"/>
      <c r="P87" s="910">
        <f t="shared" si="0"/>
        <v>23</v>
      </c>
      <c r="Q87" s="910"/>
      <c r="R87" s="910">
        <f t="shared" ref="R87" si="1">SUM(R71:R86)</f>
        <v>38</v>
      </c>
      <c r="S87" s="912"/>
      <c r="T87" s="481">
        <f>SUM(T71:T86)</f>
        <v>40681</v>
      </c>
      <c r="U87" s="483"/>
      <c r="V87" s="481">
        <f>SUM(V71:V86)</f>
        <v>32066</v>
      </c>
      <c r="W87" s="481"/>
      <c r="X87" s="481">
        <f>SUM(X71:X86)</f>
        <v>20463</v>
      </c>
      <c r="Y87" s="481"/>
      <c r="Z87" s="481">
        <f>SUM(Z71:Z86)</f>
        <v>56610</v>
      </c>
      <c r="AA87" s="481"/>
      <c r="AB87" s="481">
        <f>SUM(AB71:AB86)</f>
        <v>21496</v>
      </c>
      <c r="AC87" s="481"/>
      <c r="AD87" s="481">
        <f>SUM(AD71:AD86)</f>
        <v>110154</v>
      </c>
      <c r="AE87" s="484"/>
      <c r="AF87" s="481">
        <f>SUM(AF71:AF86)</f>
        <v>127868</v>
      </c>
      <c r="AG87" s="481"/>
      <c r="AH87" s="481">
        <f t="shared" ref="AH87" si="2">SUM(AH71:AH86)</f>
        <v>209142</v>
      </c>
      <c r="AI87" s="485"/>
      <c r="AJ87" s="486">
        <f>SUM(AL71:AL86)</f>
        <v>1925632</v>
      </c>
      <c r="AK87" s="487"/>
      <c r="AL87" s="487">
        <f>SUM(AN71:AN86)</f>
        <v>3084056</v>
      </c>
      <c r="AM87" s="487"/>
      <c r="AN87" s="487">
        <f>SUM(AP71:AP86)</f>
        <v>3006494</v>
      </c>
      <c r="AO87" s="487"/>
      <c r="AP87" s="487">
        <f>SUM(AR71:AR86)</f>
        <v>738864</v>
      </c>
      <c r="AQ87" s="487"/>
      <c r="AR87" s="487">
        <f>SUM(AR71:AR86)</f>
        <v>738864</v>
      </c>
      <c r="AS87" s="487"/>
      <c r="AT87" s="487">
        <f>SUM(AT71:AT86)</f>
        <v>2085856</v>
      </c>
      <c r="AU87" s="488"/>
      <c r="AV87" s="545">
        <f>SUM(AV71:AV86)</f>
        <v>3653184</v>
      </c>
      <c r="AW87" s="545"/>
      <c r="AX87" s="922">
        <f t="shared" ref="AX87" si="3">SUM(AX71:AX86)</f>
        <v>3027240</v>
      </c>
      <c r="AY87" s="923"/>
      <c r="AZ87" s="137"/>
      <c r="BA87" s="84"/>
      <c r="BB87" s="137"/>
      <c r="BC87" s="137"/>
      <c r="BD87" s="137"/>
      <c r="BF87" s="137"/>
      <c r="BH87" s="30"/>
      <c r="BJ87" s="30"/>
      <c r="BL87" s="30"/>
      <c r="BN87" s="30"/>
      <c r="BP87" s="30"/>
    </row>
    <row r="88" spans="2:69" s="35" customFormat="1" ht="30" customHeight="1" x14ac:dyDescent="0.2">
      <c r="B88" s="176"/>
      <c r="C88" s="177"/>
      <c r="D88" s="190"/>
      <c r="E88" s="191"/>
      <c r="F88" s="190"/>
      <c r="G88" s="190"/>
      <c r="H88" s="190"/>
      <c r="I88" s="190"/>
      <c r="J88" s="190"/>
      <c r="K88" s="190"/>
      <c r="L88" s="190"/>
      <c r="M88" s="190"/>
      <c r="N88" s="190"/>
      <c r="O88" s="190"/>
      <c r="P88" s="190"/>
      <c r="Q88" s="190"/>
      <c r="R88" s="190"/>
      <c r="S88" s="190"/>
      <c r="T88" s="192"/>
      <c r="U88" s="193"/>
      <c r="V88" s="192"/>
      <c r="W88" s="192"/>
      <c r="X88" s="192"/>
      <c r="Y88" s="192"/>
      <c r="Z88" s="192"/>
      <c r="AA88" s="192"/>
      <c r="AB88" s="192"/>
      <c r="AC88" s="192"/>
      <c r="AD88" s="192"/>
      <c r="AE88" s="194"/>
      <c r="AF88" s="192"/>
      <c r="AG88" s="192"/>
      <c r="AH88" s="192"/>
      <c r="AI88" s="192"/>
      <c r="AJ88" s="190"/>
      <c r="AK88" s="190"/>
      <c r="AL88" s="190"/>
      <c r="AM88" s="190"/>
      <c r="AN88" s="190"/>
      <c r="AO88" s="190"/>
      <c r="AP88" s="190"/>
      <c r="AQ88" s="190"/>
      <c r="AR88" s="190"/>
      <c r="AS88" s="190"/>
      <c r="AT88" s="190"/>
      <c r="AU88" s="174"/>
      <c r="AV88" s="192"/>
      <c r="AW88" s="192"/>
      <c r="AX88" s="190"/>
      <c r="AY88" s="190"/>
      <c r="AZ88" s="195"/>
      <c r="BA88" s="147"/>
      <c r="BB88" s="195"/>
      <c r="BC88" s="195"/>
      <c r="BD88" s="195"/>
      <c r="BF88" s="195"/>
      <c r="BH88" s="196"/>
      <c r="BJ88" s="196"/>
      <c r="BL88" s="196"/>
      <c r="BN88" s="196"/>
      <c r="BP88" s="196"/>
    </row>
    <row r="89" spans="2:69" ht="45" customHeight="1" x14ac:dyDescent="0.2">
      <c r="B89" s="821" t="s">
        <v>123</v>
      </c>
      <c r="C89" s="829"/>
      <c r="D89" s="920" t="s">
        <v>2</v>
      </c>
      <c r="E89" s="920"/>
      <c r="F89" s="920"/>
      <c r="G89" s="920"/>
      <c r="H89" s="920"/>
      <c r="I89" s="920"/>
      <c r="J89" s="833" t="s">
        <v>15</v>
      </c>
      <c r="K89" s="833"/>
      <c r="L89" s="833"/>
      <c r="M89" s="833"/>
      <c r="N89" s="833"/>
      <c r="O89" s="833"/>
      <c r="P89" s="833" t="s">
        <v>12</v>
      </c>
      <c r="Q89" s="833"/>
      <c r="R89" s="833"/>
      <c r="S89" s="833"/>
      <c r="T89" s="833"/>
      <c r="U89" s="836"/>
      <c r="V89" s="197"/>
      <c r="W89" s="197"/>
      <c r="X89" s="197"/>
      <c r="Y89" s="197"/>
      <c r="Z89" s="197"/>
      <c r="AA89" s="197"/>
      <c r="AB89" s="197"/>
      <c r="AC89" s="197"/>
      <c r="AD89" s="197"/>
      <c r="AE89" s="197"/>
      <c r="AF89" s="197"/>
      <c r="AG89" s="197"/>
      <c r="AH89" s="197"/>
      <c r="AI89" s="197"/>
      <c r="AJ89" s="919"/>
      <c r="AK89" s="919"/>
      <c r="AL89" s="919"/>
      <c r="AM89" s="919"/>
      <c r="AN89" s="919"/>
      <c r="AO89" s="919"/>
      <c r="AP89" s="919"/>
      <c r="AQ89" s="919"/>
      <c r="AR89" s="919"/>
      <c r="AS89" s="919"/>
      <c r="AT89" s="919"/>
      <c r="AU89" s="919"/>
      <c r="AV89" s="919"/>
      <c r="AW89" s="919"/>
      <c r="AX89" s="919"/>
      <c r="AY89" s="919"/>
      <c r="AZ89" s="29"/>
      <c r="BA89" s="29"/>
      <c r="BB89" s="29"/>
      <c r="BC89" s="29"/>
      <c r="BD89" s="29"/>
      <c r="BE89" s="29"/>
      <c r="BF89" s="29"/>
      <c r="BG89" s="29"/>
      <c r="BH89" s="29"/>
      <c r="BI89" s="29"/>
      <c r="BJ89" s="29"/>
      <c r="BK89" s="29"/>
      <c r="BL89" s="29"/>
      <c r="BM89" s="29"/>
      <c r="BN89" s="29"/>
      <c r="BO89" s="29"/>
      <c r="BP89" s="29"/>
      <c r="BQ89" s="29"/>
    </row>
    <row r="90" spans="2:69" ht="25.15" customHeight="1" x14ac:dyDescent="0.2">
      <c r="B90" s="821"/>
      <c r="C90" s="829"/>
      <c r="D90" s="831">
        <v>2022</v>
      </c>
      <c r="E90" s="831"/>
      <c r="F90" s="831">
        <v>2023</v>
      </c>
      <c r="G90" s="831"/>
      <c r="H90" s="831">
        <v>2024</v>
      </c>
      <c r="I90" s="831"/>
      <c r="J90" s="831">
        <v>2022</v>
      </c>
      <c r="K90" s="831"/>
      <c r="L90" s="831">
        <v>2023</v>
      </c>
      <c r="M90" s="831"/>
      <c r="N90" s="831">
        <v>2024</v>
      </c>
      <c r="O90" s="831"/>
      <c r="P90" s="831">
        <v>2022</v>
      </c>
      <c r="Q90" s="831"/>
      <c r="R90" s="831">
        <v>2023</v>
      </c>
      <c r="S90" s="831"/>
      <c r="T90" s="831">
        <v>2024</v>
      </c>
      <c r="U90" s="831"/>
      <c r="V90" s="913"/>
      <c r="W90" s="913"/>
      <c r="X90" s="913"/>
      <c r="Y90" s="913"/>
      <c r="Z90" s="913"/>
      <c r="AA90" s="913"/>
      <c r="AB90" s="913"/>
      <c r="AC90" s="913"/>
      <c r="AD90" s="913"/>
      <c r="AE90" s="913"/>
      <c r="AF90" s="913"/>
      <c r="AG90" s="913"/>
      <c r="AH90" s="913"/>
      <c r="AI90" s="913"/>
      <c r="AJ90" s="913"/>
      <c r="AK90" s="913"/>
      <c r="AL90" s="913"/>
      <c r="AM90" s="913"/>
      <c r="AN90" s="913"/>
      <c r="AO90" s="913"/>
      <c r="AP90" s="913"/>
      <c r="AQ90" s="913"/>
      <c r="AR90" s="913"/>
      <c r="AS90" s="913"/>
      <c r="AT90" s="913"/>
      <c r="AU90" s="913"/>
      <c r="AV90" s="913"/>
      <c r="AW90" s="913"/>
      <c r="AX90" s="913"/>
      <c r="AY90" s="913"/>
      <c r="AZ90" s="29"/>
      <c r="BA90" s="29"/>
      <c r="BB90" s="29"/>
      <c r="BC90" s="29"/>
      <c r="BD90" s="29"/>
      <c r="BE90" s="29"/>
      <c r="BF90" s="29"/>
      <c r="BG90" s="29"/>
      <c r="BH90" s="29"/>
      <c r="BI90" s="29"/>
      <c r="BJ90" s="29"/>
      <c r="BK90" s="29"/>
      <c r="BL90" s="29"/>
      <c r="BM90" s="29"/>
      <c r="BN90" s="29"/>
      <c r="BO90" s="29"/>
      <c r="BP90" s="29"/>
      <c r="BQ90" s="29"/>
    </row>
    <row r="91" spans="2:69" ht="25.15" customHeight="1" x14ac:dyDescent="0.2">
      <c r="B91" s="51"/>
      <c r="C91" s="477" t="s">
        <v>88</v>
      </c>
      <c r="D91" s="54">
        <v>1</v>
      </c>
      <c r="E91" s="186"/>
      <c r="F91" s="186">
        <v>2</v>
      </c>
      <c r="G91" s="186"/>
      <c r="H91" s="186">
        <v>0</v>
      </c>
      <c r="J91" s="186">
        <v>20</v>
      </c>
      <c r="K91" s="186"/>
      <c r="L91" s="1">
        <v>313</v>
      </c>
      <c r="M91" s="186"/>
      <c r="N91" s="186">
        <v>0</v>
      </c>
      <c r="P91" s="186">
        <v>7200</v>
      </c>
      <c r="Q91" s="186"/>
      <c r="R91" s="198">
        <v>11672</v>
      </c>
      <c r="S91" s="198"/>
      <c r="T91" s="186">
        <v>28144</v>
      </c>
      <c r="U91" s="202" t="s">
        <v>62</v>
      </c>
      <c r="V91" s="202"/>
      <c r="W91" s="201"/>
      <c r="X91" s="203"/>
      <c r="Y91" s="200"/>
      <c r="Z91" s="198"/>
      <c r="AA91" s="198"/>
      <c r="AB91" s="203"/>
      <c r="AC91" s="198"/>
      <c r="AD91" s="203"/>
      <c r="AE91" s="198"/>
      <c r="AF91" s="204"/>
      <c r="AG91" s="35"/>
      <c r="AH91" s="199"/>
      <c r="AI91" s="35"/>
      <c r="AJ91" s="200"/>
      <c r="AK91" s="194"/>
      <c r="AL91" s="205"/>
      <c r="AM91" s="194"/>
      <c r="AN91" s="203"/>
      <c r="AO91" s="198"/>
      <c r="AP91" s="200"/>
      <c r="AQ91" s="198"/>
      <c r="AR91" s="200"/>
      <c r="AS91" s="200"/>
      <c r="AT91" s="200"/>
      <c r="AU91" s="189"/>
      <c r="AV91" s="204"/>
      <c r="AW91" s="35"/>
      <c r="AX91" s="204"/>
      <c r="AY91" s="35"/>
      <c r="AZ91" s="178"/>
      <c r="BA91" s="167"/>
      <c r="BB91" s="98"/>
      <c r="BC91" s="98"/>
      <c r="BD91" s="179"/>
      <c r="BE91" s="98"/>
      <c r="BF91" s="167"/>
      <c r="BG91" s="98"/>
      <c r="BH91" s="167"/>
      <c r="BI91" s="98"/>
      <c r="BJ91" s="167"/>
      <c r="BK91" s="98"/>
      <c r="BL91" s="167"/>
      <c r="BN91" s="167"/>
      <c r="BO91" s="98"/>
      <c r="BP91" s="167"/>
    </row>
    <row r="92" spans="2:69" ht="25.15" customHeight="1" x14ac:dyDescent="0.2">
      <c r="B92" s="51"/>
      <c r="C92" s="478" t="s">
        <v>18</v>
      </c>
      <c r="D92" s="55">
        <v>0</v>
      </c>
      <c r="E92" s="275"/>
      <c r="F92" s="186">
        <v>0</v>
      </c>
      <c r="G92" s="186"/>
      <c r="H92" s="186">
        <v>0</v>
      </c>
      <c r="J92" s="554">
        <v>0</v>
      </c>
      <c r="K92" s="554"/>
      <c r="L92" s="55">
        <v>0</v>
      </c>
      <c r="M92" s="186"/>
      <c r="N92" s="186">
        <v>0</v>
      </c>
      <c r="P92" s="186">
        <v>0</v>
      </c>
      <c r="Q92" s="186"/>
      <c r="R92" s="198">
        <v>0</v>
      </c>
      <c r="S92" s="198"/>
      <c r="T92" s="186">
        <v>0</v>
      </c>
      <c r="U92" s="201"/>
      <c r="V92" s="200"/>
      <c r="W92" s="198"/>
      <c r="X92" s="203"/>
      <c r="Y92" s="198"/>
      <c r="Z92" s="198"/>
      <c r="AA92" s="198"/>
      <c r="AB92" s="203"/>
      <c r="AC92" s="198"/>
      <c r="AD92" s="203"/>
      <c r="AE92" s="198"/>
      <c r="AF92" s="204"/>
      <c r="AG92" s="35"/>
      <c r="AH92" s="199"/>
      <c r="AI92" s="35"/>
      <c r="AJ92" s="203"/>
      <c r="AK92" s="194"/>
      <c r="AL92" s="203"/>
      <c r="AM92" s="194"/>
      <c r="AN92" s="203"/>
      <c r="AO92" s="198"/>
      <c r="AP92" s="200"/>
      <c r="AQ92" s="198"/>
      <c r="AR92" s="198"/>
      <c r="AS92" s="198"/>
      <c r="AT92" s="198"/>
      <c r="AU92" s="189"/>
      <c r="AV92" s="204"/>
      <c r="AW92" s="35"/>
      <c r="AX92" s="204"/>
      <c r="AY92" s="35"/>
      <c r="AZ92" s="179"/>
      <c r="BA92" s="167"/>
      <c r="BB92" s="179"/>
      <c r="BC92" s="179"/>
      <c r="BD92" s="179"/>
      <c r="BE92" s="98"/>
      <c r="BF92" s="167"/>
      <c r="BG92" s="98"/>
      <c r="BH92" s="167"/>
      <c r="BI92" s="98"/>
      <c r="BJ92" s="167"/>
      <c r="BK92" s="98"/>
      <c r="BL92" s="167"/>
      <c r="BN92" s="167"/>
      <c r="BO92" s="98"/>
      <c r="BP92" s="167"/>
    </row>
    <row r="93" spans="2:69" ht="25.15" customHeight="1" x14ac:dyDescent="0.2">
      <c r="B93" s="51"/>
      <c r="C93" s="478" t="s">
        <v>108</v>
      </c>
      <c r="D93" s="54">
        <v>7</v>
      </c>
      <c r="E93" s="186"/>
      <c r="F93" s="186">
        <v>10</v>
      </c>
      <c r="G93" s="186"/>
      <c r="H93" s="186">
        <v>7</v>
      </c>
      <c r="J93" s="554">
        <v>2802</v>
      </c>
      <c r="K93" s="554"/>
      <c r="L93" s="55">
        <v>2965</v>
      </c>
      <c r="M93" s="186"/>
      <c r="N93" s="186">
        <v>818</v>
      </c>
      <c r="P93" s="186">
        <v>255952</v>
      </c>
      <c r="Q93" s="186"/>
      <c r="R93" s="198">
        <v>134777</v>
      </c>
      <c r="S93" s="198"/>
      <c r="T93" s="186">
        <v>56664</v>
      </c>
      <c r="U93" s="201"/>
      <c r="V93" s="200"/>
      <c r="W93" s="198"/>
      <c r="X93" s="203"/>
      <c r="Y93" s="198"/>
      <c r="Z93" s="203"/>
      <c r="AA93" s="198"/>
      <c r="AB93" s="203"/>
      <c r="AC93" s="198"/>
      <c r="AD93" s="198"/>
      <c r="AE93" s="198"/>
      <c r="AF93" s="207"/>
      <c r="AG93" s="35"/>
      <c r="AH93" s="206"/>
      <c r="AI93" s="35"/>
      <c r="AJ93" s="203"/>
      <c r="AK93" s="194"/>
      <c r="AL93" s="203"/>
      <c r="AM93" s="194"/>
      <c r="AN93" s="203"/>
      <c r="AO93" s="198"/>
      <c r="AP93" s="200"/>
      <c r="AQ93" s="198"/>
      <c r="AR93" s="198"/>
      <c r="AS93" s="198"/>
      <c r="AT93" s="198"/>
      <c r="AU93" s="173"/>
      <c r="AV93" s="208"/>
      <c r="AW93" s="35"/>
      <c r="AX93" s="204"/>
      <c r="AY93" s="35"/>
      <c r="AZ93" s="178"/>
      <c r="BA93" s="167"/>
      <c r="BB93" s="179"/>
      <c r="BC93" s="179"/>
      <c r="BD93" s="179"/>
      <c r="BE93" s="98"/>
      <c r="BF93" s="167"/>
      <c r="BG93" s="98"/>
      <c r="BH93" s="167"/>
      <c r="BI93" s="98"/>
      <c r="BJ93" s="167"/>
      <c r="BK93" s="98"/>
      <c r="BL93" s="167"/>
      <c r="BN93" s="167"/>
      <c r="BO93" s="98"/>
      <c r="BP93" s="167"/>
    </row>
    <row r="94" spans="2:69" ht="25.15" customHeight="1" x14ac:dyDescent="0.2">
      <c r="B94" s="51"/>
      <c r="C94" s="478" t="s">
        <v>131</v>
      </c>
      <c r="D94" s="54">
        <v>8</v>
      </c>
      <c r="E94" s="186"/>
      <c r="F94" s="186">
        <v>7</v>
      </c>
      <c r="G94" s="186"/>
      <c r="H94" s="186">
        <v>6</v>
      </c>
      <c r="J94" s="554">
        <v>899</v>
      </c>
      <c r="K94" s="554"/>
      <c r="L94" s="55">
        <v>1378</v>
      </c>
      <c r="M94" s="186"/>
      <c r="N94" s="186">
        <v>487</v>
      </c>
      <c r="P94" s="186">
        <v>222064</v>
      </c>
      <c r="Q94" s="186"/>
      <c r="R94" s="198">
        <v>72912</v>
      </c>
      <c r="S94" s="198"/>
      <c r="T94" s="186">
        <v>80480</v>
      </c>
      <c r="U94" s="201"/>
      <c r="V94" s="200"/>
      <c r="W94" s="198"/>
      <c r="X94" s="203"/>
      <c r="Y94" s="198"/>
      <c r="Z94" s="198"/>
      <c r="AA94" s="198"/>
      <c r="AB94" s="203"/>
      <c r="AC94" s="198"/>
      <c r="AD94" s="198"/>
      <c r="AE94" s="198"/>
      <c r="AF94" s="207"/>
      <c r="AG94" s="35"/>
      <c r="AH94" s="206"/>
      <c r="AI94" s="35"/>
      <c r="AJ94" s="203"/>
      <c r="AK94" s="194"/>
      <c r="AL94" s="203"/>
      <c r="AM94" s="194"/>
      <c r="AN94" s="203"/>
      <c r="AO94" s="198"/>
      <c r="AP94" s="200"/>
      <c r="AQ94" s="198"/>
      <c r="AR94" s="198"/>
      <c r="AS94" s="198"/>
      <c r="AT94" s="198"/>
      <c r="AU94" s="173"/>
      <c r="AV94" s="208"/>
      <c r="AW94" s="35"/>
      <c r="AX94" s="204"/>
      <c r="AY94" s="35"/>
      <c r="AZ94" s="178"/>
      <c r="BA94" s="167"/>
      <c r="BB94" s="179"/>
      <c r="BC94" s="179"/>
      <c r="BD94" s="179"/>
      <c r="BE94" s="98"/>
      <c r="BF94" s="167"/>
      <c r="BG94" s="98"/>
      <c r="BH94" s="167"/>
      <c r="BI94" s="98"/>
      <c r="BJ94" s="167"/>
      <c r="BK94" s="98"/>
      <c r="BL94" s="167"/>
      <c r="BN94" s="167"/>
      <c r="BO94" s="98"/>
      <c r="BP94" s="167"/>
    </row>
    <row r="95" spans="2:69" ht="25.15" customHeight="1" x14ac:dyDescent="0.2">
      <c r="B95" s="51"/>
      <c r="C95" s="478" t="s">
        <v>89</v>
      </c>
      <c r="D95" s="54">
        <v>1</v>
      </c>
      <c r="E95" s="186"/>
      <c r="F95" s="186">
        <v>2</v>
      </c>
      <c r="G95" s="186"/>
      <c r="H95" s="186">
        <v>1</v>
      </c>
      <c r="J95" s="554">
        <v>169</v>
      </c>
      <c r="K95" s="554"/>
      <c r="L95" s="55">
        <v>10064</v>
      </c>
      <c r="M95" s="186"/>
      <c r="N95" s="186">
        <v>5000</v>
      </c>
      <c r="P95" s="186">
        <v>2704</v>
      </c>
      <c r="Q95" s="186"/>
      <c r="R95" s="198">
        <v>80512</v>
      </c>
      <c r="S95" s="198"/>
      <c r="T95" s="186">
        <v>40000</v>
      </c>
      <c r="U95" s="201"/>
      <c r="V95" s="200"/>
      <c r="W95" s="198"/>
      <c r="X95" s="203"/>
      <c r="Y95" s="198"/>
      <c r="Z95" s="198"/>
      <c r="AA95" s="198"/>
      <c r="AB95" s="203"/>
      <c r="AC95" s="198"/>
      <c r="AD95" s="198"/>
      <c r="AE95" s="198"/>
      <c r="AF95" s="204"/>
      <c r="AG95" s="35"/>
      <c r="AH95" s="199"/>
      <c r="AI95" s="35"/>
      <c r="AJ95" s="203"/>
      <c r="AK95" s="194"/>
      <c r="AL95" s="203"/>
      <c r="AM95" s="194"/>
      <c r="AN95" s="203"/>
      <c r="AO95" s="198"/>
      <c r="AP95" s="200"/>
      <c r="AQ95" s="198"/>
      <c r="AR95" s="198"/>
      <c r="AS95" s="198"/>
      <c r="AT95" s="198"/>
      <c r="AU95" s="173"/>
      <c r="AV95" s="204"/>
      <c r="AW95" s="35"/>
      <c r="AX95" s="204"/>
      <c r="AY95" s="35"/>
      <c r="AZ95" s="180"/>
      <c r="BA95" s="167"/>
      <c r="BB95" s="179"/>
      <c r="BC95" s="179"/>
      <c r="BD95" s="179"/>
      <c r="BE95" s="98"/>
      <c r="BF95" s="167"/>
      <c r="BG95" s="98"/>
      <c r="BH95" s="167"/>
      <c r="BI95" s="98"/>
      <c r="BJ95" s="167"/>
      <c r="BK95" s="98"/>
      <c r="BL95" s="167"/>
      <c r="BN95" s="167"/>
      <c r="BO95" s="98"/>
      <c r="BP95" s="167"/>
    </row>
    <row r="96" spans="2:69" ht="25.15" customHeight="1" x14ac:dyDescent="0.2">
      <c r="B96" s="51"/>
      <c r="C96" s="478" t="s">
        <v>109</v>
      </c>
      <c r="D96" s="54">
        <v>1</v>
      </c>
      <c r="E96" s="186"/>
      <c r="F96" s="186">
        <v>0</v>
      </c>
      <c r="G96" s="186"/>
      <c r="H96" s="186">
        <v>2</v>
      </c>
      <c r="J96" s="601" t="s">
        <v>337</v>
      </c>
      <c r="K96" s="555"/>
      <c r="L96" s="55">
        <v>0</v>
      </c>
      <c r="M96" s="366"/>
      <c r="N96" s="186">
        <v>421</v>
      </c>
      <c r="P96" s="363" t="s">
        <v>62</v>
      </c>
      <c r="Q96" s="186"/>
      <c r="R96" s="198">
        <v>0</v>
      </c>
      <c r="S96" s="198"/>
      <c r="T96" s="186">
        <v>4912</v>
      </c>
      <c r="U96" s="201"/>
      <c r="V96" s="200"/>
      <c r="W96" s="198"/>
      <c r="X96" s="203"/>
      <c r="Y96" s="198"/>
      <c r="Z96" s="198"/>
      <c r="AA96" s="198"/>
      <c r="AB96" s="203"/>
      <c r="AC96" s="198"/>
      <c r="AD96" s="198"/>
      <c r="AE96" s="198"/>
      <c r="AF96" s="204"/>
      <c r="AG96" s="35"/>
      <c r="AH96" s="199"/>
      <c r="AI96" s="35"/>
      <c r="AJ96" s="203"/>
      <c r="AK96" s="194"/>
      <c r="AL96" s="203"/>
      <c r="AM96" s="194"/>
      <c r="AN96" s="203"/>
      <c r="AO96" s="198"/>
      <c r="AP96" s="200"/>
      <c r="AQ96" s="198"/>
      <c r="AR96" s="198"/>
      <c r="AS96" s="198"/>
      <c r="AT96" s="198"/>
      <c r="AU96" s="173"/>
      <c r="AV96" s="204"/>
      <c r="AW96" s="35"/>
      <c r="AX96" s="204"/>
      <c r="AY96" s="35"/>
      <c r="AZ96" s="178"/>
      <c r="BA96" s="167"/>
      <c r="BB96" s="179"/>
      <c r="BC96" s="179"/>
      <c r="BD96" s="179"/>
      <c r="BE96" s="98"/>
      <c r="BF96" s="167"/>
      <c r="BG96" s="98"/>
      <c r="BH96" s="167"/>
      <c r="BI96" s="98"/>
      <c r="BJ96" s="167"/>
      <c r="BK96" s="98"/>
      <c r="BL96" s="167"/>
      <c r="BN96" s="167"/>
      <c r="BO96" s="98"/>
      <c r="BP96" s="167"/>
    </row>
    <row r="97" spans="2:68" ht="25.15" customHeight="1" x14ac:dyDescent="0.2">
      <c r="B97" s="51"/>
      <c r="C97" s="478" t="s">
        <v>141</v>
      </c>
      <c r="D97" s="54">
        <v>2</v>
      </c>
      <c r="E97" s="186"/>
      <c r="F97" s="186">
        <v>3</v>
      </c>
      <c r="G97" s="186"/>
      <c r="H97" s="186">
        <v>1</v>
      </c>
      <c r="J97" s="554">
        <v>143</v>
      </c>
      <c r="K97" s="554"/>
      <c r="L97" s="55">
        <v>712</v>
      </c>
      <c r="M97" s="186"/>
      <c r="N97" s="186">
        <v>390</v>
      </c>
      <c r="P97" s="186">
        <v>5176</v>
      </c>
      <c r="Q97" s="186"/>
      <c r="R97" s="198">
        <v>18064</v>
      </c>
      <c r="S97" s="198"/>
      <c r="T97" s="186">
        <v>6240</v>
      </c>
      <c r="U97" s="201"/>
      <c r="V97" s="200"/>
      <c r="W97" s="198"/>
      <c r="X97" s="203"/>
      <c r="Y97" s="198"/>
      <c r="Z97" s="198"/>
      <c r="AA97" s="198"/>
      <c r="AB97" s="203"/>
      <c r="AC97" s="198"/>
      <c r="AD97" s="198"/>
      <c r="AE97" s="198"/>
      <c r="AF97" s="204"/>
      <c r="AG97" s="35"/>
      <c r="AH97" s="199"/>
      <c r="AI97" s="35"/>
      <c r="AJ97" s="203"/>
      <c r="AK97" s="194"/>
      <c r="AL97" s="203"/>
      <c r="AM97" s="194"/>
      <c r="AN97" s="203"/>
      <c r="AO97" s="198"/>
      <c r="AP97" s="200"/>
      <c r="AQ97" s="198"/>
      <c r="AR97" s="198"/>
      <c r="AS97" s="198"/>
      <c r="AT97" s="198"/>
      <c r="AU97" s="173"/>
      <c r="AV97" s="204"/>
      <c r="AW97" s="35"/>
      <c r="AX97" s="204"/>
      <c r="AY97" s="35"/>
      <c r="AZ97" s="179"/>
      <c r="BA97" s="167"/>
      <c r="BB97" s="179"/>
      <c r="BC97" s="179"/>
      <c r="BD97" s="179"/>
      <c r="BE97" s="98"/>
      <c r="BF97" s="167"/>
      <c r="BG97" s="98"/>
      <c r="BH97" s="167"/>
      <c r="BI97" s="98"/>
      <c r="BJ97" s="167"/>
      <c r="BK97" s="98"/>
      <c r="BL97" s="167"/>
      <c r="BN97" s="167"/>
      <c r="BO97" s="98"/>
      <c r="BP97" s="167"/>
    </row>
    <row r="98" spans="2:68" ht="25.15" customHeight="1" x14ac:dyDescent="0.2">
      <c r="B98" s="51"/>
      <c r="C98" s="478" t="s">
        <v>93</v>
      </c>
      <c r="D98" s="55">
        <v>0</v>
      </c>
      <c r="E98" s="186"/>
      <c r="F98" s="186">
        <v>0</v>
      </c>
      <c r="G98" s="186"/>
      <c r="H98" s="186">
        <v>0</v>
      </c>
      <c r="J98" s="554">
        <v>0</v>
      </c>
      <c r="K98" s="554"/>
      <c r="L98" s="55">
        <v>0</v>
      </c>
      <c r="M98" s="186"/>
      <c r="N98" s="186">
        <v>0</v>
      </c>
      <c r="P98" s="186">
        <v>0</v>
      </c>
      <c r="Q98" s="186"/>
      <c r="R98" s="198">
        <v>0</v>
      </c>
      <c r="S98" s="198"/>
      <c r="T98" s="186">
        <v>0</v>
      </c>
      <c r="U98" s="201"/>
      <c r="V98" s="198"/>
      <c r="W98" s="198"/>
      <c r="X98" s="203"/>
      <c r="Y98" s="198"/>
      <c r="Z98" s="198"/>
      <c r="AA98" s="198"/>
      <c r="AB98" s="209"/>
      <c r="AC98" s="209"/>
      <c r="AD98" s="209"/>
      <c r="AE98" s="198"/>
      <c r="AF98" s="204"/>
      <c r="AG98" s="35"/>
      <c r="AH98" s="199"/>
      <c r="AI98" s="35"/>
      <c r="AJ98" s="203"/>
      <c r="AK98" s="194"/>
      <c r="AL98" s="203"/>
      <c r="AM98" s="194"/>
      <c r="AN98" s="203"/>
      <c r="AO98" s="198"/>
      <c r="AP98" s="200"/>
      <c r="AQ98" s="198"/>
      <c r="AR98" s="198"/>
      <c r="AS98" s="198"/>
      <c r="AT98" s="198"/>
      <c r="AU98" s="173"/>
      <c r="AV98" s="204"/>
      <c r="AW98" s="35"/>
      <c r="AX98" s="204"/>
      <c r="AY98" s="35"/>
      <c r="AZ98" s="178"/>
      <c r="BA98" s="167"/>
      <c r="BB98" s="179"/>
      <c r="BC98" s="179"/>
      <c r="BD98" s="179"/>
      <c r="BE98" s="98"/>
      <c r="BF98" s="167"/>
      <c r="BG98" s="98"/>
      <c r="BH98" s="167"/>
      <c r="BI98" s="98"/>
      <c r="BJ98" s="167"/>
      <c r="BK98" s="98"/>
      <c r="BL98" s="167"/>
      <c r="BN98" s="167"/>
      <c r="BO98" s="98"/>
      <c r="BP98" s="167"/>
    </row>
    <row r="99" spans="2:68" ht="25.15" customHeight="1" x14ac:dyDescent="0.2">
      <c r="B99" s="51"/>
      <c r="C99" s="478" t="s">
        <v>144</v>
      </c>
      <c r="D99" s="54">
        <v>1</v>
      </c>
      <c r="E99" s="186"/>
      <c r="F99" s="186">
        <v>2</v>
      </c>
      <c r="G99" s="186"/>
      <c r="H99" s="186">
        <v>0</v>
      </c>
      <c r="J99" s="554">
        <v>76</v>
      </c>
      <c r="K99" s="554"/>
      <c r="L99" s="55">
        <v>535</v>
      </c>
      <c r="M99" s="186"/>
      <c r="N99" s="186">
        <v>0</v>
      </c>
      <c r="P99" s="186">
        <v>1216</v>
      </c>
      <c r="Q99" s="186"/>
      <c r="R99" s="198">
        <v>8560</v>
      </c>
      <c r="S99" s="198"/>
      <c r="T99" s="186">
        <v>0</v>
      </c>
      <c r="U99" s="201"/>
      <c r="V99" s="198"/>
      <c r="W99" s="198"/>
      <c r="X99" s="203"/>
      <c r="Y99" s="198"/>
      <c r="Z99" s="198"/>
      <c r="AA99" s="198"/>
      <c r="AB99" s="209"/>
      <c r="AC99" s="198"/>
      <c r="AD99" s="209"/>
      <c r="AE99" s="198"/>
      <c r="AF99" s="204"/>
      <c r="AG99" s="35"/>
      <c r="AH99" s="199"/>
      <c r="AI99" s="35"/>
      <c r="AJ99" s="203"/>
      <c r="AK99" s="194"/>
      <c r="AL99" s="203"/>
      <c r="AM99" s="194"/>
      <c r="AN99" s="203"/>
      <c r="AO99" s="198"/>
      <c r="AP99" s="200"/>
      <c r="AQ99" s="198"/>
      <c r="AR99" s="198"/>
      <c r="AS99" s="198"/>
      <c r="AT99" s="198"/>
      <c r="AU99" s="173"/>
      <c r="AV99" s="204"/>
      <c r="AW99" s="35"/>
      <c r="AX99" s="204"/>
      <c r="AY99" s="35"/>
      <c r="AZ99" s="179"/>
      <c r="BA99" s="167"/>
      <c r="BB99" s="179"/>
      <c r="BC99" s="179"/>
      <c r="BD99" s="179"/>
      <c r="BE99" s="98"/>
      <c r="BF99" s="167"/>
      <c r="BG99" s="98"/>
      <c r="BH99" s="167"/>
      <c r="BI99" s="98"/>
      <c r="BJ99" s="167"/>
      <c r="BK99" s="98"/>
      <c r="BL99" s="167"/>
      <c r="BN99" s="167"/>
      <c r="BO99" s="98"/>
      <c r="BP99" s="167"/>
    </row>
    <row r="100" spans="2:68" ht="25.15" customHeight="1" x14ac:dyDescent="0.2">
      <c r="B100" s="51"/>
      <c r="C100" s="478" t="s">
        <v>110</v>
      </c>
      <c r="D100" s="54">
        <v>2</v>
      </c>
      <c r="E100" s="186"/>
      <c r="F100" s="186">
        <v>2</v>
      </c>
      <c r="G100" s="186"/>
      <c r="H100" s="186">
        <v>3</v>
      </c>
      <c r="J100" s="554">
        <v>192</v>
      </c>
      <c r="K100" s="554"/>
      <c r="L100" s="55">
        <v>1400</v>
      </c>
      <c r="M100" s="186"/>
      <c r="N100" s="186">
        <v>2720</v>
      </c>
      <c r="P100" s="186">
        <v>1536</v>
      </c>
      <c r="Q100" s="186"/>
      <c r="R100" s="198">
        <v>12320</v>
      </c>
      <c r="S100" s="198"/>
      <c r="T100" s="186">
        <v>21760</v>
      </c>
      <c r="U100" s="201"/>
      <c r="V100" s="200"/>
      <c r="W100" s="198"/>
      <c r="X100" s="203"/>
      <c r="Y100" s="198"/>
      <c r="Z100" s="198"/>
      <c r="AA100" s="198"/>
      <c r="AB100" s="209"/>
      <c r="AC100" s="198"/>
      <c r="AD100" s="209"/>
      <c r="AE100" s="198"/>
      <c r="AF100" s="204"/>
      <c r="AG100" s="35"/>
      <c r="AH100" s="199"/>
      <c r="AI100" s="35"/>
      <c r="AJ100" s="203"/>
      <c r="AK100" s="194"/>
      <c r="AL100" s="203"/>
      <c r="AM100" s="194"/>
      <c r="AN100" s="203"/>
      <c r="AO100" s="198"/>
      <c r="AP100" s="200"/>
      <c r="AQ100" s="198"/>
      <c r="AR100" s="198"/>
      <c r="AS100" s="198"/>
      <c r="AT100" s="198"/>
      <c r="AU100" s="173"/>
      <c r="AV100" s="204"/>
      <c r="AW100" s="35"/>
      <c r="AX100" s="204"/>
      <c r="AY100" s="35"/>
      <c r="AZ100" s="179"/>
      <c r="BA100" s="167"/>
      <c r="BB100" s="179"/>
      <c r="BC100" s="179"/>
      <c r="BD100" s="179"/>
      <c r="BE100" s="98"/>
      <c r="BF100" s="167"/>
      <c r="BG100" s="98"/>
      <c r="BH100" s="167"/>
      <c r="BI100" s="98"/>
      <c r="BJ100" s="167"/>
      <c r="BK100" s="98"/>
      <c r="BL100" s="167"/>
      <c r="BN100" s="167"/>
      <c r="BO100" s="98"/>
      <c r="BP100" s="167"/>
    </row>
    <row r="101" spans="2:68" ht="25.15" customHeight="1" x14ac:dyDescent="0.2">
      <c r="B101" s="51"/>
      <c r="C101" s="477" t="s">
        <v>91</v>
      </c>
      <c r="D101" s="54">
        <v>0</v>
      </c>
      <c r="E101" s="186"/>
      <c r="F101" s="186">
        <v>0</v>
      </c>
      <c r="G101" s="186"/>
      <c r="H101" s="186">
        <v>0</v>
      </c>
      <c r="J101" s="554">
        <v>0</v>
      </c>
      <c r="K101" s="554"/>
      <c r="L101" s="55">
        <v>0</v>
      </c>
      <c r="M101" s="186"/>
      <c r="N101" s="186">
        <v>0</v>
      </c>
      <c r="P101" s="186">
        <v>0</v>
      </c>
      <c r="Q101" s="186"/>
      <c r="R101" s="198">
        <v>0</v>
      </c>
      <c r="S101" s="198"/>
      <c r="T101" s="186">
        <v>0</v>
      </c>
      <c r="U101" s="201"/>
      <c r="V101" s="200"/>
      <c r="W101" s="198"/>
      <c r="X101" s="203"/>
      <c r="Y101" s="198"/>
      <c r="Z101" s="198"/>
      <c r="AA101" s="198"/>
      <c r="AB101" s="209"/>
      <c r="AC101" s="198"/>
      <c r="AD101" s="209"/>
      <c r="AE101" s="198"/>
      <c r="AF101" s="204"/>
      <c r="AG101" s="35"/>
      <c r="AH101" s="199"/>
      <c r="AI101" s="35"/>
      <c r="AJ101" s="203"/>
      <c r="AK101" s="194"/>
      <c r="AL101" s="203"/>
      <c r="AM101" s="194"/>
      <c r="AN101" s="203"/>
      <c r="AO101" s="198"/>
      <c r="AP101" s="200"/>
      <c r="AQ101" s="198"/>
      <c r="AR101" s="198"/>
      <c r="AS101" s="198"/>
      <c r="AT101" s="198"/>
      <c r="AU101" s="173"/>
      <c r="AV101" s="204"/>
      <c r="AW101" s="35"/>
      <c r="AX101" s="204"/>
      <c r="AY101" s="35"/>
      <c r="AZ101" s="178"/>
      <c r="BA101" s="167"/>
      <c r="BB101" s="179"/>
      <c r="BC101" s="179"/>
      <c r="BD101" s="179"/>
      <c r="BE101" s="98"/>
      <c r="BF101" s="167"/>
      <c r="BG101" s="98"/>
      <c r="BH101" s="167"/>
      <c r="BI101" s="98"/>
      <c r="BJ101" s="167"/>
      <c r="BK101" s="98"/>
      <c r="BL101" s="167"/>
      <c r="BN101" s="167"/>
      <c r="BO101" s="98"/>
      <c r="BP101" s="167"/>
    </row>
    <row r="102" spans="2:68" ht="25.15" customHeight="1" x14ac:dyDescent="0.2">
      <c r="B102" s="51"/>
      <c r="C102" s="477" t="s">
        <v>111</v>
      </c>
      <c r="D102" s="54">
        <v>16</v>
      </c>
      <c r="E102" s="186"/>
      <c r="F102" s="186">
        <v>23</v>
      </c>
      <c r="G102" s="186"/>
      <c r="H102" s="186">
        <v>33</v>
      </c>
      <c r="J102" s="554">
        <v>23189</v>
      </c>
      <c r="K102" s="554"/>
      <c r="L102" s="55">
        <v>60332</v>
      </c>
      <c r="M102" s="186"/>
      <c r="N102" s="186">
        <v>47178</v>
      </c>
      <c r="P102" s="186">
        <v>1097324</v>
      </c>
      <c r="Q102" s="186"/>
      <c r="R102" s="198">
        <v>1090288</v>
      </c>
      <c r="S102" s="198"/>
      <c r="T102" s="186">
        <v>1950976</v>
      </c>
      <c r="U102" s="201"/>
      <c r="V102" s="200"/>
      <c r="W102" s="198"/>
      <c r="X102" s="203"/>
      <c r="Y102" s="198"/>
      <c r="Z102" s="198"/>
      <c r="AA102" s="198"/>
      <c r="AB102" s="209"/>
      <c r="AC102" s="198"/>
      <c r="AD102" s="209"/>
      <c r="AE102" s="198"/>
      <c r="AF102" s="207"/>
      <c r="AG102" s="35"/>
      <c r="AH102" s="206"/>
      <c r="AI102" s="35"/>
      <c r="AJ102" s="203"/>
      <c r="AK102" s="194"/>
      <c r="AL102" s="203"/>
      <c r="AM102" s="194"/>
      <c r="AN102" s="203"/>
      <c r="AO102" s="198"/>
      <c r="AP102" s="200"/>
      <c r="AQ102" s="198"/>
      <c r="AR102" s="198"/>
      <c r="AS102" s="198"/>
      <c r="AT102" s="198"/>
      <c r="AU102" s="173"/>
      <c r="AV102" s="208"/>
      <c r="AW102" s="35"/>
      <c r="AX102" s="204"/>
      <c r="AY102" s="35"/>
      <c r="AZ102" s="178"/>
      <c r="BA102" s="167"/>
      <c r="BB102" s="179"/>
      <c r="BC102" s="179"/>
      <c r="BD102" s="179"/>
      <c r="BE102" s="98"/>
      <c r="BF102" s="167"/>
      <c r="BG102" s="98"/>
      <c r="BH102" s="167"/>
      <c r="BI102" s="98"/>
      <c r="BJ102" s="167"/>
      <c r="BK102" s="98"/>
      <c r="BL102" s="167"/>
      <c r="BN102" s="167"/>
      <c r="BO102" s="98"/>
      <c r="BP102" s="167"/>
    </row>
    <row r="103" spans="2:68" ht="25.15" customHeight="1" x14ac:dyDescent="0.2">
      <c r="B103" s="51"/>
      <c r="C103" s="478" t="s">
        <v>19</v>
      </c>
      <c r="D103" s="54">
        <v>0</v>
      </c>
      <c r="E103" s="186"/>
      <c r="F103" s="186">
        <v>3</v>
      </c>
      <c r="G103" s="186"/>
      <c r="H103" s="186">
        <v>1</v>
      </c>
      <c r="J103" s="554">
        <v>0</v>
      </c>
      <c r="K103" s="554"/>
      <c r="L103" s="55">
        <v>146</v>
      </c>
      <c r="M103" s="186"/>
      <c r="N103" s="186">
        <v>16</v>
      </c>
      <c r="P103" s="186">
        <v>0</v>
      </c>
      <c r="Q103" s="186"/>
      <c r="R103" s="198">
        <v>28648</v>
      </c>
      <c r="S103" s="198"/>
      <c r="T103" s="186">
        <v>256</v>
      </c>
      <c r="U103" s="201"/>
      <c r="V103" s="200"/>
      <c r="W103" s="198"/>
      <c r="X103" s="203"/>
      <c r="Y103" s="198"/>
      <c r="Z103" s="198"/>
      <c r="AA103" s="198"/>
      <c r="AB103" s="209"/>
      <c r="AC103" s="198"/>
      <c r="AD103" s="209"/>
      <c r="AE103" s="198"/>
      <c r="AF103" s="204"/>
      <c r="AG103" s="35"/>
      <c r="AH103" s="199"/>
      <c r="AI103" s="35"/>
      <c r="AJ103" s="203"/>
      <c r="AK103" s="194"/>
      <c r="AL103" s="203"/>
      <c r="AM103" s="194"/>
      <c r="AN103" s="203"/>
      <c r="AO103" s="198"/>
      <c r="AP103" s="200"/>
      <c r="AQ103" s="198"/>
      <c r="AR103" s="198"/>
      <c r="AS103" s="198"/>
      <c r="AT103" s="198"/>
      <c r="AU103" s="173"/>
      <c r="AV103" s="204"/>
      <c r="AW103" s="35"/>
      <c r="AX103" s="204"/>
      <c r="AY103" s="35"/>
      <c r="AZ103" s="179"/>
      <c r="BA103" s="167"/>
      <c r="BB103" s="179"/>
      <c r="BC103" s="179"/>
      <c r="BD103" s="179"/>
      <c r="BE103" s="98"/>
      <c r="BF103" s="167"/>
      <c r="BG103" s="98"/>
      <c r="BH103" s="167"/>
      <c r="BI103" s="98"/>
      <c r="BJ103" s="167"/>
      <c r="BK103" s="98"/>
      <c r="BL103" s="167"/>
      <c r="BN103" s="167"/>
      <c r="BO103" s="98"/>
      <c r="BP103" s="167"/>
    </row>
    <row r="104" spans="2:68" ht="25.15" customHeight="1" x14ac:dyDescent="0.2">
      <c r="B104" s="51"/>
      <c r="C104" s="478" t="s">
        <v>46</v>
      </c>
      <c r="D104" s="54">
        <v>1</v>
      </c>
      <c r="E104" s="186"/>
      <c r="F104" s="186">
        <v>1</v>
      </c>
      <c r="G104" s="186"/>
      <c r="H104" s="186">
        <v>8</v>
      </c>
      <c r="J104" s="554">
        <v>1600</v>
      </c>
      <c r="K104" s="554"/>
      <c r="L104" s="55">
        <v>38</v>
      </c>
      <c r="M104" s="186"/>
      <c r="N104" s="186">
        <v>19174</v>
      </c>
      <c r="P104" s="186">
        <v>528000</v>
      </c>
      <c r="Q104" s="186"/>
      <c r="R104" s="198">
        <v>4256</v>
      </c>
      <c r="S104" s="198"/>
      <c r="T104" s="186">
        <v>102084</v>
      </c>
      <c r="U104" s="201"/>
      <c r="V104" s="198"/>
      <c r="W104" s="198"/>
      <c r="X104" s="203"/>
      <c r="Y104" s="198"/>
      <c r="Z104" s="198"/>
      <c r="AA104" s="198"/>
      <c r="AB104" s="209"/>
      <c r="AC104" s="198"/>
      <c r="AD104" s="209"/>
      <c r="AE104" s="198"/>
      <c r="AF104" s="204"/>
      <c r="AG104" s="35"/>
      <c r="AH104" s="199"/>
      <c r="AI104" s="35"/>
      <c r="AJ104" s="203"/>
      <c r="AK104" s="194"/>
      <c r="AL104" s="203"/>
      <c r="AM104" s="194"/>
      <c r="AN104" s="203"/>
      <c r="AO104" s="198"/>
      <c r="AP104" s="200"/>
      <c r="AQ104" s="198"/>
      <c r="AR104" s="198"/>
      <c r="AS104" s="198"/>
      <c r="AT104" s="198"/>
      <c r="AU104" s="173"/>
      <c r="AV104" s="204"/>
      <c r="AW104" s="35"/>
      <c r="AX104" s="204"/>
      <c r="AY104" s="35"/>
      <c r="AZ104" s="179"/>
      <c r="BA104" s="167"/>
      <c r="BB104" s="179"/>
      <c r="BC104" s="179"/>
      <c r="BD104" s="179"/>
      <c r="BE104" s="98"/>
      <c r="BF104" s="167"/>
      <c r="BG104" s="98"/>
      <c r="BH104" s="167"/>
      <c r="BI104" s="98"/>
      <c r="BJ104" s="167"/>
      <c r="BK104" s="98"/>
      <c r="BL104" s="167"/>
      <c r="BN104" s="167"/>
      <c r="BO104" s="98"/>
      <c r="BP104" s="167"/>
    </row>
    <row r="105" spans="2:68" ht="25.15" customHeight="1" x14ac:dyDescent="0.2">
      <c r="B105" s="51"/>
      <c r="C105" s="478" t="s">
        <v>142</v>
      </c>
      <c r="D105" s="55">
        <v>1</v>
      </c>
      <c r="E105" s="186"/>
      <c r="F105" s="186">
        <v>0</v>
      </c>
      <c r="G105" s="186"/>
      <c r="H105" s="186">
        <v>1</v>
      </c>
      <c r="J105" s="554">
        <v>55</v>
      </c>
      <c r="K105" s="554"/>
      <c r="L105" s="55">
        <v>0</v>
      </c>
      <c r="M105" s="186"/>
      <c r="N105" s="186">
        <v>500</v>
      </c>
      <c r="P105" s="186">
        <v>1760</v>
      </c>
      <c r="Q105" s="186"/>
      <c r="R105" s="198">
        <v>0</v>
      </c>
      <c r="S105" s="198"/>
      <c r="T105" s="186">
        <v>4000</v>
      </c>
      <c r="U105" s="201"/>
      <c r="V105" s="198"/>
      <c r="W105" s="198"/>
      <c r="X105" s="203"/>
      <c r="Y105" s="198"/>
      <c r="Z105" s="198"/>
      <c r="AA105" s="198"/>
      <c r="AB105" s="209"/>
      <c r="AC105" s="198"/>
      <c r="AD105" s="209"/>
      <c r="AE105" s="198"/>
      <c r="AF105" s="204"/>
      <c r="AG105" s="35"/>
      <c r="AH105" s="199"/>
      <c r="AI105" s="35"/>
      <c r="AJ105" s="203"/>
      <c r="AK105" s="194"/>
      <c r="AL105" s="203"/>
      <c r="AM105" s="194"/>
      <c r="AN105" s="203"/>
      <c r="AO105" s="198"/>
      <c r="AP105" s="200"/>
      <c r="AQ105" s="198"/>
      <c r="AR105" s="198"/>
      <c r="AS105" s="198"/>
      <c r="AT105" s="198"/>
      <c r="AU105" s="189"/>
      <c r="AV105" s="204"/>
      <c r="AW105" s="35"/>
      <c r="AX105" s="204"/>
      <c r="AY105" s="35"/>
      <c r="AZ105" s="179"/>
      <c r="BA105" s="167"/>
      <c r="BB105" s="179"/>
      <c r="BC105" s="179"/>
      <c r="BD105" s="179"/>
      <c r="BE105" s="98"/>
      <c r="BF105" s="167"/>
      <c r="BG105" s="98"/>
      <c r="BH105" s="167"/>
      <c r="BI105" s="98"/>
      <c r="BJ105" s="167"/>
      <c r="BK105" s="98"/>
      <c r="BL105" s="167"/>
      <c r="BN105" s="167"/>
      <c r="BO105" s="98"/>
      <c r="BP105" s="167"/>
    </row>
    <row r="106" spans="2:68" ht="25.15" customHeight="1" x14ac:dyDescent="0.2">
      <c r="B106" s="51"/>
      <c r="C106" s="478" t="s">
        <v>92</v>
      </c>
      <c r="D106" s="55">
        <v>0</v>
      </c>
      <c r="E106" s="186"/>
      <c r="F106" s="186">
        <v>0</v>
      </c>
      <c r="G106" s="186"/>
      <c r="H106" s="186">
        <v>0</v>
      </c>
      <c r="J106" s="554">
        <v>0</v>
      </c>
      <c r="K106" s="554"/>
      <c r="L106" s="55">
        <v>0</v>
      </c>
      <c r="M106" s="186"/>
      <c r="N106" s="186">
        <v>0</v>
      </c>
      <c r="P106" s="186">
        <v>0</v>
      </c>
      <c r="Q106" s="186"/>
      <c r="R106" s="198">
        <v>0</v>
      </c>
      <c r="S106" s="198"/>
      <c r="T106" s="186">
        <v>0</v>
      </c>
      <c r="U106" s="201"/>
      <c r="V106" s="200"/>
      <c r="W106" s="198"/>
      <c r="X106" s="203"/>
      <c r="Y106" s="198"/>
      <c r="Z106" s="198"/>
      <c r="AA106" s="198"/>
      <c r="AB106" s="209"/>
      <c r="AC106" s="198"/>
      <c r="AD106" s="209"/>
      <c r="AE106" s="198"/>
      <c r="AF106" s="198"/>
      <c r="AG106" s="35"/>
      <c r="AH106" s="198"/>
      <c r="AI106" s="35"/>
      <c r="AJ106" s="203"/>
      <c r="AK106" s="194"/>
      <c r="AL106" s="203"/>
      <c r="AM106" s="194"/>
      <c r="AN106" s="203"/>
      <c r="AO106" s="198"/>
      <c r="AP106" s="200"/>
      <c r="AQ106" s="198"/>
      <c r="AR106" s="198"/>
      <c r="AS106" s="198"/>
      <c r="AT106" s="198"/>
      <c r="AU106" s="189"/>
      <c r="AV106" s="198"/>
      <c r="AW106" s="35"/>
      <c r="AX106" s="204"/>
      <c r="AY106" s="35"/>
      <c r="AZ106" s="179"/>
      <c r="BA106" s="167"/>
      <c r="BB106" s="179"/>
      <c r="BC106" s="179"/>
      <c r="BD106" s="179"/>
      <c r="BE106" s="98"/>
      <c r="BF106" s="167"/>
      <c r="BG106" s="98"/>
      <c r="BH106" s="167"/>
      <c r="BI106" s="98"/>
      <c r="BJ106" s="167"/>
      <c r="BK106" s="98"/>
      <c r="BL106" s="167"/>
      <c r="BN106" s="167"/>
      <c r="BO106" s="98"/>
      <c r="BP106" s="167"/>
    </row>
    <row r="107" spans="2:68" ht="30" customHeight="1" x14ac:dyDescent="0.2">
      <c r="B107" s="482"/>
      <c r="C107" s="418" t="s">
        <v>6</v>
      </c>
      <c r="D107" s="479">
        <f>SUM(D91:D106)</f>
        <v>41</v>
      </c>
      <c r="E107" s="480"/>
      <c r="F107" s="481">
        <f>SUM(F91:F106)</f>
        <v>55</v>
      </c>
      <c r="G107" s="481"/>
      <c r="H107" s="481">
        <f>SUM(H91:H106)</f>
        <v>63</v>
      </c>
      <c r="I107" s="493"/>
      <c r="J107" s="481">
        <f>SUM(J91:J106)</f>
        <v>29145</v>
      </c>
      <c r="K107" s="481"/>
      <c r="L107" s="481">
        <f t="shared" ref="L107" si="4">SUM(L91:L106)</f>
        <v>77883</v>
      </c>
      <c r="M107" s="481"/>
      <c r="N107" s="481">
        <f>SUM(N91:N106)</f>
        <v>76704</v>
      </c>
      <c r="O107" s="493"/>
      <c r="P107" s="481">
        <f t="shared" ref="P107" si="5">SUM(P91:P106)</f>
        <v>2122932</v>
      </c>
      <c r="Q107" s="481"/>
      <c r="R107" s="481">
        <f>SUM(R91:R106)</f>
        <v>1462009</v>
      </c>
      <c r="S107" s="481"/>
      <c r="T107" s="481">
        <f>SUM(T91:T106)</f>
        <v>2295516</v>
      </c>
      <c r="U107" s="483"/>
      <c r="V107" s="192"/>
      <c r="W107" s="192"/>
      <c r="X107" s="192"/>
      <c r="Y107" s="192"/>
      <c r="Z107" s="192"/>
      <c r="AA107" s="192"/>
      <c r="AB107" s="192"/>
      <c r="AC107" s="192"/>
      <c r="AD107" s="192"/>
      <c r="AE107" s="194"/>
      <c r="AF107" s="192"/>
      <c r="AG107" s="192"/>
      <c r="AH107" s="192"/>
      <c r="AI107" s="192"/>
      <c r="AJ107" s="190"/>
      <c r="AK107" s="190"/>
      <c r="AL107" s="190"/>
      <c r="AM107" s="190"/>
      <c r="AN107" s="190"/>
      <c r="AO107" s="190"/>
      <c r="AP107" s="190"/>
      <c r="AQ107" s="190"/>
      <c r="AR107" s="190"/>
      <c r="AS107" s="190"/>
      <c r="AT107" s="190"/>
      <c r="AU107" s="174"/>
      <c r="AV107" s="192"/>
      <c r="AW107" s="192"/>
      <c r="AX107" s="921"/>
      <c r="AY107" s="921"/>
      <c r="AZ107" s="137"/>
      <c r="BA107" s="84"/>
      <c r="BB107" s="137"/>
      <c r="BC107" s="137"/>
      <c r="BD107" s="137"/>
      <c r="BF107" s="137"/>
      <c r="BH107" s="30"/>
      <c r="BJ107" s="30"/>
      <c r="BL107" s="30"/>
      <c r="BN107" s="30"/>
      <c r="BP107" s="30"/>
    </row>
    <row r="108" spans="2:68" ht="29.25" customHeight="1" x14ac:dyDescent="0.2">
      <c r="B108" s="11" t="s">
        <v>259</v>
      </c>
      <c r="C108" s="12"/>
      <c r="D108" s="12"/>
      <c r="E108" s="12"/>
      <c r="F108" s="12"/>
      <c r="G108" s="13"/>
      <c r="H108" s="12"/>
      <c r="I108" s="12"/>
      <c r="Y108" s="14"/>
      <c r="Z108" s="10"/>
      <c r="AA108" s="14"/>
      <c r="AB108" s="15"/>
      <c r="AC108" s="14"/>
      <c r="AD108" s="15"/>
    </row>
    <row r="109" spans="2:68" ht="29.25" customHeight="1" x14ac:dyDescent="0.2">
      <c r="B109" s="16" t="s">
        <v>297</v>
      </c>
      <c r="C109" s="17"/>
      <c r="D109" s="17"/>
      <c r="E109" s="17"/>
      <c r="F109" s="17"/>
      <c r="G109" s="17"/>
      <c r="H109" s="18"/>
      <c r="I109" s="18"/>
      <c r="J109" s="18"/>
      <c r="K109" s="18"/>
      <c r="Z109" s="19"/>
      <c r="AA109" s="20"/>
      <c r="AB109" s="19"/>
      <c r="AC109" s="20"/>
      <c r="AD109" s="21"/>
    </row>
    <row r="110" spans="2:68" ht="29.25" customHeight="1" x14ac:dyDescent="0.2">
      <c r="B110" s="22" t="s">
        <v>289</v>
      </c>
      <c r="C110" s="1"/>
      <c r="D110" s="23"/>
      <c r="E110" s="24"/>
      <c r="F110" s="23"/>
      <c r="G110" s="25"/>
      <c r="H110" s="26"/>
      <c r="I110" s="27"/>
      <c r="J110" s="27"/>
    </row>
    <row r="111" spans="2:68" ht="30.6" customHeight="1" x14ac:dyDescent="0.2">
      <c r="B111" s="210" t="s">
        <v>338</v>
      </c>
    </row>
    <row r="112" spans="2:68" s="49" customFormat="1" ht="30" customHeight="1" x14ac:dyDescent="0.2">
      <c r="B112" s="911" t="s">
        <v>299</v>
      </c>
      <c r="C112" s="911"/>
      <c r="D112" s="911"/>
      <c r="E112" s="911"/>
      <c r="F112" s="911"/>
      <c r="G112" s="911"/>
      <c r="H112" s="911"/>
      <c r="I112" s="911"/>
      <c r="J112" s="911"/>
      <c r="K112" s="911"/>
      <c r="L112" s="911"/>
      <c r="M112" s="911"/>
      <c r="N112" s="911"/>
      <c r="O112" s="911"/>
      <c r="P112" s="911"/>
      <c r="Q112" s="911"/>
      <c r="R112" s="911"/>
      <c r="S112" s="911"/>
      <c r="T112" s="911"/>
      <c r="U112" s="911"/>
      <c r="V112" s="911"/>
      <c r="W112" s="911"/>
      <c r="X112" s="911"/>
      <c r="Y112" s="911"/>
      <c r="Z112" s="911"/>
      <c r="AA112" s="911"/>
      <c r="AB112" s="911"/>
      <c r="AC112" s="911"/>
      <c r="AD112" s="911"/>
      <c r="AE112" s="911"/>
      <c r="AF112" s="911"/>
      <c r="AG112" s="911"/>
      <c r="AH112" s="911"/>
      <c r="AI112" s="911"/>
      <c r="AJ112" s="911"/>
    </row>
    <row r="113" spans="2:45" ht="22.9" customHeight="1" x14ac:dyDescent="0.2">
      <c r="B113" s="810" t="s">
        <v>243</v>
      </c>
      <c r="C113" s="810"/>
      <c r="D113" s="810"/>
      <c r="E113" s="810"/>
      <c r="F113" s="810"/>
      <c r="G113" s="810"/>
      <c r="H113" s="810"/>
      <c r="I113" s="810"/>
      <c r="J113" s="810"/>
      <c r="K113" s="810"/>
      <c r="L113" s="810"/>
      <c r="M113" s="810"/>
      <c r="N113" s="810"/>
      <c r="O113" s="810"/>
      <c r="P113" s="810"/>
      <c r="Q113" s="810"/>
      <c r="R113" s="810"/>
      <c r="S113" s="810"/>
      <c r="T113" s="810"/>
      <c r="U113" s="810"/>
      <c r="V113" s="810"/>
      <c r="W113" s="810"/>
      <c r="X113" s="810"/>
      <c r="Y113" s="810"/>
      <c r="Z113" s="810"/>
      <c r="AA113" s="810"/>
      <c r="AB113" s="810"/>
      <c r="AC113" s="810"/>
      <c r="AD113" s="810"/>
      <c r="AE113" s="810"/>
      <c r="AF113" s="810"/>
      <c r="AG113" s="810"/>
      <c r="AH113" s="810"/>
      <c r="AI113" s="810"/>
      <c r="AJ113" s="810"/>
      <c r="AK113" s="810"/>
      <c r="AL113" s="810"/>
      <c r="AM113" s="810"/>
      <c r="AN113" s="810"/>
      <c r="AO113" s="810"/>
      <c r="AP113" s="810"/>
      <c r="AQ113" s="810"/>
      <c r="AR113" s="810"/>
      <c r="AS113" s="810"/>
    </row>
  </sheetData>
  <mergeCells count="172">
    <mergeCell ref="AV90:AW90"/>
    <mergeCell ref="AX90:AY90"/>
    <mergeCell ref="P90:Q90"/>
    <mergeCell ref="R90:S90"/>
    <mergeCell ref="AX107:AY107"/>
    <mergeCell ref="AX87:AY87"/>
    <mergeCell ref="V70:W70"/>
    <mergeCell ref="X70:Y70"/>
    <mergeCell ref="Z70:AA70"/>
    <mergeCell ref="AB70:AC70"/>
    <mergeCell ref="P70:Q70"/>
    <mergeCell ref="AT70:AU70"/>
    <mergeCell ref="AV70:AW70"/>
    <mergeCell ref="AX70:AY70"/>
    <mergeCell ref="P89:U89"/>
    <mergeCell ref="J70:K70"/>
    <mergeCell ref="D69:S69"/>
    <mergeCell ref="B67:AY67"/>
    <mergeCell ref="T69:AI69"/>
    <mergeCell ref="B89:C90"/>
    <mergeCell ref="AJ89:AY89"/>
    <mergeCell ref="D90:E90"/>
    <mergeCell ref="T90:U90"/>
    <mergeCell ref="V90:W90"/>
    <mergeCell ref="X90:Y90"/>
    <mergeCell ref="Z90:AA90"/>
    <mergeCell ref="AB90:AC90"/>
    <mergeCell ref="AD90:AE90"/>
    <mergeCell ref="AF90:AG90"/>
    <mergeCell ref="AH90:AI90"/>
    <mergeCell ref="AJ90:AK90"/>
    <mergeCell ref="AL90:AM90"/>
    <mergeCell ref="AN90:AO90"/>
    <mergeCell ref="AP90:AQ90"/>
    <mergeCell ref="AR90:AS90"/>
    <mergeCell ref="AT90:AU90"/>
    <mergeCell ref="H90:I90"/>
    <mergeCell ref="D89:I89"/>
    <mergeCell ref="J89:O89"/>
    <mergeCell ref="DP4:FS4"/>
    <mergeCell ref="FT4:HW4"/>
    <mergeCell ref="HX4:JC4"/>
    <mergeCell ref="D5:S5"/>
    <mergeCell ref="T5:AI5"/>
    <mergeCell ref="AJ5:AY5"/>
    <mergeCell ref="B5:C6"/>
    <mergeCell ref="D6:E6"/>
    <mergeCell ref="F6:G6"/>
    <mergeCell ref="H6:I6"/>
    <mergeCell ref="J6:K6"/>
    <mergeCell ref="L6:M6"/>
    <mergeCell ref="AD6:AE6"/>
    <mergeCell ref="AR6:AS6"/>
    <mergeCell ref="AF6:AG6"/>
    <mergeCell ref="AT6:AU6"/>
    <mergeCell ref="AV6:AW6"/>
    <mergeCell ref="T6:U6"/>
    <mergeCell ref="V6:W6"/>
    <mergeCell ref="BH6:BI6"/>
    <mergeCell ref="AL6:AM6"/>
    <mergeCell ref="AN6:AO6"/>
    <mergeCell ref="AP6:AQ6"/>
    <mergeCell ref="N6:O6"/>
    <mergeCell ref="BJ6:BK6"/>
    <mergeCell ref="AX6:AY6"/>
    <mergeCell ref="B1:AY1"/>
    <mergeCell ref="B2:AY2"/>
    <mergeCell ref="B3:AY3"/>
    <mergeCell ref="B4:AY4"/>
    <mergeCell ref="AZ4:BQ4"/>
    <mergeCell ref="AB6:AC6"/>
    <mergeCell ref="AZ6:BA6"/>
    <mergeCell ref="BB6:BC6"/>
    <mergeCell ref="BD6:BE6"/>
    <mergeCell ref="BF6:BG6"/>
    <mergeCell ref="BL6:BM6"/>
    <mergeCell ref="BN6:BO6"/>
    <mergeCell ref="BP6:BQ6"/>
    <mergeCell ref="X6:Y6"/>
    <mergeCell ref="AH6:AI6"/>
    <mergeCell ref="AJ6:AK6"/>
    <mergeCell ref="BD26:BE26"/>
    <mergeCell ref="BF26:BG26"/>
    <mergeCell ref="AR26:AS26"/>
    <mergeCell ref="AT26:AU26"/>
    <mergeCell ref="Z6:AA6"/>
    <mergeCell ref="P6:Q6"/>
    <mergeCell ref="R6:S6"/>
    <mergeCell ref="D25:S25"/>
    <mergeCell ref="T25:AI25"/>
    <mergeCell ref="AJ25:AY25"/>
    <mergeCell ref="AZ26:BA26"/>
    <mergeCell ref="BB26:BC26"/>
    <mergeCell ref="AX26:AY26"/>
    <mergeCell ref="N26:O26"/>
    <mergeCell ref="P26:Q26"/>
    <mergeCell ref="R26:S26"/>
    <mergeCell ref="L26:M26"/>
    <mergeCell ref="AF26:AG26"/>
    <mergeCell ref="AH26:AI26"/>
    <mergeCell ref="DP67:FS67"/>
    <mergeCell ref="FT67:HW67"/>
    <mergeCell ref="HX67:JC67"/>
    <mergeCell ref="D45:S45"/>
    <mergeCell ref="T45:AI45"/>
    <mergeCell ref="AJ45:AX45"/>
    <mergeCell ref="BL46:BM46"/>
    <mergeCell ref="BN46:BO46"/>
    <mergeCell ref="BP46:BQ46"/>
    <mergeCell ref="BH46:BI46"/>
    <mergeCell ref="AP46:AQ46"/>
    <mergeCell ref="BD46:BE46"/>
    <mergeCell ref="BF46:BG46"/>
    <mergeCell ref="H46:I46"/>
    <mergeCell ref="J46:K46"/>
    <mergeCell ref="L46:M46"/>
    <mergeCell ref="AN46:AO46"/>
    <mergeCell ref="X46:Y46"/>
    <mergeCell ref="AB46:AC46"/>
    <mergeCell ref="B65:AY65"/>
    <mergeCell ref="B66:AY66"/>
    <mergeCell ref="N46:O46"/>
    <mergeCell ref="BJ46:BK46"/>
    <mergeCell ref="AR46:AS46"/>
    <mergeCell ref="N87:O87"/>
    <mergeCell ref="H70:I70"/>
    <mergeCell ref="B112:AJ112"/>
    <mergeCell ref="R87:S87"/>
    <mergeCell ref="L70:M70"/>
    <mergeCell ref="AD70:AE70"/>
    <mergeCell ref="AF70:AG70"/>
    <mergeCell ref="BN26:BO26"/>
    <mergeCell ref="AJ69:AY69"/>
    <mergeCell ref="BH26:BI26"/>
    <mergeCell ref="AB26:AC26"/>
    <mergeCell ref="AD26:AE26"/>
    <mergeCell ref="BJ26:BK26"/>
    <mergeCell ref="AV26:AW26"/>
    <mergeCell ref="BL26:BM26"/>
    <mergeCell ref="B68:C68"/>
    <mergeCell ref="BB46:BC46"/>
    <mergeCell ref="AT46:AU46"/>
    <mergeCell ref="AZ46:BA46"/>
    <mergeCell ref="Z46:AA46"/>
    <mergeCell ref="AZ67:BQ67"/>
    <mergeCell ref="B25:C26"/>
    <mergeCell ref="B45:C46"/>
    <mergeCell ref="BP26:BQ26"/>
    <mergeCell ref="F90:G90"/>
    <mergeCell ref="J90:K90"/>
    <mergeCell ref="L90:M90"/>
    <mergeCell ref="N90:O90"/>
    <mergeCell ref="P46:Q46"/>
    <mergeCell ref="R46:S46"/>
    <mergeCell ref="N70:O70"/>
    <mergeCell ref="B113:AS113"/>
    <mergeCell ref="P87:Q87"/>
    <mergeCell ref="R70:S70"/>
    <mergeCell ref="T70:U70"/>
    <mergeCell ref="AH70:AI70"/>
    <mergeCell ref="AN70:AO70"/>
    <mergeCell ref="AP70:AQ70"/>
    <mergeCell ref="AR70:AS70"/>
    <mergeCell ref="AJ70:AK70"/>
    <mergeCell ref="AL70:AM70"/>
    <mergeCell ref="B69:C70"/>
    <mergeCell ref="D70:E70"/>
    <mergeCell ref="F70:G70"/>
    <mergeCell ref="F87:G87"/>
    <mergeCell ref="H87:I87"/>
    <mergeCell ref="J87:K87"/>
    <mergeCell ref="L87:M87"/>
  </mergeCells>
  <printOptions horizontalCentered="1" verticalCentered="1"/>
  <pageMargins left="0" right="0" top="0" bottom="0" header="0" footer="0"/>
  <pageSetup paperSize="9" scale="28" orientation="landscape" r:id="rId1"/>
  <rowBreaks count="1" manualBreakCount="1">
    <brk id="64" min="1" max="50" man="1"/>
  </rowBreaks>
  <ignoredErrors>
    <ignoredError sqref="D87:O87 D107 F107:U107 AX63 D63:AW63 AY63 R87 Z87:AY87 D23:AY23" formulaRange="1"/>
  </ignoredError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W64"/>
  <sheetViews>
    <sheetView showGridLines="0" view="pageBreakPreview" zoomScale="50" zoomScaleNormal="48" zoomScaleSheetLayoutView="50" workbookViewId="0">
      <selection activeCell="E52" sqref="E52"/>
    </sheetView>
  </sheetViews>
  <sheetFormatPr baseColWidth="10" defaultColWidth="11.42578125" defaultRowHeight="22.5" customHeight="1" x14ac:dyDescent="0.35"/>
  <cols>
    <col min="1" max="1" width="6.42578125" style="49" customWidth="1"/>
    <col min="2" max="2" width="4.28515625" style="49" customWidth="1"/>
    <col min="3" max="3" width="43.42578125" style="49" customWidth="1"/>
    <col min="4" max="4" width="3.140625" style="49" customWidth="1"/>
    <col min="5" max="5" width="25.7109375" style="49" customWidth="1"/>
    <col min="6" max="6" width="4" style="49" customWidth="1"/>
    <col min="7" max="7" width="26.28515625" style="49" customWidth="1"/>
    <col min="8" max="8" width="3.7109375" style="219" customWidth="1"/>
    <col min="9" max="9" width="25.28515625" style="49" customWidth="1"/>
    <col min="10" max="10" width="3.7109375" style="219" customWidth="1"/>
    <col min="11" max="11" width="26" style="49" customWidth="1"/>
    <col min="12" max="12" width="2.7109375" style="219" customWidth="1"/>
    <col min="13" max="13" width="22.42578125" style="49" customWidth="1"/>
    <col min="14" max="14" width="3.85546875" style="219" customWidth="1"/>
    <col min="15" max="15" width="25.7109375" style="49" customWidth="1"/>
    <col min="16" max="16" width="2.7109375" style="219" customWidth="1"/>
    <col min="17" max="17" width="23.28515625" style="49" customWidth="1"/>
    <col min="18" max="18" width="2.7109375" style="219" customWidth="1"/>
    <col min="19" max="19" width="24.85546875" style="49" customWidth="1"/>
    <col min="20" max="20" width="2.7109375" style="219" customWidth="1"/>
    <col min="21" max="21" width="22.42578125" style="49" customWidth="1"/>
    <col min="22" max="22" width="2.7109375" style="219" customWidth="1"/>
    <col min="23" max="23" width="18.7109375" style="49" customWidth="1"/>
    <col min="24" max="24" width="2.7109375" style="49" customWidth="1"/>
    <col min="25" max="25" width="19.28515625" style="49" customWidth="1"/>
    <col min="26" max="26" width="2.7109375" style="219" customWidth="1"/>
    <col min="27" max="27" width="22.5703125" style="49" customWidth="1"/>
    <col min="28" max="28" width="3.28515625" style="623" customWidth="1"/>
    <col min="29" max="29" width="16.7109375" style="49" customWidth="1"/>
    <col min="30" max="30" width="3.42578125" style="49" customWidth="1"/>
    <col min="31" max="16384" width="11.42578125" style="49"/>
  </cols>
  <sheetData>
    <row r="1" spans="2:49" ht="22.5" customHeight="1" x14ac:dyDescent="0.2">
      <c r="B1" s="924" t="s">
        <v>48</v>
      </c>
      <c r="C1" s="924"/>
      <c r="D1" s="924"/>
      <c r="E1" s="924"/>
      <c r="F1" s="924"/>
      <c r="G1" s="924"/>
      <c r="H1" s="924"/>
      <c r="I1" s="924"/>
      <c r="J1" s="924"/>
      <c r="K1" s="924"/>
      <c r="L1" s="924"/>
      <c r="M1" s="924"/>
      <c r="N1" s="924"/>
      <c r="O1" s="924"/>
      <c r="P1" s="924"/>
      <c r="Q1" s="924"/>
      <c r="R1" s="924"/>
      <c r="S1" s="924"/>
      <c r="T1" s="924"/>
      <c r="U1" s="924"/>
      <c r="V1" s="924"/>
      <c r="W1" s="924"/>
      <c r="X1" s="924"/>
      <c r="Y1" s="924"/>
      <c r="Z1" s="924"/>
      <c r="AA1" s="924"/>
      <c r="AB1" s="924"/>
      <c r="AC1" s="924"/>
      <c r="AD1" s="924"/>
      <c r="AE1" s="118"/>
      <c r="AF1" s="118"/>
      <c r="AG1" s="118"/>
      <c r="AH1" s="118"/>
      <c r="AI1" s="118"/>
      <c r="AJ1" s="118"/>
      <c r="AK1" s="118"/>
      <c r="AL1" s="118"/>
      <c r="AM1" s="118"/>
      <c r="AN1" s="118"/>
      <c r="AO1" s="118"/>
      <c r="AP1" s="118"/>
      <c r="AQ1" s="118"/>
      <c r="AR1" s="118"/>
      <c r="AS1" s="118"/>
      <c r="AT1" s="118"/>
      <c r="AU1" s="118"/>
      <c r="AV1" s="118"/>
      <c r="AW1" s="118"/>
    </row>
    <row r="2" spans="2:49" s="1" customFormat="1" ht="30" customHeight="1" x14ac:dyDescent="0.2">
      <c r="B2" s="926" t="s">
        <v>145</v>
      </c>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6"/>
      <c r="AC2" s="211"/>
      <c r="AD2" s="211"/>
    </row>
    <row r="3" spans="2:49" s="1" customFormat="1" ht="41.25" customHeight="1" x14ac:dyDescent="0.2">
      <c r="B3" s="924" t="s">
        <v>112</v>
      </c>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row>
    <row r="4" spans="2:49" s="1" customFormat="1" ht="36.75" customHeight="1" x14ac:dyDescent="0.2">
      <c r="B4" s="924">
        <v>2024</v>
      </c>
      <c r="C4" s="924"/>
      <c r="D4" s="924"/>
      <c r="E4" s="924"/>
      <c r="F4" s="924"/>
      <c r="G4" s="924"/>
      <c r="H4" s="924"/>
      <c r="I4" s="924"/>
      <c r="J4" s="924"/>
      <c r="K4" s="924"/>
      <c r="L4" s="924"/>
      <c r="M4" s="924"/>
      <c r="N4" s="924"/>
      <c r="O4" s="924"/>
      <c r="P4" s="924"/>
      <c r="Q4" s="924"/>
      <c r="R4" s="924"/>
      <c r="S4" s="924"/>
      <c r="T4" s="924"/>
      <c r="U4" s="924"/>
      <c r="V4" s="924"/>
      <c r="W4" s="924"/>
      <c r="X4" s="924"/>
      <c r="Y4" s="924"/>
      <c r="Z4" s="924"/>
      <c r="AA4" s="924"/>
      <c r="AB4" s="924"/>
      <c r="AC4" s="924"/>
      <c r="AD4" s="924"/>
    </row>
    <row r="5" spans="2:49" s="1" customFormat="1" ht="46.5" customHeight="1" x14ac:dyDescent="0.2">
      <c r="B5" s="903" t="s">
        <v>24</v>
      </c>
      <c r="C5" s="903"/>
      <c r="D5" s="903"/>
      <c r="E5" s="815" t="s">
        <v>201</v>
      </c>
      <c r="F5" s="812"/>
      <c r="G5" s="812"/>
      <c r="H5" s="812"/>
      <c r="I5" s="812"/>
      <c r="J5" s="812"/>
      <c r="K5" s="812"/>
      <c r="L5" s="812"/>
      <c r="M5" s="812"/>
      <c r="N5" s="812"/>
      <c r="O5" s="812"/>
      <c r="P5" s="812"/>
      <c r="Q5" s="812"/>
      <c r="R5" s="812"/>
      <c r="S5" s="812"/>
      <c r="T5" s="812"/>
      <c r="U5" s="812"/>
      <c r="V5" s="812"/>
      <c r="W5" s="812"/>
      <c r="X5" s="812"/>
      <c r="Y5" s="812"/>
      <c r="Z5" s="813"/>
      <c r="AA5" s="816" t="s">
        <v>86</v>
      </c>
      <c r="AB5" s="816"/>
      <c r="AC5" s="816"/>
      <c r="AD5" s="816"/>
    </row>
    <row r="6" spans="2:49" s="1" customFormat="1" ht="122.25" customHeight="1" x14ac:dyDescent="0.2">
      <c r="B6" s="903"/>
      <c r="C6" s="903"/>
      <c r="D6" s="903"/>
      <c r="E6" s="927" t="s">
        <v>263</v>
      </c>
      <c r="F6" s="928"/>
      <c r="G6" s="925" t="s">
        <v>196</v>
      </c>
      <c r="H6" s="925"/>
      <c r="I6" s="925" t="s">
        <v>131</v>
      </c>
      <c r="J6" s="925"/>
      <c r="K6" s="925" t="s">
        <v>261</v>
      </c>
      <c r="L6" s="925"/>
      <c r="M6" s="925" t="s">
        <v>109</v>
      </c>
      <c r="N6" s="925"/>
      <c r="O6" s="925" t="s">
        <v>264</v>
      </c>
      <c r="P6" s="925"/>
      <c r="Q6" s="925" t="s">
        <v>110</v>
      </c>
      <c r="R6" s="925"/>
      <c r="S6" s="925" t="s">
        <v>197</v>
      </c>
      <c r="T6" s="925"/>
      <c r="U6" s="925" t="s">
        <v>19</v>
      </c>
      <c r="V6" s="925"/>
      <c r="W6" s="927" t="s">
        <v>265</v>
      </c>
      <c r="X6" s="928"/>
      <c r="Y6" s="927" t="s">
        <v>339</v>
      </c>
      <c r="Z6" s="929"/>
      <c r="AA6" s="862" t="s">
        <v>63</v>
      </c>
      <c r="AB6" s="862"/>
      <c r="AC6" s="862" t="s">
        <v>5</v>
      </c>
      <c r="AD6" s="862"/>
    </row>
    <row r="7" spans="2:49" s="1" customFormat="1" ht="25.15" customHeight="1" x14ac:dyDescent="0.2">
      <c r="B7" s="502"/>
      <c r="C7" s="503" t="s">
        <v>25</v>
      </c>
      <c r="D7" s="504"/>
      <c r="E7" s="602"/>
      <c r="F7" s="605"/>
      <c r="G7" s="291"/>
      <c r="H7" s="609"/>
      <c r="I7" s="291"/>
      <c r="J7" s="609"/>
      <c r="K7" s="291"/>
      <c r="L7" s="609"/>
      <c r="M7" s="291"/>
      <c r="N7" s="609"/>
      <c r="O7" s="291"/>
      <c r="P7" s="609"/>
      <c r="Q7" s="291"/>
      <c r="R7" s="609"/>
      <c r="S7" s="291"/>
      <c r="T7" s="609"/>
      <c r="U7" s="291"/>
      <c r="V7" s="609"/>
      <c r="W7" s="291"/>
      <c r="X7" s="291"/>
      <c r="Y7" s="291"/>
      <c r="Z7" s="609"/>
      <c r="AA7" s="367"/>
      <c r="AB7" s="616"/>
      <c r="AC7" s="368"/>
      <c r="AD7" s="369"/>
    </row>
    <row r="8" spans="2:49" s="1" customFormat="1" ht="25.15" customHeight="1" x14ac:dyDescent="0.2">
      <c r="B8" s="502"/>
      <c r="C8" s="428" t="s">
        <v>2</v>
      </c>
      <c r="D8" s="505"/>
      <c r="E8" s="602">
        <v>0</v>
      </c>
      <c r="F8" s="605"/>
      <c r="G8" s="602">
        <v>1</v>
      </c>
      <c r="H8" s="605"/>
      <c r="I8" s="602">
        <v>0</v>
      </c>
      <c r="J8" s="608"/>
      <c r="K8" s="602">
        <v>0</v>
      </c>
      <c r="L8" s="608"/>
      <c r="M8" s="602">
        <v>0</v>
      </c>
      <c r="N8" s="608"/>
      <c r="O8" s="602">
        <v>0</v>
      </c>
      <c r="P8" s="608"/>
      <c r="Q8" s="602">
        <v>0</v>
      </c>
      <c r="R8" s="608"/>
      <c r="S8" s="602">
        <v>1</v>
      </c>
      <c r="T8" s="608"/>
      <c r="U8" s="602">
        <v>0</v>
      </c>
      <c r="V8" s="608"/>
      <c r="W8" s="602">
        <v>0</v>
      </c>
      <c r="X8" s="164"/>
      <c r="Y8" s="602">
        <v>0</v>
      </c>
      <c r="Z8" s="608"/>
      <c r="AA8" s="370">
        <f>SUM(E8:Z8)</f>
        <v>2</v>
      </c>
      <c r="AB8" s="617"/>
      <c r="AC8" s="368">
        <f>AA8/AA56*100</f>
        <v>3.1746031746031744</v>
      </c>
      <c r="AD8" s="369"/>
    </row>
    <row r="9" spans="2:49" s="1" customFormat="1" ht="25.15" customHeight="1" x14ac:dyDescent="0.2">
      <c r="B9" s="502"/>
      <c r="C9" s="428" t="s">
        <v>15</v>
      </c>
      <c r="D9" s="505"/>
      <c r="E9" s="602">
        <v>0</v>
      </c>
      <c r="G9" s="602">
        <v>256</v>
      </c>
      <c r="H9" s="605"/>
      <c r="I9" s="602">
        <v>0</v>
      </c>
      <c r="J9" s="608"/>
      <c r="K9" s="602">
        <v>0</v>
      </c>
      <c r="L9" s="608"/>
      <c r="M9" s="602">
        <v>0</v>
      </c>
      <c r="N9" s="608"/>
      <c r="O9" s="602">
        <v>0</v>
      </c>
      <c r="P9" s="608"/>
      <c r="Q9" s="602">
        <v>0</v>
      </c>
      <c r="R9" s="608"/>
      <c r="S9" s="602">
        <v>25</v>
      </c>
      <c r="T9" s="608"/>
      <c r="U9" s="602">
        <v>0</v>
      </c>
      <c r="V9" s="608"/>
      <c r="W9" s="602">
        <v>0</v>
      </c>
      <c r="X9" s="164"/>
      <c r="Y9" s="602">
        <v>0</v>
      </c>
      <c r="Z9" s="608"/>
      <c r="AA9" s="370">
        <f t="shared" ref="AA9:AA10" si="0">SUM(E9:Z9)</f>
        <v>281</v>
      </c>
      <c r="AB9" s="617"/>
      <c r="AC9" s="368">
        <f>AA9/AA57*100</f>
        <v>0.36634334584897787</v>
      </c>
      <c r="AD9" s="369"/>
    </row>
    <row r="10" spans="2:49" s="1" customFormat="1" ht="25.15" customHeight="1" x14ac:dyDescent="0.2">
      <c r="B10" s="502"/>
      <c r="C10" s="428" t="s">
        <v>16</v>
      </c>
      <c r="D10" s="505"/>
      <c r="E10" s="602">
        <v>5408</v>
      </c>
      <c r="F10" s="605" t="s">
        <v>62</v>
      </c>
      <c r="G10" s="602">
        <v>6144</v>
      </c>
      <c r="H10" s="624"/>
      <c r="I10" s="602">
        <v>0</v>
      </c>
      <c r="J10" s="610"/>
      <c r="K10" s="602">
        <v>0</v>
      </c>
      <c r="L10" s="608"/>
      <c r="M10" s="602">
        <v>0</v>
      </c>
      <c r="N10" s="610"/>
      <c r="O10" s="602">
        <v>0</v>
      </c>
      <c r="P10" s="608"/>
      <c r="Q10" s="602">
        <v>0</v>
      </c>
      <c r="R10" s="608"/>
      <c r="S10" s="602">
        <v>1200</v>
      </c>
      <c r="T10" s="608"/>
      <c r="U10" s="602">
        <v>0</v>
      </c>
      <c r="V10" s="608"/>
      <c r="W10" s="602">
        <v>0</v>
      </c>
      <c r="X10" s="164"/>
      <c r="Y10" s="602">
        <v>0</v>
      </c>
      <c r="Z10" s="608"/>
      <c r="AA10" s="370">
        <f t="shared" si="0"/>
        <v>12752</v>
      </c>
      <c r="AB10" s="617"/>
      <c r="AC10" s="368">
        <f>AA10/AA58*100</f>
        <v>0.55551780079075908</v>
      </c>
      <c r="AD10" s="369"/>
    </row>
    <row r="11" spans="2:49" s="1" customFormat="1" ht="25.15" customHeight="1" x14ac:dyDescent="0.2">
      <c r="B11" s="502"/>
      <c r="C11" s="503" t="s">
        <v>26</v>
      </c>
      <c r="D11" s="504"/>
      <c r="F11" s="605"/>
      <c r="G11" s="603"/>
      <c r="H11" s="606"/>
      <c r="I11" s="603"/>
      <c r="J11" s="609"/>
      <c r="K11" s="603"/>
      <c r="L11" s="609"/>
      <c r="M11" s="603"/>
      <c r="N11" s="609"/>
      <c r="O11" s="603"/>
      <c r="P11" s="609"/>
      <c r="Q11" s="603"/>
      <c r="R11" s="609"/>
      <c r="S11" s="603"/>
      <c r="T11" s="609"/>
      <c r="U11" s="603"/>
      <c r="V11" s="609"/>
      <c r="W11" s="603"/>
      <c r="X11" s="291"/>
      <c r="Y11" s="603"/>
      <c r="Z11" s="609"/>
      <c r="AA11" s="367"/>
      <c r="AB11" s="616"/>
      <c r="AC11" s="368"/>
      <c r="AD11" s="369"/>
    </row>
    <row r="12" spans="2:49" s="1" customFormat="1" ht="25.15" customHeight="1" x14ac:dyDescent="0.2">
      <c r="B12" s="502"/>
      <c r="C12" s="428" t="s">
        <v>2</v>
      </c>
      <c r="D12" s="505"/>
      <c r="E12" s="602">
        <v>0</v>
      </c>
      <c r="F12" s="605"/>
      <c r="G12" s="602">
        <v>1</v>
      </c>
      <c r="H12" s="605"/>
      <c r="I12" s="602">
        <v>0</v>
      </c>
      <c r="J12" s="608"/>
      <c r="K12" s="602">
        <v>1</v>
      </c>
      <c r="L12" s="608"/>
      <c r="M12" s="602">
        <v>0</v>
      </c>
      <c r="N12" s="608"/>
      <c r="O12" s="602">
        <v>0</v>
      </c>
      <c r="P12" s="608"/>
      <c r="Q12" s="602">
        <v>0</v>
      </c>
      <c r="R12" s="608"/>
      <c r="S12" s="602">
        <v>1</v>
      </c>
      <c r="T12" s="608"/>
      <c r="U12" s="602">
        <v>0</v>
      </c>
      <c r="V12" s="608"/>
      <c r="W12" s="602">
        <v>0</v>
      </c>
      <c r="X12" s="164"/>
      <c r="Y12" s="602">
        <v>0</v>
      </c>
      <c r="Z12" s="608"/>
      <c r="AA12" s="370">
        <f>SUM(E12:Z12)</f>
        <v>3</v>
      </c>
      <c r="AB12" s="617"/>
      <c r="AC12" s="368">
        <f>AA12/AA56*100</f>
        <v>4.7619047619047619</v>
      </c>
      <c r="AD12" s="369"/>
    </row>
    <row r="13" spans="2:49" s="1" customFormat="1" ht="25.15" customHeight="1" x14ac:dyDescent="0.2">
      <c r="B13" s="502"/>
      <c r="C13" s="428" t="s">
        <v>15</v>
      </c>
      <c r="D13" s="505"/>
      <c r="E13" s="602">
        <v>0</v>
      </c>
      <c r="G13" s="602">
        <v>50</v>
      </c>
      <c r="H13" s="605"/>
      <c r="I13" s="602">
        <v>0</v>
      </c>
      <c r="J13" s="608"/>
      <c r="K13" s="602">
        <v>5000</v>
      </c>
      <c r="L13" s="608"/>
      <c r="M13" s="602">
        <v>0</v>
      </c>
      <c r="N13" s="608"/>
      <c r="O13" s="602">
        <v>0</v>
      </c>
      <c r="P13" s="608"/>
      <c r="Q13" s="602">
        <v>0</v>
      </c>
      <c r="R13" s="608"/>
      <c r="S13" s="602">
        <v>200</v>
      </c>
      <c r="T13" s="608"/>
      <c r="U13" s="602">
        <v>0</v>
      </c>
      <c r="V13" s="608"/>
      <c r="W13" s="602">
        <v>0</v>
      </c>
      <c r="X13" s="164"/>
      <c r="Y13" s="602">
        <v>0</v>
      </c>
      <c r="Z13" s="608"/>
      <c r="AA13" s="370">
        <f t="shared" ref="AA13:AA14" si="1">SUM(E13:Z13)</f>
        <v>5250</v>
      </c>
      <c r="AB13" s="617"/>
      <c r="AC13" s="368">
        <f>AA13/AA57*100</f>
        <v>6.844493116395495</v>
      </c>
      <c r="AD13" s="369"/>
    </row>
    <row r="14" spans="2:49" s="1" customFormat="1" ht="25.15" customHeight="1" x14ac:dyDescent="0.2">
      <c r="B14" s="502"/>
      <c r="C14" s="428" t="s">
        <v>16</v>
      </c>
      <c r="D14" s="505"/>
      <c r="E14" s="602">
        <v>5200</v>
      </c>
      <c r="F14" s="605" t="s">
        <v>62</v>
      </c>
      <c r="G14" s="602">
        <v>6800</v>
      </c>
      <c r="H14" s="624"/>
      <c r="I14" s="602">
        <v>0</v>
      </c>
      <c r="J14" s="610"/>
      <c r="K14" s="602">
        <v>40000</v>
      </c>
      <c r="L14" s="608"/>
      <c r="M14" s="602">
        <v>0</v>
      </c>
      <c r="N14" s="610"/>
      <c r="O14" s="602">
        <v>0</v>
      </c>
      <c r="P14" s="608"/>
      <c r="Q14" s="602">
        <v>0</v>
      </c>
      <c r="R14" s="608"/>
      <c r="S14" s="602">
        <v>3200</v>
      </c>
      <c r="T14" s="608"/>
      <c r="U14" s="602">
        <v>0</v>
      </c>
      <c r="V14" s="608"/>
      <c r="W14" s="602">
        <v>0</v>
      </c>
      <c r="X14" s="164"/>
      <c r="Y14" s="602">
        <v>0</v>
      </c>
      <c r="Z14" s="608"/>
      <c r="AA14" s="370">
        <f t="shared" si="1"/>
        <v>55200</v>
      </c>
      <c r="AB14" s="618"/>
      <c r="AC14" s="368">
        <f>AA14/AA58*100</f>
        <v>2.4046880962711654</v>
      </c>
      <c r="AD14" s="369"/>
    </row>
    <row r="15" spans="2:49" s="1" customFormat="1" ht="25.15" customHeight="1" x14ac:dyDescent="0.2">
      <c r="B15" s="502"/>
      <c r="C15" s="503" t="s">
        <v>27</v>
      </c>
      <c r="D15" s="506"/>
      <c r="F15" s="605"/>
      <c r="G15" s="603"/>
      <c r="H15" s="606"/>
      <c r="I15" s="589"/>
      <c r="J15" s="608"/>
      <c r="K15" s="603"/>
      <c r="L15" s="609"/>
      <c r="M15" s="603"/>
      <c r="N15" s="609"/>
      <c r="O15" s="603"/>
      <c r="P15" s="609"/>
      <c r="Q15" s="603"/>
      <c r="R15" s="609"/>
      <c r="S15" s="603"/>
      <c r="T15" s="609"/>
      <c r="U15" s="603"/>
      <c r="V15" s="609"/>
      <c r="W15" s="603"/>
      <c r="X15" s="291"/>
      <c r="Y15" s="603"/>
      <c r="Z15" s="609"/>
      <c r="AA15" s="367"/>
      <c r="AB15" s="616"/>
      <c r="AC15" s="368"/>
      <c r="AD15" s="369"/>
    </row>
    <row r="16" spans="2:49" s="1" customFormat="1" ht="25.15" customHeight="1" x14ac:dyDescent="0.2">
      <c r="B16" s="502"/>
      <c r="C16" s="428" t="s">
        <v>2</v>
      </c>
      <c r="D16" s="506"/>
      <c r="E16" s="602">
        <v>0</v>
      </c>
      <c r="F16" s="605"/>
      <c r="G16" s="602">
        <v>0</v>
      </c>
      <c r="H16" s="605"/>
      <c r="I16" s="602">
        <v>0</v>
      </c>
      <c r="J16" s="608"/>
      <c r="K16" s="602">
        <v>0</v>
      </c>
      <c r="L16" s="608"/>
      <c r="M16" s="602">
        <v>0</v>
      </c>
      <c r="N16" s="608"/>
      <c r="O16" s="602">
        <v>0</v>
      </c>
      <c r="P16" s="608"/>
      <c r="Q16" s="602">
        <v>0</v>
      </c>
      <c r="R16" s="608"/>
      <c r="S16" s="602">
        <v>3</v>
      </c>
      <c r="T16" s="608"/>
      <c r="U16" s="602">
        <v>0</v>
      </c>
      <c r="V16" s="608"/>
      <c r="W16" s="602">
        <v>0</v>
      </c>
      <c r="X16" s="164"/>
      <c r="Y16" s="602">
        <v>0</v>
      </c>
      <c r="Z16" s="608"/>
      <c r="AA16" s="370">
        <f>SUM(E16:Z16)</f>
        <v>3</v>
      </c>
      <c r="AB16" s="617"/>
      <c r="AC16" s="368">
        <f>AA16/AA56*100</f>
        <v>4.7619047619047619</v>
      </c>
      <c r="AD16" s="369"/>
    </row>
    <row r="17" spans="2:30" s="1" customFormat="1" ht="23.25" x14ac:dyDescent="0.2">
      <c r="B17" s="502"/>
      <c r="C17" s="428" t="s">
        <v>15</v>
      </c>
      <c r="D17" s="506"/>
      <c r="E17" s="602">
        <v>0</v>
      </c>
      <c r="G17" s="602">
        <v>0</v>
      </c>
      <c r="H17" s="605"/>
      <c r="I17" s="602">
        <v>0</v>
      </c>
      <c r="J17" s="608"/>
      <c r="K17" s="602">
        <v>0</v>
      </c>
      <c r="L17" s="608"/>
      <c r="M17" s="602">
        <v>0</v>
      </c>
      <c r="N17" s="608"/>
      <c r="O17" s="602">
        <v>0</v>
      </c>
      <c r="P17" s="608"/>
      <c r="Q17" s="602">
        <v>0</v>
      </c>
      <c r="R17" s="608"/>
      <c r="S17" s="602">
        <v>283</v>
      </c>
      <c r="T17" s="608"/>
      <c r="U17" s="602">
        <v>0</v>
      </c>
      <c r="V17" s="608"/>
      <c r="W17" s="602">
        <v>0</v>
      </c>
      <c r="X17" s="164"/>
      <c r="Y17" s="602">
        <v>0</v>
      </c>
      <c r="Z17" s="608"/>
      <c r="AA17" s="370">
        <f t="shared" ref="AA17:AA18" si="2">SUM(E17:Z17)</f>
        <v>283</v>
      </c>
      <c r="AB17" s="617"/>
      <c r="AC17" s="368">
        <f>AA17/AA57*100</f>
        <v>0.36895077179808095</v>
      </c>
      <c r="AD17" s="369"/>
    </row>
    <row r="18" spans="2:30" s="1" customFormat="1" ht="23.25" x14ac:dyDescent="0.2">
      <c r="B18" s="502"/>
      <c r="C18" s="428" t="s">
        <v>16</v>
      </c>
      <c r="D18" s="506"/>
      <c r="E18" s="602">
        <v>4992</v>
      </c>
      <c r="F18" s="605" t="s">
        <v>62</v>
      </c>
      <c r="G18" s="602">
        <v>8000</v>
      </c>
      <c r="H18" s="625" t="s">
        <v>62</v>
      </c>
      <c r="I18" s="602">
        <v>0</v>
      </c>
      <c r="J18" s="610"/>
      <c r="K18" s="602">
        <v>0</v>
      </c>
      <c r="L18" s="608"/>
      <c r="M18" s="602">
        <v>0</v>
      </c>
      <c r="N18" s="610"/>
      <c r="O18" s="602">
        <v>0</v>
      </c>
      <c r="P18" s="608"/>
      <c r="Q18" s="602">
        <v>0</v>
      </c>
      <c r="R18" s="608"/>
      <c r="S18" s="602">
        <v>2496</v>
      </c>
      <c r="T18" s="608"/>
      <c r="U18" s="602">
        <v>0</v>
      </c>
      <c r="V18" s="608"/>
      <c r="W18" s="602">
        <v>0</v>
      </c>
      <c r="X18" s="164"/>
      <c r="Y18" s="602">
        <v>0</v>
      </c>
      <c r="Z18" s="608"/>
      <c r="AA18" s="370">
        <f t="shared" si="2"/>
        <v>15488</v>
      </c>
      <c r="AB18" s="617"/>
      <c r="AC18" s="368">
        <f>AA18/AA58*100</f>
        <v>0.67470668904072106</v>
      </c>
      <c r="AD18" s="369"/>
    </row>
    <row r="19" spans="2:30" s="1" customFormat="1" ht="23.25" x14ac:dyDescent="0.2">
      <c r="B19" s="502"/>
      <c r="C19" s="503" t="s">
        <v>28</v>
      </c>
      <c r="D19" s="506"/>
      <c r="F19" s="605"/>
      <c r="G19" s="603"/>
      <c r="H19" s="606"/>
      <c r="I19" s="603"/>
      <c r="J19" s="609"/>
      <c r="K19" s="603"/>
      <c r="L19" s="609"/>
      <c r="M19" s="603"/>
      <c r="N19" s="609"/>
      <c r="O19" s="603"/>
      <c r="P19" s="609"/>
      <c r="Q19" s="603"/>
      <c r="R19" s="609"/>
      <c r="S19" s="603"/>
      <c r="T19" s="609"/>
      <c r="U19" s="603"/>
      <c r="V19" s="609"/>
      <c r="W19" s="603"/>
      <c r="X19" s="291"/>
      <c r="Y19" s="603"/>
      <c r="Z19" s="609"/>
      <c r="AA19" s="370"/>
      <c r="AB19" s="617"/>
      <c r="AC19" s="372"/>
      <c r="AD19" s="369"/>
    </row>
    <row r="20" spans="2:30" s="1" customFormat="1" ht="23.25" x14ac:dyDescent="0.2">
      <c r="B20" s="502"/>
      <c r="C20" s="428" t="s">
        <v>2</v>
      </c>
      <c r="D20" s="506"/>
      <c r="E20" s="602">
        <v>0</v>
      </c>
      <c r="F20" s="605"/>
      <c r="G20" s="602">
        <v>1</v>
      </c>
      <c r="H20" s="605"/>
      <c r="I20" s="602">
        <v>1</v>
      </c>
      <c r="J20" s="608"/>
      <c r="K20" s="602">
        <v>0</v>
      </c>
      <c r="L20" s="608"/>
      <c r="M20" s="602">
        <v>0</v>
      </c>
      <c r="N20" s="608"/>
      <c r="O20" s="602">
        <v>0</v>
      </c>
      <c r="P20" s="608"/>
      <c r="Q20" s="602">
        <v>0</v>
      </c>
      <c r="R20" s="608"/>
      <c r="S20" s="602">
        <v>1</v>
      </c>
      <c r="T20" s="608"/>
      <c r="U20" s="602">
        <v>0</v>
      </c>
      <c r="V20" s="608"/>
      <c r="W20" s="602">
        <v>0</v>
      </c>
      <c r="X20" s="164"/>
      <c r="Y20" s="602">
        <v>0</v>
      </c>
      <c r="Z20" s="608"/>
      <c r="AA20" s="370">
        <f>SUM(E20:Z20)</f>
        <v>3</v>
      </c>
      <c r="AB20" s="617"/>
      <c r="AC20" s="368">
        <f>AA20/AA56*100</f>
        <v>4.7619047619047619</v>
      </c>
      <c r="AD20" s="369"/>
    </row>
    <row r="21" spans="2:30" s="1" customFormat="1" ht="23.25" x14ac:dyDescent="0.2">
      <c r="B21" s="502"/>
      <c r="C21" s="428" t="s">
        <v>15</v>
      </c>
      <c r="D21" s="506"/>
      <c r="E21" s="602">
        <v>0</v>
      </c>
      <c r="G21" s="602">
        <v>100</v>
      </c>
      <c r="H21" s="605"/>
      <c r="I21" s="602">
        <v>230</v>
      </c>
      <c r="J21" s="608"/>
      <c r="K21" s="602">
        <v>0</v>
      </c>
      <c r="L21" s="608"/>
      <c r="M21" s="602">
        <v>0</v>
      </c>
      <c r="N21" s="608"/>
      <c r="O21" s="602">
        <v>0</v>
      </c>
      <c r="P21" s="608"/>
      <c r="Q21" s="602">
        <v>0</v>
      </c>
      <c r="R21" s="608"/>
      <c r="S21" s="602">
        <v>200</v>
      </c>
      <c r="T21" s="608"/>
      <c r="U21" s="602">
        <v>0</v>
      </c>
      <c r="V21" s="608"/>
      <c r="W21" s="602">
        <v>0</v>
      </c>
      <c r="X21" s="164"/>
      <c r="Y21" s="602">
        <v>0</v>
      </c>
      <c r="Z21" s="608"/>
      <c r="AA21" s="370">
        <f t="shared" ref="AA21:AA22" si="3">SUM(E21:Z21)</f>
        <v>530</v>
      </c>
      <c r="AB21" s="617"/>
      <c r="AC21" s="368">
        <f>AA21/AA57*100</f>
        <v>0.69096787651230707</v>
      </c>
      <c r="AD21" s="369"/>
    </row>
    <row r="22" spans="2:30" s="1" customFormat="1" ht="23.25" x14ac:dyDescent="0.2">
      <c r="B22" s="502"/>
      <c r="C22" s="428" t="s">
        <v>16</v>
      </c>
      <c r="D22" s="506"/>
      <c r="E22" s="602">
        <v>6656</v>
      </c>
      <c r="F22" s="605" t="s">
        <v>62</v>
      </c>
      <c r="G22" s="602">
        <v>4000</v>
      </c>
      <c r="H22" s="624"/>
      <c r="I22" s="602">
        <v>3680</v>
      </c>
      <c r="J22" s="610"/>
      <c r="K22" s="602">
        <v>0</v>
      </c>
      <c r="L22" s="608"/>
      <c r="M22" s="602">
        <v>0</v>
      </c>
      <c r="N22" s="610"/>
      <c r="O22" s="602">
        <v>0</v>
      </c>
      <c r="P22" s="608"/>
      <c r="Q22" s="602">
        <v>0</v>
      </c>
      <c r="R22" s="608"/>
      <c r="S22" s="602">
        <v>1600</v>
      </c>
      <c r="T22" s="608"/>
      <c r="U22" s="602">
        <v>0</v>
      </c>
      <c r="V22" s="608"/>
      <c r="W22" s="602">
        <v>0</v>
      </c>
      <c r="X22" s="164"/>
      <c r="Y22" s="602">
        <v>0</v>
      </c>
      <c r="Z22" s="608"/>
      <c r="AA22" s="370">
        <f t="shared" si="3"/>
        <v>15936</v>
      </c>
      <c r="AB22" s="617"/>
      <c r="AC22" s="368">
        <f>AA22/AA58*100</f>
        <v>0.69422299822784939</v>
      </c>
      <c r="AD22" s="369"/>
    </row>
    <row r="23" spans="2:30" s="1" customFormat="1" ht="23.25" x14ac:dyDescent="0.2">
      <c r="B23" s="502"/>
      <c r="C23" s="503" t="s">
        <v>29</v>
      </c>
      <c r="D23" s="506"/>
      <c r="F23" s="605"/>
      <c r="G23" s="603"/>
      <c r="H23" s="606"/>
      <c r="I23" s="603"/>
      <c r="J23" s="609"/>
      <c r="K23" s="603"/>
      <c r="L23" s="609"/>
      <c r="M23" s="603"/>
      <c r="N23" s="609"/>
      <c r="O23" s="603"/>
      <c r="P23" s="609"/>
      <c r="Q23" s="603"/>
      <c r="R23" s="609"/>
      <c r="S23" s="603"/>
      <c r="T23" s="609"/>
      <c r="U23" s="603"/>
      <c r="V23" s="609"/>
      <c r="W23" s="603"/>
      <c r="X23" s="291"/>
      <c r="Y23" s="603"/>
      <c r="Z23" s="609"/>
      <c r="AA23" s="370"/>
      <c r="AB23" s="617"/>
      <c r="AC23" s="372"/>
      <c r="AD23" s="369"/>
    </row>
    <row r="24" spans="2:30" s="1" customFormat="1" ht="23.25" x14ac:dyDescent="0.2">
      <c r="B24" s="502"/>
      <c r="C24" s="428" t="s">
        <v>2</v>
      </c>
      <c r="D24" s="505"/>
      <c r="E24" s="602">
        <v>0</v>
      </c>
      <c r="F24" s="605"/>
      <c r="G24" s="602">
        <v>0</v>
      </c>
      <c r="H24" s="605"/>
      <c r="I24" s="602">
        <v>0</v>
      </c>
      <c r="J24" s="608"/>
      <c r="K24" s="602">
        <v>0</v>
      </c>
      <c r="L24" s="608"/>
      <c r="M24" s="602">
        <v>0</v>
      </c>
      <c r="N24" s="608"/>
      <c r="O24" s="602">
        <v>0</v>
      </c>
      <c r="P24" s="608"/>
      <c r="Q24" s="602">
        <v>0</v>
      </c>
      <c r="R24" s="608"/>
      <c r="S24" s="602">
        <v>2</v>
      </c>
      <c r="T24" s="608"/>
      <c r="U24" s="602">
        <v>0</v>
      </c>
      <c r="V24" s="608"/>
      <c r="W24" s="602">
        <v>4</v>
      </c>
      <c r="X24" s="164"/>
      <c r="Y24" s="602">
        <v>0</v>
      </c>
      <c r="Z24" s="608"/>
      <c r="AA24" s="370">
        <f>SUM(E24:Z24)</f>
        <v>6</v>
      </c>
      <c r="AB24" s="617"/>
      <c r="AC24" s="368">
        <f>AA24/AA56*100</f>
        <v>9.5238095238095237</v>
      </c>
      <c r="AD24" s="369"/>
    </row>
    <row r="25" spans="2:30" s="1" customFormat="1" ht="23.25" x14ac:dyDescent="0.2">
      <c r="B25" s="502"/>
      <c r="C25" s="428" t="s">
        <v>15</v>
      </c>
      <c r="D25" s="505"/>
      <c r="E25" s="602">
        <v>0</v>
      </c>
      <c r="G25" s="602">
        <v>0</v>
      </c>
      <c r="H25" s="605"/>
      <c r="I25" s="602">
        <v>0</v>
      </c>
      <c r="J25" s="608"/>
      <c r="K25" s="602">
        <v>0</v>
      </c>
      <c r="L25" s="608"/>
      <c r="M25" s="602">
        <v>0</v>
      </c>
      <c r="N25" s="608"/>
      <c r="O25" s="602">
        <v>0</v>
      </c>
      <c r="P25" s="608"/>
      <c r="Q25" s="602">
        <v>0</v>
      </c>
      <c r="R25" s="608"/>
      <c r="S25" s="602">
        <v>129</v>
      </c>
      <c r="T25" s="608"/>
      <c r="U25" s="602">
        <v>0</v>
      </c>
      <c r="V25" s="608"/>
      <c r="W25" s="602">
        <v>6480</v>
      </c>
      <c r="X25" s="164"/>
      <c r="Y25" s="602">
        <v>0</v>
      </c>
      <c r="Z25" s="608"/>
      <c r="AA25" s="370">
        <f t="shared" ref="AA25:AA26" si="4">SUM(E25:Z25)</f>
        <v>6609</v>
      </c>
      <c r="AB25" s="617"/>
      <c r="AC25" s="368">
        <f>AA25/AA57*100</f>
        <v>8.6162390488110141</v>
      </c>
      <c r="AD25" s="369"/>
    </row>
    <row r="26" spans="2:30" s="1" customFormat="1" ht="23.25" x14ac:dyDescent="0.2">
      <c r="B26" s="502"/>
      <c r="C26" s="428" t="s">
        <v>16</v>
      </c>
      <c r="D26" s="505"/>
      <c r="E26" s="602">
        <v>5888</v>
      </c>
      <c r="F26" s="605" t="s">
        <v>62</v>
      </c>
      <c r="G26" s="602">
        <v>0</v>
      </c>
      <c r="H26" s="624"/>
      <c r="I26" s="602">
        <v>0</v>
      </c>
      <c r="J26" s="610"/>
      <c r="K26" s="602">
        <v>0</v>
      </c>
      <c r="L26" s="608"/>
      <c r="M26" s="602">
        <v>0</v>
      </c>
      <c r="N26" s="610"/>
      <c r="O26" s="602">
        <v>0</v>
      </c>
      <c r="P26" s="608"/>
      <c r="Q26" s="602">
        <v>0</v>
      </c>
      <c r="R26" s="608"/>
      <c r="S26" s="602">
        <v>632</v>
      </c>
      <c r="T26" s="608"/>
      <c r="U26" s="602">
        <v>0</v>
      </c>
      <c r="V26" s="608"/>
      <c r="W26" s="602">
        <v>25920</v>
      </c>
      <c r="X26" s="164"/>
      <c r="Y26" s="602">
        <v>0</v>
      </c>
      <c r="Z26" s="608"/>
      <c r="AA26" s="370">
        <f t="shared" si="4"/>
        <v>32440</v>
      </c>
      <c r="AB26" s="617"/>
      <c r="AC26" s="368">
        <f>AA26/AA58*100</f>
        <v>1.4131898884608081</v>
      </c>
      <c r="AD26" s="369"/>
    </row>
    <row r="27" spans="2:30" s="1" customFormat="1" ht="23.25" x14ac:dyDescent="0.2">
      <c r="B27" s="502"/>
      <c r="C27" s="503" t="s">
        <v>30</v>
      </c>
      <c r="D27" s="506"/>
      <c r="F27" s="605"/>
      <c r="G27" s="603"/>
      <c r="H27" s="606"/>
      <c r="I27" s="603"/>
      <c r="J27" s="609"/>
      <c r="K27" s="603"/>
      <c r="L27" s="609"/>
      <c r="M27" s="603"/>
      <c r="N27" s="609"/>
      <c r="O27" s="603"/>
      <c r="P27" s="609"/>
      <c r="Q27" s="603"/>
      <c r="R27" s="609"/>
      <c r="S27" s="603"/>
      <c r="T27" s="609"/>
      <c r="U27" s="603"/>
      <c r="V27" s="609"/>
      <c r="W27" s="603"/>
      <c r="X27" s="291"/>
      <c r="Y27" s="603"/>
      <c r="Z27" s="609"/>
      <c r="AA27" s="370"/>
      <c r="AB27" s="617"/>
      <c r="AC27" s="372"/>
      <c r="AD27" s="369"/>
    </row>
    <row r="28" spans="2:30" s="1" customFormat="1" ht="23.25" x14ac:dyDescent="0.2">
      <c r="B28" s="502"/>
      <c r="C28" s="428" t="s">
        <v>2</v>
      </c>
      <c r="D28" s="507"/>
      <c r="E28" s="602">
        <v>0</v>
      </c>
      <c r="F28" s="605"/>
      <c r="G28" s="602">
        <v>1</v>
      </c>
      <c r="H28" s="605"/>
      <c r="I28" s="602">
        <v>0</v>
      </c>
      <c r="J28" s="608"/>
      <c r="K28" s="602">
        <v>0</v>
      </c>
      <c r="L28" s="608"/>
      <c r="M28" s="602">
        <v>0</v>
      </c>
      <c r="N28" s="608"/>
      <c r="O28" s="602">
        <v>0</v>
      </c>
      <c r="P28" s="608"/>
      <c r="Q28" s="602">
        <v>0</v>
      </c>
      <c r="R28" s="608"/>
      <c r="S28" s="602">
        <v>1</v>
      </c>
      <c r="T28" s="608"/>
      <c r="U28" s="602">
        <v>0</v>
      </c>
      <c r="V28" s="608"/>
      <c r="W28" s="602">
        <v>0</v>
      </c>
      <c r="X28" s="164"/>
      <c r="Y28" s="602">
        <v>0</v>
      </c>
      <c r="Z28" s="608"/>
      <c r="AA28" s="370">
        <f>SUM(E28:Z28)</f>
        <v>2</v>
      </c>
      <c r="AB28" s="617"/>
      <c r="AC28" s="368">
        <f>AA28/AA56*100</f>
        <v>3.1746031746031744</v>
      </c>
      <c r="AD28" s="369"/>
    </row>
    <row r="29" spans="2:30" s="1" customFormat="1" ht="23.25" x14ac:dyDescent="0.2">
      <c r="B29" s="502"/>
      <c r="C29" s="428" t="s">
        <v>15</v>
      </c>
      <c r="D29" s="507"/>
      <c r="E29" s="602">
        <v>0</v>
      </c>
      <c r="F29" s="605"/>
      <c r="G29" s="602">
        <v>57</v>
      </c>
      <c r="H29" s="605"/>
      <c r="I29" s="602">
        <v>0</v>
      </c>
      <c r="J29" s="608"/>
      <c r="K29" s="602">
        <v>0</v>
      </c>
      <c r="L29" s="608"/>
      <c r="M29" s="602">
        <v>0</v>
      </c>
      <c r="N29" s="608"/>
      <c r="O29" s="602">
        <v>0</v>
      </c>
      <c r="P29" s="608"/>
      <c r="Q29" s="602">
        <v>0</v>
      </c>
      <c r="R29" s="608"/>
      <c r="S29" s="602">
        <v>1517</v>
      </c>
      <c r="T29" s="608"/>
      <c r="U29" s="602">
        <v>0</v>
      </c>
      <c r="V29" s="608"/>
      <c r="W29" s="602">
        <v>0</v>
      </c>
      <c r="X29" s="164"/>
      <c r="Y29" s="602">
        <v>0</v>
      </c>
      <c r="Z29" s="608"/>
      <c r="AA29" s="370">
        <f>SUM(E29:Z29)</f>
        <v>1574</v>
      </c>
      <c r="AB29" s="617"/>
      <c r="AC29" s="368">
        <f>AA29/AA57*100</f>
        <v>2.0520442219440969</v>
      </c>
      <c r="AD29" s="369"/>
    </row>
    <row r="30" spans="2:30" s="1" customFormat="1" ht="23.25" x14ac:dyDescent="0.2">
      <c r="B30" s="502"/>
      <c r="C30" s="428" t="s">
        <v>16</v>
      </c>
      <c r="D30" s="507"/>
      <c r="E30" s="602">
        <v>0</v>
      </c>
      <c r="F30" s="606"/>
      <c r="G30" s="602">
        <v>2736</v>
      </c>
      <c r="H30" s="624"/>
      <c r="I30" s="602">
        <v>0</v>
      </c>
      <c r="J30" s="610"/>
      <c r="K30" s="602">
        <v>0</v>
      </c>
      <c r="L30" s="608"/>
      <c r="M30" s="602">
        <v>0</v>
      </c>
      <c r="N30" s="610"/>
      <c r="O30" s="602">
        <v>0</v>
      </c>
      <c r="P30" s="608"/>
      <c r="Q30" s="602">
        <v>0</v>
      </c>
      <c r="R30" s="608"/>
      <c r="S30" s="602">
        <v>60680</v>
      </c>
      <c r="T30" s="608"/>
      <c r="U30" s="602">
        <v>0</v>
      </c>
      <c r="V30" s="608"/>
      <c r="W30" s="602">
        <v>0</v>
      </c>
      <c r="X30" s="164"/>
      <c r="Y30" s="602">
        <v>0</v>
      </c>
      <c r="Z30" s="608"/>
      <c r="AA30" s="370">
        <f>SUM(E30:Z30)</f>
        <v>63416</v>
      </c>
      <c r="AB30" s="617"/>
      <c r="AC30" s="368">
        <f>AA30/AA58*100</f>
        <v>2.7626032665422504</v>
      </c>
      <c r="AD30" s="369"/>
    </row>
    <row r="31" spans="2:30" s="1" customFormat="1" ht="23.25" x14ac:dyDescent="0.2">
      <c r="B31" s="502"/>
      <c r="C31" s="503" t="s">
        <v>164</v>
      </c>
      <c r="D31" s="506"/>
      <c r="F31" s="605"/>
      <c r="G31" s="603"/>
      <c r="H31" s="606"/>
      <c r="I31" s="603"/>
      <c r="J31" s="609"/>
      <c r="K31" s="603"/>
      <c r="L31" s="609"/>
      <c r="M31" s="603"/>
      <c r="N31" s="609"/>
      <c r="O31" s="603"/>
      <c r="P31" s="609"/>
      <c r="Q31" s="603"/>
      <c r="R31" s="609"/>
      <c r="S31" s="603"/>
      <c r="T31" s="609"/>
      <c r="U31" s="603"/>
      <c r="V31" s="609"/>
      <c r="W31" s="603"/>
      <c r="X31" s="291"/>
      <c r="Y31" s="603"/>
      <c r="Z31" s="609"/>
      <c r="AA31" s="370"/>
      <c r="AB31" s="617"/>
      <c r="AC31" s="368"/>
      <c r="AD31" s="369"/>
    </row>
    <row r="32" spans="2:30" s="1" customFormat="1" ht="23.25" x14ac:dyDescent="0.2">
      <c r="B32" s="502"/>
      <c r="C32" s="428" t="s">
        <v>2</v>
      </c>
      <c r="D32" s="505"/>
      <c r="E32" s="602">
        <v>0</v>
      </c>
      <c r="F32" s="605"/>
      <c r="G32" s="602">
        <v>1</v>
      </c>
      <c r="H32" s="605"/>
      <c r="I32" s="602">
        <v>0</v>
      </c>
      <c r="J32" s="608"/>
      <c r="K32" s="602">
        <v>0</v>
      </c>
      <c r="L32" s="608"/>
      <c r="M32" s="602">
        <v>0</v>
      </c>
      <c r="N32" s="608"/>
      <c r="O32" s="602">
        <v>0</v>
      </c>
      <c r="P32" s="608"/>
      <c r="Q32" s="602">
        <v>0</v>
      </c>
      <c r="R32" s="608"/>
      <c r="S32" s="602">
        <v>4</v>
      </c>
      <c r="T32" s="608"/>
      <c r="U32" s="602">
        <v>0</v>
      </c>
      <c r="V32" s="608"/>
      <c r="W32" s="602">
        <v>0</v>
      </c>
      <c r="X32" s="164"/>
      <c r="Y32" s="602">
        <v>0</v>
      </c>
      <c r="Z32" s="608"/>
      <c r="AA32" s="370">
        <f>SUM(E32:Z32)</f>
        <v>5</v>
      </c>
      <c r="AB32" s="617"/>
      <c r="AC32" s="368">
        <f>AA32/AA56*100</f>
        <v>7.9365079365079358</v>
      </c>
      <c r="AD32" s="369"/>
    </row>
    <row r="33" spans="1:30" s="1" customFormat="1" ht="23.25" x14ac:dyDescent="0.2">
      <c r="B33" s="502"/>
      <c r="C33" s="428" t="s">
        <v>15</v>
      </c>
      <c r="D33" s="505"/>
      <c r="E33" s="602">
        <v>0</v>
      </c>
      <c r="F33" s="605"/>
      <c r="G33" s="602">
        <v>145</v>
      </c>
      <c r="H33" s="605"/>
      <c r="I33" s="602">
        <v>0</v>
      </c>
      <c r="J33" s="608"/>
      <c r="K33" s="602">
        <v>0</v>
      </c>
      <c r="L33" s="608"/>
      <c r="M33" s="602">
        <v>0</v>
      </c>
      <c r="N33" s="608"/>
      <c r="O33" s="602">
        <v>0</v>
      </c>
      <c r="P33" s="608"/>
      <c r="Q33" s="602">
        <v>0</v>
      </c>
      <c r="R33" s="608"/>
      <c r="S33" s="602">
        <v>1155</v>
      </c>
      <c r="T33" s="608"/>
      <c r="U33" s="602">
        <v>0</v>
      </c>
      <c r="V33" s="608"/>
      <c r="W33" s="602">
        <v>0</v>
      </c>
      <c r="X33" s="164"/>
      <c r="Y33" s="602">
        <v>0</v>
      </c>
      <c r="Z33" s="608"/>
      <c r="AA33" s="370">
        <f t="shared" ref="AA33:AA34" si="5">SUM(E33:Z33)</f>
        <v>1300</v>
      </c>
      <c r="AB33" s="617"/>
      <c r="AC33" s="368">
        <f>AA33/AA57*100</f>
        <v>1.6948268669169795</v>
      </c>
      <c r="AD33" s="369"/>
    </row>
    <row r="34" spans="1:30" s="1" customFormat="1" ht="25.15" customHeight="1" x14ac:dyDescent="0.2">
      <c r="B34" s="502"/>
      <c r="C34" s="428" t="s">
        <v>16</v>
      </c>
      <c r="D34" s="505"/>
      <c r="E34" s="602">
        <v>0</v>
      </c>
      <c r="F34" s="607"/>
      <c r="G34" s="602">
        <v>1160</v>
      </c>
      <c r="H34" s="624"/>
      <c r="I34" s="602">
        <v>0</v>
      </c>
      <c r="J34" s="610"/>
      <c r="K34" s="602">
        <v>0</v>
      </c>
      <c r="L34" s="608"/>
      <c r="M34" s="602">
        <v>0</v>
      </c>
      <c r="N34" s="610"/>
      <c r="O34" s="602">
        <v>0</v>
      </c>
      <c r="P34" s="608"/>
      <c r="Q34" s="602">
        <v>0</v>
      </c>
      <c r="R34" s="608"/>
      <c r="S34" s="602">
        <v>54488</v>
      </c>
      <c r="T34" s="608"/>
      <c r="U34" s="602">
        <v>0</v>
      </c>
      <c r="V34" s="608"/>
      <c r="W34" s="602">
        <v>0</v>
      </c>
      <c r="X34" s="164"/>
      <c r="Y34" s="602">
        <v>0</v>
      </c>
      <c r="Z34" s="608"/>
      <c r="AA34" s="370">
        <f t="shared" si="5"/>
        <v>55648</v>
      </c>
      <c r="AB34" s="617"/>
      <c r="AC34" s="368">
        <f>AA34/AA58*100</f>
        <v>2.4242044054582936</v>
      </c>
      <c r="AD34" s="369"/>
    </row>
    <row r="35" spans="1:30" s="1" customFormat="1" ht="23.25" x14ac:dyDescent="0.2">
      <c r="B35" s="502"/>
      <c r="C35" s="503" t="s">
        <v>32</v>
      </c>
      <c r="D35" s="505"/>
      <c r="F35" s="605"/>
      <c r="G35" s="604"/>
      <c r="H35" s="607"/>
      <c r="I35" s="604"/>
      <c r="J35" s="611"/>
      <c r="K35" s="604"/>
      <c r="L35" s="611"/>
      <c r="M35" s="604"/>
      <c r="N35" s="611"/>
      <c r="O35" s="604"/>
      <c r="P35" s="611"/>
      <c r="Q35" s="604"/>
      <c r="R35" s="611"/>
      <c r="S35" s="604"/>
      <c r="T35" s="611"/>
      <c r="U35" s="604"/>
      <c r="V35" s="611"/>
      <c r="W35" s="604"/>
      <c r="X35" s="373"/>
      <c r="Y35" s="604"/>
      <c r="Z35" s="611"/>
      <c r="AA35" s="370"/>
      <c r="AB35" s="617"/>
      <c r="AC35" s="368"/>
      <c r="AD35" s="369"/>
    </row>
    <row r="36" spans="1:30" s="1" customFormat="1" ht="23.25" x14ac:dyDescent="0.2">
      <c r="B36" s="502"/>
      <c r="C36" s="428" t="s">
        <v>2</v>
      </c>
      <c r="D36" s="505"/>
      <c r="E36" s="602">
        <v>0</v>
      </c>
      <c r="F36" s="605"/>
      <c r="G36" s="602">
        <v>0</v>
      </c>
      <c r="H36" s="605"/>
      <c r="I36" s="602">
        <v>0</v>
      </c>
      <c r="J36" s="608"/>
      <c r="K36" s="602">
        <v>0</v>
      </c>
      <c r="L36" s="608"/>
      <c r="M36" s="602">
        <v>0</v>
      </c>
      <c r="N36" s="608"/>
      <c r="O36" s="602">
        <v>0</v>
      </c>
      <c r="P36" s="608"/>
      <c r="Q36" s="602">
        <v>0</v>
      </c>
      <c r="R36" s="608"/>
      <c r="S36" s="602">
        <v>7</v>
      </c>
      <c r="T36" s="608"/>
      <c r="U36" s="602">
        <v>1</v>
      </c>
      <c r="V36" s="608"/>
      <c r="W36" s="602">
        <v>0</v>
      </c>
      <c r="X36" s="164"/>
      <c r="Y36" s="602">
        <v>1</v>
      </c>
      <c r="Z36" s="608"/>
      <c r="AA36" s="370">
        <f>SUM(E36:Z36)</f>
        <v>9</v>
      </c>
      <c r="AB36" s="617"/>
      <c r="AC36" s="368">
        <f>AA36/AA56*100</f>
        <v>14.285714285714285</v>
      </c>
      <c r="AD36" s="369"/>
    </row>
    <row r="37" spans="1:30" s="1" customFormat="1" ht="23.25" x14ac:dyDescent="0.2">
      <c r="B37" s="502"/>
      <c r="C37" s="428" t="s">
        <v>15</v>
      </c>
      <c r="D37" s="505"/>
      <c r="E37" s="602">
        <v>0</v>
      </c>
      <c r="F37" s="605"/>
      <c r="G37" s="602">
        <v>0</v>
      </c>
      <c r="H37" s="605"/>
      <c r="I37" s="602">
        <v>0</v>
      </c>
      <c r="J37" s="608"/>
      <c r="K37" s="602">
        <v>0</v>
      </c>
      <c r="L37" s="608"/>
      <c r="M37" s="602">
        <v>0</v>
      </c>
      <c r="N37" s="608"/>
      <c r="O37" s="602">
        <v>0</v>
      </c>
      <c r="P37" s="608"/>
      <c r="Q37" s="602">
        <v>0</v>
      </c>
      <c r="R37" s="608"/>
      <c r="S37" s="602">
        <v>18246</v>
      </c>
      <c r="T37" s="608"/>
      <c r="U37" s="602">
        <v>16</v>
      </c>
      <c r="V37" s="608"/>
      <c r="W37" s="602">
        <v>0</v>
      </c>
      <c r="X37" s="164"/>
      <c r="Y37" s="602">
        <v>500</v>
      </c>
      <c r="Z37" s="608"/>
      <c r="AA37" s="370">
        <f t="shared" ref="AA37:AA38" si="6">SUM(E37:Z37)</f>
        <v>18762</v>
      </c>
      <c r="AB37" s="617"/>
      <c r="AC37" s="368">
        <f>AA37/AA57*100</f>
        <v>24.460262828535669</v>
      </c>
      <c r="AD37" s="369"/>
    </row>
    <row r="38" spans="1:30" s="1" customFormat="1" ht="25.15" customHeight="1" x14ac:dyDescent="0.2">
      <c r="B38" s="502"/>
      <c r="C38" s="428" t="s">
        <v>16</v>
      </c>
      <c r="D38" s="505"/>
      <c r="E38" s="602">
        <v>0</v>
      </c>
      <c r="F38" s="607"/>
      <c r="G38" s="602">
        <v>0</v>
      </c>
      <c r="H38" s="624"/>
      <c r="I38" s="602">
        <v>0</v>
      </c>
      <c r="J38" s="610"/>
      <c r="K38" s="602">
        <v>0</v>
      </c>
      <c r="L38" s="608"/>
      <c r="M38" s="602">
        <v>0</v>
      </c>
      <c r="N38" s="610"/>
      <c r="O38" s="602">
        <v>0</v>
      </c>
      <c r="P38" s="608"/>
      <c r="Q38" s="602">
        <v>0</v>
      </c>
      <c r="R38" s="608"/>
      <c r="S38" s="602">
        <v>756240</v>
      </c>
      <c r="T38" s="608"/>
      <c r="U38" s="602">
        <v>256</v>
      </c>
      <c r="V38" s="608"/>
      <c r="W38" s="602">
        <v>0</v>
      </c>
      <c r="X38" s="164"/>
      <c r="Y38" s="602">
        <v>4000</v>
      </c>
      <c r="Z38" s="608"/>
      <c r="AA38" s="370">
        <f t="shared" si="6"/>
        <v>760496</v>
      </c>
      <c r="AB38" s="617"/>
      <c r="AC38" s="368">
        <f>AA38/AA58*100</f>
        <v>33.129631856192681</v>
      </c>
      <c r="AD38" s="369"/>
    </row>
    <row r="39" spans="1:30" s="1" customFormat="1" ht="23.25" x14ac:dyDescent="0.2">
      <c r="B39" s="502"/>
      <c r="C39" s="503" t="s">
        <v>33</v>
      </c>
      <c r="D39" s="505"/>
      <c r="F39" s="605"/>
      <c r="G39" s="604"/>
      <c r="H39" s="607"/>
      <c r="I39" s="604"/>
      <c r="J39" s="611"/>
      <c r="K39" s="604"/>
      <c r="L39" s="611"/>
      <c r="M39" s="604"/>
      <c r="N39" s="611"/>
      <c r="O39" s="604"/>
      <c r="P39" s="611"/>
      <c r="Q39" s="604"/>
      <c r="R39" s="611"/>
      <c r="S39" s="604"/>
      <c r="T39" s="611"/>
      <c r="U39" s="604"/>
      <c r="V39" s="611"/>
      <c r="W39" s="604"/>
      <c r="X39" s="373"/>
      <c r="Y39" s="604"/>
      <c r="Z39" s="611"/>
      <c r="AA39" s="370"/>
      <c r="AB39" s="617"/>
      <c r="AC39" s="374"/>
      <c r="AD39" s="369"/>
    </row>
    <row r="40" spans="1:30" s="1" customFormat="1" ht="23.25" x14ac:dyDescent="0.2">
      <c r="B40" s="502"/>
      <c r="C40" s="428" t="s">
        <v>2</v>
      </c>
      <c r="D40" s="505"/>
      <c r="E40" s="602">
        <v>0</v>
      </c>
      <c r="F40" s="605"/>
      <c r="G40" s="602">
        <v>0</v>
      </c>
      <c r="H40" s="605"/>
      <c r="I40" s="602">
        <v>2</v>
      </c>
      <c r="J40" s="608"/>
      <c r="K40" s="602">
        <v>0</v>
      </c>
      <c r="L40" s="608"/>
      <c r="M40" s="602">
        <v>0</v>
      </c>
      <c r="N40" s="608"/>
      <c r="O40" s="602">
        <v>0</v>
      </c>
      <c r="P40" s="608"/>
      <c r="Q40" s="602">
        <v>0</v>
      </c>
      <c r="R40" s="608"/>
      <c r="S40" s="602">
        <v>2</v>
      </c>
      <c r="T40" s="608"/>
      <c r="U40" s="602">
        <v>0</v>
      </c>
      <c r="V40" s="608"/>
      <c r="W40" s="602">
        <v>0</v>
      </c>
      <c r="X40" s="164"/>
      <c r="Y40" s="602">
        <v>0</v>
      </c>
      <c r="Z40" s="608"/>
      <c r="AA40" s="370">
        <f>SUM(E40:Z40)</f>
        <v>4</v>
      </c>
      <c r="AB40" s="617"/>
      <c r="AC40" s="368">
        <f>AA40/AA56*100</f>
        <v>6.3492063492063489</v>
      </c>
      <c r="AD40" s="369"/>
    </row>
    <row r="41" spans="1:30" s="1" customFormat="1" ht="23.25" x14ac:dyDescent="0.2">
      <c r="A41" s="1" t="s">
        <v>233</v>
      </c>
      <c r="B41" s="502"/>
      <c r="C41" s="428" t="s">
        <v>15</v>
      </c>
      <c r="D41" s="505"/>
      <c r="E41" s="602">
        <v>0</v>
      </c>
      <c r="F41" s="605"/>
      <c r="G41" s="602">
        <v>0</v>
      </c>
      <c r="H41" s="605"/>
      <c r="I41" s="602">
        <v>145</v>
      </c>
      <c r="J41" s="608"/>
      <c r="K41" s="602">
        <v>0</v>
      </c>
      <c r="L41" s="608"/>
      <c r="M41" s="602">
        <v>0</v>
      </c>
      <c r="N41" s="608"/>
      <c r="O41" s="602">
        <v>0</v>
      </c>
      <c r="P41" s="608"/>
      <c r="Q41" s="602">
        <v>0</v>
      </c>
      <c r="R41" s="608"/>
      <c r="S41" s="602">
        <v>452</v>
      </c>
      <c r="T41" s="608"/>
      <c r="U41" s="602">
        <v>0</v>
      </c>
      <c r="V41" s="608"/>
      <c r="W41" s="602">
        <v>0</v>
      </c>
      <c r="X41" s="164"/>
      <c r="Y41" s="602">
        <v>0</v>
      </c>
      <c r="Z41" s="608"/>
      <c r="AA41" s="370">
        <f t="shared" ref="AA41:AA42" si="7">SUM(E41:Z41)</f>
        <v>597</v>
      </c>
      <c r="AB41" s="617"/>
      <c r="AC41" s="368">
        <f>AA41/AA57*100</f>
        <v>0.77831664580725901</v>
      </c>
      <c r="AD41" s="369"/>
    </row>
    <row r="42" spans="1:30" s="1" customFormat="1" ht="25.15" customHeight="1" x14ac:dyDescent="0.2">
      <c r="B42" s="502"/>
      <c r="C42" s="428" t="s">
        <v>16</v>
      </c>
      <c r="D42" s="505"/>
      <c r="E42" s="602">
        <v>0</v>
      </c>
      <c r="F42" s="607"/>
      <c r="G42" s="602">
        <v>0</v>
      </c>
      <c r="H42" s="624"/>
      <c r="I42" s="602">
        <v>8128</v>
      </c>
      <c r="J42" s="610"/>
      <c r="K42" s="602">
        <v>0</v>
      </c>
      <c r="L42" s="608"/>
      <c r="M42" s="602">
        <v>0</v>
      </c>
      <c r="N42" s="610"/>
      <c r="O42" s="602">
        <v>0</v>
      </c>
      <c r="P42" s="608"/>
      <c r="Q42" s="602">
        <v>0</v>
      </c>
      <c r="R42" s="608"/>
      <c r="S42" s="602">
        <v>339616</v>
      </c>
      <c r="T42" s="608"/>
      <c r="U42" s="602">
        <v>0</v>
      </c>
      <c r="V42" s="608"/>
      <c r="W42" s="602">
        <v>0</v>
      </c>
      <c r="X42" s="164"/>
      <c r="Y42" s="602">
        <v>0</v>
      </c>
      <c r="Z42" s="608"/>
      <c r="AA42" s="370">
        <f t="shared" si="7"/>
        <v>347744</v>
      </c>
      <c r="AB42" s="617"/>
      <c r="AC42" s="368">
        <f>AA42/AA58*100</f>
        <v>15.148837995465945</v>
      </c>
      <c r="AD42" s="369"/>
    </row>
    <row r="43" spans="1:30" s="1" customFormat="1" ht="23.25" x14ac:dyDescent="0.2">
      <c r="B43" s="502"/>
      <c r="C43" s="503" t="s">
        <v>34</v>
      </c>
      <c r="D43" s="505"/>
      <c r="F43" s="605"/>
      <c r="G43" s="604"/>
      <c r="H43" s="607"/>
      <c r="I43" s="604"/>
      <c r="J43" s="611"/>
      <c r="K43" s="604"/>
      <c r="L43" s="611"/>
      <c r="M43" s="604"/>
      <c r="N43" s="611"/>
      <c r="O43" s="604"/>
      <c r="P43" s="611"/>
      <c r="Q43" s="604"/>
      <c r="R43" s="611"/>
      <c r="S43" s="604"/>
      <c r="T43" s="611"/>
      <c r="U43" s="604"/>
      <c r="V43" s="611"/>
      <c r="W43" s="604"/>
      <c r="X43" s="373"/>
      <c r="Y43" s="604"/>
      <c r="Z43" s="611"/>
      <c r="AA43" s="370"/>
      <c r="AB43" s="617"/>
      <c r="AC43" s="374"/>
      <c r="AD43" s="369"/>
    </row>
    <row r="44" spans="1:30" s="1" customFormat="1" ht="23.25" x14ac:dyDescent="0.2">
      <c r="B44" s="502"/>
      <c r="C44" s="428" t="s">
        <v>2</v>
      </c>
      <c r="D44" s="505"/>
      <c r="E44" s="602">
        <v>0</v>
      </c>
      <c r="F44" s="605"/>
      <c r="G44" s="602">
        <v>0</v>
      </c>
      <c r="H44" s="605"/>
      <c r="I44" s="602">
        <v>1</v>
      </c>
      <c r="J44" s="608"/>
      <c r="K44" s="602">
        <v>0</v>
      </c>
      <c r="L44" s="608"/>
      <c r="M44" s="602">
        <v>0</v>
      </c>
      <c r="N44" s="608"/>
      <c r="O44" s="602">
        <v>0</v>
      </c>
      <c r="P44" s="608"/>
      <c r="Q44" s="602">
        <v>0</v>
      </c>
      <c r="R44" s="608"/>
      <c r="S44" s="602">
        <v>5</v>
      </c>
      <c r="T44" s="608"/>
      <c r="U44" s="602">
        <v>0</v>
      </c>
      <c r="V44" s="608"/>
      <c r="W44" s="602">
        <v>0</v>
      </c>
      <c r="X44" s="164"/>
      <c r="Y44" s="602">
        <v>0</v>
      </c>
      <c r="Z44" s="608"/>
      <c r="AA44" s="370">
        <f>SUM(E44:Z44)</f>
        <v>6</v>
      </c>
      <c r="AB44" s="617"/>
      <c r="AC44" s="368">
        <f>AA44/AA56*100</f>
        <v>9.5238095238095237</v>
      </c>
      <c r="AD44" s="369"/>
    </row>
    <row r="45" spans="1:30" s="1" customFormat="1" ht="23.25" x14ac:dyDescent="0.2">
      <c r="B45" s="502"/>
      <c r="C45" s="428" t="s">
        <v>15</v>
      </c>
      <c r="D45" s="505"/>
      <c r="E45" s="602">
        <v>0</v>
      </c>
      <c r="F45" s="605"/>
      <c r="G45" s="602">
        <v>0</v>
      </c>
      <c r="H45" s="605"/>
      <c r="I45" s="602">
        <v>25</v>
      </c>
      <c r="J45" s="608"/>
      <c r="K45" s="602">
        <v>0</v>
      </c>
      <c r="L45" s="608"/>
      <c r="M45" s="602">
        <v>0</v>
      </c>
      <c r="N45" s="608"/>
      <c r="O45" s="602">
        <v>0</v>
      </c>
      <c r="P45" s="608"/>
      <c r="Q45" s="602">
        <v>0</v>
      </c>
      <c r="R45" s="608"/>
      <c r="S45" s="602">
        <v>10625</v>
      </c>
      <c r="T45" s="608"/>
      <c r="U45" s="602">
        <v>0</v>
      </c>
      <c r="V45" s="608"/>
      <c r="W45" s="602">
        <v>0</v>
      </c>
      <c r="X45" s="164"/>
      <c r="Y45" s="602">
        <v>0</v>
      </c>
      <c r="Z45" s="608"/>
      <c r="AA45" s="370">
        <f t="shared" ref="AA45:AA46" si="8">SUM(E45:Z45)</f>
        <v>10650</v>
      </c>
      <c r="AB45" s="617"/>
      <c r="AC45" s="368">
        <f>AA45/AA57*100</f>
        <v>13.884543178973718</v>
      </c>
      <c r="AD45" s="369"/>
    </row>
    <row r="46" spans="1:30" s="1" customFormat="1" ht="23.25" x14ac:dyDescent="0.2">
      <c r="B46" s="502"/>
      <c r="C46" s="428" t="s">
        <v>16</v>
      </c>
      <c r="D46" s="505"/>
      <c r="E46" s="602">
        <v>0</v>
      </c>
      <c r="F46" s="607"/>
      <c r="G46" s="602">
        <v>0</v>
      </c>
      <c r="H46" s="624"/>
      <c r="I46" s="602">
        <v>19040</v>
      </c>
      <c r="J46" s="610"/>
      <c r="K46" s="602">
        <v>0</v>
      </c>
      <c r="L46" s="608"/>
      <c r="M46" s="602">
        <v>0</v>
      </c>
      <c r="N46" s="610"/>
      <c r="O46" s="602">
        <v>0</v>
      </c>
      <c r="P46" s="608"/>
      <c r="Q46" s="602">
        <v>0</v>
      </c>
      <c r="R46" s="608"/>
      <c r="S46" s="602">
        <v>130000</v>
      </c>
      <c r="T46" s="608"/>
      <c r="U46" s="602">
        <v>0</v>
      </c>
      <c r="V46" s="608"/>
      <c r="W46" s="602">
        <v>0</v>
      </c>
      <c r="X46" s="164"/>
      <c r="Y46" s="602">
        <v>0</v>
      </c>
      <c r="Z46" s="608"/>
      <c r="AA46" s="370">
        <f t="shared" si="8"/>
        <v>149040</v>
      </c>
      <c r="AB46" s="617"/>
      <c r="AC46" s="368">
        <f>AA46/AA58*100</f>
        <v>6.4926578599321463</v>
      </c>
      <c r="AD46" s="369"/>
    </row>
    <row r="47" spans="1:30" s="1" customFormat="1" ht="31.9" customHeight="1" x14ac:dyDescent="0.2">
      <c r="B47" s="502"/>
      <c r="C47" s="503" t="s">
        <v>35</v>
      </c>
      <c r="D47" s="505"/>
      <c r="F47" s="605"/>
      <c r="G47" s="604"/>
      <c r="H47" s="607"/>
      <c r="I47" s="604"/>
      <c r="J47" s="611"/>
      <c r="K47" s="604"/>
      <c r="L47" s="611"/>
      <c r="M47" s="604"/>
      <c r="N47" s="611"/>
      <c r="O47" s="604"/>
      <c r="P47" s="611"/>
      <c r="Q47" s="604"/>
      <c r="R47" s="611"/>
      <c r="S47" s="604"/>
      <c r="T47" s="611"/>
      <c r="U47" s="604"/>
      <c r="V47" s="611"/>
      <c r="W47" s="604"/>
      <c r="X47" s="373"/>
      <c r="Y47" s="604"/>
      <c r="Z47" s="611"/>
      <c r="AA47" s="370"/>
      <c r="AB47" s="617"/>
      <c r="AC47" s="374"/>
      <c r="AD47" s="369"/>
    </row>
    <row r="48" spans="1:30" s="1" customFormat="1" ht="15.6" customHeight="1" x14ac:dyDescent="0.2">
      <c r="B48" s="502"/>
      <c r="C48" s="428" t="s">
        <v>2</v>
      </c>
      <c r="D48" s="505"/>
      <c r="E48" s="602">
        <v>0</v>
      </c>
      <c r="F48" s="605"/>
      <c r="G48" s="602">
        <v>0</v>
      </c>
      <c r="H48" s="605"/>
      <c r="I48" s="602">
        <v>1</v>
      </c>
      <c r="J48" s="608"/>
      <c r="K48" s="602">
        <v>0</v>
      </c>
      <c r="L48" s="608"/>
      <c r="M48" s="602">
        <v>2</v>
      </c>
      <c r="N48" s="608"/>
      <c r="O48" s="602">
        <v>1</v>
      </c>
      <c r="P48" s="608"/>
      <c r="Q48" s="602">
        <v>3</v>
      </c>
      <c r="R48" s="608"/>
      <c r="S48" s="602">
        <v>4</v>
      </c>
      <c r="T48" s="608"/>
      <c r="U48" s="602">
        <v>0</v>
      </c>
      <c r="V48" s="608"/>
      <c r="W48" s="602">
        <v>4</v>
      </c>
      <c r="X48" s="164"/>
      <c r="Y48" s="602">
        <v>0</v>
      </c>
      <c r="Z48" s="608"/>
      <c r="AA48" s="370">
        <f>SUM(E48:Z48)</f>
        <v>15</v>
      </c>
      <c r="AB48" s="617"/>
      <c r="AC48" s="368">
        <f>AA48/AA56*100</f>
        <v>23.809523809523807</v>
      </c>
      <c r="AD48" s="369"/>
    </row>
    <row r="49" spans="2:38" s="1" customFormat="1" ht="23.25" x14ac:dyDescent="0.2">
      <c r="B49" s="502"/>
      <c r="C49" s="428" t="s">
        <v>15</v>
      </c>
      <c r="D49" s="505"/>
      <c r="E49" s="602">
        <v>0</v>
      </c>
      <c r="F49" s="605"/>
      <c r="G49" s="602">
        <v>0</v>
      </c>
      <c r="H49" s="605"/>
      <c r="I49" s="602">
        <v>25</v>
      </c>
      <c r="J49" s="608"/>
      <c r="K49" s="602">
        <v>0</v>
      </c>
      <c r="L49" s="608"/>
      <c r="M49" s="602">
        <v>421</v>
      </c>
      <c r="N49" s="608"/>
      <c r="O49" s="602">
        <v>390</v>
      </c>
      <c r="P49" s="608"/>
      <c r="Q49" s="602">
        <v>2720</v>
      </c>
      <c r="R49" s="608"/>
      <c r="S49" s="602">
        <v>14200</v>
      </c>
      <c r="T49" s="608"/>
      <c r="U49" s="602">
        <v>0</v>
      </c>
      <c r="V49" s="608"/>
      <c r="W49" s="602">
        <v>12694</v>
      </c>
      <c r="X49" s="164"/>
      <c r="Y49" s="602">
        <v>0</v>
      </c>
      <c r="Z49" s="608"/>
      <c r="AA49" s="370">
        <f t="shared" ref="AA49:AA50" si="9">SUM(E49:Z49)</f>
        <v>30450</v>
      </c>
      <c r="AB49" s="617"/>
      <c r="AC49" s="368">
        <f>AA49/AA57*100</f>
        <v>39.698060075093863</v>
      </c>
      <c r="AD49" s="369"/>
    </row>
    <row r="50" spans="2:38" s="1" customFormat="1" ht="25.15" customHeight="1" x14ac:dyDescent="0.2">
      <c r="B50" s="502"/>
      <c r="C50" s="428" t="s">
        <v>16</v>
      </c>
      <c r="D50" s="505"/>
      <c r="E50" s="602">
        <v>0</v>
      </c>
      <c r="F50" s="607"/>
      <c r="G50" s="602">
        <v>0</v>
      </c>
      <c r="H50" s="624"/>
      <c r="I50" s="602">
        <v>22000</v>
      </c>
      <c r="J50" s="610"/>
      <c r="K50" s="602">
        <v>0</v>
      </c>
      <c r="L50" s="608"/>
      <c r="M50" s="602">
        <v>4912</v>
      </c>
      <c r="N50" s="610"/>
      <c r="O50" s="602">
        <v>6240</v>
      </c>
      <c r="P50" s="608"/>
      <c r="Q50" s="602">
        <v>21760</v>
      </c>
      <c r="R50" s="608"/>
      <c r="S50" s="602">
        <v>340800</v>
      </c>
      <c r="T50" s="608"/>
      <c r="U50" s="602">
        <v>0</v>
      </c>
      <c r="V50" s="608"/>
      <c r="W50" s="602">
        <v>76164</v>
      </c>
      <c r="X50" s="164"/>
      <c r="Y50" s="602">
        <v>0</v>
      </c>
      <c r="Z50" s="608"/>
      <c r="AA50" s="370">
        <f t="shared" si="9"/>
        <v>471876</v>
      </c>
      <c r="AB50" s="617"/>
      <c r="AC50" s="368">
        <f>AA50/AA58*100</f>
        <v>20.556423915145874</v>
      </c>
      <c r="AD50" s="369"/>
    </row>
    <row r="51" spans="2:38" s="1" customFormat="1" ht="25.15" customHeight="1" x14ac:dyDescent="0.2">
      <c r="B51" s="502"/>
      <c r="C51" s="503" t="s">
        <v>146</v>
      </c>
      <c r="D51" s="505"/>
      <c r="E51" s="602"/>
      <c r="F51" s="605"/>
      <c r="G51" s="604"/>
      <c r="H51" s="607"/>
      <c r="I51" s="604"/>
      <c r="J51" s="611"/>
      <c r="K51" s="604"/>
      <c r="L51" s="611"/>
      <c r="M51" s="604"/>
      <c r="N51" s="611"/>
      <c r="O51" s="604"/>
      <c r="P51" s="611"/>
      <c r="Q51" s="604"/>
      <c r="R51" s="611"/>
      <c r="S51" s="604"/>
      <c r="T51" s="611"/>
      <c r="U51" s="604"/>
      <c r="V51" s="611"/>
      <c r="W51" s="604"/>
      <c r="X51" s="373"/>
      <c r="Y51" s="604"/>
      <c r="Z51" s="611"/>
      <c r="AA51" s="370"/>
      <c r="AB51" s="617"/>
      <c r="AC51" s="374"/>
      <c r="AD51" s="369"/>
    </row>
    <row r="52" spans="2:38" s="1" customFormat="1" ht="23.25" x14ac:dyDescent="0.2">
      <c r="B52" s="502"/>
      <c r="C52" s="428" t="s">
        <v>2</v>
      </c>
      <c r="D52" s="505"/>
      <c r="E52" s="602">
        <v>0</v>
      </c>
      <c r="F52" s="605"/>
      <c r="G52" s="602">
        <v>2</v>
      </c>
      <c r="H52" s="605"/>
      <c r="I52" s="602">
        <v>1</v>
      </c>
      <c r="J52" s="608"/>
      <c r="K52" s="602">
        <v>0</v>
      </c>
      <c r="L52" s="608"/>
      <c r="M52" s="602">
        <v>0</v>
      </c>
      <c r="N52" s="608"/>
      <c r="O52" s="602">
        <v>0</v>
      </c>
      <c r="P52" s="608"/>
      <c r="Q52" s="602">
        <v>0</v>
      </c>
      <c r="R52" s="608"/>
      <c r="S52" s="602">
        <v>2</v>
      </c>
      <c r="T52" s="608"/>
      <c r="U52" s="602">
        <v>0</v>
      </c>
      <c r="V52" s="608"/>
      <c r="W52" s="602">
        <v>0</v>
      </c>
      <c r="X52" s="164"/>
      <c r="Y52" s="602">
        <v>0</v>
      </c>
      <c r="Z52" s="608"/>
      <c r="AA52" s="370">
        <f>SUM(E52:Z52)</f>
        <v>5</v>
      </c>
      <c r="AB52" s="617"/>
      <c r="AC52" s="368">
        <f>AA52/AA56*100</f>
        <v>7.9365079365079358</v>
      </c>
      <c r="AD52" s="369"/>
    </row>
    <row r="53" spans="2:38" s="1" customFormat="1" ht="23.25" x14ac:dyDescent="0.2">
      <c r="B53" s="502"/>
      <c r="C53" s="428" t="s">
        <v>15</v>
      </c>
      <c r="D53" s="505"/>
      <c r="E53" s="602">
        <v>0</v>
      </c>
      <c r="F53" s="605"/>
      <c r="G53" s="602">
        <v>210</v>
      </c>
      <c r="H53" s="605"/>
      <c r="I53" s="602">
        <v>62</v>
      </c>
      <c r="J53" s="608"/>
      <c r="K53" s="602">
        <v>0</v>
      </c>
      <c r="L53" s="608"/>
      <c r="M53" s="602">
        <v>0</v>
      </c>
      <c r="N53" s="608"/>
      <c r="O53" s="602">
        <v>0</v>
      </c>
      <c r="P53" s="608"/>
      <c r="Q53" s="602">
        <v>0</v>
      </c>
      <c r="R53" s="608"/>
      <c r="S53" s="602">
        <v>146</v>
      </c>
      <c r="T53" s="608"/>
      <c r="U53" s="602">
        <v>0</v>
      </c>
      <c r="V53" s="608"/>
      <c r="W53" s="602">
        <v>0</v>
      </c>
      <c r="X53" s="164"/>
      <c r="Y53" s="602">
        <v>0</v>
      </c>
      <c r="Z53" s="608"/>
      <c r="AA53" s="370">
        <f t="shared" ref="AA53:AA54" si="10">SUM(E53:Z53)</f>
        <v>418</v>
      </c>
      <c r="AB53" s="617"/>
      <c r="AC53" s="368">
        <f>AA53/AA57*100</f>
        <v>0.54495202336253645</v>
      </c>
      <c r="AD53" s="369"/>
    </row>
    <row r="54" spans="2:38" s="1" customFormat="1" ht="23.25" x14ac:dyDescent="0.2">
      <c r="B54" s="502"/>
      <c r="C54" s="428" t="s">
        <v>16</v>
      </c>
      <c r="D54" s="505"/>
      <c r="E54" s="602">
        <v>0</v>
      </c>
      <c r="F54" s="608"/>
      <c r="G54" s="602">
        <v>27824</v>
      </c>
      <c r="H54" s="624"/>
      <c r="I54" s="602">
        <v>27632</v>
      </c>
      <c r="J54" s="610"/>
      <c r="K54" s="602">
        <v>0</v>
      </c>
      <c r="L54" s="608"/>
      <c r="M54" s="602">
        <v>0</v>
      </c>
      <c r="N54" s="610"/>
      <c r="O54" s="602">
        <v>0</v>
      </c>
      <c r="P54" s="608"/>
      <c r="Q54" s="602">
        <v>0</v>
      </c>
      <c r="R54" s="608"/>
      <c r="S54" s="602">
        <v>260024</v>
      </c>
      <c r="T54" s="608"/>
      <c r="U54" s="602">
        <v>0</v>
      </c>
      <c r="V54" s="608"/>
      <c r="W54" s="602">
        <v>0</v>
      </c>
      <c r="X54" s="164"/>
      <c r="Y54" s="602">
        <v>0</v>
      </c>
      <c r="Z54" s="608"/>
      <c r="AA54" s="370">
        <f t="shared" si="10"/>
        <v>315480</v>
      </c>
      <c r="AB54" s="617"/>
      <c r="AC54" s="368">
        <f>AA54/AA58*100</f>
        <v>13.743315228471506</v>
      </c>
      <c r="AD54" s="369"/>
    </row>
    <row r="55" spans="2:38" s="1" customFormat="1" ht="25.15" customHeight="1" x14ac:dyDescent="0.2">
      <c r="B55" s="508"/>
      <c r="C55" s="509" t="s">
        <v>6</v>
      </c>
      <c r="D55" s="510"/>
      <c r="E55" s="511"/>
      <c r="F55" s="511"/>
      <c r="G55" s="511"/>
      <c r="H55" s="612"/>
      <c r="I55" s="511"/>
      <c r="J55" s="612"/>
      <c r="K55" s="511"/>
      <c r="L55" s="612"/>
      <c r="M55" s="511"/>
      <c r="N55" s="612"/>
      <c r="O55" s="511"/>
      <c r="P55" s="612"/>
      <c r="Q55" s="511"/>
      <c r="R55" s="612"/>
      <c r="S55" s="511"/>
      <c r="T55" s="612"/>
      <c r="U55" s="511"/>
      <c r="V55" s="612"/>
      <c r="W55" s="511"/>
      <c r="X55" s="511"/>
      <c r="Y55" s="511"/>
      <c r="Z55" s="612"/>
      <c r="AA55" s="512"/>
      <c r="AB55" s="619"/>
      <c r="AC55" s="513"/>
      <c r="AD55" s="437"/>
    </row>
    <row r="56" spans="2:38" s="1" customFormat="1" ht="25.15" customHeight="1" x14ac:dyDescent="0.2">
      <c r="B56" s="508"/>
      <c r="C56" s="514" t="s">
        <v>2</v>
      </c>
      <c r="D56" s="515"/>
      <c r="E56" s="516">
        <f>SUM(E8+E12+E16+E20+E24+E28+E32+E36+E40+E44+E48+E52)</f>
        <v>0</v>
      </c>
      <c r="F56" s="516"/>
      <c r="G56" s="516">
        <f>SUM(G8+G12+G16+G20+G24+G28+G32+G36+G40+G44+G48+G52)</f>
        <v>7</v>
      </c>
      <c r="H56" s="613"/>
      <c r="I56" s="516">
        <f>SUM(I8+I12+I16+I20+I24+I28+I32+I36+I40+I44+I48+I52)</f>
        <v>6</v>
      </c>
      <c r="J56" s="613"/>
      <c r="K56" s="516">
        <f>SUM(K8+K12+K16+K20+K24+K28+K32+K36+K40+K44+K48+K52)</f>
        <v>1</v>
      </c>
      <c r="L56" s="613"/>
      <c r="M56" s="516">
        <f>SUM(M8+M12+M16+M20+M24+M28+M32+M36+M40+M44+M48+M52)</f>
        <v>2</v>
      </c>
      <c r="N56" s="613"/>
      <c r="O56" s="516">
        <f>SUM(O8+O12+O16+O20+O24+O28+O32+O36+O40+O44+O48+O52)</f>
        <v>1</v>
      </c>
      <c r="P56" s="613"/>
      <c r="Q56" s="516">
        <f>SUM(Q8+Q12+Q16+Q20+Q24+Q28+Q32+Q36+Q40+Q44+Q48+Q52)</f>
        <v>3</v>
      </c>
      <c r="R56" s="613"/>
      <c r="S56" s="516">
        <f>SUM(S8+S12+S16+S20+S24+S28+S32+S36+S40+S44+S48+S52)</f>
        <v>33</v>
      </c>
      <c r="T56" s="613"/>
      <c r="U56" s="516">
        <f>SUM(U8+U12+U16+U20+U24+U28+U32+U36+U40+U44+U48+U52)</f>
        <v>1</v>
      </c>
      <c r="V56" s="613"/>
      <c r="W56" s="516">
        <f>SUM(W8+W12+W16+W20+W24+W28+W32+W36+W40+W44+W48+W52)</f>
        <v>8</v>
      </c>
      <c r="X56" s="516"/>
      <c r="Y56" s="516">
        <f>SUM(Y8+Y12+Y16+Y20+Y24+Y28+Y32+Y36+Y40+Y44+Y48+Y52)</f>
        <v>1</v>
      </c>
      <c r="Z56" s="613"/>
      <c r="AA56" s="516">
        <f>SUM(AA8+AA12+AA16+AA20+AA24+AA28+AA32+AA36+AA40+AA44+AA48+AA52)</f>
        <v>63</v>
      </c>
      <c r="AB56" s="620"/>
      <c r="AC56" s="517">
        <f>SUM(AC8+AC12+AC16+AC20+AC24+AC28+AC32+AC36+AC40+AC44+AC48+AC52)</f>
        <v>100</v>
      </c>
      <c r="AD56" s="437"/>
    </row>
    <row r="57" spans="2:38" s="1" customFormat="1" ht="25.15" customHeight="1" x14ac:dyDescent="0.2">
      <c r="B57" s="508"/>
      <c r="C57" s="514" t="s">
        <v>15</v>
      </c>
      <c r="D57" s="515"/>
      <c r="E57" s="516">
        <f t="shared" ref="E57" si="11">SUM(E9+E13+E17+E21+E25+E29+E33+E37+E41+E45+E49+E53)</f>
        <v>0</v>
      </c>
      <c r="F57" s="516"/>
      <c r="G57" s="516">
        <f t="shared" ref="G57:I58" si="12">SUM(G9+G13+G17+G21+G25+G29+G33+G37+G41+G45+G49+G53)</f>
        <v>818</v>
      </c>
      <c r="H57" s="613"/>
      <c r="I57" s="516">
        <f t="shared" si="12"/>
        <v>487</v>
      </c>
      <c r="J57" s="613"/>
      <c r="K57" s="516">
        <f t="shared" ref="K57:K58" si="13">SUM(K9+K13+K17+K21+K25+K29+K33+K37+K41+K45+K49+K53)</f>
        <v>5000</v>
      </c>
      <c r="L57" s="613"/>
      <c r="M57" s="516">
        <f t="shared" ref="M57:M58" si="14">SUM(M9+M13+M17+M21+M25+M29+M33+M37+M41+M45+M49+M53)</f>
        <v>421</v>
      </c>
      <c r="N57" s="613"/>
      <c r="O57" s="516">
        <f t="shared" ref="O57:O58" si="15">SUM(O9+O13+O17+O21+O25+O29+O33+O37+O41+O45+O49+O53)</f>
        <v>390</v>
      </c>
      <c r="P57" s="613"/>
      <c r="Q57" s="516">
        <f t="shared" ref="Q57:Q58" si="16">SUM(Q9+Q13+Q17+Q21+Q25+Q29+Q33+Q37+Q41+Q45+Q49+Q53)</f>
        <v>2720</v>
      </c>
      <c r="R57" s="613"/>
      <c r="S57" s="516">
        <f t="shared" ref="S57:S58" si="17">SUM(S9+S13+S17+S21+S25+S29+S33+S37+S41+S45+S49+S53)</f>
        <v>47178</v>
      </c>
      <c r="T57" s="613"/>
      <c r="U57" s="516">
        <f t="shared" ref="U57:U58" si="18">SUM(U9+U13+U17+U21+U25+U29+U33+U37+U41+U45+U49+U53)</f>
        <v>16</v>
      </c>
      <c r="V57" s="613"/>
      <c r="W57" s="516">
        <f t="shared" ref="W57:Y58" si="19">SUM(W9+W13+W17+W21+W25+W29+W33+W37+W41+W45+W49+W53)</f>
        <v>19174</v>
      </c>
      <c r="X57" s="516"/>
      <c r="Y57" s="516">
        <f t="shared" si="19"/>
        <v>500</v>
      </c>
      <c r="Z57" s="613"/>
      <c r="AA57" s="516">
        <f t="shared" ref="AA57" si="20">SUM(AA9+AA13+AA17+AA21+AA25+AA29+AA33+AA37+AA41+AA45+AA49+AA53)</f>
        <v>76704</v>
      </c>
      <c r="AB57" s="620"/>
      <c r="AC57" s="517">
        <f>SUM(AC9+AC13+AC17+AC21+AC25+AC29+AC33+AC37+AC41+AC45+AC49+AC53)</f>
        <v>100</v>
      </c>
      <c r="AD57" s="437"/>
    </row>
    <row r="58" spans="2:38" s="1" customFormat="1" ht="24.6" customHeight="1" x14ac:dyDescent="0.2">
      <c r="B58" s="508"/>
      <c r="C58" s="514" t="s">
        <v>16</v>
      </c>
      <c r="D58" s="518"/>
      <c r="E58" s="516">
        <f t="shared" ref="E58" si="21">SUM(E10+E14+E18+E22+E26+E30+E34+E38+E42+E46+E50+E54)</f>
        <v>28144</v>
      </c>
      <c r="F58" s="516"/>
      <c r="G58" s="516">
        <f t="shared" si="12"/>
        <v>56664</v>
      </c>
      <c r="H58" s="613"/>
      <c r="I58" s="516">
        <f t="shared" si="12"/>
        <v>80480</v>
      </c>
      <c r="J58" s="613"/>
      <c r="K58" s="516">
        <f t="shared" si="13"/>
        <v>40000</v>
      </c>
      <c r="L58" s="613"/>
      <c r="M58" s="516">
        <f t="shared" si="14"/>
        <v>4912</v>
      </c>
      <c r="N58" s="613"/>
      <c r="O58" s="516">
        <f t="shared" si="15"/>
        <v>6240</v>
      </c>
      <c r="P58" s="613"/>
      <c r="Q58" s="516">
        <f t="shared" si="16"/>
        <v>21760</v>
      </c>
      <c r="R58" s="613"/>
      <c r="S58" s="516">
        <f t="shared" si="17"/>
        <v>1950976</v>
      </c>
      <c r="T58" s="613"/>
      <c r="U58" s="516">
        <f t="shared" si="18"/>
        <v>256</v>
      </c>
      <c r="V58" s="613"/>
      <c r="W58" s="516">
        <f t="shared" si="19"/>
        <v>102084</v>
      </c>
      <c r="X58" s="516"/>
      <c r="Y58" s="516">
        <f t="shared" si="19"/>
        <v>4000</v>
      </c>
      <c r="Z58" s="613"/>
      <c r="AA58" s="516">
        <f t="shared" ref="AA58" si="22">SUM(AA10+AA14+AA18+AA22+AA26+AA30+AA34+AA38+AA42+AA46+AA50+AA54)</f>
        <v>2295516</v>
      </c>
      <c r="AB58" s="620"/>
      <c r="AC58" s="517">
        <f>SUM(AC10+AC14+AC18+AC22+AC26+AC30+AC34+AC38+AC42+AC46+AC50+AC54)</f>
        <v>100</v>
      </c>
      <c r="AD58" s="437"/>
    </row>
    <row r="59" spans="2:38" s="1" customFormat="1" ht="29.25" customHeight="1" x14ac:dyDescent="0.2">
      <c r="B59" s="66" t="s">
        <v>245</v>
      </c>
      <c r="H59" s="210"/>
      <c r="J59" s="210"/>
      <c r="L59" s="210"/>
      <c r="N59" s="210"/>
      <c r="P59" s="210"/>
      <c r="R59" s="210"/>
      <c r="T59" s="210"/>
      <c r="V59" s="210"/>
      <c r="Z59" s="210"/>
      <c r="AB59" s="621"/>
      <c r="AG59" s="14"/>
      <c r="AH59" s="10"/>
      <c r="AI59" s="14"/>
      <c r="AJ59" s="15"/>
      <c r="AK59" s="14"/>
      <c r="AL59" s="15"/>
    </row>
    <row r="60" spans="2:38" s="1" customFormat="1" ht="29.25" customHeight="1" x14ac:dyDescent="0.35">
      <c r="B60" s="73" t="s">
        <v>300</v>
      </c>
      <c r="C60" s="151"/>
      <c r="D60" s="151"/>
      <c r="E60" s="151"/>
      <c r="F60" s="151"/>
      <c r="G60" s="151"/>
      <c r="H60" s="614"/>
      <c r="I60" s="152"/>
      <c r="J60" s="614"/>
      <c r="K60" s="152"/>
      <c r="L60" s="210"/>
      <c r="N60" s="210"/>
      <c r="P60" s="210"/>
      <c r="R60" s="210"/>
      <c r="T60" s="210"/>
      <c r="V60" s="210"/>
      <c r="Z60" s="210"/>
      <c r="AB60" s="621"/>
      <c r="AH60" s="19"/>
      <c r="AI60" s="20"/>
      <c r="AJ60" s="19"/>
      <c r="AK60" s="20"/>
      <c r="AL60" s="21"/>
    </row>
    <row r="61" spans="2:38" s="1" customFormat="1" ht="29.25" customHeight="1" x14ac:dyDescent="0.2">
      <c r="B61" s="29" t="s">
        <v>281</v>
      </c>
      <c r="D61" s="23"/>
      <c r="E61" s="23"/>
      <c r="F61" s="23"/>
      <c r="G61" s="23"/>
      <c r="H61" s="615"/>
      <c r="I61" s="27"/>
      <c r="J61" s="165"/>
      <c r="L61" s="210"/>
      <c r="N61" s="210"/>
      <c r="P61" s="210"/>
      <c r="R61" s="210"/>
      <c r="T61" s="210"/>
      <c r="V61" s="210"/>
      <c r="Z61" s="210"/>
      <c r="AB61" s="621"/>
    </row>
    <row r="62" spans="2:38" s="26" customFormat="1" ht="25.15" customHeight="1" x14ac:dyDescent="0.2">
      <c r="B62" s="212" t="s">
        <v>290</v>
      </c>
      <c r="H62" s="615"/>
      <c r="J62" s="615"/>
      <c r="L62" s="615"/>
      <c r="N62" s="615"/>
      <c r="P62" s="615"/>
      <c r="R62" s="615"/>
      <c r="T62" s="615"/>
      <c r="V62" s="615"/>
      <c r="Z62" s="615"/>
      <c r="AB62" s="622"/>
    </row>
    <row r="64" spans="2:38" ht="7.9" customHeight="1" x14ac:dyDescent="0.35"/>
  </sheetData>
  <mergeCells count="20">
    <mergeCell ref="Q6:R6"/>
    <mergeCell ref="S6:T6"/>
    <mergeCell ref="U6:V6"/>
    <mergeCell ref="G6:H6"/>
    <mergeCell ref="B1:AD1"/>
    <mergeCell ref="B3:AD3"/>
    <mergeCell ref="B4:AD4"/>
    <mergeCell ref="AC6:AD6"/>
    <mergeCell ref="E5:Z5"/>
    <mergeCell ref="AA5:AD5"/>
    <mergeCell ref="AA6:AB6"/>
    <mergeCell ref="I6:J6"/>
    <mergeCell ref="M6:N6"/>
    <mergeCell ref="O6:P6"/>
    <mergeCell ref="B2:AB2"/>
    <mergeCell ref="B5:D6"/>
    <mergeCell ref="K6:L6"/>
    <mergeCell ref="W6:X6"/>
    <mergeCell ref="Y6:Z6"/>
    <mergeCell ref="E6:F6"/>
  </mergeCells>
  <phoneticPr fontId="2" type="noConversion"/>
  <printOptions horizontalCentered="1" verticalCentered="1"/>
  <pageMargins left="0" right="0" top="0" bottom="0" header="0" footer="0"/>
  <pageSetup paperSize="9" scale="28" orientation="landscape" r:id="rId1"/>
  <headerFooter alignWithMargins="0"/>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AV271"/>
  <sheetViews>
    <sheetView showGridLines="0" view="pageBreakPreview" zoomScale="48" zoomScaleNormal="58" zoomScaleSheetLayoutView="48" workbookViewId="0">
      <selection activeCell="B3" sqref="B3:AD3"/>
    </sheetView>
  </sheetViews>
  <sheetFormatPr baseColWidth="10" defaultColWidth="11.42578125" defaultRowHeight="25.5" x14ac:dyDescent="0.2"/>
  <cols>
    <col min="1" max="1" width="6.28515625" style="1" customWidth="1"/>
    <col min="2" max="2" width="2.7109375" style="1" customWidth="1"/>
    <col min="3" max="3" width="58.5703125" style="241" customWidth="1"/>
    <col min="4" max="4" width="6.7109375" style="1" customWidth="1"/>
    <col min="5" max="5" width="32.140625" style="243" customWidth="1"/>
    <col min="6" max="6" width="5.5703125" style="243" customWidth="1"/>
    <col min="7" max="7" width="25.28515625" style="243" customWidth="1"/>
    <col min="8" max="8" width="5.5703125" style="243" customWidth="1"/>
    <col min="9" max="9" width="30.5703125" style="243" customWidth="1"/>
    <col min="10" max="10" width="2.5703125" style="243" customWidth="1"/>
    <col min="11" max="11" width="26.85546875" style="243" customWidth="1"/>
    <col min="12" max="12" width="2.7109375" style="243" customWidth="1"/>
    <col min="13" max="13" width="27" style="243" customWidth="1"/>
    <col min="14" max="14" width="2.7109375" style="243" customWidth="1"/>
    <col min="15" max="15" width="25.5703125" style="243" customWidth="1"/>
    <col min="16" max="16" width="2.7109375" style="243" customWidth="1"/>
    <col min="17" max="17" width="24.7109375" style="243" customWidth="1"/>
    <col min="18" max="18" width="4.7109375" style="243" customWidth="1"/>
    <col min="19" max="19" width="29.5703125" style="243" customWidth="1"/>
    <col min="20" max="20" width="4.7109375" style="243" customWidth="1"/>
    <col min="21" max="21" width="18.7109375" style="243" customWidth="1"/>
    <col min="22" max="22" width="4.7109375" style="243" customWidth="1"/>
    <col min="23" max="23" width="18.85546875" style="243" customWidth="1"/>
    <col min="24" max="24" width="4.7109375" style="243" customWidth="1"/>
    <col min="25" max="25" width="28.5703125" style="243" customWidth="1"/>
    <col min="26" max="26" width="4.28515625" style="243" customWidth="1"/>
    <col min="27" max="27" width="26" style="1" customWidth="1"/>
    <col min="28" max="28" width="2.5703125" style="1" customWidth="1"/>
    <col min="29" max="29" width="20.5703125" style="1" customWidth="1"/>
    <col min="30" max="30" width="2.5703125" style="1" customWidth="1"/>
    <col min="31" max="31" width="15.5703125" style="1" customWidth="1"/>
    <col min="32" max="32" width="23.85546875" style="211" customWidth="1"/>
    <col min="33" max="33" width="18" style="1" customWidth="1"/>
    <col min="34" max="16384" width="11.42578125" style="1"/>
  </cols>
  <sheetData>
    <row r="1" spans="2:32" s="3" customFormat="1" ht="45" customHeight="1" x14ac:dyDescent="0.2">
      <c r="B1" s="930" t="s">
        <v>49</v>
      </c>
      <c r="C1" s="930"/>
      <c r="D1" s="930"/>
      <c r="E1" s="930"/>
      <c r="F1" s="930"/>
      <c r="G1" s="930"/>
      <c r="H1" s="930"/>
      <c r="I1" s="930"/>
      <c r="J1" s="930"/>
      <c r="K1" s="930"/>
      <c r="L1" s="930"/>
      <c r="M1" s="930"/>
      <c r="N1" s="930"/>
      <c r="O1" s="930"/>
      <c r="P1" s="930"/>
      <c r="Q1" s="930"/>
      <c r="R1" s="930"/>
      <c r="S1" s="930"/>
      <c r="T1" s="930"/>
      <c r="U1" s="930"/>
      <c r="V1" s="930"/>
      <c r="W1" s="930"/>
      <c r="X1" s="930"/>
      <c r="Y1" s="930"/>
      <c r="Z1" s="930"/>
      <c r="AA1" s="930"/>
      <c r="AB1" s="930"/>
      <c r="AC1" s="930"/>
      <c r="AD1" s="930"/>
      <c r="AF1" s="211"/>
    </row>
    <row r="2" spans="2:32" s="237" customFormat="1" ht="65.099999999999994" customHeight="1" x14ac:dyDescent="0.2">
      <c r="B2" s="673" t="s">
        <v>145</v>
      </c>
      <c r="C2" s="674"/>
      <c r="D2" s="673"/>
      <c r="E2" s="675"/>
      <c r="F2" s="675"/>
      <c r="G2" s="675"/>
      <c r="H2" s="675"/>
      <c r="I2" s="675"/>
      <c r="J2" s="675"/>
      <c r="K2" s="676"/>
      <c r="L2" s="676"/>
      <c r="M2" s="676"/>
      <c r="N2" s="676"/>
      <c r="O2" s="676"/>
      <c r="P2" s="676"/>
      <c r="Q2" s="676"/>
      <c r="R2" s="676"/>
      <c r="S2" s="676"/>
      <c r="T2" s="676"/>
      <c r="U2" s="676"/>
      <c r="V2" s="676"/>
      <c r="W2" s="676"/>
      <c r="X2" s="676"/>
      <c r="Y2" s="676"/>
      <c r="Z2" s="676"/>
      <c r="AA2" s="677"/>
      <c r="AB2" s="677"/>
      <c r="AC2" s="677"/>
      <c r="AD2" s="677"/>
      <c r="AF2" s="211"/>
    </row>
    <row r="3" spans="2:32" s="237" customFormat="1" ht="81.599999999999994" customHeight="1" x14ac:dyDescent="0.2">
      <c r="B3" s="936" t="s">
        <v>355</v>
      </c>
      <c r="C3" s="936"/>
      <c r="D3" s="936"/>
      <c r="E3" s="936"/>
      <c r="F3" s="936"/>
      <c r="G3" s="936"/>
      <c r="H3" s="936"/>
      <c r="I3" s="936"/>
      <c r="J3" s="936"/>
      <c r="K3" s="936"/>
      <c r="L3" s="936"/>
      <c r="M3" s="936"/>
      <c r="N3" s="936"/>
      <c r="O3" s="936"/>
      <c r="P3" s="936"/>
      <c r="Q3" s="936"/>
      <c r="R3" s="936"/>
      <c r="S3" s="936"/>
      <c r="T3" s="936"/>
      <c r="U3" s="936"/>
      <c r="V3" s="936"/>
      <c r="W3" s="936"/>
      <c r="X3" s="936"/>
      <c r="Y3" s="936"/>
      <c r="Z3" s="936"/>
      <c r="AA3" s="936"/>
      <c r="AB3" s="936"/>
      <c r="AC3" s="936"/>
      <c r="AD3" s="936"/>
      <c r="AF3" s="211"/>
    </row>
    <row r="4" spans="2:32" s="237" customFormat="1" ht="65.099999999999994" customHeight="1" x14ac:dyDescent="0.2">
      <c r="B4" s="936">
        <v>2024</v>
      </c>
      <c r="C4" s="936"/>
      <c r="D4" s="936"/>
      <c r="E4" s="936"/>
      <c r="F4" s="936"/>
      <c r="G4" s="936"/>
      <c r="H4" s="936"/>
      <c r="I4" s="936"/>
      <c r="J4" s="936"/>
      <c r="K4" s="936"/>
      <c r="L4" s="936"/>
      <c r="M4" s="936"/>
      <c r="N4" s="936"/>
      <c r="O4" s="936"/>
      <c r="P4" s="936"/>
      <c r="Q4" s="936"/>
      <c r="R4" s="936"/>
      <c r="S4" s="936"/>
      <c r="T4" s="936"/>
      <c r="U4" s="936"/>
      <c r="V4" s="936"/>
      <c r="W4" s="936"/>
      <c r="X4" s="936"/>
      <c r="Y4" s="936"/>
      <c r="Z4" s="936"/>
      <c r="AA4" s="936"/>
      <c r="AB4" s="936"/>
      <c r="AC4" s="936"/>
      <c r="AD4" s="936"/>
      <c r="AF4" s="211"/>
    </row>
    <row r="5" spans="2:32" s="3" customFormat="1" ht="64.900000000000006" customHeight="1" x14ac:dyDescent="0.2">
      <c r="B5" s="931" t="s">
        <v>271</v>
      </c>
      <c r="C5" s="931"/>
      <c r="D5" s="931"/>
      <c r="E5" s="932" t="s">
        <v>201</v>
      </c>
      <c r="F5" s="933"/>
      <c r="G5" s="933"/>
      <c r="H5" s="933"/>
      <c r="I5" s="933"/>
      <c r="J5" s="933"/>
      <c r="K5" s="933"/>
      <c r="L5" s="933"/>
      <c r="M5" s="933"/>
      <c r="N5" s="933"/>
      <c r="O5" s="933"/>
      <c r="P5" s="933"/>
      <c r="Q5" s="933"/>
      <c r="R5" s="933"/>
      <c r="S5" s="933"/>
      <c r="T5" s="933"/>
      <c r="U5" s="933"/>
      <c r="V5" s="933"/>
      <c r="W5" s="933"/>
      <c r="X5" s="933"/>
      <c r="Y5" s="933"/>
      <c r="Z5" s="934"/>
      <c r="AA5" s="937" t="s">
        <v>86</v>
      </c>
      <c r="AB5" s="938"/>
      <c r="AC5" s="938"/>
      <c r="AD5" s="938"/>
      <c r="AF5" s="211"/>
    </row>
    <row r="6" spans="2:32" s="96" customFormat="1" ht="158.25" customHeight="1" x14ac:dyDescent="0.2">
      <c r="B6" s="931"/>
      <c r="C6" s="931"/>
      <c r="D6" s="931"/>
      <c r="E6" s="942" t="s">
        <v>260</v>
      </c>
      <c r="F6" s="940"/>
      <c r="G6" s="940" t="s">
        <v>196</v>
      </c>
      <c r="H6" s="941"/>
      <c r="I6" s="941" t="s">
        <v>272</v>
      </c>
      <c r="J6" s="941"/>
      <c r="K6" s="941" t="s">
        <v>89</v>
      </c>
      <c r="L6" s="941"/>
      <c r="M6" s="941" t="s">
        <v>109</v>
      </c>
      <c r="N6" s="941"/>
      <c r="O6" s="941" t="s">
        <v>304</v>
      </c>
      <c r="P6" s="941"/>
      <c r="Q6" s="941" t="s">
        <v>340</v>
      </c>
      <c r="R6" s="941"/>
      <c r="S6" s="941" t="s">
        <v>197</v>
      </c>
      <c r="T6" s="941"/>
      <c r="U6" s="941" t="s">
        <v>19</v>
      </c>
      <c r="V6" s="941"/>
      <c r="W6" s="939" t="s">
        <v>46</v>
      </c>
      <c r="X6" s="940"/>
      <c r="Y6" s="939" t="s">
        <v>341</v>
      </c>
      <c r="Z6" s="940"/>
      <c r="AA6" s="935" t="s">
        <v>63</v>
      </c>
      <c r="AB6" s="935"/>
      <c r="AC6" s="935" t="s">
        <v>5</v>
      </c>
      <c r="AD6" s="935"/>
      <c r="AF6" s="211"/>
    </row>
    <row r="7" spans="2:32" s="96" customFormat="1" ht="13.5" customHeight="1" x14ac:dyDescent="0.2">
      <c r="B7" s="519"/>
      <c r="C7" s="943"/>
      <c r="D7" s="943"/>
      <c r="E7" s="290"/>
      <c r="F7" s="290"/>
      <c r="G7" s="290"/>
      <c r="H7" s="290"/>
      <c r="I7" s="290"/>
      <c r="J7" s="251"/>
      <c r="K7" s="251"/>
      <c r="L7" s="251"/>
      <c r="M7" s="251"/>
      <c r="N7" s="251"/>
      <c r="O7" s="373"/>
      <c r="P7" s="251"/>
      <c r="Q7" s="290"/>
      <c r="R7" s="290"/>
      <c r="S7" s="290"/>
      <c r="T7" s="290"/>
      <c r="U7" s="290"/>
      <c r="V7" s="290"/>
      <c r="W7" s="290"/>
      <c r="X7" s="290"/>
      <c r="Y7" s="251"/>
      <c r="Z7" s="251"/>
      <c r="AA7" s="630"/>
      <c r="AB7" s="630"/>
      <c r="AC7" s="368"/>
      <c r="AD7" s="67"/>
      <c r="AF7" s="211"/>
    </row>
    <row r="8" spans="2:32" s="3" customFormat="1" ht="35.1" customHeight="1" x14ac:dyDescent="0.2">
      <c r="B8" s="519"/>
      <c r="C8" s="944" t="s">
        <v>256</v>
      </c>
      <c r="D8" s="944"/>
      <c r="E8" s="631"/>
      <c r="F8" s="631"/>
      <c r="G8" s="631"/>
      <c r="H8" s="631"/>
      <c r="I8" s="631"/>
      <c r="J8" s="631"/>
      <c r="K8" s="631"/>
      <c r="L8" s="631"/>
      <c r="M8" s="239"/>
      <c r="N8" s="631"/>
      <c r="O8" s="240"/>
      <c r="P8" s="632"/>
      <c r="Q8" s="632"/>
      <c r="R8" s="632"/>
      <c r="S8" s="632"/>
      <c r="T8" s="632"/>
      <c r="U8" s="632"/>
      <c r="V8" s="632"/>
      <c r="W8" s="240"/>
      <c r="X8" s="631"/>
      <c r="Y8" s="240"/>
      <c r="Z8" s="631"/>
      <c r="AA8" s="633"/>
      <c r="AB8" s="633"/>
      <c r="AC8" s="220"/>
    </row>
    <row r="9" spans="2:32" s="3" customFormat="1" ht="35.1" customHeight="1" x14ac:dyDescent="0.2">
      <c r="B9" s="519"/>
      <c r="C9" s="943" t="s">
        <v>323</v>
      </c>
      <c r="D9" s="943"/>
      <c r="E9" s="634"/>
      <c r="F9" s="634"/>
      <c r="G9" s="634"/>
      <c r="H9" s="634"/>
      <c r="I9" s="634"/>
      <c r="J9" s="634"/>
      <c r="K9" s="634"/>
      <c r="L9" s="634"/>
      <c r="M9" s="626"/>
      <c r="N9" s="634"/>
      <c r="O9" s="627"/>
      <c r="P9" s="635"/>
      <c r="Q9" s="635"/>
      <c r="R9" s="635"/>
      <c r="S9" s="635"/>
      <c r="T9" s="635"/>
      <c r="U9" s="635"/>
      <c r="V9" s="635"/>
      <c r="W9" s="627"/>
      <c r="X9" s="634"/>
      <c r="Y9" s="627"/>
      <c r="Z9" s="634"/>
      <c r="AA9" s="636"/>
      <c r="AB9" s="636"/>
      <c r="AC9" s="637"/>
      <c r="AD9" s="628"/>
      <c r="AE9" s="628"/>
    </row>
    <row r="10" spans="2:32" s="3" customFormat="1" ht="35.1" customHeight="1" x14ac:dyDescent="0.2">
      <c r="B10" s="519"/>
      <c r="C10" s="520" t="s">
        <v>342</v>
      </c>
      <c r="D10" s="521"/>
      <c r="E10" s="627">
        <v>0</v>
      </c>
      <c r="F10" s="627"/>
      <c r="G10" s="627">
        <v>0</v>
      </c>
      <c r="H10" s="627"/>
      <c r="I10" s="627">
        <v>0</v>
      </c>
      <c r="J10" s="627"/>
      <c r="K10" s="627">
        <v>0</v>
      </c>
      <c r="L10" s="627"/>
      <c r="M10" s="627">
        <v>0</v>
      </c>
      <c r="N10" s="627"/>
      <c r="O10" s="627">
        <v>0</v>
      </c>
      <c r="P10" s="627"/>
      <c r="Q10" s="627">
        <v>0</v>
      </c>
      <c r="R10" s="627"/>
      <c r="S10" s="627">
        <v>1</v>
      </c>
      <c r="T10" s="627"/>
      <c r="U10" s="627">
        <v>0</v>
      </c>
      <c r="V10" s="627"/>
      <c r="W10" s="627">
        <v>0</v>
      </c>
      <c r="X10" s="627"/>
      <c r="Y10" s="627">
        <v>0</v>
      </c>
      <c r="Z10" s="627"/>
      <c r="AA10" s="638">
        <f>SUM(E10:Z10)</f>
        <v>1</v>
      </c>
      <c r="AB10" s="638"/>
      <c r="AC10" s="639">
        <f>AA10/AA80*100</f>
        <v>1.5873015873015872</v>
      </c>
      <c r="AD10" s="628"/>
      <c r="AE10" s="628"/>
    </row>
    <row r="11" spans="2:32" s="3" customFormat="1" ht="35.1" customHeight="1" x14ac:dyDescent="0.2">
      <c r="B11" s="519"/>
      <c r="C11" s="520" t="s">
        <v>15</v>
      </c>
      <c r="D11" s="521"/>
      <c r="E11" s="627">
        <v>0</v>
      </c>
      <c r="F11" s="627"/>
      <c r="G11" s="627">
        <v>0</v>
      </c>
      <c r="H11" s="627"/>
      <c r="I11" s="627">
        <v>0</v>
      </c>
      <c r="J11" s="627"/>
      <c r="K11" s="627">
        <v>0</v>
      </c>
      <c r="L11" s="627"/>
      <c r="M11" s="627">
        <v>0</v>
      </c>
      <c r="N11" s="627"/>
      <c r="O11" s="627">
        <v>0</v>
      </c>
      <c r="P11" s="627"/>
      <c r="Q11" s="627">
        <v>0</v>
      </c>
      <c r="R11" s="627"/>
      <c r="S11" s="627">
        <v>110</v>
      </c>
      <c r="T11" s="627"/>
      <c r="U11" s="627">
        <v>0</v>
      </c>
      <c r="V11" s="627"/>
      <c r="W11" s="627">
        <v>0</v>
      </c>
      <c r="X11" s="627"/>
      <c r="Y11" s="627">
        <v>0</v>
      </c>
      <c r="Z11" s="627"/>
      <c r="AA11" s="638">
        <f>SUM(E11:Z11)</f>
        <v>110</v>
      </c>
      <c r="AB11" s="638"/>
      <c r="AC11" s="639">
        <f t="shared" ref="AC11:AC12" si="0">AA11/AA81*100</f>
        <v>0.14340842720066749</v>
      </c>
      <c r="AD11" s="628"/>
      <c r="AE11" s="628"/>
    </row>
    <row r="12" spans="2:32" s="3" customFormat="1" ht="35.1" customHeight="1" x14ac:dyDescent="0.2">
      <c r="B12" s="519"/>
      <c r="C12" s="520" t="s">
        <v>16</v>
      </c>
      <c r="D12" s="521"/>
      <c r="E12" s="627">
        <v>0</v>
      </c>
      <c r="F12" s="627"/>
      <c r="G12" s="627">
        <v>0</v>
      </c>
      <c r="H12" s="627"/>
      <c r="I12" s="627">
        <v>0</v>
      </c>
      <c r="J12" s="627"/>
      <c r="K12" s="627">
        <v>0</v>
      </c>
      <c r="L12" s="627"/>
      <c r="M12" s="627">
        <v>0</v>
      </c>
      <c r="N12" s="627"/>
      <c r="O12" s="627">
        <v>0</v>
      </c>
      <c r="P12" s="627"/>
      <c r="Q12" s="627">
        <v>0</v>
      </c>
      <c r="R12" s="627"/>
      <c r="S12" s="627">
        <v>880</v>
      </c>
      <c r="T12" s="627"/>
      <c r="U12" s="627">
        <v>0</v>
      </c>
      <c r="V12" s="627"/>
      <c r="W12" s="627">
        <v>0</v>
      </c>
      <c r="X12" s="627"/>
      <c r="Y12" s="627">
        <v>0</v>
      </c>
      <c r="Z12" s="627"/>
      <c r="AA12" s="638">
        <f>SUM(E12:Z12)</f>
        <v>880</v>
      </c>
      <c r="AB12" s="638"/>
      <c r="AC12" s="639">
        <f t="shared" si="0"/>
        <v>3.8335607331859152E-2</v>
      </c>
      <c r="AD12" s="628"/>
      <c r="AE12" s="628"/>
    </row>
    <row r="13" spans="2:32" s="3" customFormat="1" ht="35.1" customHeight="1" x14ac:dyDescent="0.2">
      <c r="B13" s="519"/>
      <c r="C13" s="943" t="s">
        <v>273</v>
      </c>
      <c r="D13" s="943"/>
      <c r="E13" s="634"/>
      <c r="F13" s="634"/>
      <c r="G13" s="634"/>
      <c r="H13" s="634"/>
      <c r="I13" s="634"/>
      <c r="J13" s="634"/>
      <c r="K13" s="634"/>
      <c r="L13" s="634"/>
      <c r="M13" s="626"/>
      <c r="N13" s="634"/>
      <c r="O13" s="627"/>
      <c r="P13" s="635"/>
      <c r="Q13" s="635"/>
      <c r="R13" s="635"/>
      <c r="S13" s="635"/>
      <c r="T13" s="635"/>
      <c r="U13" s="635"/>
      <c r="V13" s="635"/>
      <c r="W13" s="627"/>
      <c r="X13" s="634"/>
      <c r="Y13" s="627"/>
      <c r="Z13" s="634"/>
      <c r="AA13" s="636"/>
      <c r="AB13" s="636"/>
      <c r="AC13" s="639"/>
      <c r="AD13" s="628"/>
      <c r="AE13" s="628"/>
    </row>
    <row r="14" spans="2:32" s="3" customFormat="1" ht="35.1" customHeight="1" x14ac:dyDescent="0.2">
      <c r="B14" s="519"/>
      <c r="C14" s="520" t="s">
        <v>342</v>
      </c>
      <c r="D14" s="521"/>
      <c r="E14" s="627">
        <v>0</v>
      </c>
      <c r="F14" s="627"/>
      <c r="G14" s="627">
        <v>0</v>
      </c>
      <c r="H14" s="627"/>
      <c r="I14" s="627">
        <v>0</v>
      </c>
      <c r="J14" s="627"/>
      <c r="K14" s="627">
        <v>0</v>
      </c>
      <c r="L14" s="627"/>
      <c r="M14" s="627">
        <v>0</v>
      </c>
      <c r="N14" s="627"/>
      <c r="O14" s="627">
        <v>0</v>
      </c>
      <c r="P14" s="627"/>
      <c r="Q14" s="627">
        <v>0</v>
      </c>
      <c r="R14" s="627"/>
      <c r="S14" s="627">
        <v>0</v>
      </c>
      <c r="T14" s="627"/>
      <c r="U14" s="627">
        <v>1</v>
      </c>
      <c r="V14" s="627"/>
      <c r="W14" s="627">
        <v>0</v>
      </c>
      <c r="X14" s="627"/>
      <c r="Y14" s="627">
        <v>0</v>
      </c>
      <c r="Z14" s="627"/>
      <c r="AA14" s="638">
        <f>SUM(E14:Z14)</f>
        <v>1</v>
      </c>
      <c r="AB14" s="638"/>
      <c r="AC14" s="639">
        <f>AA14/AA80*100</f>
        <v>1.5873015873015872</v>
      </c>
      <c r="AD14" s="628"/>
      <c r="AE14" s="628"/>
    </row>
    <row r="15" spans="2:32" s="3" customFormat="1" ht="35.1" customHeight="1" x14ac:dyDescent="0.2">
      <c r="B15" s="519"/>
      <c r="C15" s="520" t="s">
        <v>15</v>
      </c>
      <c r="D15" s="521"/>
      <c r="E15" s="627">
        <v>0</v>
      </c>
      <c r="F15" s="627"/>
      <c r="G15" s="627">
        <v>0</v>
      </c>
      <c r="H15" s="627"/>
      <c r="I15" s="627">
        <v>0</v>
      </c>
      <c r="J15" s="627"/>
      <c r="K15" s="627">
        <v>0</v>
      </c>
      <c r="L15" s="627"/>
      <c r="M15" s="627">
        <v>0</v>
      </c>
      <c r="N15" s="627"/>
      <c r="O15" s="627">
        <v>0</v>
      </c>
      <c r="P15" s="627"/>
      <c r="Q15" s="627">
        <v>0</v>
      </c>
      <c r="R15" s="627"/>
      <c r="S15" s="627">
        <v>0</v>
      </c>
      <c r="T15" s="627"/>
      <c r="U15" s="627">
        <v>16</v>
      </c>
      <c r="V15" s="627"/>
      <c r="W15" s="627">
        <v>0</v>
      </c>
      <c r="X15" s="627"/>
      <c r="Y15" s="627">
        <v>0</v>
      </c>
      <c r="Z15" s="627"/>
      <c r="AA15" s="638">
        <f>SUM(E15:Z15)</f>
        <v>16</v>
      </c>
      <c r="AB15" s="638"/>
      <c r="AC15" s="639">
        <f t="shared" ref="AC15:AC16" si="1">AA15/AA81*100</f>
        <v>2.0859407592824362E-2</v>
      </c>
      <c r="AD15" s="628"/>
      <c r="AE15" s="628"/>
    </row>
    <row r="16" spans="2:32" s="3" customFormat="1" ht="35.1" customHeight="1" x14ac:dyDescent="0.2">
      <c r="B16" s="519"/>
      <c r="C16" s="520" t="s">
        <v>16</v>
      </c>
      <c r="D16" s="521"/>
      <c r="E16" s="627">
        <v>0</v>
      </c>
      <c r="F16" s="627"/>
      <c r="G16" s="627">
        <v>0</v>
      </c>
      <c r="H16" s="627"/>
      <c r="I16" s="627">
        <v>0</v>
      </c>
      <c r="J16" s="627"/>
      <c r="K16" s="627">
        <v>0</v>
      </c>
      <c r="L16" s="627"/>
      <c r="M16" s="627">
        <v>0</v>
      </c>
      <c r="N16" s="627"/>
      <c r="O16" s="627">
        <v>0</v>
      </c>
      <c r="P16" s="627"/>
      <c r="Q16" s="627">
        <v>0</v>
      </c>
      <c r="R16" s="627"/>
      <c r="S16" s="627">
        <v>0</v>
      </c>
      <c r="T16" s="627"/>
      <c r="U16" s="627">
        <v>256</v>
      </c>
      <c r="V16" s="627"/>
      <c r="W16" s="627">
        <v>0</v>
      </c>
      <c r="X16" s="627"/>
      <c r="Y16" s="627">
        <v>0</v>
      </c>
      <c r="Z16" s="627"/>
      <c r="AA16" s="638">
        <f>SUM(E16:Z16)</f>
        <v>256</v>
      </c>
      <c r="AB16" s="638"/>
      <c r="AC16" s="639">
        <f t="shared" si="1"/>
        <v>1.1152176678359027E-2</v>
      </c>
      <c r="AD16" s="628"/>
      <c r="AE16" s="628"/>
    </row>
    <row r="17" spans="2:31" s="3" customFormat="1" ht="35.1" customHeight="1" x14ac:dyDescent="0.2">
      <c r="B17" s="519"/>
      <c r="C17" s="944" t="s">
        <v>274</v>
      </c>
      <c r="D17" s="944"/>
      <c r="E17" s="634"/>
      <c r="F17" s="634"/>
      <c r="G17" s="634"/>
      <c r="H17" s="634"/>
      <c r="I17" s="634"/>
      <c r="J17" s="634"/>
      <c r="K17" s="634"/>
      <c r="L17" s="634"/>
      <c r="M17" s="626"/>
      <c r="N17" s="634"/>
      <c r="O17" s="627"/>
      <c r="P17" s="635"/>
      <c r="Q17" s="634"/>
      <c r="R17" s="635"/>
      <c r="S17" s="634"/>
      <c r="T17" s="635"/>
      <c r="U17" s="634"/>
      <c r="V17" s="635"/>
      <c r="W17" s="634"/>
      <c r="X17" s="634"/>
      <c r="Y17" s="634"/>
      <c r="Z17" s="634"/>
      <c r="AA17" s="638"/>
      <c r="AB17" s="638"/>
      <c r="AC17" s="640"/>
      <c r="AD17" s="628"/>
      <c r="AE17" s="628"/>
    </row>
    <row r="18" spans="2:31" s="3" customFormat="1" ht="35.1" customHeight="1" x14ac:dyDescent="0.2">
      <c r="B18" s="519"/>
      <c r="C18" s="943" t="s">
        <v>275</v>
      </c>
      <c r="D18" s="943"/>
      <c r="E18" s="635"/>
      <c r="F18" s="635"/>
      <c r="G18" s="635"/>
      <c r="H18" s="635"/>
      <c r="I18" s="635"/>
      <c r="J18" s="634"/>
      <c r="K18" s="634"/>
      <c r="L18" s="634"/>
      <c r="M18" s="641"/>
      <c r="N18" s="634"/>
      <c r="O18" s="635"/>
      <c r="P18" s="635"/>
      <c r="Q18" s="634"/>
      <c r="R18" s="635"/>
      <c r="S18" s="634"/>
      <c r="T18" s="635"/>
      <c r="U18" s="634"/>
      <c r="V18" s="635"/>
      <c r="W18" s="634"/>
      <c r="X18" s="634"/>
      <c r="Y18" s="634"/>
      <c r="Z18" s="634"/>
      <c r="AA18" s="638"/>
      <c r="AB18" s="638"/>
      <c r="AC18" s="640"/>
      <c r="AD18" s="628"/>
      <c r="AE18" s="628"/>
    </row>
    <row r="19" spans="2:31" s="3" customFormat="1" ht="35.1" customHeight="1" x14ac:dyDescent="0.2">
      <c r="B19" s="519"/>
      <c r="C19" s="520" t="s">
        <v>342</v>
      </c>
      <c r="D19" s="521"/>
      <c r="E19" s="627">
        <v>0</v>
      </c>
      <c r="F19" s="627"/>
      <c r="G19" s="627">
        <v>0</v>
      </c>
      <c r="H19" s="627"/>
      <c r="I19" s="627">
        <v>0</v>
      </c>
      <c r="J19" s="627"/>
      <c r="K19" s="627">
        <v>0</v>
      </c>
      <c r="L19" s="627"/>
      <c r="M19" s="627">
        <v>0</v>
      </c>
      <c r="N19" s="627"/>
      <c r="O19" s="627">
        <v>0</v>
      </c>
      <c r="P19" s="627"/>
      <c r="Q19" s="627">
        <v>0</v>
      </c>
      <c r="R19" s="627"/>
      <c r="S19" s="627">
        <v>1</v>
      </c>
      <c r="T19" s="627"/>
      <c r="U19" s="627">
        <v>0</v>
      </c>
      <c r="V19" s="627"/>
      <c r="W19" s="627">
        <v>0</v>
      </c>
      <c r="X19" s="627"/>
      <c r="Y19" s="627">
        <v>0</v>
      </c>
      <c r="Z19" s="627"/>
      <c r="AA19" s="638">
        <f>SUM(E19:Z19)</f>
        <v>1</v>
      </c>
      <c r="AB19" s="638"/>
      <c r="AC19" s="639">
        <f>AA19/AA80*100</f>
        <v>1.5873015873015872</v>
      </c>
      <c r="AD19" s="628"/>
      <c r="AE19" s="628"/>
    </row>
    <row r="20" spans="2:31" s="3" customFormat="1" ht="35.1" customHeight="1" x14ac:dyDescent="0.2">
      <c r="B20" s="519"/>
      <c r="C20" s="520" t="s">
        <v>15</v>
      </c>
      <c r="D20" s="521"/>
      <c r="E20" s="627">
        <v>0</v>
      </c>
      <c r="F20" s="627"/>
      <c r="G20" s="627">
        <v>0</v>
      </c>
      <c r="H20" s="627"/>
      <c r="I20" s="627">
        <v>0</v>
      </c>
      <c r="J20" s="627"/>
      <c r="K20" s="627">
        <v>0</v>
      </c>
      <c r="L20" s="627"/>
      <c r="M20" s="627">
        <v>0</v>
      </c>
      <c r="N20" s="627"/>
      <c r="O20" s="627">
        <v>0</v>
      </c>
      <c r="P20" s="627"/>
      <c r="Q20" s="627">
        <v>0</v>
      </c>
      <c r="R20" s="627"/>
      <c r="S20" s="627">
        <v>25</v>
      </c>
      <c r="T20" s="627"/>
      <c r="U20" s="627">
        <v>0</v>
      </c>
      <c r="V20" s="627"/>
      <c r="W20" s="627">
        <v>0</v>
      </c>
      <c r="X20" s="627"/>
      <c r="Y20" s="627">
        <v>0</v>
      </c>
      <c r="Z20" s="627"/>
      <c r="AA20" s="638">
        <f>SUM(E20:Z20)</f>
        <v>25</v>
      </c>
      <c r="AB20" s="638"/>
      <c r="AC20" s="639">
        <f t="shared" ref="AC20:AC21" si="2">AA20/AA81*100</f>
        <v>3.2592824363788069E-2</v>
      </c>
      <c r="AD20" s="628"/>
      <c r="AE20" s="628"/>
    </row>
    <row r="21" spans="2:31" s="3" customFormat="1" ht="35.1" customHeight="1" x14ac:dyDescent="0.2">
      <c r="B21" s="519"/>
      <c r="C21" s="520" t="s">
        <v>16</v>
      </c>
      <c r="D21" s="521"/>
      <c r="E21" s="627">
        <v>0</v>
      </c>
      <c r="F21" s="627"/>
      <c r="G21" s="627">
        <v>0</v>
      </c>
      <c r="H21" s="627"/>
      <c r="I21" s="627">
        <v>0</v>
      </c>
      <c r="J21" s="627"/>
      <c r="K21" s="627">
        <v>0</v>
      </c>
      <c r="L21" s="627"/>
      <c r="M21" s="627">
        <v>0</v>
      </c>
      <c r="N21" s="627"/>
      <c r="O21" s="627">
        <v>0</v>
      </c>
      <c r="P21" s="627"/>
      <c r="Q21" s="627">
        <v>0</v>
      </c>
      <c r="R21" s="627"/>
      <c r="S21" s="627">
        <v>1200</v>
      </c>
      <c r="T21" s="627"/>
      <c r="U21" s="627">
        <v>0</v>
      </c>
      <c r="V21" s="627"/>
      <c r="W21" s="627">
        <v>0</v>
      </c>
      <c r="X21" s="627"/>
      <c r="Y21" s="627">
        <v>0</v>
      </c>
      <c r="Z21" s="627"/>
      <c r="AA21" s="638">
        <f>SUM(E21:Z21)</f>
        <v>1200</v>
      </c>
      <c r="AB21" s="638"/>
      <c r="AC21" s="639">
        <f t="shared" si="2"/>
        <v>5.2275828179807936E-2</v>
      </c>
      <c r="AD21" s="628"/>
      <c r="AE21" s="628"/>
    </row>
    <row r="22" spans="2:31" s="3" customFormat="1" ht="35.1" customHeight="1" x14ac:dyDescent="0.2">
      <c r="B22" s="519"/>
      <c r="C22" s="944" t="s">
        <v>276</v>
      </c>
      <c r="D22" s="944"/>
      <c r="E22" s="634"/>
      <c r="F22" s="634"/>
      <c r="G22" s="634"/>
      <c r="H22" s="634"/>
      <c r="I22" s="634"/>
      <c r="J22" s="634"/>
      <c r="K22" s="634"/>
      <c r="L22" s="634"/>
      <c r="M22" s="641"/>
      <c r="N22" s="634"/>
      <c r="O22" s="635"/>
      <c r="P22" s="635"/>
      <c r="Q22" s="634"/>
      <c r="R22" s="635"/>
      <c r="S22" s="634"/>
      <c r="T22" s="635"/>
      <c r="U22" s="634"/>
      <c r="V22" s="635"/>
      <c r="W22" s="634"/>
      <c r="X22" s="634"/>
      <c r="Y22" s="634"/>
      <c r="Z22" s="634"/>
      <c r="AA22" s="638"/>
      <c r="AB22" s="628"/>
      <c r="AC22" s="642"/>
      <c r="AD22" s="643"/>
      <c r="AE22" s="628"/>
    </row>
    <row r="23" spans="2:31" s="3" customFormat="1" ht="35.1" customHeight="1" x14ac:dyDescent="0.2">
      <c r="B23" s="519"/>
      <c r="C23" s="943" t="s">
        <v>276</v>
      </c>
      <c r="D23" s="943"/>
      <c r="E23" s="634"/>
      <c r="F23" s="634"/>
      <c r="G23" s="634"/>
      <c r="H23" s="634"/>
      <c r="I23" s="634"/>
      <c r="J23" s="634"/>
      <c r="K23" s="634"/>
      <c r="L23" s="634"/>
      <c r="M23" s="641"/>
      <c r="N23" s="634"/>
      <c r="O23" s="635"/>
      <c r="P23" s="635"/>
      <c r="Q23" s="634"/>
      <c r="R23" s="635"/>
      <c r="S23" s="634"/>
      <c r="T23" s="635"/>
      <c r="U23" s="634"/>
      <c r="V23" s="635"/>
      <c r="W23" s="634"/>
      <c r="X23" s="634"/>
      <c r="Y23" s="634"/>
      <c r="Z23" s="634"/>
      <c r="AA23" s="638"/>
      <c r="AB23" s="628"/>
      <c r="AC23" s="642"/>
      <c r="AD23" s="643"/>
      <c r="AE23" s="628"/>
    </row>
    <row r="24" spans="2:31" s="3" customFormat="1" ht="35.1" customHeight="1" x14ac:dyDescent="0.2">
      <c r="B24" s="519"/>
      <c r="C24" s="520" t="s">
        <v>342</v>
      </c>
      <c r="D24" s="521"/>
      <c r="E24" s="627">
        <v>0</v>
      </c>
      <c r="F24" s="627"/>
      <c r="G24" s="627">
        <v>0</v>
      </c>
      <c r="H24" s="627"/>
      <c r="I24" s="627">
        <v>0</v>
      </c>
      <c r="J24" s="627"/>
      <c r="K24" s="627">
        <v>0</v>
      </c>
      <c r="L24" s="627"/>
      <c r="M24" s="627">
        <v>0</v>
      </c>
      <c r="N24" s="627"/>
      <c r="O24" s="627">
        <v>0</v>
      </c>
      <c r="P24" s="627"/>
      <c r="Q24" s="627">
        <v>0</v>
      </c>
      <c r="R24" s="627"/>
      <c r="S24" s="627">
        <f>1+1</f>
        <v>2</v>
      </c>
      <c r="T24" s="627"/>
      <c r="U24" s="627">
        <v>0</v>
      </c>
      <c r="V24" s="627"/>
      <c r="W24" s="627">
        <v>0</v>
      </c>
      <c r="X24" s="627"/>
      <c r="Y24" s="627">
        <v>0</v>
      </c>
      <c r="Z24" s="627"/>
      <c r="AA24" s="638">
        <f>SUM(E24:Z24)</f>
        <v>2</v>
      </c>
      <c r="AB24" s="638"/>
      <c r="AC24" s="639">
        <f>AA24/AA80*100</f>
        <v>3.1746031746031744</v>
      </c>
      <c r="AD24" s="643"/>
      <c r="AE24" s="628"/>
    </row>
    <row r="25" spans="2:31" s="3" customFormat="1" ht="35.1" customHeight="1" x14ac:dyDescent="0.2">
      <c r="B25" s="519"/>
      <c r="C25" s="520" t="s">
        <v>15</v>
      </c>
      <c r="D25" s="521"/>
      <c r="E25" s="627">
        <v>0</v>
      </c>
      <c r="F25" s="627"/>
      <c r="G25" s="627">
        <v>0</v>
      </c>
      <c r="H25" s="627"/>
      <c r="I25" s="627">
        <v>0</v>
      </c>
      <c r="J25" s="627"/>
      <c r="K25" s="627">
        <v>0</v>
      </c>
      <c r="L25" s="627"/>
      <c r="M25" s="627">
        <v>0</v>
      </c>
      <c r="N25" s="627"/>
      <c r="O25" s="627">
        <v>0</v>
      </c>
      <c r="P25" s="627"/>
      <c r="Q25" s="627">
        <v>0</v>
      </c>
      <c r="R25" s="627"/>
      <c r="S25" s="627">
        <f>97+50</f>
        <v>147</v>
      </c>
      <c r="T25" s="627"/>
      <c r="U25" s="627">
        <v>0</v>
      </c>
      <c r="V25" s="627"/>
      <c r="W25" s="627">
        <v>0</v>
      </c>
      <c r="X25" s="627"/>
      <c r="Y25" s="627">
        <v>0</v>
      </c>
      <c r="Z25" s="627"/>
      <c r="AA25" s="638">
        <f>SUM(E25:Z25)</f>
        <v>147</v>
      </c>
      <c r="AB25" s="638"/>
      <c r="AC25" s="639">
        <f t="shared" ref="AC25:AC26" si="3">AA25/AA81*100</f>
        <v>0.19164580725907382</v>
      </c>
      <c r="AD25" s="643"/>
      <c r="AE25" s="628"/>
    </row>
    <row r="26" spans="2:31" s="3" customFormat="1" ht="35.1" customHeight="1" x14ac:dyDescent="0.2">
      <c r="B26" s="519"/>
      <c r="C26" s="520" t="s">
        <v>16</v>
      </c>
      <c r="D26" s="521"/>
      <c r="E26" s="627">
        <v>0</v>
      </c>
      <c r="F26" s="627"/>
      <c r="G26" s="627">
        <v>0</v>
      </c>
      <c r="H26" s="627"/>
      <c r="I26" s="627">
        <v>0</v>
      </c>
      <c r="J26" s="627"/>
      <c r="K26" s="627">
        <v>0</v>
      </c>
      <c r="L26" s="627"/>
      <c r="M26" s="627">
        <v>0</v>
      </c>
      <c r="N26" s="627"/>
      <c r="O26" s="627">
        <v>0</v>
      </c>
      <c r="P26" s="627"/>
      <c r="Q26" s="627">
        <v>0</v>
      </c>
      <c r="R26" s="627"/>
      <c r="S26" s="627">
        <f>776+400</f>
        <v>1176</v>
      </c>
      <c r="T26" s="627"/>
      <c r="U26" s="627">
        <v>0</v>
      </c>
      <c r="V26" s="627"/>
      <c r="W26" s="627">
        <v>0</v>
      </c>
      <c r="X26" s="627"/>
      <c r="Y26" s="627">
        <v>0</v>
      </c>
      <c r="Z26" s="627"/>
      <c r="AA26" s="638">
        <f>SUM(E26:Z26)</f>
        <v>1176</v>
      </c>
      <c r="AB26" s="638"/>
      <c r="AC26" s="639">
        <f t="shared" si="3"/>
        <v>5.1230311616211777E-2</v>
      </c>
      <c r="AD26" s="643"/>
      <c r="AE26" s="628"/>
    </row>
    <row r="27" spans="2:31" s="3" customFormat="1" ht="35.1" customHeight="1" x14ac:dyDescent="0.2">
      <c r="B27" s="519"/>
      <c r="C27" s="644" t="s">
        <v>277</v>
      </c>
      <c r="D27" s="645"/>
      <c r="E27" s="634"/>
      <c r="F27" s="634"/>
      <c r="G27" s="634"/>
      <c r="H27" s="634"/>
      <c r="I27" s="634"/>
      <c r="J27" s="634"/>
      <c r="K27" s="634"/>
      <c r="L27" s="634"/>
      <c r="M27" s="641"/>
      <c r="N27" s="634"/>
      <c r="O27" s="635"/>
      <c r="P27" s="635"/>
      <c r="Q27" s="634"/>
      <c r="R27" s="635"/>
      <c r="S27" s="634"/>
      <c r="T27" s="635"/>
      <c r="U27" s="634"/>
      <c r="V27" s="635"/>
      <c r="W27" s="634"/>
      <c r="X27" s="634"/>
      <c r="Y27" s="634"/>
      <c r="Z27" s="634"/>
      <c r="AA27" s="638"/>
      <c r="AB27" s="628"/>
      <c r="AC27" s="642"/>
      <c r="AD27" s="643"/>
      <c r="AE27" s="628"/>
    </row>
    <row r="28" spans="2:31" s="3" customFormat="1" ht="35.1" customHeight="1" x14ac:dyDescent="0.2">
      <c r="B28" s="519"/>
      <c r="C28" s="646" t="s">
        <v>277</v>
      </c>
      <c r="D28" s="647"/>
      <c r="E28" s="634"/>
      <c r="F28" s="634"/>
      <c r="G28" s="634"/>
      <c r="H28" s="634"/>
      <c r="I28" s="634"/>
      <c r="J28" s="634"/>
      <c r="K28" s="634"/>
      <c r="L28" s="634"/>
      <c r="M28" s="641"/>
      <c r="N28" s="634"/>
      <c r="O28" s="635"/>
      <c r="P28" s="635"/>
      <c r="Q28" s="634"/>
      <c r="R28" s="635"/>
      <c r="S28" s="634"/>
      <c r="T28" s="635"/>
      <c r="U28" s="634"/>
      <c r="V28" s="635"/>
      <c r="W28" s="634"/>
      <c r="X28" s="634"/>
      <c r="Y28" s="634"/>
      <c r="Z28" s="634"/>
      <c r="AA28" s="638"/>
      <c r="AB28" s="628"/>
      <c r="AC28" s="642"/>
      <c r="AD28" s="643"/>
      <c r="AE28" s="628"/>
    </row>
    <row r="29" spans="2:31" s="3" customFormat="1" ht="35.1" customHeight="1" x14ac:dyDescent="0.2">
      <c r="B29" s="519"/>
      <c r="C29" s="520" t="s">
        <v>342</v>
      </c>
      <c r="D29" s="521"/>
      <c r="E29" s="627">
        <v>0</v>
      </c>
      <c r="F29" s="627"/>
      <c r="G29" s="627">
        <v>1</v>
      </c>
      <c r="H29" s="627"/>
      <c r="I29" s="627">
        <v>0</v>
      </c>
      <c r="J29" s="627"/>
      <c r="K29" s="627">
        <v>0</v>
      </c>
      <c r="L29" s="627"/>
      <c r="M29" s="627">
        <v>0</v>
      </c>
      <c r="N29" s="627"/>
      <c r="O29" s="627">
        <v>0</v>
      </c>
      <c r="P29" s="627"/>
      <c r="Q29" s="627">
        <v>0</v>
      </c>
      <c r="R29" s="627"/>
      <c r="S29" s="627">
        <f>1+1+1+1+1+1</f>
        <v>6</v>
      </c>
      <c r="T29" s="627"/>
      <c r="U29" s="627">
        <v>0</v>
      </c>
      <c r="V29" s="627"/>
      <c r="W29" s="627">
        <v>0</v>
      </c>
      <c r="X29" s="627"/>
      <c r="Y29" s="627">
        <v>0</v>
      </c>
      <c r="Z29" s="627"/>
      <c r="AA29" s="638">
        <f>SUM(E29:Z29)</f>
        <v>7</v>
      </c>
      <c r="AB29" s="638"/>
      <c r="AC29" s="639">
        <f>AA29/AA80*100</f>
        <v>11.111111111111111</v>
      </c>
      <c r="AD29" s="643"/>
      <c r="AE29" s="628"/>
    </row>
    <row r="30" spans="2:31" s="3" customFormat="1" ht="35.1" customHeight="1" x14ac:dyDescent="0.2">
      <c r="B30" s="519"/>
      <c r="C30" s="520" t="s">
        <v>15</v>
      </c>
      <c r="D30" s="521"/>
      <c r="E30" s="627">
        <v>0</v>
      </c>
      <c r="F30" s="627"/>
      <c r="G30" s="627">
        <v>50</v>
      </c>
      <c r="H30" s="627"/>
      <c r="I30" s="627">
        <v>0</v>
      </c>
      <c r="J30" s="627"/>
      <c r="K30" s="627">
        <v>0</v>
      </c>
      <c r="L30" s="627"/>
      <c r="M30" s="627">
        <v>0</v>
      </c>
      <c r="N30" s="627"/>
      <c r="O30" s="627">
        <v>0</v>
      </c>
      <c r="P30" s="627"/>
      <c r="Q30" s="627">
        <v>0</v>
      </c>
      <c r="R30" s="627"/>
      <c r="S30" s="627">
        <f>29+200+29+342+860+1265</f>
        <v>2725</v>
      </c>
      <c r="T30" s="627"/>
      <c r="U30" s="627">
        <v>0</v>
      </c>
      <c r="V30" s="627"/>
      <c r="W30" s="627">
        <v>0</v>
      </c>
      <c r="X30" s="627"/>
      <c r="Y30" s="627">
        <v>0</v>
      </c>
      <c r="Z30" s="627"/>
      <c r="AA30" s="638">
        <f>SUM(E30:Z30)</f>
        <v>2775</v>
      </c>
      <c r="AB30" s="638"/>
      <c r="AC30" s="639">
        <f t="shared" ref="AC30:AC31" si="4">AA30/AA81*100</f>
        <v>3.6178035043804755</v>
      </c>
      <c r="AD30" s="643"/>
      <c r="AE30" s="628"/>
    </row>
    <row r="31" spans="2:31" s="3" customFormat="1" ht="35.1" customHeight="1" x14ac:dyDescent="0.2">
      <c r="B31" s="519"/>
      <c r="C31" s="520" t="s">
        <v>16</v>
      </c>
      <c r="D31" s="521"/>
      <c r="E31" s="627">
        <v>0</v>
      </c>
      <c r="F31" s="627"/>
      <c r="G31" s="627">
        <v>6800</v>
      </c>
      <c r="H31" s="627"/>
      <c r="I31" s="627">
        <v>0</v>
      </c>
      <c r="J31" s="627"/>
      <c r="K31" s="627">
        <v>0</v>
      </c>
      <c r="L31" s="627"/>
      <c r="M31" s="627">
        <v>0</v>
      </c>
      <c r="N31" s="627"/>
      <c r="O31" s="627">
        <v>0</v>
      </c>
      <c r="P31" s="627"/>
      <c r="Q31" s="627">
        <v>0</v>
      </c>
      <c r="R31" s="627"/>
      <c r="S31" s="627">
        <f>464+1600+232+2736+13760+20240</f>
        <v>39032</v>
      </c>
      <c r="T31" s="627"/>
      <c r="U31" s="627">
        <v>0</v>
      </c>
      <c r="V31" s="627"/>
      <c r="W31" s="627">
        <v>0</v>
      </c>
      <c r="X31" s="627"/>
      <c r="Y31" s="627">
        <v>0</v>
      </c>
      <c r="Z31" s="627"/>
      <c r="AA31" s="638">
        <f>SUM(E31:Z31)</f>
        <v>45832</v>
      </c>
      <c r="AB31" s="638"/>
      <c r="AC31" s="639">
        <f t="shared" si="4"/>
        <v>1.9965881309474645</v>
      </c>
      <c r="AD31" s="643"/>
      <c r="AE31" s="628"/>
    </row>
    <row r="32" spans="2:31" s="3" customFormat="1" ht="35.1" customHeight="1" x14ac:dyDescent="0.2">
      <c r="B32" s="519"/>
      <c r="C32" s="944" t="s">
        <v>250</v>
      </c>
      <c r="D32" s="944"/>
      <c r="E32" s="627"/>
      <c r="F32" s="627"/>
      <c r="G32" s="627"/>
      <c r="H32" s="627"/>
      <c r="I32" s="627"/>
      <c r="J32" s="627"/>
      <c r="K32" s="627"/>
      <c r="L32" s="627"/>
      <c r="M32" s="627"/>
      <c r="N32" s="627"/>
      <c r="O32" s="627"/>
      <c r="P32" s="627"/>
      <c r="Q32" s="627"/>
      <c r="R32" s="627"/>
      <c r="S32" s="627"/>
      <c r="T32" s="627"/>
      <c r="U32" s="627"/>
      <c r="V32" s="627"/>
      <c r="W32" s="627"/>
      <c r="X32" s="634"/>
      <c r="Y32" s="627"/>
      <c r="Z32" s="634"/>
      <c r="AA32" s="638">
        <f>SUM(E32:Z32)</f>
        <v>0</v>
      </c>
      <c r="AB32" s="628"/>
      <c r="AC32" s="639">
        <f>AA32/AA81*100</f>
        <v>0</v>
      </c>
      <c r="AD32" s="628"/>
      <c r="AE32" s="628"/>
    </row>
    <row r="33" spans="2:32" s="3" customFormat="1" ht="35.1" customHeight="1" x14ac:dyDescent="0.2">
      <c r="B33" s="519"/>
      <c r="C33" s="943" t="s">
        <v>250</v>
      </c>
      <c r="D33" s="943"/>
      <c r="E33" s="635"/>
      <c r="F33" s="635"/>
      <c r="G33" s="628"/>
      <c r="H33" s="635"/>
      <c r="I33" s="628"/>
      <c r="J33" s="634"/>
      <c r="K33" s="634"/>
      <c r="L33" s="634"/>
      <c r="M33" s="641"/>
      <c r="N33" s="634"/>
      <c r="O33" s="635"/>
      <c r="P33" s="635"/>
      <c r="Q33" s="634"/>
      <c r="R33" s="635"/>
      <c r="S33" s="634"/>
      <c r="T33" s="635"/>
      <c r="U33" s="634"/>
      <c r="V33" s="635"/>
      <c r="W33" s="634"/>
      <c r="X33" s="634"/>
      <c r="Y33" s="634"/>
      <c r="Z33" s="634"/>
      <c r="AA33" s="628"/>
      <c r="AB33" s="628"/>
      <c r="AC33" s="642"/>
      <c r="AD33" s="628"/>
      <c r="AE33" s="628"/>
    </row>
    <row r="34" spans="2:32" s="3" customFormat="1" ht="35.1" customHeight="1" x14ac:dyDescent="0.2">
      <c r="B34" s="519"/>
      <c r="C34" s="520" t="s">
        <v>342</v>
      </c>
      <c r="D34" s="521"/>
      <c r="E34" s="627">
        <v>0</v>
      </c>
      <c r="F34" s="627"/>
      <c r="G34" s="627">
        <v>1</v>
      </c>
      <c r="H34" s="627"/>
      <c r="I34" s="627">
        <v>0</v>
      </c>
      <c r="J34" s="627"/>
      <c r="K34" s="627">
        <v>0</v>
      </c>
      <c r="L34" s="627"/>
      <c r="M34" s="627">
        <v>0</v>
      </c>
      <c r="N34" s="627"/>
      <c r="O34" s="627">
        <v>0</v>
      </c>
      <c r="P34" s="627"/>
      <c r="Q34" s="627">
        <v>0</v>
      </c>
      <c r="R34" s="627"/>
      <c r="S34" s="627">
        <v>0</v>
      </c>
      <c r="T34" s="627"/>
      <c r="U34" s="627">
        <v>0</v>
      </c>
      <c r="V34" s="627"/>
      <c r="W34" s="627">
        <v>0</v>
      </c>
      <c r="X34" s="627"/>
      <c r="Y34" s="627">
        <v>0</v>
      </c>
      <c r="Z34" s="627"/>
      <c r="AA34" s="638">
        <f>SUM(E34:Z34)</f>
        <v>1</v>
      </c>
      <c r="AB34" s="638"/>
      <c r="AC34" s="639">
        <f>AA34/AA80*100</f>
        <v>1.5873015873015872</v>
      </c>
      <c r="AD34" s="643"/>
      <c r="AE34" s="628"/>
    </row>
    <row r="35" spans="2:32" s="3" customFormat="1" ht="35.1" customHeight="1" x14ac:dyDescent="0.2">
      <c r="B35" s="519"/>
      <c r="C35" s="520" t="s">
        <v>15</v>
      </c>
      <c r="D35" s="521"/>
      <c r="E35" s="627">
        <v>0</v>
      </c>
      <c r="F35" s="627"/>
      <c r="G35" s="627">
        <v>142</v>
      </c>
      <c r="H35" s="627"/>
      <c r="I35" s="627">
        <v>0</v>
      </c>
      <c r="J35" s="627"/>
      <c r="K35" s="627">
        <v>0</v>
      </c>
      <c r="L35" s="627"/>
      <c r="M35" s="627">
        <v>0</v>
      </c>
      <c r="N35" s="627"/>
      <c r="O35" s="627">
        <v>0</v>
      </c>
      <c r="P35" s="627"/>
      <c r="Q35" s="627">
        <v>0</v>
      </c>
      <c r="R35" s="627"/>
      <c r="S35" s="627">
        <v>0</v>
      </c>
      <c r="T35" s="627"/>
      <c r="U35" s="627">
        <v>0</v>
      </c>
      <c r="V35" s="627"/>
      <c r="W35" s="627">
        <v>0</v>
      </c>
      <c r="X35" s="627"/>
      <c r="Y35" s="627">
        <v>0</v>
      </c>
      <c r="Z35" s="627"/>
      <c r="AA35" s="638">
        <f>SUM(E35:Z35)</f>
        <v>142</v>
      </c>
      <c r="AB35" s="638"/>
      <c r="AC35" s="639">
        <f t="shared" ref="AC35:AC36" si="5">AA35/AA81*100</f>
        <v>0.18512724238631623</v>
      </c>
      <c r="AD35" s="643"/>
      <c r="AE35" s="628"/>
    </row>
    <row r="36" spans="2:32" s="3" customFormat="1" ht="35.1" customHeight="1" x14ac:dyDescent="0.2">
      <c r="B36" s="519"/>
      <c r="C36" s="520" t="s">
        <v>16</v>
      </c>
      <c r="D36" s="521"/>
      <c r="E36" s="627">
        <v>0</v>
      </c>
      <c r="F36" s="627"/>
      <c r="G36" s="627">
        <v>14768</v>
      </c>
      <c r="H36" s="627"/>
      <c r="I36" s="627">
        <v>0</v>
      </c>
      <c r="J36" s="627"/>
      <c r="K36" s="627">
        <v>0</v>
      </c>
      <c r="L36" s="627"/>
      <c r="M36" s="627">
        <v>0</v>
      </c>
      <c r="N36" s="627"/>
      <c r="O36" s="627">
        <v>0</v>
      </c>
      <c r="P36" s="627"/>
      <c r="Q36" s="627">
        <v>0</v>
      </c>
      <c r="R36" s="627"/>
      <c r="S36" s="627">
        <v>0</v>
      </c>
      <c r="T36" s="627"/>
      <c r="U36" s="627">
        <v>0</v>
      </c>
      <c r="V36" s="627"/>
      <c r="W36" s="627">
        <v>0</v>
      </c>
      <c r="X36" s="627"/>
      <c r="Y36" s="627">
        <v>0</v>
      </c>
      <c r="Z36" s="627"/>
      <c r="AA36" s="638">
        <f>SUM(E36:Z36)</f>
        <v>14768</v>
      </c>
      <c r="AB36" s="638"/>
      <c r="AC36" s="639">
        <f t="shared" si="5"/>
        <v>0.64334119213283636</v>
      </c>
      <c r="AD36" s="643"/>
      <c r="AE36" s="628"/>
    </row>
    <row r="37" spans="2:32" s="3" customFormat="1" ht="35.1" customHeight="1" x14ac:dyDescent="0.2">
      <c r="B37" s="519"/>
      <c r="C37" s="943" t="s">
        <v>325</v>
      </c>
      <c r="D37" s="943"/>
      <c r="E37" s="635"/>
      <c r="F37" s="635"/>
      <c r="G37" s="628"/>
      <c r="H37" s="635"/>
      <c r="I37" s="628"/>
      <c r="J37" s="634"/>
      <c r="K37" s="634"/>
      <c r="L37" s="634"/>
      <c r="M37" s="641"/>
      <c r="N37" s="634"/>
      <c r="O37" s="635"/>
      <c r="P37" s="635"/>
      <c r="Q37" s="634"/>
      <c r="R37" s="635"/>
      <c r="S37" s="634"/>
      <c r="T37" s="635"/>
      <c r="U37" s="634"/>
      <c r="V37" s="635"/>
      <c r="W37" s="634"/>
      <c r="X37" s="634"/>
      <c r="Y37" s="634"/>
      <c r="Z37" s="634"/>
      <c r="AA37" s="628"/>
      <c r="AB37" s="628"/>
      <c r="AC37" s="642"/>
      <c r="AD37" s="628"/>
      <c r="AE37" s="628"/>
    </row>
    <row r="38" spans="2:32" s="3" customFormat="1" ht="35.1" customHeight="1" x14ac:dyDescent="0.2">
      <c r="B38" s="519"/>
      <c r="C38" s="520" t="s">
        <v>342</v>
      </c>
      <c r="D38" s="521"/>
      <c r="E38" s="627">
        <v>0</v>
      </c>
      <c r="F38" s="627"/>
      <c r="G38" s="627">
        <v>1</v>
      </c>
      <c r="H38" s="627"/>
      <c r="I38" s="627">
        <v>0</v>
      </c>
      <c r="J38" s="627"/>
      <c r="K38" s="627">
        <v>0</v>
      </c>
      <c r="L38" s="627"/>
      <c r="M38" s="627">
        <v>0</v>
      </c>
      <c r="N38" s="627"/>
      <c r="O38" s="627">
        <v>0</v>
      </c>
      <c r="P38" s="627"/>
      <c r="Q38" s="627">
        <v>0</v>
      </c>
      <c r="R38" s="627"/>
      <c r="S38" s="627">
        <v>0</v>
      </c>
      <c r="T38" s="627"/>
      <c r="U38" s="627">
        <v>0</v>
      </c>
      <c r="V38" s="627"/>
      <c r="W38" s="627">
        <v>0</v>
      </c>
      <c r="X38" s="627"/>
      <c r="Y38" s="627">
        <v>0</v>
      </c>
      <c r="Z38" s="627"/>
      <c r="AA38" s="638">
        <f>SUM(E38:Z38)</f>
        <v>1</v>
      </c>
      <c r="AB38" s="638"/>
      <c r="AC38" s="639">
        <f t="shared" ref="AC38:AC40" si="6">AA38/AA80*100</f>
        <v>1.5873015873015872</v>
      </c>
      <c r="AD38" s="643"/>
      <c r="AE38" s="628"/>
    </row>
    <row r="39" spans="2:32" s="3" customFormat="1" ht="35.1" customHeight="1" x14ac:dyDescent="0.2">
      <c r="B39" s="519"/>
      <c r="C39" s="520" t="s">
        <v>15</v>
      </c>
      <c r="D39" s="521"/>
      <c r="E39" s="627">
        <v>0</v>
      </c>
      <c r="F39" s="627"/>
      <c r="G39" s="627">
        <v>145</v>
      </c>
      <c r="H39" s="627"/>
      <c r="I39" s="627">
        <v>0</v>
      </c>
      <c r="J39" s="627"/>
      <c r="K39" s="627">
        <v>0</v>
      </c>
      <c r="L39" s="627"/>
      <c r="M39" s="627">
        <v>0</v>
      </c>
      <c r="N39" s="627"/>
      <c r="O39" s="627">
        <v>0</v>
      </c>
      <c r="P39" s="627"/>
      <c r="Q39" s="627">
        <v>0</v>
      </c>
      <c r="R39" s="627"/>
      <c r="S39" s="627">
        <v>0</v>
      </c>
      <c r="T39" s="627"/>
      <c r="U39" s="627">
        <v>0</v>
      </c>
      <c r="V39" s="627"/>
      <c r="W39" s="627">
        <v>0</v>
      </c>
      <c r="X39" s="627"/>
      <c r="Y39" s="627">
        <v>0</v>
      </c>
      <c r="Z39" s="627"/>
      <c r="AA39" s="638">
        <f>SUM(E39:Z39)</f>
        <v>145</v>
      </c>
      <c r="AB39" s="638"/>
      <c r="AC39" s="639">
        <f t="shared" si="6"/>
        <v>0.1890383813099708</v>
      </c>
      <c r="AD39" s="643"/>
      <c r="AE39" s="628"/>
    </row>
    <row r="40" spans="2:32" s="3" customFormat="1" ht="35.1" customHeight="1" x14ac:dyDescent="0.2">
      <c r="B40" s="519"/>
      <c r="C40" s="520" t="s">
        <v>16</v>
      </c>
      <c r="D40" s="521"/>
      <c r="E40" s="627">
        <v>0</v>
      </c>
      <c r="F40" s="627"/>
      <c r="G40" s="627">
        <v>1160</v>
      </c>
      <c r="H40" s="627"/>
      <c r="I40" s="627">
        <v>0</v>
      </c>
      <c r="J40" s="627"/>
      <c r="K40" s="627">
        <v>0</v>
      </c>
      <c r="L40" s="627"/>
      <c r="M40" s="627">
        <v>0</v>
      </c>
      <c r="N40" s="627"/>
      <c r="O40" s="627">
        <v>0</v>
      </c>
      <c r="P40" s="627"/>
      <c r="Q40" s="627">
        <v>0</v>
      </c>
      <c r="R40" s="627"/>
      <c r="S40" s="627">
        <v>0</v>
      </c>
      <c r="T40" s="627"/>
      <c r="U40" s="627">
        <v>0</v>
      </c>
      <c r="V40" s="627"/>
      <c r="W40" s="627">
        <v>0</v>
      </c>
      <c r="X40" s="627"/>
      <c r="Y40" s="627">
        <v>0</v>
      </c>
      <c r="Z40" s="627"/>
      <c r="AA40" s="638">
        <f>SUM(E40:Z40)</f>
        <v>1160</v>
      </c>
      <c r="AB40" s="638"/>
      <c r="AC40" s="639">
        <f t="shared" si="6"/>
        <v>5.053330057381434E-2</v>
      </c>
      <c r="AD40" s="643"/>
      <c r="AE40" s="628"/>
    </row>
    <row r="41" spans="2:32" s="3" customFormat="1" ht="35.1" customHeight="1" x14ac:dyDescent="0.2">
      <c r="B41" s="519"/>
      <c r="C41" s="944" t="s">
        <v>326</v>
      </c>
      <c r="D41" s="944"/>
      <c r="E41" s="634"/>
      <c r="F41" s="634"/>
      <c r="G41" s="634"/>
      <c r="H41" s="634"/>
      <c r="I41" s="634"/>
      <c r="J41" s="634"/>
      <c r="K41" s="634"/>
      <c r="L41" s="634"/>
      <c r="M41" s="626"/>
      <c r="N41" s="634"/>
      <c r="O41" s="627"/>
      <c r="P41" s="635"/>
      <c r="Q41" s="634"/>
      <c r="R41" s="635"/>
      <c r="S41" s="634"/>
      <c r="T41" s="635"/>
      <c r="U41" s="634"/>
      <c r="V41" s="635"/>
      <c r="W41" s="634"/>
      <c r="X41" s="634"/>
      <c r="Y41" s="634"/>
      <c r="Z41" s="634"/>
      <c r="AA41" s="628"/>
      <c r="AB41" s="628"/>
      <c r="AC41" s="642"/>
      <c r="AD41" s="628"/>
      <c r="AE41" s="628"/>
    </row>
    <row r="42" spans="2:32" s="3" customFormat="1" ht="35.1" customHeight="1" x14ac:dyDescent="0.2">
      <c r="B42" s="519"/>
      <c r="C42" s="943" t="s">
        <v>327</v>
      </c>
      <c r="D42" s="943"/>
      <c r="E42" s="635"/>
      <c r="F42" s="635"/>
      <c r="G42" s="628"/>
      <c r="H42" s="635"/>
      <c r="I42" s="628"/>
      <c r="J42" s="634"/>
      <c r="K42" s="634"/>
      <c r="L42" s="634"/>
      <c r="M42" s="641"/>
      <c r="N42" s="634"/>
      <c r="O42" s="635"/>
      <c r="P42" s="635"/>
      <c r="Q42" s="634"/>
      <c r="R42" s="635"/>
      <c r="S42" s="634"/>
      <c r="T42" s="635"/>
      <c r="U42" s="634"/>
      <c r="V42" s="635"/>
      <c r="W42" s="634"/>
      <c r="X42" s="634"/>
      <c r="Y42" s="634"/>
      <c r="Z42" s="634"/>
      <c r="AA42" s="628"/>
      <c r="AB42" s="628"/>
      <c r="AC42" s="642"/>
      <c r="AD42" s="628"/>
      <c r="AE42" s="628"/>
    </row>
    <row r="43" spans="2:32" s="3" customFormat="1" ht="35.1" customHeight="1" x14ac:dyDescent="0.2">
      <c r="B43" s="519"/>
      <c r="C43" s="520" t="s">
        <v>342</v>
      </c>
      <c r="D43" s="521"/>
      <c r="E43" s="627">
        <v>0</v>
      </c>
      <c r="F43" s="627"/>
      <c r="G43" s="627">
        <v>0</v>
      </c>
      <c r="H43" s="627"/>
      <c r="I43" s="627">
        <v>0</v>
      </c>
      <c r="J43" s="627"/>
      <c r="K43" s="627">
        <v>0</v>
      </c>
      <c r="L43" s="627"/>
      <c r="M43" s="627">
        <v>0</v>
      </c>
      <c r="N43" s="627"/>
      <c r="O43" s="627">
        <v>0</v>
      </c>
      <c r="P43" s="627"/>
      <c r="Q43" s="627">
        <v>0</v>
      </c>
      <c r="R43" s="627"/>
      <c r="S43" s="627">
        <v>0</v>
      </c>
      <c r="T43" s="627"/>
      <c r="U43" s="627">
        <v>0</v>
      </c>
      <c r="V43" s="627"/>
      <c r="W43" s="627">
        <v>0</v>
      </c>
      <c r="X43" s="627"/>
      <c r="Y43" s="627">
        <v>0</v>
      </c>
      <c r="Z43" s="627"/>
      <c r="AA43" s="638">
        <f>SUM(E43:Z43)</f>
        <v>0</v>
      </c>
      <c r="AB43" s="638"/>
      <c r="AC43" s="639">
        <f>AA43/AA80*100</f>
        <v>0</v>
      </c>
      <c r="AD43" s="643"/>
      <c r="AE43" s="628"/>
    </row>
    <row r="44" spans="2:32" s="3" customFormat="1" ht="35.1" customHeight="1" x14ac:dyDescent="0.2">
      <c r="B44" s="519"/>
      <c r="C44" s="520" t="s">
        <v>15</v>
      </c>
      <c r="D44" s="521"/>
      <c r="E44" s="627">
        <v>0</v>
      </c>
      <c r="F44" s="627"/>
      <c r="G44" s="627">
        <v>0</v>
      </c>
      <c r="H44" s="627"/>
      <c r="I44" s="627">
        <v>0</v>
      </c>
      <c r="J44" s="627"/>
      <c r="K44" s="627">
        <v>0</v>
      </c>
      <c r="L44" s="627"/>
      <c r="M44" s="627">
        <v>0</v>
      </c>
      <c r="N44" s="627"/>
      <c r="O44" s="627">
        <v>0</v>
      </c>
      <c r="P44" s="627"/>
      <c r="Q44" s="627">
        <v>0</v>
      </c>
      <c r="R44" s="627"/>
      <c r="S44" s="627">
        <v>0</v>
      </c>
      <c r="T44" s="627"/>
      <c r="U44" s="627">
        <v>0</v>
      </c>
      <c r="V44" s="627"/>
      <c r="W44" s="627">
        <v>0</v>
      </c>
      <c r="X44" s="627"/>
      <c r="Y44" s="627">
        <v>0</v>
      </c>
      <c r="Z44" s="627"/>
      <c r="AA44" s="638">
        <f>SUM(E44:Z44)</f>
        <v>0</v>
      </c>
      <c r="AB44" s="638"/>
      <c r="AC44" s="639">
        <f t="shared" ref="AC44:AC45" si="7">AA44/AA81*100</f>
        <v>0</v>
      </c>
      <c r="AD44" s="643"/>
      <c r="AE44" s="628"/>
    </row>
    <row r="45" spans="2:32" s="3" customFormat="1" ht="35.1" customHeight="1" x14ac:dyDescent="0.2">
      <c r="B45" s="519"/>
      <c r="C45" s="520" t="s">
        <v>16</v>
      </c>
      <c r="D45" s="521"/>
      <c r="E45" s="627">
        <v>0</v>
      </c>
      <c r="F45" s="627"/>
      <c r="G45" s="627">
        <v>8000</v>
      </c>
      <c r="H45" s="670" t="s">
        <v>62</v>
      </c>
      <c r="I45" s="627">
        <v>0</v>
      </c>
      <c r="J45" s="627"/>
      <c r="K45" s="627">
        <v>0</v>
      </c>
      <c r="L45" s="627"/>
      <c r="M45" s="627">
        <v>0</v>
      </c>
      <c r="N45" s="627"/>
      <c r="O45" s="627">
        <v>0</v>
      </c>
      <c r="P45" s="627"/>
      <c r="Q45" s="627">
        <v>0</v>
      </c>
      <c r="R45" s="627"/>
      <c r="S45" s="627">
        <v>0</v>
      </c>
      <c r="T45" s="627"/>
      <c r="U45" s="627">
        <v>0</v>
      </c>
      <c r="V45" s="627"/>
      <c r="W45" s="627">
        <v>0</v>
      </c>
      <c r="X45" s="627"/>
      <c r="Y45" s="627">
        <v>0</v>
      </c>
      <c r="Z45" s="627"/>
      <c r="AA45" s="638">
        <f>SUM(E45:Z45)</f>
        <v>8000</v>
      </c>
      <c r="AB45" s="672" t="s">
        <v>62</v>
      </c>
      <c r="AC45" s="639">
        <f t="shared" si="7"/>
        <v>0.34850552119871958</v>
      </c>
      <c r="AD45" s="643"/>
      <c r="AE45" s="628"/>
    </row>
    <row r="46" spans="2:32" s="3" customFormat="1" ht="35.1" customHeight="1" x14ac:dyDescent="0.2">
      <c r="C46" s="241"/>
      <c r="D46" s="252"/>
      <c r="E46" s="240"/>
      <c r="F46" s="240"/>
      <c r="G46" s="240"/>
      <c r="H46" s="240"/>
      <c r="I46" s="240"/>
      <c r="J46" s="240"/>
      <c r="K46" s="240"/>
      <c r="L46" s="240"/>
      <c r="M46" s="240"/>
      <c r="N46" s="240"/>
      <c r="O46" s="240"/>
      <c r="P46" s="240"/>
      <c r="Q46" s="240"/>
      <c r="R46" s="240"/>
      <c r="S46" s="240"/>
      <c r="T46" s="240"/>
      <c r="U46" s="240"/>
      <c r="V46" s="240"/>
      <c r="W46" s="240"/>
      <c r="X46" s="240"/>
      <c r="Y46" s="240"/>
      <c r="Z46" s="240"/>
      <c r="AB46" s="242"/>
      <c r="AC46" s="251" t="s">
        <v>84</v>
      </c>
      <c r="AD46" s="253"/>
      <c r="AF46" s="211"/>
    </row>
    <row r="47" spans="2:32" s="677" customFormat="1" ht="65.099999999999994" customHeight="1" x14ac:dyDescent="0.2">
      <c r="B47" s="673" t="s">
        <v>145</v>
      </c>
      <c r="C47" s="674"/>
      <c r="D47" s="673"/>
      <c r="E47" s="675"/>
      <c r="F47" s="675"/>
      <c r="G47" s="675"/>
      <c r="H47" s="675"/>
      <c r="I47" s="675"/>
      <c r="J47" s="675"/>
      <c r="K47" s="676"/>
      <c r="L47" s="676"/>
      <c r="M47" s="676"/>
      <c r="N47" s="676"/>
      <c r="O47" s="676"/>
      <c r="P47" s="676"/>
      <c r="Q47" s="676"/>
      <c r="R47" s="676"/>
      <c r="S47" s="676"/>
      <c r="T47" s="676"/>
      <c r="U47" s="676"/>
      <c r="V47" s="676"/>
      <c r="W47" s="676"/>
      <c r="X47" s="676"/>
      <c r="Y47" s="676"/>
      <c r="Z47" s="676"/>
    </row>
    <row r="48" spans="2:32" s="677" customFormat="1" ht="81.599999999999994" customHeight="1" x14ac:dyDescent="0.2">
      <c r="B48" s="936" t="s">
        <v>355</v>
      </c>
      <c r="C48" s="936"/>
      <c r="D48" s="936"/>
      <c r="E48" s="936"/>
      <c r="F48" s="936"/>
      <c r="G48" s="936"/>
      <c r="H48" s="936"/>
      <c r="I48" s="936"/>
      <c r="J48" s="936"/>
      <c r="K48" s="936"/>
      <c r="L48" s="936"/>
      <c r="M48" s="936"/>
      <c r="N48" s="936"/>
      <c r="O48" s="936"/>
      <c r="P48" s="936"/>
      <c r="Q48" s="936"/>
      <c r="R48" s="936"/>
      <c r="S48" s="936"/>
      <c r="T48" s="936"/>
      <c r="U48" s="936"/>
      <c r="V48" s="936"/>
      <c r="W48" s="936"/>
      <c r="X48" s="936"/>
      <c r="Y48" s="936"/>
      <c r="Z48" s="936"/>
      <c r="AA48" s="936"/>
      <c r="AB48" s="936"/>
      <c r="AC48" s="936"/>
      <c r="AD48" s="936"/>
    </row>
    <row r="49" spans="2:32" s="677" customFormat="1" ht="65.099999999999994" customHeight="1" x14ac:dyDescent="0.2">
      <c r="B49" s="936">
        <v>2024</v>
      </c>
      <c r="C49" s="936"/>
      <c r="D49" s="936"/>
      <c r="E49" s="936"/>
      <c r="F49" s="936"/>
      <c r="G49" s="936"/>
      <c r="H49" s="936"/>
      <c r="I49" s="936"/>
      <c r="J49" s="936"/>
      <c r="K49" s="936"/>
      <c r="L49" s="936"/>
      <c r="M49" s="936"/>
      <c r="N49" s="936"/>
      <c r="O49" s="936"/>
      <c r="P49" s="936"/>
      <c r="Q49" s="936"/>
      <c r="R49" s="936"/>
      <c r="S49" s="936"/>
      <c r="T49" s="936"/>
      <c r="U49" s="936"/>
      <c r="V49" s="936"/>
      <c r="W49" s="936"/>
      <c r="X49" s="936"/>
      <c r="Y49" s="936"/>
      <c r="Z49" s="936"/>
      <c r="AA49" s="936"/>
      <c r="AB49" s="936"/>
      <c r="AC49" s="936"/>
      <c r="AD49" s="936"/>
    </row>
    <row r="50" spans="2:32" s="237" customFormat="1" ht="27" customHeight="1" x14ac:dyDescent="0.2">
      <c r="B50" s="238"/>
      <c r="C50" s="254" t="s">
        <v>303</v>
      </c>
      <c r="D50" s="238"/>
      <c r="E50" s="238"/>
      <c r="F50" s="238"/>
      <c r="G50" s="238"/>
      <c r="H50" s="238"/>
      <c r="I50" s="238"/>
      <c r="J50" s="238"/>
      <c r="K50" s="238"/>
      <c r="L50" s="238"/>
      <c r="M50" s="238"/>
      <c r="N50" s="238"/>
      <c r="O50" s="238"/>
      <c r="P50" s="238"/>
      <c r="Q50" s="238"/>
      <c r="R50" s="238"/>
      <c r="S50" s="238"/>
      <c r="T50" s="238"/>
      <c r="U50" s="238"/>
      <c r="V50" s="238"/>
      <c r="W50" s="238"/>
      <c r="X50" s="238"/>
      <c r="Y50" s="238"/>
      <c r="Z50" s="238"/>
      <c r="AA50" s="238"/>
      <c r="AB50" s="238"/>
      <c r="AC50" s="238"/>
      <c r="AD50" s="238"/>
      <c r="AF50" s="211"/>
    </row>
    <row r="51" spans="2:32" s="3" customFormat="1" ht="64.900000000000006" customHeight="1" x14ac:dyDescent="0.2">
      <c r="B51" s="931" t="s">
        <v>271</v>
      </c>
      <c r="C51" s="931"/>
      <c r="D51" s="931"/>
      <c r="E51" s="932" t="s">
        <v>201</v>
      </c>
      <c r="F51" s="933"/>
      <c r="G51" s="933"/>
      <c r="H51" s="933"/>
      <c r="I51" s="933"/>
      <c r="J51" s="933"/>
      <c r="K51" s="933"/>
      <c r="L51" s="933"/>
      <c r="M51" s="933"/>
      <c r="N51" s="933"/>
      <c r="O51" s="933"/>
      <c r="P51" s="933"/>
      <c r="Q51" s="933"/>
      <c r="R51" s="933"/>
      <c r="S51" s="933"/>
      <c r="T51" s="933"/>
      <c r="U51" s="933"/>
      <c r="V51" s="933"/>
      <c r="W51" s="933"/>
      <c r="X51" s="933"/>
      <c r="Y51" s="933"/>
      <c r="Z51" s="934"/>
      <c r="AA51" s="937" t="s">
        <v>86</v>
      </c>
      <c r="AB51" s="938"/>
      <c r="AC51" s="938"/>
      <c r="AD51" s="938"/>
      <c r="AF51" s="211"/>
    </row>
    <row r="52" spans="2:32" s="96" customFormat="1" ht="158.25" customHeight="1" x14ac:dyDescent="0.2">
      <c r="B52" s="931"/>
      <c r="C52" s="931"/>
      <c r="D52" s="931"/>
      <c r="E52" s="942" t="s">
        <v>260</v>
      </c>
      <c r="F52" s="940"/>
      <c r="G52" s="940" t="s">
        <v>196</v>
      </c>
      <c r="H52" s="941"/>
      <c r="I52" s="941" t="s">
        <v>272</v>
      </c>
      <c r="J52" s="941"/>
      <c r="K52" s="941" t="s">
        <v>89</v>
      </c>
      <c r="L52" s="941"/>
      <c r="M52" s="941" t="s">
        <v>109</v>
      </c>
      <c r="N52" s="941"/>
      <c r="O52" s="941" t="s">
        <v>304</v>
      </c>
      <c r="P52" s="941"/>
      <c r="Q52" s="941" t="s">
        <v>340</v>
      </c>
      <c r="R52" s="941"/>
      <c r="S52" s="941" t="s">
        <v>197</v>
      </c>
      <c r="T52" s="941"/>
      <c r="U52" s="941" t="s">
        <v>19</v>
      </c>
      <c r="V52" s="941"/>
      <c r="W52" s="939" t="s">
        <v>46</v>
      </c>
      <c r="X52" s="940"/>
      <c r="Y52" s="939" t="s">
        <v>341</v>
      </c>
      <c r="Z52" s="940"/>
      <c r="AA52" s="935" t="s">
        <v>63</v>
      </c>
      <c r="AB52" s="935"/>
      <c r="AC52" s="935" t="s">
        <v>5</v>
      </c>
      <c r="AD52" s="935"/>
      <c r="AF52" s="211"/>
    </row>
    <row r="53" spans="2:32" s="3" customFormat="1" ht="21.75" customHeight="1" x14ac:dyDescent="0.2">
      <c r="B53" s="519"/>
      <c r="C53" s="520"/>
      <c r="D53" s="521"/>
      <c r="E53" s="240"/>
      <c r="F53" s="240"/>
      <c r="G53" s="240"/>
      <c r="H53" s="240"/>
      <c r="I53" s="240"/>
      <c r="J53" s="240"/>
      <c r="K53" s="240"/>
      <c r="L53" s="240"/>
      <c r="M53" s="240"/>
      <c r="N53" s="240"/>
      <c r="O53" s="240"/>
      <c r="P53" s="240"/>
      <c r="Q53" s="240"/>
      <c r="R53" s="240"/>
      <c r="S53" s="240"/>
      <c r="T53" s="240"/>
      <c r="U53" s="240"/>
      <c r="V53" s="240"/>
      <c r="W53" s="240"/>
      <c r="X53" s="240"/>
      <c r="Y53" s="240"/>
      <c r="Z53" s="240"/>
      <c r="AA53" s="242"/>
      <c r="AB53" s="242"/>
      <c r="AC53" s="220"/>
      <c r="AD53" s="253"/>
      <c r="AF53" s="211"/>
    </row>
    <row r="54" spans="2:32" s="96" customFormat="1" ht="35.1" customHeight="1" x14ac:dyDescent="0.2">
      <c r="B54" s="519"/>
      <c r="C54" s="944" t="s">
        <v>122</v>
      </c>
      <c r="D54" s="944"/>
      <c r="E54" s="634"/>
      <c r="F54" s="634"/>
      <c r="G54" s="634"/>
      <c r="H54" s="634"/>
      <c r="I54" s="634"/>
      <c r="J54" s="634"/>
      <c r="K54" s="634"/>
      <c r="L54" s="634"/>
      <c r="M54" s="628"/>
      <c r="N54" s="634"/>
      <c r="O54" s="628"/>
      <c r="P54" s="635"/>
      <c r="Q54" s="634"/>
      <c r="R54" s="635"/>
      <c r="S54" s="634"/>
      <c r="T54" s="635"/>
      <c r="U54" s="634"/>
      <c r="V54" s="635"/>
      <c r="W54" s="634"/>
      <c r="X54" s="634"/>
      <c r="Y54" s="634"/>
      <c r="Z54" s="634"/>
      <c r="AA54" s="638"/>
      <c r="AB54" s="628"/>
      <c r="AC54" s="642"/>
      <c r="AD54" s="643"/>
      <c r="AE54" s="648"/>
      <c r="AF54" s="211"/>
    </row>
    <row r="55" spans="2:32" s="96" customFormat="1" ht="35.1" customHeight="1" x14ac:dyDescent="0.2">
      <c r="B55" s="519"/>
      <c r="C55" s="943" t="s">
        <v>293</v>
      </c>
      <c r="D55" s="943"/>
      <c r="E55" s="634"/>
      <c r="F55" s="634"/>
      <c r="G55" s="634"/>
      <c r="H55" s="634"/>
      <c r="I55" s="634"/>
      <c r="J55" s="634"/>
      <c r="K55" s="634"/>
      <c r="L55" s="634"/>
      <c r="M55" s="641"/>
      <c r="N55" s="634"/>
      <c r="O55" s="635"/>
      <c r="P55" s="635"/>
      <c r="Q55" s="634"/>
      <c r="R55" s="635"/>
      <c r="S55" s="634"/>
      <c r="T55" s="635"/>
      <c r="U55" s="634"/>
      <c r="V55" s="635"/>
      <c r="W55" s="634"/>
      <c r="X55" s="634"/>
      <c r="Y55" s="634"/>
      <c r="Z55" s="634"/>
      <c r="AA55" s="638"/>
      <c r="AB55" s="628"/>
      <c r="AC55" s="642"/>
      <c r="AD55" s="643"/>
      <c r="AE55" s="648"/>
      <c r="AF55" s="211"/>
    </row>
    <row r="56" spans="2:32" s="67" customFormat="1" ht="35.1" customHeight="1" x14ac:dyDescent="0.2">
      <c r="B56" s="519"/>
      <c r="C56" s="520" t="s">
        <v>342</v>
      </c>
      <c r="D56" s="521"/>
      <c r="E56" s="627">
        <v>0</v>
      </c>
      <c r="F56" s="627"/>
      <c r="G56" s="627">
        <f>1+1</f>
        <v>2</v>
      </c>
      <c r="H56" s="627"/>
      <c r="I56" s="627">
        <f>2+1+1+1</f>
        <v>5</v>
      </c>
      <c r="J56" s="627"/>
      <c r="K56" s="627">
        <v>1</v>
      </c>
      <c r="L56" s="627"/>
      <c r="M56" s="627">
        <v>0</v>
      </c>
      <c r="N56" s="627"/>
      <c r="O56" s="627">
        <v>1</v>
      </c>
      <c r="P56" s="627"/>
      <c r="Q56" s="627">
        <f>1+1+1</f>
        <v>3</v>
      </c>
      <c r="R56" s="627"/>
      <c r="S56" s="627">
        <f>1+1+1+1+3+7+3+1+1+1+1</f>
        <v>21</v>
      </c>
      <c r="T56" s="627"/>
      <c r="U56" s="627">
        <v>0</v>
      </c>
      <c r="V56" s="627"/>
      <c r="W56" s="627">
        <f>4+1+1+1+1</f>
        <v>8</v>
      </c>
      <c r="X56" s="627"/>
      <c r="Y56" s="627">
        <v>1</v>
      </c>
      <c r="Z56" s="627"/>
      <c r="AA56" s="638">
        <f>SUM(E56:Z56)</f>
        <v>42</v>
      </c>
      <c r="AB56" s="638"/>
      <c r="AC56" s="639">
        <f>AA56/AA80*100</f>
        <v>66.666666666666657</v>
      </c>
      <c r="AD56" s="643"/>
      <c r="AE56" s="594"/>
      <c r="AF56" s="211"/>
    </row>
    <row r="57" spans="2:32" s="67" customFormat="1" ht="35.1" customHeight="1" x14ac:dyDescent="0.2">
      <c r="B57" s="519"/>
      <c r="C57" s="520" t="s">
        <v>15</v>
      </c>
      <c r="D57" s="521"/>
      <c r="E57" s="627">
        <v>0</v>
      </c>
      <c r="F57" s="627"/>
      <c r="G57" s="627">
        <f>256+68</f>
        <v>324</v>
      </c>
      <c r="H57" s="627"/>
      <c r="I57" s="627">
        <f>230+80+25+25+62</f>
        <v>422</v>
      </c>
      <c r="J57" s="627"/>
      <c r="K57" s="627">
        <v>5000</v>
      </c>
      <c r="L57" s="627"/>
      <c r="M57" s="627">
        <v>0</v>
      </c>
      <c r="N57" s="627"/>
      <c r="O57" s="627">
        <v>390</v>
      </c>
      <c r="P57" s="627"/>
      <c r="Q57" s="627">
        <f>900+1600+220</f>
        <v>2720</v>
      </c>
      <c r="R57" s="627"/>
      <c r="S57" s="627">
        <f>200+157+100+1517+1105+18246+8500+600+400+11700+1500</f>
        <v>44025</v>
      </c>
      <c r="T57" s="627"/>
      <c r="U57" s="627">
        <v>0</v>
      </c>
      <c r="V57" s="627"/>
      <c r="W57" s="627">
        <f>6480+380+2000+10000+314</f>
        <v>19174</v>
      </c>
      <c r="X57" s="627"/>
      <c r="Y57" s="627">
        <v>500</v>
      </c>
      <c r="Z57" s="627"/>
      <c r="AA57" s="638">
        <f t="shared" ref="AA57:AA58" si="8">SUM(E57:Z57)</f>
        <v>72555</v>
      </c>
      <c r="AB57" s="638"/>
      <c r="AC57" s="639">
        <f>AA57/AA81*100</f>
        <v>94.590894868585735</v>
      </c>
      <c r="AD57" s="643"/>
      <c r="AE57" s="594"/>
      <c r="AF57" s="211"/>
    </row>
    <row r="58" spans="2:32" s="67" customFormat="1" ht="35.1" customHeight="1" x14ac:dyDescent="0.2">
      <c r="B58" s="519"/>
      <c r="C58" s="520" t="s">
        <v>16</v>
      </c>
      <c r="D58" s="521"/>
      <c r="E58" s="627">
        <v>0</v>
      </c>
      <c r="F58" s="627"/>
      <c r="G58" s="627">
        <f>6144+13056</f>
        <v>19200</v>
      </c>
      <c r="H58" s="627"/>
      <c r="I58" s="627">
        <f>3680+1920+16640+2400+1000+5000+16000+2480+15360+4992+4800</f>
        <v>74272</v>
      </c>
      <c r="J58" s="627"/>
      <c r="K58" s="627">
        <v>40000</v>
      </c>
      <c r="L58" s="627"/>
      <c r="M58" s="627">
        <v>0</v>
      </c>
      <c r="N58" s="627"/>
      <c r="O58" s="627">
        <v>6240</v>
      </c>
      <c r="P58" s="627"/>
      <c r="Q58" s="627">
        <f>7200+12800+1760</f>
        <v>21760</v>
      </c>
      <c r="R58" s="627"/>
      <c r="S58" s="627">
        <f>3200+1256+400+60680+54088+756240+336000+96000+81600+21600+210600+27000+72000+2400+140400+27000</f>
        <v>1890464</v>
      </c>
      <c r="T58" s="627"/>
      <c r="U58" s="627">
        <v>0</v>
      </c>
      <c r="V58" s="627"/>
      <c r="W58" s="627">
        <f>25920+2280+12000+60000+1884</f>
        <v>102084</v>
      </c>
      <c r="X58" s="627"/>
      <c r="Y58" s="627">
        <v>4000</v>
      </c>
      <c r="Z58" s="627"/>
      <c r="AA58" s="655">
        <f t="shared" si="8"/>
        <v>2158020</v>
      </c>
      <c r="AB58" s="638"/>
      <c r="AC58" s="639">
        <f>AA58/AA82*100</f>
        <v>94.010235607157611</v>
      </c>
      <c r="AD58" s="643"/>
      <c r="AE58" s="594"/>
      <c r="AF58" s="211"/>
    </row>
    <row r="59" spans="2:32" s="96" customFormat="1" ht="35.1" customHeight="1" x14ac:dyDescent="0.2">
      <c r="B59" s="519"/>
      <c r="C59" s="944" t="s">
        <v>278</v>
      </c>
      <c r="D59" s="944"/>
      <c r="E59" s="634"/>
      <c r="F59" s="634"/>
      <c r="G59" s="634"/>
      <c r="H59" s="634"/>
      <c r="I59" s="634"/>
      <c r="J59" s="634"/>
      <c r="K59" s="634"/>
      <c r="L59" s="634"/>
      <c r="M59" s="628"/>
      <c r="N59" s="634"/>
      <c r="O59" s="628"/>
      <c r="P59" s="635"/>
      <c r="Q59" s="634"/>
      <c r="R59" s="635"/>
      <c r="S59" s="634"/>
      <c r="T59" s="635"/>
      <c r="U59" s="634"/>
      <c r="V59" s="635"/>
      <c r="W59" s="634"/>
      <c r="X59" s="634"/>
      <c r="Y59" s="634"/>
      <c r="Z59" s="634"/>
      <c r="AA59" s="638"/>
      <c r="AB59" s="628"/>
      <c r="AC59" s="642"/>
      <c r="AD59" s="643"/>
      <c r="AE59" s="648"/>
      <c r="AF59" s="211"/>
    </row>
    <row r="60" spans="2:32" s="96" customFormat="1" ht="35.1" customHeight="1" x14ac:dyDescent="0.2">
      <c r="B60" s="519"/>
      <c r="C60" s="943" t="s">
        <v>251</v>
      </c>
      <c r="D60" s="943"/>
      <c r="E60" s="634"/>
      <c r="F60" s="634"/>
      <c r="G60" s="634"/>
      <c r="H60" s="634"/>
      <c r="I60" s="634"/>
      <c r="J60" s="634"/>
      <c r="K60" s="634"/>
      <c r="L60" s="634"/>
      <c r="M60" s="641"/>
      <c r="N60" s="634"/>
      <c r="O60" s="635"/>
      <c r="P60" s="635"/>
      <c r="Q60" s="634"/>
      <c r="R60" s="635"/>
      <c r="S60" s="634"/>
      <c r="T60" s="635"/>
      <c r="U60" s="634"/>
      <c r="V60" s="635"/>
      <c r="W60" s="634"/>
      <c r="X60" s="634"/>
      <c r="Y60" s="634"/>
      <c r="Z60" s="634"/>
      <c r="AA60" s="638"/>
      <c r="AB60" s="628"/>
      <c r="AC60" s="642"/>
      <c r="AD60" s="643"/>
      <c r="AE60" s="648"/>
      <c r="AF60" s="211"/>
    </row>
    <row r="61" spans="2:32" s="67" customFormat="1" ht="35.1" customHeight="1" x14ac:dyDescent="0.2">
      <c r="B61" s="519"/>
      <c r="C61" s="520" t="s">
        <v>342</v>
      </c>
      <c r="D61" s="521"/>
      <c r="E61" s="627">
        <v>0</v>
      </c>
      <c r="F61" s="627"/>
      <c r="G61" s="627">
        <v>0</v>
      </c>
      <c r="H61" s="627"/>
      <c r="I61" s="627">
        <v>1</v>
      </c>
      <c r="J61" s="627"/>
      <c r="K61" s="627">
        <v>0</v>
      </c>
      <c r="L61" s="627"/>
      <c r="M61" s="627">
        <v>0</v>
      </c>
      <c r="N61" s="627"/>
      <c r="O61" s="627">
        <v>0</v>
      </c>
      <c r="P61" s="627"/>
      <c r="Q61" s="627">
        <v>0</v>
      </c>
      <c r="R61" s="627"/>
      <c r="S61" s="627">
        <v>0</v>
      </c>
      <c r="T61" s="627"/>
      <c r="U61" s="627">
        <v>0</v>
      </c>
      <c r="V61" s="627"/>
      <c r="W61" s="627">
        <v>0</v>
      </c>
      <c r="X61" s="627"/>
      <c r="Y61" s="627">
        <v>0</v>
      </c>
      <c r="Z61" s="627"/>
      <c r="AA61" s="638">
        <f>SUM(E61:Z61)</f>
        <v>1</v>
      </c>
      <c r="AB61" s="638"/>
      <c r="AC61" s="639">
        <f>AA61/AA80*100</f>
        <v>1.5873015873015872</v>
      </c>
      <c r="AD61" s="643"/>
      <c r="AE61" s="594"/>
      <c r="AF61" s="211"/>
    </row>
    <row r="62" spans="2:32" s="67" customFormat="1" ht="35.1" customHeight="1" x14ac:dyDescent="0.2">
      <c r="B62" s="519"/>
      <c r="C62" s="520" t="s">
        <v>15</v>
      </c>
      <c r="D62" s="521"/>
      <c r="E62" s="627">
        <v>0</v>
      </c>
      <c r="F62" s="627"/>
      <c r="G62" s="627">
        <v>0</v>
      </c>
      <c r="H62" s="627"/>
      <c r="I62" s="627">
        <v>65</v>
      </c>
      <c r="J62" s="627"/>
      <c r="K62" s="627">
        <v>0</v>
      </c>
      <c r="L62" s="627"/>
      <c r="M62" s="627">
        <v>0</v>
      </c>
      <c r="N62" s="627"/>
      <c r="O62" s="627">
        <v>0</v>
      </c>
      <c r="P62" s="627"/>
      <c r="Q62" s="627">
        <v>0</v>
      </c>
      <c r="R62" s="627"/>
      <c r="S62" s="627">
        <v>0</v>
      </c>
      <c r="T62" s="627"/>
      <c r="U62" s="627">
        <v>0</v>
      </c>
      <c r="V62" s="627"/>
      <c r="W62" s="627">
        <v>0</v>
      </c>
      <c r="X62" s="627"/>
      <c r="Y62" s="627">
        <v>0</v>
      </c>
      <c r="Z62" s="627"/>
      <c r="AA62" s="638">
        <f>SUM(E62:Z62)</f>
        <v>65</v>
      </c>
      <c r="AB62" s="638"/>
      <c r="AC62" s="639">
        <f>AA62/AA81*100</f>
        <v>8.4741343345848985E-2</v>
      </c>
      <c r="AD62" s="643"/>
      <c r="AE62" s="594"/>
      <c r="AF62" s="211"/>
    </row>
    <row r="63" spans="2:32" s="67" customFormat="1" ht="35.1" customHeight="1" x14ac:dyDescent="0.2">
      <c r="B63" s="519"/>
      <c r="C63" s="520" t="s">
        <v>16</v>
      </c>
      <c r="D63" s="521"/>
      <c r="E63" s="627">
        <f>5408+5200+4992+6656+5888</f>
        <v>28144</v>
      </c>
      <c r="F63" s="670" t="s">
        <v>62</v>
      </c>
      <c r="G63" s="627">
        <v>0</v>
      </c>
      <c r="H63" s="627"/>
      <c r="I63" s="627">
        <v>6208</v>
      </c>
      <c r="J63" s="627"/>
      <c r="K63" s="627">
        <v>0</v>
      </c>
      <c r="L63" s="627"/>
      <c r="M63" s="627">
        <v>0</v>
      </c>
      <c r="N63" s="627"/>
      <c r="O63" s="627">
        <v>0</v>
      </c>
      <c r="P63" s="627"/>
      <c r="Q63" s="627">
        <v>0</v>
      </c>
      <c r="R63" s="627"/>
      <c r="S63" s="627">
        <v>0</v>
      </c>
      <c r="T63" s="627"/>
      <c r="U63" s="627">
        <v>0</v>
      </c>
      <c r="V63" s="627"/>
      <c r="W63" s="627">
        <v>0</v>
      </c>
      <c r="X63" s="627"/>
      <c r="Y63" s="627">
        <v>0</v>
      </c>
      <c r="Z63" s="627"/>
      <c r="AA63" s="638">
        <f>SUM(E63:Z63)</f>
        <v>34352</v>
      </c>
      <c r="AB63" s="638" t="s">
        <v>62</v>
      </c>
      <c r="AC63" s="639">
        <f>AA63/AA82*100</f>
        <v>1.496482708027302</v>
      </c>
      <c r="AD63" s="643"/>
      <c r="AE63" s="594"/>
      <c r="AF63" s="211"/>
    </row>
    <row r="64" spans="2:32" s="96" customFormat="1" ht="35.1" customHeight="1" x14ac:dyDescent="0.2">
      <c r="B64" s="519"/>
      <c r="C64" s="943" t="s">
        <v>329</v>
      </c>
      <c r="D64" s="943"/>
      <c r="E64" s="634"/>
      <c r="F64" s="634"/>
      <c r="G64" s="634"/>
      <c r="H64" s="634"/>
      <c r="I64" s="634"/>
      <c r="J64" s="634"/>
      <c r="K64" s="634"/>
      <c r="L64" s="634"/>
      <c r="M64" s="641"/>
      <c r="N64" s="634"/>
      <c r="O64" s="635"/>
      <c r="P64" s="635"/>
      <c r="Q64" s="634"/>
      <c r="R64" s="635"/>
      <c r="S64" s="634"/>
      <c r="T64" s="635"/>
      <c r="U64" s="634"/>
      <c r="V64" s="635"/>
      <c r="W64" s="634"/>
      <c r="X64" s="634"/>
      <c r="Y64" s="634"/>
      <c r="Z64" s="634"/>
      <c r="AA64" s="638"/>
      <c r="AB64" s="628"/>
      <c r="AC64" s="642"/>
      <c r="AD64" s="643"/>
      <c r="AE64" s="648"/>
      <c r="AF64" s="211"/>
    </row>
    <row r="65" spans="2:33" s="67" customFormat="1" ht="35.1" customHeight="1" x14ac:dyDescent="0.2">
      <c r="B65" s="519"/>
      <c r="C65" s="520" t="s">
        <v>342</v>
      </c>
      <c r="D65" s="521"/>
      <c r="E65" s="627">
        <v>0</v>
      </c>
      <c r="F65" s="627"/>
      <c r="G65" s="627">
        <v>1</v>
      </c>
      <c r="H65" s="627"/>
      <c r="I65" s="627">
        <v>0</v>
      </c>
      <c r="J65" s="627"/>
      <c r="K65" s="627">
        <v>0</v>
      </c>
      <c r="L65" s="627"/>
      <c r="M65" s="627">
        <v>0</v>
      </c>
      <c r="N65" s="627"/>
      <c r="O65" s="627">
        <v>0</v>
      </c>
      <c r="P65" s="627"/>
      <c r="Q65" s="627">
        <v>0</v>
      </c>
      <c r="R65" s="627"/>
      <c r="S65" s="627">
        <v>0</v>
      </c>
      <c r="T65" s="627"/>
      <c r="U65" s="627">
        <v>0</v>
      </c>
      <c r="V65" s="627"/>
      <c r="W65" s="627">
        <v>0</v>
      </c>
      <c r="X65" s="627"/>
      <c r="Y65" s="627">
        <v>0</v>
      </c>
      <c r="Z65" s="627"/>
      <c r="AA65" s="638">
        <f>SUM(E65:Z65)</f>
        <v>1</v>
      </c>
      <c r="AB65" s="638"/>
      <c r="AC65" s="639">
        <f>AA65/AA80*100</f>
        <v>1.5873015873015872</v>
      </c>
      <c r="AD65" s="643"/>
      <c r="AE65" s="594"/>
      <c r="AF65" s="211"/>
    </row>
    <row r="66" spans="2:33" s="67" customFormat="1" ht="35.1" customHeight="1" x14ac:dyDescent="0.2">
      <c r="B66" s="519"/>
      <c r="C66" s="520" t="s">
        <v>15</v>
      </c>
      <c r="D66" s="521"/>
      <c r="E66" s="627">
        <v>0</v>
      </c>
      <c r="F66" s="627"/>
      <c r="G66" s="627">
        <v>57</v>
      </c>
      <c r="H66" s="627"/>
      <c r="I66" s="627">
        <v>0</v>
      </c>
      <c r="J66" s="627"/>
      <c r="K66" s="627">
        <v>0</v>
      </c>
      <c r="L66" s="627"/>
      <c r="M66" s="627">
        <v>0</v>
      </c>
      <c r="N66" s="627"/>
      <c r="O66" s="627">
        <v>0</v>
      </c>
      <c r="P66" s="627"/>
      <c r="Q66" s="627">
        <v>0</v>
      </c>
      <c r="R66" s="627"/>
      <c r="S66" s="627">
        <v>0</v>
      </c>
      <c r="T66" s="627"/>
      <c r="U66" s="627">
        <v>0</v>
      </c>
      <c r="V66" s="627"/>
      <c r="W66" s="627">
        <v>0</v>
      </c>
      <c r="X66" s="627"/>
      <c r="Y66" s="627">
        <v>0</v>
      </c>
      <c r="Z66" s="627"/>
      <c r="AA66" s="638">
        <f>SUM(E66:Z66)</f>
        <v>57</v>
      </c>
      <c r="AB66" s="638"/>
      <c r="AC66" s="639">
        <f>AA66/AA81*100</f>
        <v>7.43116395494368E-2</v>
      </c>
      <c r="AD66" s="643"/>
      <c r="AE66" s="594"/>
      <c r="AF66" s="211"/>
    </row>
    <row r="67" spans="2:33" s="67" customFormat="1" ht="35.1" customHeight="1" x14ac:dyDescent="0.2">
      <c r="B67" s="519"/>
      <c r="C67" s="520" t="s">
        <v>16</v>
      </c>
      <c r="D67" s="521"/>
      <c r="E67" s="627">
        <v>0</v>
      </c>
      <c r="F67" s="629"/>
      <c r="G67" s="627">
        <v>2736</v>
      </c>
      <c r="H67" s="627"/>
      <c r="I67" s="627">
        <v>0</v>
      </c>
      <c r="J67" s="627"/>
      <c r="K67" s="627">
        <v>0</v>
      </c>
      <c r="L67" s="627"/>
      <c r="M67" s="627">
        <v>0</v>
      </c>
      <c r="N67" s="627"/>
      <c r="O67" s="627">
        <v>0</v>
      </c>
      <c r="P67" s="627"/>
      <c r="Q67" s="627">
        <v>0</v>
      </c>
      <c r="R67" s="627"/>
      <c r="S67" s="627">
        <v>0</v>
      </c>
      <c r="T67" s="627"/>
      <c r="U67" s="627">
        <v>0</v>
      </c>
      <c r="V67" s="627"/>
      <c r="W67" s="627">
        <v>0</v>
      </c>
      <c r="X67" s="627"/>
      <c r="Y67" s="627">
        <v>0</v>
      </c>
      <c r="Z67" s="627"/>
      <c r="AA67" s="638">
        <f>SUM(E67:Z67)</f>
        <v>2736</v>
      </c>
      <c r="AB67" s="638"/>
      <c r="AC67" s="639">
        <f>AA67/AA82*100</f>
        <v>0.1191888882499621</v>
      </c>
      <c r="AD67" s="643"/>
      <c r="AE67" s="594"/>
      <c r="AF67" s="211"/>
    </row>
    <row r="68" spans="2:33" s="96" customFormat="1" ht="35.1" customHeight="1" x14ac:dyDescent="0.2">
      <c r="B68" s="519"/>
      <c r="C68" s="944" t="s">
        <v>330</v>
      </c>
      <c r="D68" s="944"/>
      <c r="E68" s="634"/>
      <c r="F68" s="634"/>
      <c r="G68" s="634"/>
      <c r="H68" s="634"/>
      <c r="I68" s="634"/>
      <c r="J68" s="634"/>
      <c r="K68" s="634"/>
      <c r="L68" s="634"/>
      <c r="M68" s="628"/>
      <c r="N68" s="634"/>
      <c r="O68" s="628"/>
      <c r="P68" s="635"/>
      <c r="Q68" s="634"/>
      <c r="R68" s="635"/>
      <c r="S68" s="634"/>
      <c r="T68" s="635"/>
      <c r="U68" s="634"/>
      <c r="V68" s="635"/>
      <c r="W68" s="634"/>
      <c r="X68" s="634"/>
      <c r="Y68" s="634"/>
      <c r="Z68" s="634"/>
      <c r="AA68" s="638"/>
      <c r="AB68" s="628"/>
      <c r="AC68" s="642"/>
      <c r="AD68" s="643"/>
      <c r="AE68" s="648"/>
      <c r="AF68" s="211"/>
    </row>
    <row r="69" spans="2:33" s="96" customFormat="1" ht="35.1" customHeight="1" x14ac:dyDescent="0.2">
      <c r="B69" s="519"/>
      <c r="C69" s="943" t="s">
        <v>331</v>
      </c>
      <c r="D69" s="943"/>
      <c r="E69" s="634"/>
      <c r="F69" s="634"/>
      <c r="G69" s="634"/>
      <c r="H69" s="634"/>
      <c r="I69" s="634"/>
      <c r="J69" s="634"/>
      <c r="K69" s="634"/>
      <c r="L69" s="634"/>
      <c r="M69" s="641"/>
      <c r="N69" s="634"/>
      <c r="O69" s="635"/>
      <c r="P69" s="635"/>
      <c r="Q69" s="634"/>
      <c r="R69" s="635"/>
      <c r="S69" s="634"/>
      <c r="T69" s="635"/>
      <c r="U69" s="634"/>
      <c r="V69" s="635"/>
      <c r="W69" s="634"/>
      <c r="X69" s="634"/>
      <c r="Y69" s="634"/>
      <c r="Z69" s="634"/>
      <c r="AA69" s="638"/>
      <c r="AB69" s="628"/>
      <c r="AC69" s="642"/>
      <c r="AD69" s="643"/>
      <c r="AE69" s="648"/>
      <c r="AF69" s="211"/>
    </row>
    <row r="70" spans="2:33" s="67" customFormat="1" ht="35.1" customHeight="1" x14ac:dyDescent="0.2">
      <c r="B70" s="519"/>
      <c r="C70" s="520" t="s">
        <v>342</v>
      </c>
      <c r="D70" s="521"/>
      <c r="E70" s="627">
        <v>0</v>
      </c>
      <c r="F70" s="627"/>
      <c r="G70" s="627">
        <v>1</v>
      </c>
      <c r="H70" s="627"/>
      <c r="I70" s="627">
        <v>0</v>
      </c>
      <c r="J70" s="627"/>
      <c r="K70" s="627">
        <v>0</v>
      </c>
      <c r="L70" s="627"/>
      <c r="M70" s="627">
        <f>1+1</f>
        <v>2</v>
      </c>
      <c r="N70" s="627"/>
      <c r="O70" s="627">
        <v>0</v>
      </c>
      <c r="P70" s="627"/>
      <c r="Q70" s="627">
        <v>0</v>
      </c>
      <c r="R70" s="627"/>
      <c r="S70" s="627">
        <v>0</v>
      </c>
      <c r="T70" s="627"/>
      <c r="U70" s="627">
        <v>0</v>
      </c>
      <c r="V70" s="627"/>
      <c r="W70" s="627">
        <v>0</v>
      </c>
      <c r="X70" s="627"/>
      <c r="Y70" s="627">
        <v>0</v>
      </c>
      <c r="Z70" s="627"/>
      <c r="AA70" s="638">
        <f>SUM(E70:Z70)</f>
        <v>3</v>
      </c>
      <c r="AB70" s="638"/>
      <c r="AC70" s="639">
        <f>AA70/AA80*100</f>
        <v>4.7619047619047619</v>
      </c>
      <c r="AD70" s="643"/>
      <c r="AE70" s="594"/>
      <c r="AF70" s="211"/>
    </row>
    <row r="71" spans="2:33" s="67" customFormat="1" ht="35.1" customHeight="1" x14ac:dyDescent="0.2">
      <c r="B71" s="519"/>
      <c r="C71" s="520" t="s">
        <v>15</v>
      </c>
      <c r="D71" s="521"/>
      <c r="E71" s="627">
        <v>0</v>
      </c>
      <c r="F71" s="627"/>
      <c r="G71" s="627">
        <v>100</v>
      </c>
      <c r="H71" s="627"/>
      <c r="I71" s="627">
        <v>0</v>
      </c>
      <c r="J71" s="627"/>
      <c r="K71" s="627">
        <v>0</v>
      </c>
      <c r="L71" s="627"/>
      <c r="M71" s="627">
        <f>228+193</f>
        <v>421</v>
      </c>
      <c r="N71" s="627"/>
      <c r="O71" s="627">
        <v>0</v>
      </c>
      <c r="P71" s="627"/>
      <c r="Q71" s="627">
        <v>0</v>
      </c>
      <c r="R71" s="627"/>
      <c r="S71" s="627">
        <v>0</v>
      </c>
      <c r="T71" s="627"/>
      <c r="U71" s="627">
        <v>0</v>
      </c>
      <c r="V71" s="627"/>
      <c r="W71" s="627">
        <v>0</v>
      </c>
      <c r="X71" s="627"/>
      <c r="Y71" s="627">
        <v>0</v>
      </c>
      <c r="Z71" s="627"/>
      <c r="AA71" s="638">
        <f>SUM(E71:Z71)</f>
        <v>521</v>
      </c>
      <c r="AB71" s="638"/>
      <c r="AC71" s="639">
        <f t="shared" ref="AC71:AC72" si="9">AA71/AA81*100</f>
        <v>0.67923445974134333</v>
      </c>
      <c r="AD71" s="643"/>
      <c r="AE71" s="594"/>
      <c r="AF71" s="211"/>
    </row>
    <row r="72" spans="2:33" s="67" customFormat="1" ht="35.1" customHeight="1" x14ac:dyDescent="0.2">
      <c r="B72" s="519"/>
      <c r="C72" s="520" t="s">
        <v>16</v>
      </c>
      <c r="D72" s="521"/>
      <c r="E72" s="627">
        <v>0</v>
      </c>
      <c r="F72" s="627"/>
      <c r="G72" s="627">
        <v>4000</v>
      </c>
      <c r="H72" s="627"/>
      <c r="I72" s="627">
        <v>0</v>
      </c>
      <c r="J72" s="627"/>
      <c r="K72" s="627">
        <v>0</v>
      </c>
      <c r="L72" s="627"/>
      <c r="M72" s="627">
        <f>1824+3088</f>
        <v>4912</v>
      </c>
      <c r="N72" s="627"/>
      <c r="O72" s="627">
        <v>0</v>
      </c>
      <c r="P72" s="627"/>
      <c r="Q72" s="627">
        <v>0</v>
      </c>
      <c r="R72" s="627"/>
      <c r="S72" s="627">
        <v>0</v>
      </c>
      <c r="T72" s="627"/>
      <c r="U72" s="627">
        <v>0</v>
      </c>
      <c r="V72" s="627"/>
      <c r="W72" s="627">
        <v>0</v>
      </c>
      <c r="X72" s="627"/>
      <c r="Y72" s="627">
        <v>0</v>
      </c>
      <c r="Z72" s="627"/>
      <c r="AA72" s="638">
        <f>SUM(E72:Z72)</f>
        <v>8912</v>
      </c>
      <c r="AB72" s="638"/>
      <c r="AC72" s="639">
        <f t="shared" si="9"/>
        <v>0.38823515061537361</v>
      </c>
      <c r="AD72" s="643"/>
      <c r="AE72" s="594"/>
      <c r="AF72" s="211"/>
    </row>
    <row r="73" spans="2:33" s="96" customFormat="1" ht="35.1" customHeight="1" x14ac:dyDescent="0.2">
      <c r="B73" s="519"/>
      <c r="C73" s="944" t="s">
        <v>332</v>
      </c>
      <c r="D73" s="944"/>
      <c r="E73" s="635"/>
      <c r="F73" s="635"/>
      <c r="G73" s="628"/>
      <c r="H73" s="635"/>
      <c r="I73" s="628"/>
      <c r="J73" s="634"/>
      <c r="K73" s="634"/>
      <c r="L73" s="634"/>
      <c r="M73" s="641"/>
      <c r="N73" s="634"/>
      <c r="O73" s="635"/>
      <c r="P73" s="635"/>
      <c r="Q73" s="634"/>
      <c r="R73" s="635"/>
      <c r="S73" s="634"/>
      <c r="T73" s="635"/>
      <c r="U73" s="634"/>
      <c r="V73" s="635"/>
      <c r="W73" s="634"/>
      <c r="X73" s="634"/>
      <c r="Y73" s="634"/>
      <c r="Z73" s="634"/>
      <c r="AA73" s="628"/>
      <c r="AB73" s="628"/>
      <c r="AC73" s="642"/>
      <c r="AD73" s="628"/>
      <c r="AE73" s="648"/>
      <c r="AF73" s="211"/>
    </row>
    <row r="74" spans="2:33" s="96" customFormat="1" ht="35.1" customHeight="1" x14ac:dyDescent="0.2">
      <c r="B74" s="519"/>
      <c r="C74" s="943" t="s">
        <v>332</v>
      </c>
      <c r="D74" s="943"/>
      <c r="E74" s="635"/>
      <c r="F74" s="635"/>
      <c r="G74" s="628"/>
      <c r="H74" s="635"/>
      <c r="I74" s="628"/>
      <c r="J74" s="634"/>
      <c r="K74" s="634"/>
      <c r="L74" s="634"/>
      <c r="M74" s="641"/>
      <c r="N74" s="634"/>
      <c r="O74" s="635"/>
      <c r="P74" s="635"/>
      <c r="Q74" s="634"/>
      <c r="R74" s="635"/>
      <c r="S74" s="634"/>
      <c r="T74" s="635"/>
      <c r="U74" s="634"/>
      <c r="V74" s="635"/>
      <c r="W74" s="634"/>
      <c r="X74" s="634"/>
      <c r="Y74" s="634"/>
      <c r="Z74" s="634"/>
      <c r="AA74" s="628"/>
      <c r="AB74" s="628"/>
      <c r="AC74" s="642"/>
      <c r="AD74" s="628"/>
      <c r="AE74" s="648"/>
      <c r="AF74" s="211"/>
    </row>
    <row r="75" spans="2:33" s="67" customFormat="1" ht="35.1" customHeight="1" x14ac:dyDescent="0.2">
      <c r="B75" s="519"/>
      <c r="C75" s="520" t="s">
        <v>342</v>
      </c>
      <c r="D75" s="521"/>
      <c r="E75" s="627">
        <v>0</v>
      </c>
      <c r="F75" s="627"/>
      <c r="G75" s="627">
        <v>0</v>
      </c>
      <c r="H75" s="627"/>
      <c r="I75" s="627">
        <v>0</v>
      </c>
      <c r="J75" s="627"/>
      <c r="K75" s="627">
        <v>0</v>
      </c>
      <c r="L75" s="627"/>
      <c r="M75" s="627">
        <v>0</v>
      </c>
      <c r="N75" s="627"/>
      <c r="O75" s="627">
        <v>0</v>
      </c>
      <c r="P75" s="627"/>
      <c r="Q75" s="627">
        <v>0</v>
      </c>
      <c r="R75" s="627"/>
      <c r="S75" s="627">
        <f>1+1</f>
        <v>2</v>
      </c>
      <c r="T75" s="627"/>
      <c r="U75" s="627">
        <v>0</v>
      </c>
      <c r="V75" s="627"/>
      <c r="W75" s="627">
        <v>0</v>
      </c>
      <c r="X75" s="627"/>
      <c r="Y75" s="627">
        <v>0</v>
      </c>
      <c r="Z75" s="627"/>
      <c r="AA75" s="638">
        <f>SUM(E75:Z75)</f>
        <v>2</v>
      </c>
      <c r="AB75" s="638"/>
      <c r="AC75" s="639">
        <f>AA75/AA80*100</f>
        <v>3.1746031746031744</v>
      </c>
      <c r="AD75" s="643"/>
      <c r="AE75" s="594"/>
      <c r="AF75" s="211"/>
    </row>
    <row r="76" spans="2:33" s="67" customFormat="1" ht="35.1" customHeight="1" x14ac:dyDescent="0.2">
      <c r="B76" s="519"/>
      <c r="C76" s="520" t="s">
        <v>15</v>
      </c>
      <c r="D76" s="521"/>
      <c r="E76" s="627">
        <v>0</v>
      </c>
      <c r="F76" s="627"/>
      <c r="G76" s="627">
        <v>0</v>
      </c>
      <c r="H76" s="627"/>
      <c r="I76" s="627">
        <v>0</v>
      </c>
      <c r="J76" s="627"/>
      <c r="K76" s="627">
        <v>0</v>
      </c>
      <c r="L76" s="627"/>
      <c r="M76" s="627">
        <v>0</v>
      </c>
      <c r="N76" s="627"/>
      <c r="O76" s="627">
        <v>0</v>
      </c>
      <c r="P76" s="627"/>
      <c r="Q76" s="627">
        <v>0</v>
      </c>
      <c r="R76" s="627"/>
      <c r="S76" s="627">
        <f>86+60</f>
        <v>146</v>
      </c>
      <c r="T76" s="627"/>
      <c r="U76" s="627">
        <v>0</v>
      </c>
      <c r="V76" s="627"/>
      <c r="W76" s="627">
        <v>0</v>
      </c>
      <c r="X76" s="627"/>
      <c r="Y76" s="627">
        <v>0</v>
      </c>
      <c r="Z76" s="627"/>
      <c r="AA76" s="638">
        <f>SUM(E76:Z76)</f>
        <v>146</v>
      </c>
      <c r="AB76" s="638"/>
      <c r="AC76" s="639">
        <f>AA76/AA81*100</f>
        <v>0.19034209428452231</v>
      </c>
      <c r="AD76" s="643"/>
      <c r="AE76" s="594"/>
      <c r="AF76" s="211"/>
    </row>
    <row r="77" spans="2:33" s="67" customFormat="1" ht="35.1" customHeight="1" x14ac:dyDescent="0.2">
      <c r="B77" s="519"/>
      <c r="C77" s="520" t="s">
        <v>16</v>
      </c>
      <c r="D77" s="521"/>
      <c r="E77" s="627">
        <v>0</v>
      </c>
      <c r="F77" s="627"/>
      <c r="G77" s="627">
        <v>0</v>
      </c>
      <c r="H77" s="627"/>
      <c r="I77" s="627">
        <v>0</v>
      </c>
      <c r="J77" s="627"/>
      <c r="K77" s="627">
        <v>0</v>
      </c>
      <c r="L77" s="627"/>
      <c r="M77" s="627">
        <v>0</v>
      </c>
      <c r="N77" s="627"/>
      <c r="O77" s="627">
        <v>0</v>
      </c>
      <c r="P77" s="627"/>
      <c r="Q77" s="627">
        <v>0</v>
      </c>
      <c r="R77" s="627"/>
      <c r="S77" s="627">
        <f>15824+2400</f>
        <v>18224</v>
      </c>
      <c r="T77" s="627"/>
      <c r="U77" s="627">
        <v>0</v>
      </c>
      <c r="V77" s="627"/>
      <c r="W77" s="627">
        <v>0</v>
      </c>
      <c r="X77" s="627"/>
      <c r="Y77" s="627">
        <v>0</v>
      </c>
      <c r="Z77" s="627"/>
      <c r="AA77" s="638">
        <f>SUM(E77:Z77)</f>
        <v>18224</v>
      </c>
      <c r="AB77" s="638"/>
      <c r="AC77" s="639">
        <f>AA77/AA82*100</f>
        <v>0.79389557729068316</v>
      </c>
      <c r="AD77" s="643"/>
      <c r="AE77" s="594"/>
      <c r="AF77" s="211"/>
    </row>
    <row r="78" spans="2:33" s="96" customFormat="1" ht="9.75" customHeight="1" x14ac:dyDescent="0.2">
      <c r="B78" s="519"/>
      <c r="C78" s="520"/>
      <c r="D78" s="521"/>
      <c r="E78" s="627"/>
      <c r="F78" s="627"/>
      <c r="G78" s="627"/>
      <c r="H78" s="627"/>
      <c r="I78" s="627"/>
      <c r="J78" s="627"/>
      <c r="K78" s="627"/>
      <c r="L78" s="627"/>
      <c r="M78" s="626"/>
      <c r="N78" s="627"/>
      <c r="O78" s="627"/>
      <c r="P78" s="627"/>
      <c r="Q78" s="627"/>
      <c r="R78" s="627"/>
      <c r="S78" s="627"/>
      <c r="T78" s="627"/>
      <c r="U78" s="627"/>
      <c r="V78" s="627"/>
      <c r="W78" s="627"/>
      <c r="X78" s="627"/>
      <c r="Y78" s="627"/>
      <c r="Z78" s="627"/>
      <c r="AA78" s="638"/>
      <c r="AB78" s="628"/>
      <c r="AC78" s="642"/>
      <c r="AD78" s="628"/>
      <c r="AE78" s="648"/>
      <c r="AF78" s="211"/>
    </row>
    <row r="79" spans="2:33" s="649" customFormat="1" ht="35.1" customHeight="1" x14ac:dyDescent="0.2">
      <c r="B79" s="947" t="s">
        <v>6</v>
      </c>
      <c r="C79" s="947"/>
      <c r="D79" s="948"/>
      <c r="E79" s="656"/>
      <c r="F79" s="656"/>
      <c r="G79" s="656"/>
      <c r="H79" s="656"/>
      <c r="I79" s="656"/>
      <c r="J79" s="656"/>
      <c r="K79" s="656"/>
      <c r="L79" s="656"/>
      <c r="M79" s="657"/>
      <c r="N79" s="656"/>
      <c r="O79" s="656"/>
      <c r="P79" s="656"/>
      <c r="Q79" s="656"/>
      <c r="R79" s="656"/>
      <c r="S79" s="656"/>
      <c r="T79" s="656"/>
      <c r="U79" s="656"/>
      <c r="V79" s="656"/>
      <c r="W79" s="656"/>
      <c r="X79" s="656"/>
      <c r="Y79" s="656"/>
      <c r="Z79" s="656"/>
      <c r="AA79" s="663"/>
      <c r="AB79" s="658"/>
      <c r="AC79" s="659"/>
      <c r="AD79" s="658"/>
      <c r="AE79" s="650"/>
      <c r="AF79" s="651"/>
    </row>
    <row r="80" spans="2:33" s="649" customFormat="1" ht="35.1" customHeight="1" x14ac:dyDescent="0.2">
      <c r="B80" s="949" t="s">
        <v>342</v>
      </c>
      <c r="C80" s="949"/>
      <c r="D80" s="950"/>
      <c r="E80" s="658">
        <v>0</v>
      </c>
      <c r="F80" s="658"/>
      <c r="G80" s="658">
        <f>SUM(G10+G14+G19+G24+G29+G34+G38+G43+G56+G61+G65++G70+G75)</f>
        <v>7</v>
      </c>
      <c r="H80" s="658"/>
      <c r="I80" s="658">
        <f>SUM(I10+I14+I19+I24+I29+I34+I38+I43+I56+I61+I65++I70+I75)</f>
        <v>6</v>
      </c>
      <c r="J80" s="658"/>
      <c r="K80" s="658">
        <f>SUM(K10+K14+K19+K24+K29+K34+K38+K43+K56+K61+K65++K70+K75)</f>
        <v>1</v>
      </c>
      <c r="L80" s="658"/>
      <c r="M80" s="658">
        <f>SUM(M10+M14+M19+M24+M29+M34+M38+M43+M56+M61+M65++M70+M75)</f>
        <v>2</v>
      </c>
      <c r="N80" s="658"/>
      <c r="O80" s="658">
        <f>SUM(O10+O14+O19+O24+O29+O34+O38+O43+O56+O61+O65++O70+O75)</f>
        <v>1</v>
      </c>
      <c r="P80" s="658"/>
      <c r="Q80" s="658">
        <f>SUM(Q10+Q14+Q19+Q29+Q34+Q38+Q43+Q56+Q65++Q70+Q75)</f>
        <v>3</v>
      </c>
      <c r="R80" s="658"/>
      <c r="S80" s="658">
        <f>SUM(S10+S14+S19+S24+S29+S34+S38+S43+S56+S61+S65++S70+S75)</f>
        <v>33</v>
      </c>
      <c r="T80" s="658"/>
      <c r="U80" s="658">
        <f>SUM(U10+U14+U19+U24+U29+U34+U38+U43+U56+U61+U65++U70+U75)</f>
        <v>1</v>
      </c>
      <c r="V80" s="658"/>
      <c r="W80" s="658">
        <f>SUM(W10+W14+W19+W24+W29+W34+W38+W43+W56+W61+W65++W70+W75)</f>
        <v>8</v>
      </c>
      <c r="X80" s="658"/>
      <c r="Y80" s="658">
        <f>SUM(Y10+Y14+Y19+Y24+Y29+Y34+Y38+Y43+Y56+Y61+Y65++Y70+Y75)</f>
        <v>1</v>
      </c>
      <c r="Z80" s="658"/>
      <c r="AA80" s="663">
        <f>SUM(AA10+AA14+AA19+AA24+AA29+AA34+AA38+AA43+AA56+AA61+AA65++AA70+AA75)</f>
        <v>63</v>
      </c>
      <c r="AB80" s="658"/>
      <c r="AC80" s="671">
        <f>SUM(AC10+AC14+AC19+AC24+AC29+AC34+AC38+AC56+AC61+AC65++AC70+AC75)</f>
        <v>99.999999999999986</v>
      </c>
      <c r="AD80" s="660"/>
      <c r="AE80" s="650">
        <f>SUM(E80:Z80)</f>
        <v>63</v>
      </c>
      <c r="AF80" s="652"/>
      <c r="AG80" s="653"/>
    </row>
    <row r="81" spans="2:48" s="649" customFormat="1" ht="35.1" customHeight="1" x14ac:dyDescent="0.2">
      <c r="B81" s="949" t="s">
        <v>15</v>
      </c>
      <c r="C81" s="949"/>
      <c r="D81" s="950"/>
      <c r="E81" s="658">
        <v>0</v>
      </c>
      <c r="F81" s="658"/>
      <c r="G81" s="658">
        <f t="shared" ref="G81:I82" si="10">SUM(G11+G15+G20+G25+G30+G35+G39+G44+G57+G62+G66++G71+G76)</f>
        <v>818</v>
      </c>
      <c r="H81" s="658"/>
      <c r="I81" s="658">
        <f t="shared" si="10"/>
        <v>487</v>
      </c>
      <c r="J81" s="658"/>
      <c r="K81" s="658">
        <f t="shared" ref="K81" si="11">SUM(K11+K15+K20+K25+K30+K35+K39+K44+K57+K62+K66++K71+K76)</f>
        <v>5000</v>
      </c>
      <c r="L81" s="658"/>
      <c r="M81" s="658">
        <f t="shared" ref="M81" si="12">SUM(M11+M15+M20+M25+M30+M35+M39+M44+M57+M62+M66++M71+M76)</f>
        <v>421</v>
      </c>
      <c r="N81" s="658"/>
      <c r="O81" s="658">
        <f t="shared" ref="O81" si="13">SUM(O11+O15+O20+O25+O30+O35+O39+O44+O57+O62+O66++O71+O76)</f>
        <v>390</v>
      </c>
      <c r="P81" s="658"/>
      <c r="Q81" s="658">
        <f t="shared" ref="Q81" si="14">SUM(Q11+Q15+Q20+Q30+Q35+Q39+Q44+Q57+Q66++Q71+Q76)</f>
        <v>2720</v>
      </c>
      <c r="R81" s="658"/>
      <c r="S81" s="658">
        <f t="shared" ref="S81" si="15">SUM(S11+S15+S20+S25+S30+S35+S39+S44+S57+S62+S66++S71+S76)</f>
        <v>47178</v>
      </c>
      <c r="T81" s="658"/>
      <c r="U81" s="658">
        <f t="shared" ref="U81" si="16">SUM(U11+U15+U20+U25+U30+U35+U39+U44+U57+U62+U66++U71+U76)</f>
        <v>16</v>
      </c>
      <c r="V81" s="658"/>
      <c r="W81" s="658">
        <f t="shared" ref="W81" si="17">SUM(W11+W15+W20+W25+W30+W35+W39+W44+W57+W62+W66++W71+W76)</f>
        <v>19174</v>
      </c>
      <c r="X81" s="658"/>
      <c r="Y81" s="658">
        <f t="shared" ref="Y81" si="18">SUM(Y11+Y15+Y20+Y25+Y30+Y35+Y39+Y44+Y57+Y62+Y66++Y71+Y76)</f>
        <v>500</v>
      </c>
      <c r="Z81" s="658"/>
      <c r="AA81" s="663">
        <f t="shared" ref="AA81" si="19">SUM(AA11+AA15+AA20+AA25+AA30+AA35+AA39+AA44+AA57+AA62+AA66++AA71+AA76)</f>
        <v>76704</v>
      </c>
      <c r="AB81" s="658"/>
      <c r="AC81" s="671">
        <f t="shared" ref="AC81" si="20">SUM(AC11+AC15+AC20+AC25+AC30+AC35+AC39+AC57+AC62+AC66++AC71+AC76)</f>
        <v>100</v>
      </c>
      <c r="AD81" s="660"/>
      <c r="AE81" s="650">
        <f t="shared" ref="AE81:AE82" si="21">SUM(E81:Z81)</f>
        <v>76704</v>
      </c>
      <c r="AF81" s="652"/>
      <c r="AG81" s="653"/>
    </row>
    <row r="82" spans="2:48" s="649" customFormat="1" ht="35.1" customHeight="1" x14ac:dyDescent="0.2">
      <c r="B82" s="949" t="s">
        <v>16</v>
      </c>
      <c r="C82" s="949"/>
      <c r="D82" s="950"/>
      <c r="E82" s="658">
        <f>SUM(E12+E16+E21+E26+E31+E53+E40+E58+E63+E67+E72+E77)</f>
        <v>28144</v>
      </c>
      <c r="F82" s="669" t="s">
        <v>62</v>
      </c>
      <c r="G82" s="658">
        <f t="shared" si="10"/>
        <v>56664</v>
      </c>
      <c r="H82" s="658"/>
      <c r="I82" s="658">
        <f t="shared" si="10"/>
        <v>80480</v>
      </c>
      <c r="J82" s="658"/>
      <c r="K82" s="658">
        <f t="shared" ref="K82" si="22">SUM(K12+K16+K21+K26+K31+K36+K40+K45+K58+K63+K67++K72+K77)</f>
        <v>40000</v>
      </c>
      <c r="L82" s="658"/>
      <c r="M82" s="658">
        <f t="shared" ref="M82" si="23">SUM(M12+M16+M21+M26+M31+M36+M40+M45+M58+M63+M67++M72+M77)</f>
        <v>4912</v>
      </c>
      <c r="N82" s="658"/>
      <c r="O82" s="658">
        <f t="shared" ref="O82" si="24">SUM(O12+O16+O21+O26+O31+O36+O40+O45+O58+O63+O67++O72+O77)</f>
        <v>6240</v>
      </c>
      <c r="P82" s="658"/>
      <c r="Q82" s="658">
        <f>SUM(Q12+Q16+Q21+Q31+Q36+Q40+Q45+Q58+Q67++Q72+Q77)</f>
        <v>21760</v>
      </c>
      <c r="R82" s="658"/>
      <c r="S82" s="658">
        <f t="shared" ref="S82" si="25">SUM(S12+S16+S21+S26+S31+S36+S40+S45+S58+S63+S67++S72+S77)</f>
        <v>1950976</v>
      </c>
      <c r="T82" s="658"/>
      <c r="U82" s="658">
        <f t="shared" ref="U82" si="26">SUM(U12+U16+U21+U26+U31+U36+U40+U45+U58+U63+U67++U72+U77)</f>
        <v>256</v>
      </c>
      <c r="V82" s="658"/>
      <c r="W82" s="658">
        <f t="shared" ref="W82" si="27">SUM(W12+W16+W21+W26+W31+W36+W40+W45+W58+W63+W67++W72+W77)</f>
        <v>102084</v>
      </c>
      <c r="X82" s="658"/>
      <c r="Y82" s="658">
        <f t="shared" ref="Y82" si="28">SUM(Y12+Y16+Y21+Y26+Y31+Y36+Y40+Y45+Y58+Y63+Y67++Y72+Y77)</f>
        <v>4000</v>
      </c>
      <c r="Z82" s="658"/>
      <c r="AA82" s="663">
        <f t="shared" ref="AA82" si="29">SUM(AA12+AA16+AA21+AA26+AA31+AA36+AA40+AA45+AA58+AA63+AA67++AA72+AA77)</f>
        <v>2295516</v>
      </c>
      <c r="AB82" s="658"/>
      <c r="AC82" s="671">
        <f>SUM(AC12+AC16+AC21+AC26+AC31+AC36+AC40+AC45+AC58+AC63+AC67++AC72+AC77)</f>
        <v>100</v>
      </c>
      <c r="AD82" s="658"/>
      <c r="AE82" s="650">
        <f t="shared" si="21"/>
        <v>2295516</v>
      </c>
      <c r="AF82" s="652"/>
      <c r="AG82" s="653"/>
    </row>
    <row r="83" spans="2:48" ht="29.25" customHeight="1" x14ac:dyDescent="0.25">
      <c r="B83" s="946" t="s">
        <v>245</v>
      </c>
      <c r="C83" s="946"/>
      <c r="D83" s="946"/>
      <c r="E83" s="946"/>
      <c r="F83" s="946"/>
      <c r="G83" s="946"/>
      <c r="H83" s="664"/>
      <c r="I83" s="664"/>
      <c r="J83" s="664"/>
      <c r="K83" s="664"/>
      <c r="L83" s="664"/>
      <c r="M83" s="664"/>
      <c r="N83" s="664"/>
      <c r="O83" s="664"/>
      <c r="P83" s="664"/>
      <c r="Q83" s="664"/>
      <c r="R83" s="664"/>
      <c r="S83" s="664"/>
      <c r="T83" s="664"/>
      <c r="U83" s="664"/>
      <c r="V83" s="664"/>
      <c r="W83" s="156"/>
      <c r="X83" s="156"/>
      <c r="Y83" s="156"/>
      <c r="Z83" s="156"/>
      <c r="AA83" s="156"/>
      <c r="AB83" s="661"/>
      <c r="AC83" s="662"/>
      <c r="AD83" s="661"/>
      <c r="AE83" s="15"/>
      <c r="AF83" s="579"/>
      <c r="AG83" s="15"/>
    </row>
    <row r="84" spans="2:48" ht="24.6" customHeight="1" x14ac:dyDescent="0.25">
      <c r="B84" s="241" t="s">
        <v>343</v>
      </c>
      <c r="C84" s="3"/>
      <c r="D84" s="665"/>
      <c r="E84" s="665"/>
      <c r="F84" s="665"/>
      <c r="G84" s="665"/>
      <c r="H84" s="665"/>
      <c r="I84" s="666"/>
      <c r="J84" s="666"/>
      <c r="K84" s="666"/>
      <c r="L84" s="666"/>
      <c r="M84" s="3"/>
      <c r="N84" s="3"/>
      <c r="O84" s="3"/>
      <c r="P84" s="3"/>
      <c r="Q84" s="3"/>
      <c r="R84" s="3"/>
      <c r="S84" s="3"/>
      <c r="T84" s="3"/>
      <c r="U84" s="3"/>
      <c r="V84" s="3"/>
      <c r="W84" s="1"/>
      <c r="X84" s="1"/>
      <c r="Y84" s="1"/>
      <c r="Z84" s="1"/>
      <c r="AA84" s="654"/>
      <c r="AC84" s="19"/>
      <c r="AD84" s="20"/>
      <c r="AE84" s="19"/>
      <c r="AF84" s="20"/>
      <c r="AG84" s="21"/>
    </row>
    <row r="85" spans="2:48" ht="24.6" customHeight="1" x14ac:dyDescent="0.2">
      <c r="B85" s="37" t="s">
        <v>345</v>
      </c>
      <c r="C85" s="3"/>
      <c r="D85" s="3"/>
      <c r="I85" s="667"/>
      <c r="J85" s="668"/>
      <c r="K85" s="668"/>
      <c r="L85" s="3"/>
      <c r="M85" s="3"/>
      <c r="N85" s="3"/>
      <c r="O85" s="3"/>
      <c r="P85" s="3"/>
      <c r="Q85" s="3"/>
      <c r="R85" s="3"/>
      <c r="S85" s="3"/>
      <c r="T85" s="3"/>
      <c r="U85" s="3"/>
      <c r="V85" s="3"/>
      <c r="W85" s="1"/>
      <c r="X85" s="1"/>
      <c r="Y85" s="1"/>
      <c r="Z85" s="1"/>
      <c r="AA85" s="654"/>
      <c r="AF85" s="1"/>
    </row>
    <row r="86" spans="2:48" ht="30.75" customHeight="1" x14ac:dyDescent="0.2">
      <c r="B86" s="828" t="s">
        <v>346</v>
      </c>
      <c r="C86" s="828"/>
      <c r="D86" s="828"/>
      <c r="E86" s="828"/>
      <c r="F86" s="828"/>
      <c r="G86" s="828"/>
      <c r="H86" s="828"/>
      <c r="I86" s="828"/>
      <c r="J86" s="828"/>
      <c r="K86" s="828"/>
      <c r="L86" s="3"/>
      <c r="M86" s="3"/>
      <c r="N86" s="3"/>
      <c r="O86" s="3"/>
      <c r="P86" s="3"/>
      <c r="Q86" s="3"/>
      <c r="R86" s="3"/>
      <c r="S86" s="3"/>
      <c r="T86" s="3"/>
      <c r="U86" s="3"/>
      <c r="V86" s="3"/>
      <c r="W86" s="1"/>
      <c r="X86" s="1"/>
      <c r="Y86" s="1"/>
      <c r="Z86" s="1"/>
      <c r="AA86" s="654"/>
      <c r="AF86" s="1"/>
    </row>
    <row r="87" spans="2:48" s="49" customFormat="1" ht="30" customHeight="1" x14ac:dyDescent="0.2">
      <c r="B87" s="828" t="s">
        <v>347</v>
      </c>
      <c r="C87" s="828"/>
      <c r="D87" s="828"/>
      <c r="E87" s="828"/>
      <c r="F87" s="828"/>
      <c r="G87" s="828"/>
      <c r="H87" s="828"/>
      <c r="I87" s="828"/>
      <c r="J87" s="828"/>
      <c r="K87" s="828"/>
      <c r="L87" s="828"/>
      <c r="M87" s="828"/>
      <c r="N87" s="828"/>
      <c r="O87" s="828"/>
      <c r="P87" s="828"/>
      <c r="Q87" s="828"/>
      <c r="R87" s="828"/>
      <c r="S87" s="828"/>
      <c r="T87" s="828"/>
      <c r="U87" s="828"/>
      <c r="V87" s="37"/>
      <c r="W87" s="22"/>
      <c r="X87" s="22"/>
      <c r="Y87" s="22"/>
      <c r="Z87" s="22"/>
      <c r="AA87" s="22"/>
      <c r="AB87" s="22"/>
      <c r="AC87" s="22"/>
      <c r="AD87" s="22"/>
      <c r="AE87" s="22"/>
      <c r="AF87" s="22"/>
      <c r="AG87" s="97"/>
      <c r="AH87" s="97"/>
      <c r="AI87" s="97"/>
      <c r="AJ87" s="97"/>
      <c r="AK87" s="97"/>
      <c r="AL87" s="97"/>
      <c r="AM87" s="97"/>
      <c r="AN87" s="97"/>
      <c r="AO87" s="97"/>
      <c r="AP87" s="97"/>
      <c r="AQ87" s="97"/>
      <c r="AR87" s="97"/>
      <c r="AS87" s="97"/>
      <c r="AT87" s="97"/>
      <c r="AU87" s="97"/>
      <c r="AV87" s="97"/>
    </row>
    <row r="88" spans="2:48" ht="105" customHeight="1" x14ac:dyDescent="0.2">
      <c r="B88" s="945" t="s">
        <v>344</v>
      </c>
      <c r="C88" s="945"/>
      <c r="D88" s="945"/>
      <c r="E88" s="945"/>
      <c r="F88" s="945"/>
      <c r="G88" s="945"/>
      <c r="H88" s="945"/>
      <c r="I88" s="945"/>
      <c r="J88" s="945"/>
      <c r="K88" s="945"/>
      <c r="L88" s="945"/>
      <c r="M88" s="945"/>
      <c r="N88" s="945"/>
      <c r="O88" s="945"/>
      <c r="P88" s="945"/>
      <c r="Q88" s="945"/>
      <c r="R88" s="945"/>
      <c r="S88" s="945"/>
      <c r="T88" s="945"/>
      <c r="U88" s="945"/>
      <c r="V88" s="945"/>
      <c r="W88" s="1"/>
      <c r="X88" s="1"/>
      <c r="Y88" s="1"/>
      <c r="Z88" s="1"/>
      <c r="AF88" s="1"/>
    </row>
    <row r="89" spans="2:48" ht="30" customHeight="1" x14ac:dyDescent="0.2">
      <c r="I89" s="1"/>
      <c r="J89" s="1"/>
      <c r="K89" s="1"/>
      <c r="L89" s="1"/>
      <c r="M89" s="1"/>
      <c r="N89" s="1"/>
      <c r="O89" s="1"/>
      <c r="P89" s="1"/>
      <c r="Q89" s="1"/>
      <c r="R89" s="1"/>
      <c r="S89" s="1"/>
      <c r="T89" s="1"/>
      <c r="U89" s="1"/>
      <c r="V89" s="1"/>
      <c r="W89" s="1"/>
      <c r="X89" s="1"/>
      <c r="Y89" s="1"/>
      <c r="Z89" s="1"/>
    </row>
    <row r="90" spans="2:48" ht="30" customHeight="1" x14ac:dyDescent="0.2">
      <c r="C90" s="1"/>
      <c r="I90" s="1"/>
      <c r="J90" s="1"/>
      <c r="K90" s="1"/>
      <c r="L90" s="1"/>
      <c r="M90" s="1"/>
      <c r="N90" s="1"/>
      <c r="O90" s="1"/>
      <c r="P90" s="1"/>
      <c r="Q90" s="1"/>
      <c r="R90" s="1"/>
      <c r="S90" s="1"/>
      <c r="T90" s="1"/>
      <c r="U90" s="1"/>
      <c r="V90" s="1"/>
      <c r="W90" s="1"/>
      <c r="X90" s="1"/>
      <c r="Y90" s="1"/>
      <c r="Z90" s="1"/>
    </row>
    <row r="91" spans="2:48" ht="30" customHeight="1" x14ac:dyDescent="0.2">
      <c r="C91" s="1"/>
      <c r="I91" s="1"/>
      <c r="J91" s="1"/>
      <c r="K91" s="1"/>
      <c r="L91" s="1"/>
      <c r="M91" s="1"/>
      <c r="N91" s="1"/>
      <c r="O91" s="1"/>
      <c r="P91" s="1"/>
      <c r="Q91" s="1"/>
      <c r="R91" s="1"/>
      <c r="S91" s="1"/>
      <c r="T91" s="1"/>
      <c r="U91" s="1"/>
      <c r="V91" s="1"/>
      <c r="W91" s="1"/>
      <c r="X91" s="1"/>
      <c r="Y91" s="1"/>
      <c r="Z91" s="1"/>
    </row>
    <row r="92" spans="2:48" ht="45" customHeight="1" x14ac:dyDescent="0.2">
      <c r="C92" s="1"/>
      <c r="I92" s="1"/>
      <c r="J92" s="1"/>
      <c r="K92" s="1"/>
      <c r="L92" s="1"/>
      <c r="M92" s="1"/>
      <c r="N92" s="1"/>
      <c r="O92" s="1"/>
      <c r="P92" s="1"/>
      <c r="Q92" s="1"/>
      <c r="R92" s="1"/>
      <c r="S92" s="1"/>
      <c r="T92" s="1"/>
      <c r="U92" s="1"/>
      <c r="V92" s="1"/>
      <c r="W92" s="1"/>
      <c r="X92" s="1"/>
      <c r="Y92" s="1"/>
      <c r="Z92" s="1"/>
    </row>
    <row r="93" spans="2:48" ht="49.5" customHeight="1" x14ac:dyDescent="0.2">
      <c r="C93" s="1"/>
      <c r="I93" s="1"/>
      <c r="J93" s="1"/>
      <c r="K93" s="1"/>
      <c r="L93" s="1"/>
      <c r="M93" s="1"/>
      <c r="N93" s="1"/>
      <c r="O93" s="1"/>
      <c r="P93" s="1"/>
      <c r="Q93" s="1"/>
      <c r="R93" s="1"/>
      <c r="S93" s="1"/>
      <c r="T93" s="1"/>
      <c r="U93" s="1"/>
      <c r="V93" s="1"/>
      <c r="W93" s="1"/>
      <c r="X93" s="1"/>
      <c r="Y93" s="1"/>
      <c r="Z93" s="1"/>
    </row>
    <row r="94" spans="2:48" ht="51" customHeight="1" x14ac:dyDescent="0.2">
      <c r="C94" s="1"/>
      <c r="E94" s="1"/>
      <c r="F94" s="1"/>
      <c r="G94" s="1"/>
      <c r="H94" s="1"/>
      <c r="I94" s="1"/>
      <c r="J94" s="1"/>
      <c r="K94" s="1"/>
      <c r="L94" s="1"/>
      <c r="M94" s="1"/>
      <c r="N94" s="1"/>
      <c r="O94" s="1"/>
      <c r="P94" s="1"/>
      <c r="Q94" s="1"/>
      <c r="R94" s="1"/>
      <c r="S94" s="1"/>
      <c r="T94" s="1"/>
      <c r="U94" s="1"/>
      <c r="V94" s="1"/>
      <c r="W94" s="1"/>
      <c r="X94" s="1"/>
      <c r="Y94" s="1"/>
      <c r="Z94" s="1"/>
    </row>
    <row r="95" spans="2:48" ht="30" customHeight="1" x14ac:dyDescent="0.2">
      <c r="C95" s="1"/>
      <c r="E95" s="1"/>
      <c r="F95" s="1"/>
      <c r="G95" s="1"/>
      <c r="H95" s="1"/>
      <c r="I95" s="1"/>
      <c r="J95" s="1"/>
      <c r="K95" s="1"/>
      <c r="L95" s="1"/>
      <c r="M95" s="1"/>
      <c r="N95" s="1"/>
      <c r="O95" s="1"/>
      <c r="P95" s="1"/>
      <c r="Q95" s="1"/>
      <c r="R95" s="1"/>
      <c r="S95" s="1"/>
      <c r="T95" s="1"/>
      <c r="U95" s="1"/>
      <c r="V95" s="1"/>
      <c r="W95" s="1"/>
      <c r="X95" s="1"/>
      <c r="Y95" s="1"/>
      <c r="Z95" s="1"/>
    </row>
    <row r="96" spans="2:48" ht="30" customHeight="1" x14ac:dyDescent="0.2">
      <c r="C96" s="1"/>
      <c r="E96" s="1"/>
      <c r="F96" s="1"/>
      <c r="G96" s="1"/>
      <c r="H96" s="1"/>
      <c r="I96" s="1"/>
      <c r="J96" s="1"/>
      <c r="K96" s="1"/>
      <c r="L96" s="1"/>
      <c r="M96" s="1"/>
      <c r="N96" s="1"/>
      <c r="O96" s="1"/>
      <c r="P96" s="1"/>
      <c r="Q96" s="1"/>
      <c r="R96" s="1"/>
      <c r="S96" s="1"/>
      <c r="T96" s="1"/>
      <c r="U96" s="1"/>
      <c r="V96" s="1"/>
      <c r="W96" s="1"/>
      <c r="X96" s="1"/>
      <c r="Y96" s="1"/>
      <c r="Z96" s="1"/>
    </row>
    <row r="97" spans="3:26" ht="30" customHeight="1" x14ac:dyDescent="0.2">
      <c r="C97" s="1"/>
      <c r="E97" s="1"/>
      <c r="F97" s="1"/>
      <c r="G97" s="1"/>
      <c r="H97" s="1"/>
      <c r="I97" s="1"/>
      <c r="J97" s="1"/>
      <c r="K97" s="1"/>
      <c r="L97" s="1"/>
      <c r="M97" s="1"/>
      <c r="N97" s="1"/>
      <c r="O97" s="1"/>
      <c r="P97" s="1"/>
      <c r="Q97" s="1"/>
      <c r="R97" s="1"/>
      <c r="S97" s="1"/>
      <c r="T97" s="1"/>
      <c r="U97" s="1"/>
      <c r="V97" s="1"/>
      <c r="W97" s="1"/>
      <c r="X97" s="1"/>
      <c r="Y97" s="1"/>
      <c r="Z97" s="1"/>
    </row>
    <row r="98" spans="3:26" ht="30" customHeight="1" x14ac:dyDescent="0.2">
      <c r="C98" s="1"/>
      <c r="E98" s="1"/>
      <c r="F98" s="1"/>
      <c r="G98" s="1"/>
      <c r="H98" s="1"/>
      <c r="I98" s="1"/>
      <c r="J98" s="1"/>
      <c r="K98" s="1"/>
      <c r="L98" s="1"/>
      <c r="M98" s="1"/>
      <c r="N98" s="1"/>
      <c r="O98" s="1"/>
      <c r="P98" s="1"/>
      <c r="Q98" s="1"/>
      <c r="R98" s="1"/>
      <c r="S98" s="1"/>
      <c r="T98" s="1"/>
      <c r="U98" s="1"/>
      <c r="V98" s="1"/>
      <c r="W98" s="1"/>
      <c r="X98" s="1"/>
      <c r="Y98" s="1"/>
      <c r="Z98" s="1"/>
    </row>
    <row r="99" spans="3:26" ht="30" customHeight="1" x14ac:dyDescent="0.2">
      <c r="C99" s="1"/>
      <c r="E99" s="1"/>
      <c r="F99" s="1"/>
      <c r="G99" s="1"/>
      <c r="H99" s="1"/>
      <c r="I99" s="1"/>
      <c r="J99" s="1"/>
      <c r="K99" s="1"/>
      <c r="L99" s="1"/>
      <c r="M99" s="1"/>
      <c r="N99" s="1"/>
      <c r="O99" s="1"/>
      <c r="P99" s="1"/>
      <c r="Q99" s="1"/>
      <c r="R99" s="1"/>
      <c r="S99" s="1"/>
      <c r="T99" s="1"/>
      <c r="U99" s="1"/>
      <c r="V99" s="1"/>
      <c r="W99" s="1"/>
      <c r="X99" s="1"/>
      <c r="Y99" s="1"/>
      <c r="Z99" s="1"/>
    </row>
    <row r="100" spans="3:26" ht="30" customHeight="1" x14ac:dyDescent="0.2">
      <c r="C100" s="1"/>
      <c r="E100" s="1"/>
      <c r="F100" s="1"/>
      <c r="G100" s="1"/>
      <c r="H100" s="1"/>
      <c r="I100" s="1"/>
      <c r="J100" s="1"/>
      <c r="K100" s="1"/>
      <c r="L100" s="1"/>
      <c r="M100" s="1"/>
      <c r="N100" s="1"/>
      <c r="O100" s="1"/>
      <c r="P100" s="1"/>
      <c r="Q100" s="1"/>
      <c r="R100" s="1"/>
      <c r="S100" s="1"/>
      <c r="T100" s="1"/>
      <c r="U100" s="1"/>
      <c r="V100" s="1"/>
      <c r="W100" s="1"/>
      <c r="X100" s="1"/>
      <c r="Y100" s="1"/>
      <c r="Z100" s="1"/>
    </row>
    <row r="101" spans="3:26" ht="30" customHeight="1" x14ac:dyDescent="0.2">
      <c r="C101" s="1"/>
      <c r="E101" s="1"/>
      <c r="F101" s="1"/>
      <c r="G101" s="1"/>
      <c r="H101" s="1"/>
      <c r="I101" s="1"/>
      <c r="J101" s="1"/>
      <c r="K101" s="1"/>
      <c r="L101" s="1"/>
      <c r="M101" s="1"/>
      <c r="N101" s="1"/>
      <c r="O101" s="1"/>
      <c r="P101" s="1"/>
      <c r="Q101" s="1"/>
      <c r="R101" s="1"/>
      <c r="S101" s="1"/>
      <c r="T101" s="1"/>
      <c r="U101" s="1"/>
      <c r="V101" s="1"/>
      <c r="W101" s="1"/>
      <c r="X101" s="1"/>
      <c r="Y101" s="1"/>
      <c r="Z101" s="1"/>
    </row>
    <row r="102" spans="3:26" ht="30" customHeight="1" x14ac:dyDescent="0.2">
      <c r="C102" s="1"/>
      <c r="E102" s="1"/>
      <c r="F102" s="1"/>
      <c r="G102" s="1"/>
      <c r="H102" s="1"/>
      <c r="I102" s="1"/>
      <c r="J102" s="1"/>
      <c r="K102" s="1"/>
      <c r="L102" s="1"/>
      <c r="M102" s="1"/>
      <c r="N102" s="1"/>
      <c r="O102" s="1"/>
      <c r="P102" s="1"/>
      <c r="Q102" s="1"/>
      <c r="R102" s="1"/>
      <c r="S102" s="1"/>
      <c r="T102" s="1"/>
      <c r="U102" s="1"/>
      <c r="V102" s="1"/>
      <c r="W102" s="1"/>
      <c r="X102" s="1"/>
      <c r="Y102" s="1"/>
      <c r="Z102" s="1"/>
    </row>
    <row r="103" spans="3:26" ht="30" customHeight="1" x14ac:dyDescent="0.2">
      <c r="C103" s="1"/>
      <c r="E103" s="1"/>
      <c r="F103" s="1"/>
      <c r="G103" s="1"/>
      <c r="H103" s="1"/>
      <c r="I103" s="1"/>
      <c r="J103" s="1"/>
      <c r="K103" s="1"/>
      <c r="L103" s="1"/>
      <c r="M103" s="1"/>
      <c r="N103" s="1"/>
      <c r="O103" s="1"/>
      <c r="P103" s="1"/>
      <c r="Q103" s="1"/>
      <c r="R103" s="1"/>
      <c r="S103" s="1"/>
      <c r="T103" s="1"/>
      <c r="U103" s="1"/>
      <c r="V103" s="1"/>
      <c r="W103" s="1"/>
      <c r="X103" s="1"/>
      <c r="Y103" s="1"/>
      <c r="Z103" s="1"/>
    </row>
    <row r="104" spans="3:26" ht="30" customHeight="1" x14ac:dyDescent="0.2">
      <c r="C104" s="1"/>
      <c r="E104" s="1"/>
      <c r="F104" s="1"/>
      <c r="G104" s="1"/>
      <c r="H104" s="1"/>
      <c r="I104" s="1"/>
      <c r="J104" s="1"/>
      <c r="K104" s="1"/>
      <c r="L104" s="1"/>
      <c r="M104" s="1"/>
      <c r="N104" s="1"/>
      <c r="O104" s="1"/>
      <c r="P104" s="1"/>
      <c r="Q104" s="1"/>
      <c r="R104" s="1"/>
      <c r="S104" s="1"/>
      <c r="T104" s="1"/>
      <c r="U104" s="1"/>
      <c r="V104" s="1"/>
      <c r="W104" s="1"/>
      <c r="X104" s="1"/>
      <c r="Y104" s="1"/>
      <c r="Z104" s="1"/>
    </row>
    <row r="105" spans="3:26" ht="30" customHeight="1" x14ac:dyDescent="0.2">
      <c r="C105" s="1"/>
      <c r="E105" s="1"/>
      <c r="F105" s="1"/>
      <c r="G105" s="1"/>
      <c r="H105" s="1"/>
      <c r="I105" s="1"/>
      <c r="J105" s="1"/>
      <c r="K105" s="1"/>
      <c r="L105" s="1"/>
      <c r="M105" s="1"/>
      <c r="N105" s="1"/>
      <c r="O105" s="1"/>
      <c r="P105" s="1"/>
      <c r="Q105" s="1"/>
      <c r="R105" s="1"/>
      <c r="S105" s="1"/>
      <c r="T105" s="1"/>
      <c r="U105" s="1"/>
      <c r="V105" s="1"/>
      <c r="W105" s="1"/>
      <c r="X105" s="1"/>
      <c r="Y105" s="1"/>
      <c r="Z105" s="1"/>
    </row>
    <row r="106" spans="3:26" ht="30" customHeight="1" x14ac:dyDescent="0.2">
      <c r="C106" s="1"/>
      <c r="E106" s="1"/>
      <c r="F106" s="1"/>
      <c r="G106" s="1"/>
      <c r="H106" s="1"/>
      <c r="I106" s="1"/>
      <c r="J106" s="1"/>
      <c r="K106" s="1"/>
      <c r="L106" s="1"/>
      <c r="M106" s="1"/>
      <c r="N106" s="1"/>
      <c r="O106" s="1"/>
      <c r="P106" s="1"/>
      <c r="Q106" s="1"/>
      <c r="R106" s="1"/>
      <c r="S106" s="1"/>
      <c r="T106" s="1"/>
      <c r="U106" s="1"/>
      <c r="V106" s="1"/>
      <c r="W106" s="1"/>
      <c r="X106" s="1"/>
      <c r="Y106" s="1"/>
      <c r="Z106" s="1"/>
    </row>
    <row r="107" spans="3:26" ht="30" customHeight="1" x14ac:dyDescent="0.2">
      <c r="C107" s="1"/>
      <c r="E107" s="1"/>
      <c r="F107" s="1"/>
      <c r="G107" s="1"/>
      <c r="H107" s="1"/>
      <c r="I107" s="1"/>
      <c r="J107" s="1"/>
      <c r="K107" s="1"/>
      <c r="L107" s="1"/>
      <c r="M107" s="1"/>
      <c r="N107" s="1"/>
      <c r="O107" s="1"/>
      <c r="P107" s="1"/>
      <c r="Q107" s="1"/>
      <c r="R107" s="1"/>
      <c r="S107" s="1"/>
      <c r="T107" s="1"/>
      <c r="U107" s="1"/>
      <c r="V107" s="1"/>
      <c r="W107" s="1"/>
      <c r="X107" s="1"/>
      <c r="Y107" s="1"/>
      <c r="Z107" s="1"/>
    </row>
    <row r="108" spans="3:26" ht="30" customHeight="1" x14ac:dyDescent="0.2">
      <c r="C108" s="1"/>
      <c r="E108" s="1"/>
      <c r="F108" s="1"/>
      <c r="G108" s="1"/>
      <c r="H108" s="1"/>
      <c r="I108" s="1"/>
      <c r="J108" s="1"/>
      <c r="K108" s="1"/>
      <c r="L108" s="1"/>
      <c r="M108" s="1"/>
      <c r="N108" s="1"/>
      <c r="O108" s="1"/>
      <c r="P108" s="1"/>
      <c r="Q108" s="1"/>
      <c r="R108" s="1"/>
      <c r="S108" s="1"/>
      <c r="T108" s="1"/>
      <c r="U108" s="1"/>
      <c r="V108" s="1"/>
      <c r="W108" s="1"/>
      <c r="X108" s="1"/>
      <c r="Y108" s="1"/>
      <c r="Z108" s="1"/>
    </row>
    <row r="109" spans="3:26" ht="30" customHeight="1" x14ac:dyDescent="0.2">
      <c r="C109" s="1"/>
      <c r="E109" s="1"/>
      <c r="F109" s="1"/>
      <c r="G109" s="1"/>
      <c r="H109" s="1"/>
      <c r="I109" s="1"/>
      <c r="J109" s="1"/>
      <c r="K109" s="1"/>
      <c r="L109" s="1"/>
      <c r="M109" s="1"/>
      <c r="N109" s="1"/>
      <c r="O109" s="1"/>
      <c r="P109" s="1"/>
      <c r="Q109" s="1"/>
      <c r="R109" s="1"/>
      <c r="S109" s="1"/>
      <c r="T109" s="1"/>
      <c r="U109" s="1"/>
      <c r="V109" s="1"/>
      <c r="W109" s="1"/>
      <c r="X109" s="1"/>
      <c r="Y109" s="1"/>
      <c r="Z109" s="1"/>
    </row>
    <row r="110" spans="3:26" ht="30" customHeight="1" x14ac:dyDescent="0.2">
      <c r="C110" s="1"/>
      <c r="E110" s="1"/>
      <c r="F110" s="1"/>
      <c r="G110" s="1"/>
      <c r="H110" s="1"/>
      <c r="I110" s="1"/>
      <c r="J110" s="1"/>
      <c r="K110" s="1"/>
      <c r="L110" s="1"/>
      <c r="M110" s="1"/>
      <c r="N110" s="1"/>
      <c r="O110" s="1"/>
      <c r="P110" s="1"/>
      <c r="Q110" s="1"/>
      <c r="R110" s="1"/>
      <c r="S110" s="1"/>
      <c r="T110" s="1"/>
      <c r="U110" s="1"/>
      <c r="V110" s="1"/>
      <c r="W110" s="1"/>
      <c r="X110" s="1"/>
      <c r="Y110" s="1"/>
      <c r="Z110" s="1"/>
    </row>
    <row r="111" spans="3:26" ht="30" customHeight="1" x14ac:dyDescent="0.2">
      <c r="C111" s="1"/>
      <c r="E111" s="1"/>
      <c r="F111" s="1"/>
      <c r="G111" s="1"/>
      <c r="H111" s="1"/>
      <c r="I111" s="1"/>
      <c r="J111" s="1"/>
      <c r="K111" s="1"/>
      <c r="L111" s="1"/>
      <c r="M111" s="1"/>
      <c r="N111" s="1"/>
      <c r="O111" s="1"/>
      <c r="P111" s="1"/>
      <c r="Q111" s="1"/>
      <c r="R111" s="1"/>
      <c r="S111" s="1"/>
      <c r="T111" s="1"/>
      <c r="U111" s="1"/>
      <c r="V111" s="1"/>
      <c r="W111" s="1"/>
      <c r="X111" s="1"/>
      <c r="Y111" s="1"/>
      <c r="Z111" s="1"/>
    </row>
    <row r="112" spans="3:26" ht="40.15" customHeight="1" x14ac:dyDescent="0.2">
      <c r="C112" s="1"/>
      <c r="E112" s="1"/>
      <c r="F112" s="1"/>
      <c r="G112" s="1"/>
      <c r="H112" s="1"/>
      <c r="I112" s="1"/>
      <c r="J112" s="1"/>
      <c r="K112" s="1"/>
      <c r="L112" s="1"/>
      <c r="M112" s="1"/>
      <c r="N112" s="1"/>
      <c r="O112" s="1"/>
      <c r="P112" s="1"/>
      <c r="Q112" s="1"/>
      <c r="R112" s="1"/>
      <c r="S112" s="1"/>
      <c r="T112" s="1"/>
      <c r="U112" s="1"/>
      <c r="V112" s="1"/>
      <c r="W112" s="1"/>
      <c r="X112" s="1"/>
      <c r="Y112" s="1"/>
      <c r="Z112" s="1"/>
    </row>
    <row r="113" spans="3:26" ht="60.75" customHeight="1" x14ac:dyDescent="0.2">
      <c r="C113" s="1"/>
      <c r="E113" s="1"/>
      <c r="F113" s="1"/>
      <c r="G113" s="1"/>
      <c r="H113" s="1"/>
      <c r="I113" s="1"/>
      <c r="J113" s="1"/>
      <c r="K113" s="1"/>
      <c r="L113" s="1"/>
      <c r="M113" s="1"/>
      <c r="N113" s="1"/>
      <c r="O113" s="1"/>
      <c r="P113" s="1"/>
      <c r="Q113" s="1"/>
      <c r="R113" s="1"/>
      <c r="S113" s="1"/>
      <c r="T113" s="1"/>
      <c r="U113" s="1"/>
      <c r="V113" s="1"/>
      <c r="W113" s="1"/>
      <c r="X113" s="1"/>
      <c r="Y113" s="1"/>
      <c r="Z113" s="1"/>
    </row>
    <row r="114" spans="3:26" ht="15" customHeight="1" x14ac:dyDescent="0.2">
      <c r="C114" s="1"/>
      <c r="E114" s="1"/>
      <c r="F114" s="1"/>
      <c r="G114" s="1"/>
      <c r="H114" s="1"/>
      <c r="I114" s="1"/>
      <c r="J114" s="1"/>
      <c r="K114" s="1"/>
      <c r="L114" s="1"/>
      <c r="M114" s="1"/>
      <c r="N114" s="1"/>
      <c r="O114" s="1"/>
      <c r="P114" s="1"/>
      <c r="Q114" s="1"/>
      <c r="R114" s="1"/>
      <c r="S114" s="1"/>
      <c r="T114" s="1"/>
      <c r="U114" s="1"/>
      <c r="V114" s="1"/>
      <c r="W114" s="1"/>
      <c r="X114" s="1"/>
      <c r="Y114" s="1"/>
      <c r="Z114" s="1"/>
    </row>
    <row r="115" spans="3:26" ht="30" customHeight="1" x14ac:dyDescent="0.2">
      <c r="C115" s="1"/>
      <c r="E115" s="1"/>
      <c r="F115" s="1"/>
      <c r="G115" s="1"/>
      <c r="H115" s="1"/>
      <c r="I115" s="1"/>
      <c r="J115" s="1"/>
      <c r="K115" s="1"/>
      <c r="L115" s="1"/>
      <c r="M115" s="1"/>
      <c r="N115" s="1"/>
      <c r="O115" s="1"/>
      <c r="P115" s="1"/>
      <c r="Q115" s="1"/>
      <c r="R115" s="1"/>
      <c r="S115" s="1"/>
      <c r="T115" s="1"/>
      <c r="U115" s="1"/>
      <c r="V115" s="1"/>
      <c r="W115" s="1"/>
      <c r="X115" s="1"/>
      <c r="Y115" s="1"/>
      <c r="Z115" s="1"/>
    </row>
    <row r="116" spans="3:26" ht="30" customHeight="1" x14ac:dyDescent="0.2">
      <c r="C116" s="1"/>
      <c r="E116" s="1"/>
      <c r="F116" s="1"/>
      <c r="G116" s="1"/>
      <c r="H116" s="1"/>
      <c r="I116" s="1"/>
      <c r="J116" s="1"/>
      <c r="K116" s="1"/>
      <c r="L116" s="1"/>
      <c r="M116" s="1"/>
      <c r="N116" s="1"/>
      <c r="O116" s="1"/>
      <c r="P116" s="1"/>
      <c r="Q116" s="1"/>
      <c r="R116" s="1"/>
      <c r="S116" s="1"/>
      <c r="T116" s="1"/>
      <c r="U116" s="1"/>
      <c r="V116" s="1"/>
      <c r="W116" s="1"/>
      <c r="X116" s="1"/>
      <c r="Y116" s="1"/>
      <c r="Z116" s="1"/>
    </row>
    <row r="117" spans="3:26" ht="30" customHeight="1" x14ac:dyDescent="0.2">
      <c r="C117" s="1"/>
      <c r="E117" s="1"/>
      <c r="F117" s="1"/>
      <c r="G117" s="1"/>
      <c r="H117" s="1"/>
      <c r="I117" s="1"/>
      <c r="J117" s="1"/>
      <c r="K117" s="1"/>
      <c r="L117" s="1"/>
      <c r="M117" s="1"/>
      <c r="N117" s="1"/>
      <c r="O117" s="1"/>
      <c r="P117" s="1"/>
      <c r="Q117" s="1"/>
      <c r="R117" s="1"/>
      <c r="S117" s="1"/>
      <c r="T117" s="1"/>
      <c r="U117" s="1"/>
      <c r="V117" s="1"/>
      <c r="W117" s="1"/>
      <c r="X117" s="1"/>
      <c r="Y117" s="1"/>
      <c r="Z117" s="1"/>
    </row>
    <row r="118" spans="3:26" ht="30" customHeight="1" x14ac:dyDescent="0.2">
      <c r="C118" s="1"/>
      <c r="E118" s="1"/>
      <c r="F118" s="1"/>
      <c r="G118" s="1"/>
      <c r="H118" s="1"/>
      <c r="I118" s="1"/>
      <c r="J118" s="1"/>
      <c r="K118" s="1"/>
      <c r="L118" s="1"/>
      <c r="M118" s="1"/>
      <c r="N118" s="1"/>
      <c r="O118" s="1"/>
      <c r="P118" s="1"/>
      <c r="Q118" s="1"/>
      <c r="R118" s="1"/>
      <c r="S118" s="1"/>
      <c r="T118" s="1"/>
      <c r="U118" s="1"/>
      <c r="V118" s="1"/>
      <c r="W118" s="1"/>
      <c r="X118" s="1"/>
      <c r="Y118" s="1"/>
      <c r="Z118" s="1"/>
    </row>
    <row r="119" spans="3:26" ht="30" customHeight="1" x14ac:dyDescent="0.2">
      <c r="C119" s="1"/>
      <c r="E119" s="1"/>
      <c r="F119" s="1"/>
      <c r="G119" s="1"/>
      <c r="H119" s="1"/>
      <c r="I119" s="1"/>
      <c r="J119" s="1"/>
      <c r="K119" s="1"/>
      <c r="L119" s="1"/>
      <c r="M119" s="1"/>
      <c r="N119" s="1"/>
      <c r="O119" s="1"/>
      <c r="P119" s="1"/>
      <c r="Q119" s="1"/>
      <c r="R119" s="1"/>
      <c r="S119" s="1"/>
      <c r="T119" s="1"/>
      <c r="U119" s="1"/>
      <c r="V119" s="1"/>
      <c r="W119" s="1"/>
      <c r="X119" s="1"/>
      <c r="Y119" s="1"/>
      <c r="Z119" s="1"/>
    </row>
    <row r="120" spans="3:26" ht="30" customHeight="1" x14ac:dyDescent="0.2">
      <c r="C120" s="1"/>
      <c r="E120" s="1"/>
      <c r="F120" s="1"/>
      <c r="G120" s="1"/>
      <c r="H120" s="1"/>
      <c r="I120" s="1"/>
      <c r="J120" s="1"/>
      <c r="K120" s="1"/>
      <c r="L120" s="1"/>
      <c r="M120" s="1"/>
      <c r="N120" s="1"/>
      <c r="O120" s="1"/>
      <c r="P120" s="1"/>
      <c r="Q120" s="1"/>
      <c r="R120" s="1"/>
      <c r="S120" s="1"/>
      <c r="T120" s="1"/>
      <c r="U120" s="1"/>
      <c r="V120" s="1"/>
      <c r="W120" s="1"/>
      <c r="X120" s="1"/>
      <c r="Y120" s="1"/>
      <c r="Z120" s="1"/>
    </row>
    <row r="121" spans="3:26" ht="30" customHeight="1" x14ac:dyDescent="0.2">
      <c r="C121" s="1"/>
      <c r="E121" s="1"/>
      <c r="F121" s="1"/>
      <c r="G121" s="1"/>
      <c r="H121" s="1"/>
      <c r="I121" s="1"/>
      <c r="J121" s="1"/>
      <c r="K121" s="1"/>
      <c r="L121" s="1"/>
      <c r="M121" s="1"/>
      <c r="N121" s="1"/>
      <c r="O121" s="1"/>
      <c r="P121" s="1"/>
      <c r="Q121" s="1"/>
      <c r="R121" s="1"/>
      <c r="S121" s="1"/>
      <c r="T121" s="1"/>
      <c r="U121" s="1"/>
      <c r="V121" s="1"/>
      <c r="W121" s="1"/>
      <c r="X121" s="1"/>
      <c r="Y121" s="1"/>
      <c r="Z121" s="1"/>
    </row>
    <row r="122" spans="3:26" ht="30" customHeight="1" x14ac:dyDescent="0.2">
      <c r="C122" s="1"/>
      <c r="E122" s="1"/>
      <c r="F122" s="1"/>
      <c r="G122" s="1"/>
      <c r="H122" s="1"/>
      <c r="I122" s="1"/>
      <c r="J122" s="1"/>
      <c r="K122" s="1"/>
      <c r="L122" s="1"/>
      <c r="M122" s="1"/>
      <c r="N122" s="1"/>
      <c r="O122" s="1"/>
      <c r="P122" s="1"/>
      <c r="Q122" s="1"/>
      <c r="R122" s="1"/>
      <c r="S122" s="1"/>
      <c r="T122" s="1"/>
      <c r="U122" s="1"/>
      <c r="V122" s="1"/>
      <c r="W122" s="1"/>
      <c r="X122" s="1"/>
      <c r="Y122" s="1"/>
      <c r="Z122" s="1"/>
    </row>
    <row r="123" spans="3:26" ht="30" customHeight="1" x14ac:dyDescent="0.2">
      <c r="C123" s="1"/>
      <c r="E123" s="1"/>
      <c r="F123" s="1"/>
      <c r="G123" s="1"/>
      <c r="H123" s="1"/>
      <c r="I123" s="1"/>
      <c r="J123" s="1"/>
      <c r="K123" s="1"/>
      <c r="L123" s="1"/>
      <c r="M123" s="1"/>
      <c r="N123" s="1"/>
      <c r="O123" s="1"/>
      <c r="P123" s="1"/>
      <c r="Q123" s="1"/>
      <c r="R123" s="1"/>
      <c r="S123" s="1"/>
      <c r="T123" s="1"/>
      <c r="U123" s="1"/>
      <c r="V123" s="1"/>
      <c r="W123" s="1"/>
      <c r="X123" s="1"/>
      <c r="Y123" s="1"/>
      <c r="Z123" s="1"/>
    </row>
    <row r="124" spans="3:26" ht="30" customHeight="1" x14ac:dyDescent="0.2">
      <c r="C124" s="1"/>
      <c r="E124" s="1"/>
      <c r="F124" s="1"/>
      <c r="G124" s="1"/>
      <c r="H124" s="1"/>
      <c r="I124" s="1"/>
      <c r="J124" s="1"/>
      <c r="K124" s="1"/>
      <c r="L124" s="1"/>
      <c r="M124" s="1"/>
      <c r="N124" s="1"/>
      <c r="O124" s="1"/>
      <c r="P124" s="1"/>
      <c r="Q124" s="1"/>
      <c r="R124" s="1"/>
      <c r="S124" s="1"/>
      <c r="T124" s="1"/>
      <c r="U124" s="1"/>
      <c r="V124" s="1"/>
      <c r="W124" s="1"/>
      <c r="X124" s="1"/>
      <c r="Y124" s="1"/>
      <c r="Z124" s="1"/>
    </row>
    <row r="125" spans="3:26" ht="30" customHeight="1" x14ac:dyDescent="0.2">
      <c r="C125" s="1"/>
      <c r="E125" s="1"/>
      <c r="F125" s="1"/>
      <c r="G125" s="1"/>
      <c r="H125" s="1"/>
      <c r="I125" s="1"/>
      <c r="J125" s="1"/>
      <c r="K125" s="1"/>
      <c r="L125" s="1"/>
      <c r="M125" s="1"/>
      <c r="N125" s="1"/>
      <c r="O125" s="1"/>
      <c r="P125" s="1"/>
      <c r="Q125" s="1"/>
      <c r="R125" s="1"/>
      <c r="S125" s="1"/>
      <c r="T125" s="1"/>
      <c r="U125" s="1"/>
      <c r="V125" s="1"/>
      <c r="W125" s="1"/>
      <c r="X125" s="1"/>
      <c r="Y125" s="1"/>
      <c r="Z125" s="1"/>
    </row>
    <row r="126" spans="3:26" ht="30" customHeight="1" x14ac:dyDescent="0.2">
      <c r="C126" s="1"/>
      <c r="E126" s="1"/>
      <c r="F126" s="1"/>
      <c r="G126" s="1"/>
      <c r="H126" s="1"/>
      <c r="I126" s="1"/>
      <c r="J126" s="1"/>
      <c r="K126" s="1"/>
      <c r="L126" s="1"/>
      <c r="M126" s="1"/>
      <c r="N126" s="1"/>
      <c r="O126" s="1"/>
      <c r="P126" s="1"/>
      <c r="Q126" s="1"/>
      <c r="R126" s="1"/>
      <c r="S126" s="1"/>
      <c r="T126" s="1"/>
      <c r="U126" s="1"/>
      <c r="V126" s="1"/>
      <c r="W126" s="1"/>
      <c r="X126" s="1"/>
      <c r="Y126" s="1"/>
      <c r="Z126" s="1"/>
    </row>
    <row r="127" spans="3:26" ht="30" customHeight="1" x14ac:dyDescent="0.2">
      <c r="C127" s="1"/>
      <c r="E127" s="1"/>
      <c r="F127" s="1"/>
      <c r="G127" s="1"/>
      <c r="H127" s="1"/>
      <c r="I127" s="1"/>
      <c r="J127" s="1"/>
      <c r="K127" s="1"/>
      <c r="L127" s="1"/>
      <c r="M127" s="1"/>
      <c r="N127" s="1"/>
      <c r="O127" s="1"/>
      <c r="P127" s="1"/>
      <c r="Q127" s="1"/>
      <c r="R127" s="1"/>
      <c r="S127" s="1"/>
      <c r="T127" s="1"/>
      <c r="U127" s="1"/>
      <c r="V127" s="1"/>
      <c r="W127" s="1"/>
      <c r="X127" s="1"/>
      <c r="Y127" s="1"/>
      <c r="Z127" s="1"/>
    </row>
    <row r="128" spans="3:26" ht="30" customHeight="1" x14ac:dyDescent="0.2">
      <c r="C128" s="1"/>
      <c r="E128" s="1"/>
      <c r="F128" s="1"/>
      <c r="G128" s="1"/>
      <c r="H128" s="1"/>
      <c r="I128" s="1"/>
      <c r="J128" s="1"/>
      <c r="K128" s="1"/>
      <c r="L128" s="1"/>
      <c r="M128" s="1"/>
      <c r="N128" s="1"/>
      <c r="O128" s="1"/>
      <c r="P128" s="1"/>
      <c r="Q128" s="1"/>
      <c r="R128" s="1"/>
      <c r="S128" s="1"/>
      <c r="T128" s="1"/>
      <c r="U128" s="1"/>
      <c r="V128" s="1"/>
      <c r="W128" s="1"/>
      <c r="X128" s="1"/>
      <c r="Y128" s="1"/>
      <c r="Z128" s="1"/>
    </row>
    <row r="129" spans="3:26" x14ac:dyDescent="0.2">
      <c r="C129" s="1"/>
      <c r="E129" s="1"/>
      <c r="F129" s="1"/>
      <c r="G129" s="1"/>
      <c r="H129" s="1"/>
      <c r="I129" s="1"/>
      <c r="J129" s="1"/>
      <c r="K129" s="1"/>
      <c r="L129" s="1"/>
      <c r="M129" s="1"/>
      <c r="N129" s="1"/>
      <c r="O129" s="1"/>
      <c r="P129" s="1"/>
      <c r="Q129" s="1"/>
      <c r="R129" s="1"/>
      <c r="S129" s="1"/>
      <c r="T129" s="1"/>
      <c r="U129" s="1"/>
      <c r="V129" s="1"/>
      <c r="W129" s="1"/>
      <c r="X129" s="1"/>
      <c r="Y129" s="1"/>
      <c r="Z129" s="1"/>
    </row>
    <row r="130" spans="3:26" x14ac:dyDescent="0.2">
      <c r="C130" s="1"/>
      <c r="E130" s="1"/>
      <c r="F130" s="1"/>
      <c r="G130" s="1"/>
      <c r="H130" s="1"/>
      <c r="I130" s="1"/>
      <c r="J130" s="1"/>
      <c r="K130" s="1"/>
      <c r="L130" s="1"/>
      <c r="M130" s="1"/>
      <c r="N130" s="1"/>
      <c r="O130" s="1"/>
      <c r="P130" s="1"/>
      <c r="Q130" s="1"/>
      <c r="R130" s="1"/>
      <c r="S130" s="1"/>
      <c r="T130" s="1"/>
      <c r="U130" s="1"/>
      <c r="V130" s="1"/>
      <c r="W130" s="1"/>
      <c r="X130" s="1"/>
      <c r="Y130" s="1"/>
      <c r="Z130" s="1"/>
    </row>
    <row r="131" spans="3:26" x14ac:dyDescent="0.2">
      <c r="C131" s="1"/>
      <c r="E131" s="1"/>
      <c r="F131" s="1"/>
      <c r="G131" s="1"/>
      <c r="H131" s="1"/>
      <c r="I131" s="1"/>
      <c r="J131" s="1"/>
      <c r="K131" s="1"/>
      <c r="L131" s="1"/>
      <c r="M131" s="1"/>
      <c r="N131" s="1"/>
      <c r="O131" s="1"/>
      <c r="P131" s="1"/>
      <c r="Q131" s="1"/>
      <c r="R131" s="1"/>
      <c r="S131" s="1"/>
      <c r="T131" s="1"/>
      <c r="U131" s="1"/>
      <c r="V131" s="1"/>
      <c r="W131" s="1"/>
      <c r="X131" s="1"/>
      <c r="Y131" s="1"/>
      <c r="Z131" s="1"/>
    </row>
    <row r="132" spans="3:26" x14ac:dyDescent="0.2">
      <c r="C132" s="1"/>
      <c r="E132" s="1"/>
      <c r="F132" s="1"/>
      <c r="G132" s="1"/>
      <c r="H132" s="1"/>
      <c r="I132" s="1"/>
      <c r="J132" s="1"/>
      <c r="K132" s="1"/>
      <c r="L132" s="1"/>
      <c r="M132" s="1"/>
      <c r="N132" s="1"/>
      <c r="O132" s="1"/>
      <c r="P132" s="1"/>
      <c r="Q132" s="1"/>
      <c r="R132" s="1"/>
      <c r="S132" s="1"/>
      <c r="T132" s="1"/>
      <c r="U132" s="1"/>
      <c r="V132" s="1"/>
      <c r="W132" s="1"/>
      <c r="X132" s="1"/>
      <c r="Y132" s="1"/>
      <c r="Z132" s="1"/>
    </row>
    <row r="133" spans="3:26" x14ac:dyDescent="0.2">
      <c r="C133" s="1"/>
      <c r="E133" s="1"/>
      <c r="F133" s="1"/>
      <c r="G133" s="1"/>
      <c r="H133" s="1"/>
      <c r="I133" s="1"/>
      <c r="J133" s="1"/>
      <c r="K133" s="1"/>
      <c r="L133" s="1"/>
      <c r="M133" s="1"/>
      <c r="N133" s="1"/>
      <c r="O133" s="1"/>
      <c r="P133" s="1"/>
      <c r="Q133" s="1"/>
      <c r="R133" s="1"/>
      <c r="S133" s="1"/>
      <c r="T133" s="1"/>
      <c r="U133" s="1"/>
      <c r="V133" s="1"/>
      <c r="W133" s="1"/>
      <c r="X133" s="1"/>
      <c r="Y133" s="1"/>
      <c r="Z133" s="1"/>
    </row>
    <row r="134" spans="3:26" x14ac:dyDescent="0.2">
      <c r="C134" s="1"/>
      <c r="E134" s="1"/>
      <c r="F134" s="1"/>
      <c r="G134" s="1"/>
      <c r="H134" s="1"/>
      <c r="I134" s="1"/>
      <c r="J134" s="1"/>
      <c r="K134" s="1"/>
      <c r="L134" s="1"/>
      <c r="M134" s="1"/>
      <c r="N134" s="1"/>
      <c r="O134" s="1"/>
      <c r="P134" s="1"/>
      <c r="Q134" s="1"/>
      <c r="R134" s="1"/>
      <c r="S134" s="1"/>
      <c r="T134" s="1"/>
      <c r="U134" s="1"/>
      <c r="V134" s="1"/>
      <c r="W134" s="1"/>
      <c r="X134" s="1"/>
      <c r="Y134" s="1"/>
      <c r="Z134" s="1"/>
    </row>
    <row r="135" spans="3:26" x14ac:dyDescent="0.2">
      <c r="C135" s="1"/>
      <c r="E135" s="1"/>
      <c r="F135" s="1"/>
      <c r="G135" s="1"/>
      <c r="H135" s="1"/>
      <c r="I135" s="1"/>
      <c r="J135" s="1"/>
      <c r="K135" s="1"/>
      <c r="L135" s="1"/>
      <c r="M135" s="1"/>
      <c r="N135" s="1"/>
      <c r="O135" s="1"/>
      <c r="P135" s="1"/>
      <c r="Q135" s="1"/>
      <c r="R135" s="1"/>
      <c r="S135" s="1"/>
      <c r="T135" s="1"/>
      <c r="U135" s="1"/>
      <c r="V135" s="1"/>
      <c r="W135" s="1"/>
      <c r="X135" s="1"/>
      <c r="Y135" s="1"/>
      <c r="Z135" s="1"/>
    </row>
    <row r="136" spans="3:26" x14ac:dyDescent="0.2">
      <c r="C136" s="1"/>
      <c r="E136" s="1"/>
      <c r="F136" s="1"/>
      <c r="G136" s="1"/>
      <c r="H136" s="1"/>
      <c r="I136" s="1"/>
      <c r="J136" s="1"/>
      <c r="K136" s="1"/>
      <c r="L136" s="1"/>
      <c r="M136" s="1"/>
      <c r="N136" s="1"/>
      <c r="O136" s="1"/>
      <c r="P136" s="1"/>
      <c r="Q136" s="1"/>
      <c r="R136" s="1"/>
      <c r="S136" s="1"/>
      <c r="T136" s="1"/>
      <c r="U136" s="1"/>
      <c r="V136" s="1"/>
      <c r="W136" s="1"/>
      <c r="X136" s="1"/>
      <c r="Y136" s="1"/>
      <c r="Z136" s="1"/>
    </row>
    <row r="137" spans="3:26" x14ac:dyDescent="0.2">
      <c r="C137" s="1"/>
      <c r="E137" s="1"/>
      <c r="F137" s="1"/>
      <c r="G137" s="1"/>
      <c r="H137" s="1"/>
      <c r="I137" s="1"/>
      <c r="J137" s="1"/>
      <c r="K137" s="1"/>
      <c r="L137" s="1"/>
      <c r="M137" s="1"/>
      <c r="N137" s="1"/>
      <c r="O137" s="1"/>
      <c r="P137" s="1"/>
      <c r="Q137" s="1"/>
      <c r="R137" s="1"/>
      <c r="S137" s="1"/>
      <c r="T137" s="1"/>
      <c r="U137" s="1"/>
      <c r="V137" s="1"/>
      <c r="W137" s="1"/>
      <c r="X137" s="1"/>
      <c r="Y137" s="1"/>
      <c r="Z137" s="1"/>
    </row>
    <row r="138" spans="3:26" x14ac:dyDescent="0.2">
      <c r="C138" s="1"/>
      <c r="E138" s="1"/>
      <c r="F138" s="1"/>
      <c r="G138" s="1"/>
      <c r="H138" s="1"/>
      <c r="I138" s="1"/>
      <c r="J138" s="1"/>
      <c r="K138" s="1"/>
      <c r="L138" s="1"/>
      <c r="M138" s="1"/>
      <c r="N138" s="1"/>
      <c r="O138" s="1"/>
      <c r="P138" s="1"/>
      <c r="Q138" s="1"/>
      <c r="R138" s="1"/>
      <c r="S138" s="1"/>
      <c r="T138" s="1"/>
      <c r="U138" s="1"/>
      <c r="V138" s="1"/>
      <c r="W138" s="1"/>
      <c r="X138" s="1"/>
      <c r="Y138" s="1"/>
      <c r="Z138" s="1"/>
    </row>
    <row r="139" spans="3:26" x14ac:dyDescent="0.2">
      <c r="C139" s="1"/>
      <c r="E139" s="1"/>
      <c r="F139" s="1"/>
      <c r="G139" s="1"/>
      <c r="H139" s="1"/>
      <c r="I139" s="1"/>
      <c r="J139" s="1"/>
      <c r="K139" s="1"/>
      <c r="L139" s="1"/>
      <c r="M139" s="1"/>
      <c r="N139" s="1"/>
      <c r="O139" s="1"/>
      <c r="P139" s="1"/>
      <c r="Q139" s="1"/>
      <c r="R139" s="1"/>
      <c r="S139" s="1"/>
      <c r="T139" s="1"/>
      <c r="U139" s="1"/>
      <c r="V139" s="1"/>
      <c r="W139" s="1"/>
      <c r="X139" s="1"/>
      <c r="Y139" s="1"/>
      <c r="Z139" s="1"/>
    </row>
    <row r="140" spans="3:26" x14ac:dyDescent="0.2">
      <c r="C140" s="1"/>
      <c r="E140" s="1"/>
      <c r="F140" s="1"/>
      <c r="G140" s="1"/>
      <c r="H140" s="1"/>
      <c r="I140" s="1"/>
      <c r="J140" s="1"/>
      <c r="K140" s="1"/>
      <c r="L140" s="1"/>
      <c r="M140" s="1"/>
      <c r="N140" s="1"/>
      <c r="O140" s="1"/>
      <c r="P140" s="1"/>
      <c r="Q140" s="1"/>
      <c r="R140" s="1"/>
      <c r="S140" s="1"/>
      <c r="T140" s="1"/>
      <c r="U140" s="1"/>
      <c r="V140" s="1"/>
      <c r="W140" s="1"/>
      <c r="X140" s="1"/>
      <c r="Y140" s="1"/>
      <c r="Z140" s="1"/>
    </row>
    <row r="141" spans="3:26" x14ac:dyDescent="0.2">
      <c r="C141" s="1"/>
      <c r="E141" s="1"/>
      <c r="F141" s="1"/>
      <c r="G141" s="1"/>
      <c r="H141" s="1"/>
      <c r="I141" s="1"/>
      <c r="J141" s="1"/>
      <c r="K141" s="1"/>
      <c r="L141" s="1"/>
      <c r="M141" s="1"/>
      <c r="N141" s="1"/>
      <c r="O141" s="1"/>
      <c r="P141" s="1"/>
      <c r="Q141" s="1"/>
      <c r="R141" s="1"/>
      <c r="S141" s="1"/>
      <c r="T141" s="1"/>
      <c r="U141" s="1"/>
      <c r="V141" s="1"/>
      <c r="W141" s="1"/>
      <c r="X141" s="1"/>
      <c r="Y141" s="1"/>
      <c r="Z141" s="1"/>
    </row>
    <row r="142" spans="3:26" x14ac:dyDescent="0.2">
      <c r="C142" s="1"/>
      <c r="E142" s="1"/>
      <c r="F142" s="1"/>
      <c r="G142" s="1"/>
      <c r="H142" s="1"/>
      <c r="I142" s="1"/>
      <c r="J142" s="1"/>
      <c r="K142" s="1"/>
      <c r="L142" s="1"/>
      <c r="M142" s="1"/>
      <c r="N142" s="1"/>
      <c r="O142" s="1"/>
      <c r="P142" s="1"/>
      <c r="Q142" s="1"/>
      <c r="R142" s="1"/>
      <c r="S142" s="1"/>
      <c r="T142" s="1"/>
      <c r="U142" s="1"/>
      <c r="V142" s="1"/>
      <c r="W142" s="1"/>
      <c r="X142" s="1"/>
      <c r="Y142" s="1"/>
      <c r="Z142" s="1"/>
    </row>
    <row r="143" spans="3:26" x14ac:dyDescent="0.2">
      <c r="C143" s="1"/>
    </row>
    <row r="144" spans="3:26" x14ac:dyDescent="0.2">
      <c r="C144" s="1"/>
    </row>
    <row r="145" spans="3:26" ht="30" customHeight="1" x14ac:dyDescent="0.2">
      <c r="C145" s="1"/>
    </row>
    <row r="146" spans="3:26" ht="30" customHeight="1" x14ac:dyDescent="0.2">
      <c r="C146" s="1"/>
    </row>
    <row r="147" spans="3:26" ht="30" customHeight="1" x14ac:dyDescent="0.2">
      <c r="C147" s="1"/>
    </row>
    <row r="148" spans="3:26" ht="30" customHeight="1" x14ac:dyDescent="0.2">
      <c r="C148" s="1"/>
    </row>
    <row r="149" spans="3:26" ht="30" customHeight="1" x14ac:dyDescent="0.2">
      <c r="C149" s="1"/>
    </row>
    <row r="150" spans="3:26" ht="30" customHeight="1" x14ac:dyDescent="0.2">
      <c r="C150" s="1"/>
    </row>
    <row r="151" spans="3:26" ht="15" customHeight="1" x14ac:dyDescent="0.2">
      <c r="C151" s="1"/>
    </row>
    <row r="152" spans="3:26" ht="30" customHeight="1" x14ac:dyDescent="0.2">
      <c r="C152" s="1"/>
      <c r="E152" s="1"/>
      <c r="F152" s="1"/>
      <c r="G152" s="1"/>
      <c r="H152" s="1"/>
      <c r="I152" s="1"/>
      <c r="J152" s="1"/>
      <c r="K152" s="1"/>
      <c r="L152" s="1"/>
      <c r="M152" s="1"/>
      <c r="N152" s="1"/>
      <c r="O152" s="1"/>
      <c r="P152" s="1"/>
      <c r="Q152" s="1"/>
      <c r="R152" s="1"/>
      <c r="S152" s="1"/>
      <c r="T152" s="1"/>
      <c r="U152" s="1"/>
      <c r="V152" s="1"/>
      <c r="W152" s="1"/>
      <c r="X152" s="1"/>
      <c r="Y152" s="1"/>
      <c r="Z152" s="1"/>
    </row>
    <row r="153" spans="3:26" ht="30" customHeight="1" x14ac:dyDescent="0.2">
      <c r="C153" s="1"/>
      <c r="E153" s="1"/>
      <c r="F153" s="1"/>
      <c r="G153" s="1"/>
      <c r="H153" s="1"/>
      <c r="I153" s="1"/>
      <c r="J153" s="1"/>
      <c r="K153" s="1"/>
      <c r="L153" s="1"/>
      <c r="M153" s="1"/>
      <c r="N153" s="1"/>
      <c r="O153" s="1"/>
      <c r="P153" s="1"/>
      <c r="Q153" s="1"/>
      <c r="R153" s="1"/>
      <c r="S153" s="1"/>
      <c r="T153" s="1"/>
      <c r="U153" s="1"/>
      <c r="V153" s="1"/>
      <c r="W153" s="1"/>
      <c r="X153" s="1"/>
      <c r="Y153" s="1"/>
      <c r="Z153" s="1"/>
    </row>
    <row r="154" spans="3:26" ht="30" customHeight="1" x14ac:dyDescent="0.2">
      <c r="C154" s="1"/>
      <c r="E154" s="1"/>
      <c r="F154" s="1"/>
      <c r="G154" s="1"/>
      <c r="H154" s="1"/>
      <c r="I154" s="1"/>
      <c r="J154" s="1"/>
      <c r="K154" s="1"/>
      <c r="L154" s="1"/>
      <c r="M154" s="1"/>
      <c r="N154" s="1"/>
      <c r="O154" s="1"/>
      <c r="P154" s="1"/>
      <c r="Q154" s="1"/>
      <c r="R154" s="1"/>
      <c r="S154" s="1"/>
      <c r="T154" s="1"/>
      <c r="U154" s="1"/>
      <c r="V154" s="1"/>
      <c r="W154" s="1"/>
      <c r="X154" s="1"/>
      <c r="Y154" s="1"/>
      <c r="Z154" s="1"/>
    </row>
    <row r="155" spans="3:26" ht="30" customHeight="1" x14ac:dyDescent="0.2">
      <c r="C155" s="1"/>
      <c r="E155" s="1"/>
      <c r="F155" s="1"/>
      <c r="G155" s="1"/>
      <c r="H155" s="1"/>
      <c r="I155" s="1"/>
      <c r="J155" s="1"/>
      <c r="K155" s="1"/>
      <c r="L155" s="1"/>
      <c r="M155" s="1"/>
      <c r="N155" s="1"/>
      <c r="O155" s="1"/>
      <c r="P155" s="1"/>
      <c r="Q155" s="1"/>
      <c r="R155" s="1"/>
      <c r="S155" s="1"/>
      <c r="T155" s="1"/>
      <c r="U155" s="1"/>
      <c r="V155" s="1"/>
      <c r="W155" s="1"/>
      <c r="X155" s="1"/>
      <c r="Y155" s="1"/>
      <c r="Z155" s="1"/>
    </row>
    <row r="156" spans="3:26" ht="30" customHeight="1" x14ac:dyDescent="0.2">
      <c r="C156" s="1"/>
      <c r="E156" s="1"/>
      <c r="F156" s="1"/>
      <c r="G156" s="1"/>
      <c r="H156" s="1"/>
      <c r="I156" s="1"/>
      <c r="J156" s="1"/>
      <c r="K156" s="1"/>
      <c r="L156" s="1"/>
      <c r="M156" s="1"/>
      <c r="N156" s="1"/>
      <c r="O156" s="1"/>
      <c r="P156" s="1"/>
      <c r="Q156" s="1"/>
      <c r="R156" s="1"/>
      <c r="S156" s="1"/>
      <c r="T156" s="1"/>
      <c r="U156" s="1"/>
      <c r="V156" s="1"/>
      <c r="W156" s="1"/>
      <c r="X156" s="1"/>
      <c r="Y156" s="1"/>
      <c r="Z156" s="1"/>
    </row>
    <row r="157" spans="3:26" ht="40.15" customHeight="1" x14ac:dyDescent="0.2">
      <c r="C157" s="1"/>
      <c r="E157" s="1"/>
      <c r="F157" s="1"/>
      <c r="G157" s="1"/>
      <c r="H157" s="1"/>
      <c r="I157" s="1"/>
      <c r="J157" s="1"/>
      <c r="K157" s="1"/>
      <c r="L157" s="1"/>
      <c r="M157" s="1"/>
      <c r="N157" s="1"/>
      <c r="O157" s="1"/>
      <c r="P157" s="1"/>
      <c r="Q157" s="1"/>
      <c r="R157" s="1"/>
      <c r="S157" s="1"/>
      <c r="T157" s="1"/>
      <c r="U157" s="1"/>
      <c r="V157" s="1"/>
      <c r="W157" s="1"/>
      <c r="X157" s="1"/>
      <c r="Y157" s="1"/>
      <c r="Z157" s="1"/>
    </row>
    <row r="158" spans="3:26" ht="60.75" customHeight="1" x14ac:dyDescent="0.2">
      <c r="C158" s="1"/>
      <c r="E158" s="1"/>
      <c r="F158" s="1"/>
      <c r="G158" s="1"/>
      <c r="H158" s="1"/>
      <c r="I158" s="1"/>
      <c r="J158" s="1"/>
      <c r="K158" s="1"/>
      <c r="L158" s="1"/>
      <c r="M158" s="1"/>
      <c r="N158" s="1"/>
      <c r="O158" s="1"/>
      <c r="P158" s="1"/>
      <c r="Q158" s="1"/>
      <c r="R158" s="1"/>
      <c r="S158" s="1"/>
      <c r="T158" s="1"/>
      <c r="U158" s="1"/>
      <c r="V158" s="1"/>
      <c r="W158" s="1"/>
      <c r="X158" s="1"/>
      <c r="Y158" s="1"/>
      <c r="Z158" s="1"/>
    </row>
    <row r="159" spans="3:26" ht="15" customHeight="1" x14ac:dyDescent="0.2">
      <c r="C159" s="1"/>
      <c r="E159" s="1"/>
      <c r="F159" s="1"/>
      <c r="G159" s="1"/>
      <c r="H159" s="1"/>
      <c r="I159" s="1"/>
      <c r="J159" s="1"/>
      <c r="K159" s="1"/>
      <c r="L159" s="1"/>
      <c r="M159" s="1"/>
      <c r="N159" s="1"/>
      <c r="O159" s="1"/>
      <c r="P159" s="1"/>
      <c r="Q159" s="1"/>
      <c r="R159" s="1"/>
      <c r="S159" s="1"/>
      <c r="T159" s="1"/>
      <c r="U159" s="1"/>
      <c r="V159" s="1"/>
      <c r="W159" s="1"/>
      <c r="X159" s="1"/>
      <c r="Y159" s="1"/>
      <c r="Z159" s="1"/>
    </row>
    <row r="160" spans="3:26" ht="30" customHeight="1" x14ac:dyDescent="0.2">
      <c r="C160" s="1"/>
      <c r="E160" s="1"/>
      <c r="F160" s="1"/>
      <c r="G160" s="1"/>
      <c r="H160" s="1"/>
      <c r="I160" s="1"/>
      <c r="J160" s="1"/>
      <c r="K160" s="1"/>
      <c r="L160" s="1"/>
      <c r="M160" s="1"/>
      <c r="N160" s="1"/>
      <c r="O160" s="1"/>
      <c r="P160" s="1"/>
      <c r="Q160" s="1"/>
      <c r="R160" s="1"/>
      <c r="S160" s="1"/>
      <c r="T160" s="1"/>
      <c r="U160" s="1"/>
      <c r="V160" s="1"/>
      <c r="W160" s="1"/>
      <c r="X160" s="1"/>
      <c r="Y160" s="1"/>
      <c r="Z160" s="1"/>
    </row>
    <row r="161" spans="3:26" ht="30" customHeight="1" x14ac:dyDescent="0.2">
      <c r="C161" s="1"/>
      <c r="E161" s="1"/>
      <c r="F161" s="1"/>
      <c r="G161" s="1"/>
      <c r="H161" s="1"/>
      <c r="I161" s="1"/>
      <c r="J161" s="1"/>
      <c r="K161" s="1"/>
      <c r="L161" s="1"/>
      <c r="M161" s="1"/>
      <c r="N161" s="1"/>
      <c r="O161" s="1"/>
      <c r="P161" s="1"/>
      <c r="Q161" s="1"/>
      <c r="R161" s="1"/>
      <c r="S161" s="1"/>
      <c r="T161" s="1"/>
      <c r="U161" s="1"/>
      <c r="V161" s="1"/>
      <c r="W161" s="1"/>
      <c r="X161" s="1"/>
      <c r="Y161" s="1"/>
      <c r="Z161" s="1"/>
    </row>
    <row r="162" spans="3:26" ht="30" customHeight="1" x14ac:dyDescent="0.2">
      <c r="C162" s="1"/>
      <c r="E162" s="1"/>
      <c r="F162" s="1"/>
      <c r="G162" s="1"/>
      <c r="H162" s="1"/>
      <c r="I162" s="1"/>
      <c r="J162" s="1"/>
      <c r="K162" s="1"/>
      <c r="L162" s="1"/>
      <c r="M162" s="1"/>
      <c r="N162" s="1"/>
      <c r="O162" s="1"/>
      <c r="P162" s="1"/>
      <c r="Q162" s="1"/>
      <c r="R162" s="1"/>
      <c r="S162" s="1"/>
      <c r="T162" s="1"/>
      <c r="U162" s="1"/>
      <c r="V162" s="1"/>
      <c r="W162" s="1"/>
      <c r="X162" s="1"/>
      <c r="Y162" s="1"/>
      <c r="Z162" s="1"/>
    </row>
    <row r="163" spans="3:26" ht="30" customHeight="1" x14ac:dyDescent="0.2">
      <c r="C163" s="1"/>
      <c r="E163" s="1"/>
      <c r="F163" s="1"/>
      <c r="G163" s="1"/>
      <c r="H163" s="1"/>
      <c r="I163" s="1"/>
      <c r="J163" s="1"/>
      <c r="K163" s="1"/>
      <c r="L163" s="1"/>
      <c r="M163" s="1"/>
      <c r="N163" s="1"/>
      <c r="O163" s="1"/>
      <c r="P163" s="1"/>
      <c r="Q163" s="1"/>
      <c r="R163" s="1"/>
      <c r="S163" s="1"/>
      <c r="T163" s="1"/>
      <c r="U163" s="1"/>
      <c r="V163" s="1"/>
      <c r="W163" s="1"/>
      <c r="X163" s="1"/>
      <c r="Y163" s="1"/>
      <c r="Z163" s="1"/>
    </row>
    <row r="164" spans="3:26" ht="30" customHeight="1" x14ac:dyDescent="0.2">
      <c r="C164" s="1"/>
      <c r="E164" s="1"/>
      <c r="F164" s="1"/>
      <c r="G164" s="1"/>
      <c r="H164" s="1"/>
      <c r="I164" s="1"/>
      <c r="J164" s="1"/>
      <c r="K164" s="1"/>
      <c r="L164" s="1"/>
      <c r="M164" s="1"/>
      <c r="N164" s="1"/>
      <c r="O164" s="1"/>
      <c r="P164" s="1"/>
      <c r="Q164" s="1"/>
      <c r="R164" s="1"/>
      <c r="S164" s="1"/>
      <c r="T164" s="1"/>
      <c r="U164" s="1"/>
      <c r="V164" s="1"/>
      <c r="W164" s="1"/>
      <c r="X164" s="1"/>
      <c r="Y164" s="1"/>
      <c r="Z164" s="1"/>
    </row>
    <row r="165" spans="3:26" ht="30" customHeight="1" x14ac:dyDescent="0.2">
      <c r="C165" s="1"/>
      <c r="E165" s="1"/>
      <c r="F165" s="1"/>
      <c r="G165" s="1"/>
      <c r="H165" s="1"/>
      <c r="I165" s="1"/>
      <c r="J165" s="1"/>
      <c r="K165" s="1"/>
      <c r="L165" s="1"/>
      <c r="M165" s="1"/>
      <c r="N165" s="1"/>
      <c r="O165" s="1"/>
      <c r="P165" s="1"/>
      <c r="Q165" s="1"/>
      <c r="R165" s="1"/>
      <c r="S165" s="1"/>
      <c r="T165" s="1"/>
      <c r="U165" s="1"/>
      <c r="V165" s="1"/>
      <c r="W165" s="1"/>
      <c r="X165" s="1"/>
      <c r="Y165" s="1"/>
      <c r="Z165" s="1"/>
    </row>
    <row r="166" spans="3:26" ht="30" customHeight="1" x14ac:dyDescent="0.2">
      <c r="C166" s="1"/>
      <c r="E166" s="1"/>
      <c r="F166" s="1"/>
      <c r="G166" s="1"/>
      <c r="H166" s="1"/>
      <c r="I166" s="1"/>
      <c r="J166" s="1"/>
      <c r="K166" s="1"/>
      <c r="L166" s="1"/>
      <c r="M166" s="1"/>
      <c r="N166" s="1"/>
      <c r="O166" s="1"/>
      <c r="P166" s="1"/>
      <c r="Q166" s="1"/>
      <c r="R166" s="1"/>
      <c r="S166" s="1"/>
      <c r="T166" s="1"/>
      <c r="U166" s="1"/>
      <c r="V166" s="1"/>
      <c r="W166" s="1"/>
      <c r="X166" s="1"/>
      <c r="Y166" s="1"/>
      <c r="Z166" s="1"/>
    </row>
    <row r="167" spans="3:26" ht="30" customHeight="1" x14ac:dyDescent="0.2">
      <c r="C167" s="1"/>
      <c r="E167" s="1"/>
      <c r="F167" s="1"/>
      <c r="G167" s="1"/>
      <c r="H167" s="1"/>
      <c r="I167" s="1"/>
      <c r="J167" s="1"/>
      <c r="K167" s="1"/>
      <c r="L167" s="1"/>
      <c r="M167" s="1"/>
      <c r="N167" s="1"/>
      <c r="O167" s="1"/>
      <c r="P167" s="1"/>
      <c r="Q167" s="1"/>
      <c r="R167" s="1"/>
      <c r="S167" s="1"/>
      <c r="T167" s="1"/>
      <c r="U167" s="1"/>
      <c r="V167" s="1"/>
      <c r="W167" s="1"/>
      <c r="X167" s="1"/>
      <c r="Y167" s="1"/>
      <c r="Z167" s="1"/>
    </row>
    <row r="168" spans="3:26" ht="30" customHeight="1" x14ac:dyDescent="0.2">
      <c r="C168" s="1"/>
      <c r="E168" s="1"/>
      <c r="F168" s="1"/>
      <c r="G168" s="1"/>
      <c r="H168" s="1"/>
      <c r="I168" s="1"/>
      <c r="J168" s="1"/>
      <c r="K168" s="1"/>
      <c r="L168" s="1"/>
      <c r="M168" s="1"/>
      <c r="N168" s="1"/>
      <c r="O168" s="1"/>
      <c r="P168" s="1"/>
      <c r="Q168" s="1"/>
      <c r="R168" s="1"/>
      <c r="S168" s="1"/>
      <c r="T168" s="1"/>
      <c r="U168" s="1"/>
      <c r="V168" s="1"/>
      <c r="W168" s="1"/>
      <c r="X168" s="1"/>
      <c r="Y168" s="1"/>
      <c r="Z168" s="1"/>
    </row>
    <row r="169" spans="3:26" ht="30" customHeight="1" x14ac:dyDescent="0.2">
      <c r="C169" s="1"/>
      <c r="E169" s="1"/>
      <c r="F169" s="1"/>
      <c r="G169" s="1"/>
      <c r="H169" s="1"/>
      <c r="I169" s="1"/>
      <c r="J169" s="1"/>
      <c r="K169" s="1"/>
      <c r="L169" s="1"/>
      <c r="M169" s="1"/>
      <c r="N169" s="1"/>
      <c r="O169" s="1"/>
      <c r="P169" s="1"/>
      <c r="Q169" s="1"/>
      <c r="R169" s="1"/>
      <c r="S169" s="1"/>
      <c r="T169" s="1"/>
      <c r="U169" s="1"/>
      <c r="V169" s="1"/>
      <c r="W169" s="1"/>
      <c r="X169" s="1"/>
      <c r="Y169" s="1"/>
      <c r="Z169" s="1"/>
    </row>
    <row r="170" spans="3:26" ht="30" customHeight="1" x14ac:dyDescent="0.2">
      <c r="C170" s="1"/>
      <c r="E170" s="1"/>
      <c r="F170" s="1"/>
      <c r="G170" s="1"/>
      <c r="H170" s="1"/>
      <c r="I170" s="1"/>
      <c r="J170" s="1"/>
      <c r="K170" s="1"/>
      <c r="L170" s="1"/>
      <c r="M170" s="1"/>
      <c r="N170" s="1"/>
      <c r="O170" s="1"/>
      <c r="P170" s="1"/>
      <c r="Q170" s="1"/>
      <c r="R170" s="1"/>
      <c r="S170" s="1"/>
      <c r="T170" s="1"/>
      <c r="U170" s="1"/>
      <c r="V170" s="1"/>
      <c r="W170" s="1"/>
      <c r="X170" s="1"/>
      <c r="Y170" s="1"/>
      <c r="Z170" s="1"/>
    </row>
    <row r="171" spans="3:26" ht="30" customHeight="1" x14ac:dyDescent="0.2">
      <c r="C171" s="1"/>
      <c r="E171" s="1"/>
      <c r="F171" s="1"/>
      <c r="G171" s="1"/>
      <c r="H171" s="1"/>
      <c r="I171" s="1"/>
      <c r="J171" s="1"/>
      <c r="K171" s="1"/>
      <c r="L171" s="1"/>
      <c r="M171" s="1"/>
      <c r="N171" s="1"/>
      <c r="O171" s="1"/>
      <c r="P171" s="1"/>
      <c r="Q171" s="1"/>
      <c r="R171" s="1"/>
      <c r="S171" s="1"/>
      <c r="T171" s="1"/>
      <c r="U171" s="1"/>
      <c r="V171" s="1"/>
      <c r="W171" s="1"/>
      <c r="X171" s="1"/>
      <c r="Y171" s="1"/>
      <c r="Z171" s="1"/>
    </row>
    <row r="172" spans="3:26" ht="30" customHeight="1" x14ac:dyDescent="0.2">
      <c r="C172" s="1"/>
      <c r="E172" s="1"/>
      <c r="F172" s="1"/>
      <c r="G172" s="1"/>
      <c r="H172" s="1"/>
      <c r="I172" s="1"/>
      <c r="J172" s="1"/>
      <c r="K172" s="1"/>
      <c r="L172" s="1"/>
      <c r="M172" s="1"/>
      <c r="N172" s="1"/>
      <c r="O172" s="1"/>
      <c r="P172" s="1"/>
      <c r="Q172" s="1"/>
      <c r="R172" s="1"/>
      <c r="S172" s="1"/>
      <c r="T172" s="1"/>
      <c r="U172" s="1"/>
      <c r="V172" s="1"/>
      <c r="W172" s="1"/>
      <c r="X172" s="1"/>
      <c r="Y172" s="1"/>
      <c r="Z172" s="1"/>
    </row>
    <row r="173" spans="3:26" ht="30" customHeight="1" x14ac:dyDescent="0.2">
      <c r="C173" s="1"/>
      <c r="E173" s="1"/>
      <c r="F173" s="1"/>
      <c r="G173" s="1"/>
      <c r="H173" s="1"/>
      <c r="I173" s="1"/>
      <c r="J173" s="1"/>
      <c r="K173" s="1"/>
      <c r="L173" s="1"/>
      <c r="M173" s="1"/>
      <c r="N173" s="1"/>
      <c r="O173" s="1"/>
      <c r="P173" s="1"/>
      <c r="Q173" s="1"/>
      <c r="R173" s="1"/>
      <c r="S173" s="1"/>
      <c r="T173" s="1"/>
      <c r="U173" s="1"/>
      <c r="V173" s="1"/>
      <c r="W173" s="1"/>
      <c r="X173" s="1"/>
      <c r="Y173" s="1"/>
      <c r="Z173" s="1"/>
    </row>
    <row r="174" spans="3:26" ht="30" customHeight="1" x14ac:dyDescent="0.2">
      <c r="C174" s="1"/>
      <c r="E174" s="1"/>
      <c r="F174" s="1"/>
      <c r="G174" s="1"/>
      <c r="H174" s="1"/>
      <c r="I174" s="1"/>
      <c r="J174" s="1"/>
      <c r="K174" s="1"/>
      <c r="L174" s="1"/>
      <c r="M174" s="1"/>
      <c r="N174" s="1"/>
      <c r="O174" s="1"/>
      <c r="P174" s="1"/>
      <c r="Q174" s="1"/>
      <c r="R174" s="1"/>
      <c r="S174" s="1"/>
      <c r="T174" s="1"/>
      <c r="U174" s="1"/>
      <c r="V174" s="1"/>
      <c r="W174" s="1"/>
      <c r="X174" s="1"/>
      <c r="Y174" s="1"/>
      <c r="Z174" s="1"/>
    </row>
    <row r="175" spans="3:26" ht="30" customHeight="1" x14ac:dyDescent="0.2">
      <c r="C175" s="1"/>
      <c r="E175" s="1"/>
      <c r="F175" s="1"/>
      <c r="G175" s="1"/>
      <c r="H175" s="1"/>
      <c r="I175" s="1"/>
      <c r="J175" s="1"/>
      <c r="K175" s="1"/>
      <c r="L175" s="1"/>
      <c r="M175" s="1"/>
      <c r="N175" s="1"/>
      <c r="O175" s="1"/>
      <c r="P175" s="1"/>
      <c r="Q175" s="1"/>
      <c r="R175" s="1"/>
      <c r="S175" s="1"/>
      <c r="T175" s="1"/>
      <c r="U175" s="1"/>
      <c r="V175" s="1"/>
      <c r="W175" s="1"/>
      <c r="X175" s="1"/>
      <c r="Y175" s="1"/>
      <c r="Z175" s="1"/>
    </row>
    <row r="176" spans="3:26" ht="30" customHeight="1" x14ac:dyDescent="0.2">
      <c r="C176" s="1"/>
      <c r="E176" s="1"/>
      <c r="F176" s="1"/>
      <c r="G176" s="1"/>
      <c r="H176" s="1"/>
      <c r="I176" s="1"/>
      <c r="J176" s="1"/>
      <c r="K176" s="1"/>
      <c r="L176" s="1"/>
      <c r="M176" s="1"/>
      <c r="N176" s="1"/>
      <c r="O176" s="1"/>
      <c r="P176" s="1"/>
      <c r="Q176" s="1"/>
      <c r="R176" s="1"/>
      <c r="S176" s="1"/>
      <c r="T176" s="1"/>
      <c r="U176" s="1"/>
      <c r="V176" s="1"/>
      <c r="W176" s="1"/>
      <c r="X176" s="1"/>
      <c r="Y176" s="1"/>
      <c r="Z176" s="1"/>
    </row>
    <row r="177" spans="3:26" ht="30" customHeight="1" x14ac:dyDescent="0.2">
      <c r="C177" s="1"/>
      <c r="E177" s="1"/>
      <c r="F177" s="1"/>
      <c r="G177" s="1"/>
      <c r="H177" s="1"/>
      <c r="I177" s="1"/>
      <c r="J177" s="1"/>
      <c r="K177" s="1"/>
      <c r="L177" s="1"/>
      <c r="M177" s="1"/>
      <c r="N177" s="1"/>
      <c r="O177" s="1"/>
      <c r="P177" s="1"/>
      <c r="Q177" s="1"/>
      <c r="R177" s="1"/>
      <c r="S177" s="1"/>
      <c r="T177" s="1"/>
      <c r="U177" s="1"/>
      <c r="V177" s="1"/>
      <c r="W177" s="1"/>
      <c r="X177" s="1"/>
      <c r="Y177" s="1"/>
      <c r="Z177" s="1"/>
    </row>
    <row r="178" spans="3:26" ht="30" customHeight="1" x14ac:dyDescent="0.2">
      <c r="C178" s="1"/>
      <c r="E178" s="1"/>
      <c r="F178" s="1"/>
      <c r="G178" s="1"/>
      <c r="H178" s="1"/>
      <c r="I178" s="1"/>
      <c r="J178" s="1"/>
      <c r="K178" s="1"/>
      <c r="L178" s="1"/>
      <c r="M178" s="1"/>
      <c r="N178" s="1"/>
      <c r="O178" s="1"/>
      <c r="P178" s="1"/>
      <c r="Q178" s="1"/>
      <c r="R178" s="1"/>
      <c r="S178" s="1"/>
      <c r="T178" s="1"/>
      <c r="U178" s="1"/>
      <c r="V178" s="1"/>
      <c r="W178" s="1"/>
      <c r="X178" s="1"/>
      <c r="Y178" s="1"/>
      <c r="Z178" s="1"/>
    </row>
    <row r="179" spans="3:26" ht="30" customHeight="1" x14ac:dyDescent="0.2">
      <c r="C179" s="1"/>
      <c r="E179" s="1"/>
      <c r="F179" s="1"/>
      <c r="G179" s="1"/>
      <c r="H179" s="1"/>
      <c r="I179" s="1"/>
      <c r="J179" s="1"/>
      <c r="K179" s="1"/>
      <c r="L179" s="1"/>
      <c r="M179" s="1"/>
      <c r="N179" s="1"/>
      <c r="O179" s="1"/>
      <c r="P179" s="1"/>
      <c r="Q179" s="1"/>
      <c r="R179" s="1"/>
      <c r="S179" s="1"/>
      <c r="T179" s="1"/>
      <c r="U179" s="1"/>
      <c r="V179" s="1"/>
      <c r="W179" s="1"/>
      <c r="X179" s="1"/>
      <c r="Y179" s="1"/>
      <c r="Z179" s="1"/>
    </row>
    <row r="180" spans="3:26" x14ac:dyDescent="0.2">
      <c r="C180" s="1"/>
      <c r="E180" s="1"/>
      <c r="F180" s="1"/>
      <c r="G180" s="1"/>
      <c r="H180" s="1"/>
      <c r="I180" s="1"/>
      <c r="J180" s="1"/>
      <c r="K180" s="1"/>
      <c r="L180" s="1"/>
      <c r="M180" s="1"/>
      <c r="N180" s="1"/>
      <c r="O180" s="1"/>
      <c r="P180" s="1"/>
      <c r="Q180" s="1"/>
      <c r="R180" s="1"/>
      <c r="S180" s="1"/>
      <c r="T180" s="1"/>
      <c r="U180" s="1"/>
      <c r="V180" s="1"/>
      <c r="W180" s="1"/>
      <c r="X180" s="1"/>
      <c r="Y180" s="1"/>
      <c r="Z180" s="1"/>
    </row>
    <row r="181" spans="3:26" x14ac:dyDescent="0.2">
      <c r="C181" s="1"/>
      <c r="E181" s="1"/>
      <c r="F181" s="1"/>
      <c r="G181" s="1"/>
      <c r="H181" s="1"/>
      <c r="I181" s="1"/>
      <c r="J181" s="1"/>
      <c r="K181" s="1"/>
      <c r="L181" s="1"/>
      <c r="M181" s="1"/>
      <c r="N181" s="1"/>
      <c r="O181" s="1"/>
      <c r="P181" s="1"/>
      <c r="Q181" s="1"/>
      <c r="R181" s="1"/>
      <c r="S181" s="1"/>
      <c r="T181" s="1"/>
      <c r="U181" s="1"/>
      <c r="V181" s="1"/>
      <c r="W181" s="1"/>
      <c r="X181" s="1"/>
      <c r="Y181" s="1"/>
      <c r="Z181" s="1"/>
    </row>
    <row r="182" spans="3:26" x14ac:dyDescent="0.2">
      <c r="C182" s="1"/>
      <c r="E182" s="1"/>
      <c r="F182" s="1"/>
      <c r="G182" s="1"/>
      <c r="H182" s="1"/>
      <c r="I182" s="1"/>
      <c r="J182" s="1"/>
      <c r="K182" s="1"/>
      <c r="L182" s="1"/>
      <c r="M182" s="1"/>
      <c r="N182" s="1"/>
      <c r="O182" s="1"/>
      <c r="P182" s="1"/>
      <c r="Q182" s="1"/>
      <c r="R182" s="1"/>
      <c r="S182" s="1"/>
      <c r="T182" s="1"/>
      <c r="U182" s="1"/>
      <c r="V182" s="1"/>
      <c r="W182" s="1"/>
      <c r="X182" s="1"/>
      <c r="Y182" s="1"/>
      <c r="Z182" s="1"/>
    </row>
    <row r="183" spans="3:26" x14ac:dyDescent="0.2">
      <c r="C183" s="1"/>
      <c r="E183" s="1"/>
      <c r="F183" s="1"/>
      <c r="G183" s="1"/>
      <c r="H183" s="1"/>
      <c r="I183" s="1"/>
      <c r="J183" s="1"/>
      <c r="K183" s="1"/>
      <c r="L183" s="1"/>
      <c r="M183" s="1"/>
      <c r="N183" s="1"/>
      <c r="O183" s="1"/>
      <c r="P183" s="1"/>
      <c r="Q183" s="1"/>
      <c r="R183" s="1"/>
      <c r="S183" s="1"/>
      <c r="T183" s="1"/>
      <c r="U183" s="1"/>
      <c r="V183" s="1"/>
      <c r="W183" s="1"/>
      <c r="X183" s="1"/>
      <c r="Y183" s="1"/>
      <c r="Z183" s="1"/>
    </row>
    <row r="184" spans="3:26" x14ac:dyDescent="0.2">
      <c r="C184" s="1"/>
      <c r="E184" s="1"/>
      <c r="F184" s="1"/>
      <c r="G184" s="1"/>
      <c r="H184" s="1"/>
      <c r="I184" s="1"/>
      <c r="J184" s="1"/>
      <c r="K184" s="1"/>
      <c r="L184" s="1"/>
      <c r="M184" s="1"/>
      <c r="N184" s="1"/>
      <c r="O184" s="1"/>
      <c r="P184" s="1"/>
      <c r="Q184" s="1"/>
      <c r="R184" s="1"/>
      <c r="S184" s="1"/>
      <c r="T184" s="1"/>
      <c r="U184" s="1"/>
      <c r="V184" s="1"/>
      <c r="W184" s="1"/>
      <c r="X184" s="1"/>
      <c r="Y184" s="1"/>
      <c r="Z184" s="1"/>
    </row>
    <row r="185" spans="3:26" x14ac:dyDescent="0.2">
      <c r="C185" s="1"/>
      <c r="E185" s="1"/>
      <c r="F185" s="1"/>
      <c r="G185" s="1"/>
      <c r="H185" s="1"/>
      <c r="I185" s="1"/>
      <c r="J185" s="1"/>
      <c r="K185" s="1"/>
      <c r="L185" s="1"/>
      <c r="M185" s="1"/>
      <c r="N185" s="1"/>
      <c r="O185" s="1"/>
      <c r="P185" s="1"/>
      <c r="Q185" s="1"/>
      <c r="R185" s="1"/>
      <c r="S185" s="1"/>
      <c r="T185" s="1"/>
      <c r="U185" s="1"/>
      <c r="V185" s="1"/>
      <c r="W185" s="1"/>
      <c r="X185" s="1"/>
      <c r="Y185" s="1"/>
      <c r="Z185" s="1"/>
    </row>
    <row r="186" spans="3:26" x14ac:dyDescent="0.2">
      <c r="C186" s="1"/>
      <c r="E186" s="1"/>
      <c r="F186" s="1"/>
      <c r="G186" s="1"/>
      <c r="H186" s="1"/>
      <c r="I186" s="1"/>
      <c r="J186" s="1"/>
      <c r="K186" s="1"/>
      <c r="L186" s="1"/>
      <c r="M186" s="1"/>
      <c r="N186" s="1"/>
      <c r="O186" s="1"/>
      <c r="P186" s="1"/>
      <c r="Q186" s="1"/>
      <c r="R186" s="1"/>
      <c r="S186" s="1"/>
      <c r="T186" s="1"/>
      <c r="U186" s="1"/>
      <c r="V186" s="1"/>
      <c r="W186" s="1"/>
      <c r="X186" s="1"/>
      <c r="Y186" s="1"/>
      <c r="Z186" s="1"/>
    </row>
    <row r="187" spans="3:26" x14ac:dyDescent="0.2">
      <c r="C187" s="1"/>
      <c r="E187" s="1"/>
      <c r="F187" s="1"/>
      <c r="G187" s="1"/>
      <c r="H187" s="1"/>
      <c r="I187" s="1"/>
      <c r="J187" s="1"/>
      <c r="K187" s="1"/>
      <c r="L187" s="1"/>
      <c r="M187" s="1"/>
      <c r="N187" s="1"/>
      <c r="O187" s="1"/>
      <c r="P187" s="1"/>
      <c r="Q187" s="1"/>
      <c r="R187" s="1"/>
      <c r="S187" s="1"/>
      <c r="T187" s="1"/>
      <c r="U187" s="1"/>
      <c r="V187" s="1"/>
      <c r="W187" s="1"/>
      <c r="X187" s="1"/>
      <c r="Y187" s="1"/>
      <c r="Z187" s="1"/>
    </row>
    <row r="188" spans="3:26" x14ac:dyDescent="0.2">
      <c r="C188" s="1"/>
      <c r="E188" s="1"/>
      <c r="F188" s="1"/>
      <c r="G188" s="1"/>
      <c r="H188" s="1"/>
      <c r="I188" s="1"/>
      <c r="J188" s="1"/>
      <c r="K188" s="1"/>
      <c r="L188" s="1"/>
      <c r="M188" s="1"/>
      <c r="N188" s="1"/>
      <c r="O188" s="1"/>
      <c r="P188" s="1"/>
      <c r="Q188" s="1"/>
      <c r="R188" s="1"/>
      <c r="S188" s="1"/>
      <c r="T188" s="1"/>
      <c r="U188" s="1"/>
      <c r="V188" s="1"/>
      <c r="W188" s="1"/>
      <c r="X188" s="1"/>
      <c r="Y188" s="1"/>
      <c r="Z188" s="1"/>
    </row>
    <row r="189" spans="3:26" x14ac:dyDescent="0.2">
      <c r="C189" s="1"/>
      <c r="E189" s="1"/>
      <c r="F189" s="1"/>
      <c r="G189" s="1"/>
      <c r="H189" s="1"/>
      <c r="I189" s="1"/>
      <c r="J189" s="1"/>
      <c r="K189" s="1"/>
      <c r="L189" s="1"/>
      <c r="M189" s="1"/>
      <c r="N189" s="1"/>
      <c r="O189" s="1"/>
      <c r="P189" s="1"/>
      <c r="Q189" s="1"/>
      <c r="R189" s="1"/>
      <c r="S189" s="1"/>
      <c r="T189" s="1"/>
      <c r="U189" s="1"/>
      <c r="V189" s="1"/>
      <c r="W189" s="1"/>
      <c r="X189" s="1"/>
      <c r="Y189" s="1"/>
      <c r="Z189" s="1"/>
    </row>
    <row r="190" spans="3:26" x14ac:dyDescent="0.2">
      <c r="C190" s="1"/>
      <c r="E190" s="1"/>
      <c r="F190" s="1"/>
      <c r="G190" s="1"/>
      <c r="H190" s="1"/>
      <c r="I190" s="1"/>
      <c r="J190" s="1"/>
      <c r="K190" s="1"/>
      <c r="L190" s="1"/>
      <c r="M190" s="1"/>
      <c r="N190" s="1"/>
      <c r="O190" s="1"/>
      <c r="P190" s="1"/>
      <c r="Q190" s="1"/>
      <c r="R190" s="1"/>
      <c r="S190" s="1"/>
      <c r="T190" s="1"/>
      <c r="U190" s="1"/>
      <c r="V190" s="1"/>
      <c r="W190" s="1"/>
      <c r="X190" s="1"/>
      <c r="Y190" s="1"/>
      <c r="Z190" s="1"/>
    </row>
    <row r="191" spans="3:26" x14ac:dyDescent="0.2">
      <c r="C191" s="1"/>
      <c r="E191" s="1"/>
      <c r="F191" s="1"/>
      <c r="G191" s="1"/>
      <c r="H191" s="1"/>
      <c r="I191" s="1"/>
      <c r="J191" s="1"/>
      <c r="K191" s="1"/>
      <c r="L191" s="1"/>
      <c r="M191" s="1"/>
      <c r="N191" s="1"/>
      <c r="O191" s="1"/>
      <c r="P191" s="1"/>
      <c r="Q191" s="1"/>
      <c r="R191" s="1"/>
      <c r="S191" s="1"/>
      <c r="T191" s="1"/>
      <c r="U191" s="1"/>
      <c r="V191" s="1"/>
      <c r="W191" s="1"/>
      <c r="X191" s="1"/>
      <c r="Y191" s="1"/>
      <c r="Z191" s="1"/>
    </row>
    <row r="192" spans="3:26" x14ac:dyDescent="0.2">
      <c r="C192" s="1"/>
      <c r="E192" s="1"/>
      <c r="F192" s="1"/>
      <c r="G192" s="1"/>
      <c r="H192" s="1"/>
      <c r="I192" s="1"/>
      <c r="J192" s="1"/>
      <c r="K192" s="1"/>
      <c r="L192" s="1"/>
      <c r="M192" s="1"/>
      <c r="N192" s="1"/>
      <c r="O192" s="1"/>
      <c r="P192" s="1"/>
      <c r="Q192" s="1"/>
      <c r="R192" s="1"/>
      <c r="S192" s="1"/>
      <c r="T192" s="1"/>
      <c r="U192" s="1"/>
      <c r="V192" s="1"/>
      <c r="W192" s="1"/>
      <c r="X192" s="1"/>
      <c r="Y192" s="1"/>
      <c r="Z192" s="1"/>
    </row>
    <row r="193" spans="3:26" x14ac:dyDescent="0.2">
      <c r="C193" s="1"/>
      <c r="E193" s="1"/>
      <c r="F193" s="1"/>
      <c r="G193" s="1"/>
      <c r="H193" s="1"/>
      <c r="I193" s="1"/>
      <c r="J193" s="1"/>
      <c r="K193" s="1"/>
      <c r="L193" s="1"/>
      <c r="M193" s="1"/>
      <c r="N193" s="1"/>
      <c r="O193" s="1"/>
      <c r="P193" s="1"/>
      <c r="Q193" s="1"/>
      <c r="R193" s="1"/>
      <c r="S193" s="1"/>
      <c r="T193" s="1"/>
      <c r="U193" s="1"/>
      <c r="V193" s="1"/>
      <c r="W193" s="1"/>
      <c r="X193" s="1"/>
      <c r="Y193" s="1"/>
      <c r="Z193" s="1"/>
    </row>
    <row r="194" spans="3:26" x14ac:dyDescent="0.2">
      <c r="C194" s="1"/>
      <c r="E194" s="1"/>
      <c r="F194" s="1"/>
      <c r="G194" s="1"/>
      <c r="H194" s="1"/>
      <c r="I194" s="1"/>
      <c r="J194" s="1"/>
      <c r="K194" s="1"/>
      <c r="L194" s="1"/>
      <c r="M194" s="1"/>
      <c r="N194" s="1"/>
      <c r="O194" s="1"/>
      <c r="P194" s="1"/>
      <c r="Q194" s="1"/>
      <c r="R194" s="1"/>
      <c r="S194" s="1"/>
      <c r="T194" s="1"/>
      <c r="U194" s="1"/>
      <c r="V194" s="1"/>
      <c r="W194" s="1"/>
      <c r="X194" s="1"/>
      <c r="Y194" s="1"/>
      <c r="Z194" s="1"/>
    </row>
    <row r="195" spans="3:26" x14ac:dyDescent="0.2">
      <c r="C195" s="1"/>
      <c r="E195" s="1"/>
      <c r="F195" s="1"/>
      <c r="G195" s="1"/>
      <c r="H195" s="1"/>
      <c r="I195" s="1"/>
      <c r="J195" s="1"/>
      <c r="K195" s="1"/>
      <c r="L195" s="1"/>
      <c r="M195" s="1"/>
      <c r="N195" s="1"/>
      <c r="O195" s="1"/>
      <c r="P195" s="1"/>
      <c r="Q195" s="1"/>
      <c r="R195" s="1"/>
      <c r="S195" s="1"/>
      <c r="T195" s="1"/>
      <c r="U195" s="1"/>
      <c r="V195" s="1"/>
      <c r="W195" s="1"/>
      <c r="X195" s="1"/>
      <c r="Y195" s="1"/>
      <c r="Z195" s="1"/>
    </row>
    <row r="196" spans="3:26" ht="25.15" customHeight="1" x14ac:dyDescent="0.2">
      <c r="C196" s="1"/>
      <c r="E196" s="1"/>
      <c r="F196" s="1"/>
      <c r="G196" s="1"/>
      <c r="H196" s="1"/>
      <c r="I196" s="1"/>
      <c r="J196" s="1"/>
      <c r="K196" s="1"/>
      <c r="L196" s="1"/>
      <c r="M196" s="1"/>
      <c r="N196" s="1"/>
      <c r="O196" s="1"/>
      <c r="P196" s="1"/>
      <c r="Q196" s="1"/>
      <c r="R196" s="1"/>
      <c r="S196" s="1"/>
      <c r="T196" s="1"/>
      <c r="U196" s="1"/>
      <c r="V196" s="1"/>
      <c r="W196" s="1"/>
      <c r="X196" s="1"/>
      <c r="Y196" s="1"/>
      <c r="Z196" s="1"/>
    </row>
    <row r="197" spans="3:26" ht="25.15" customHeight="1" x14ac:dyDescent="0.2">
      <c r="C197" s="1"/>
      <c r="E197" s="1"/>
      <c r="F197" s="1"/>
      <c r="G197" s="1"/>
      <c r="H197" s="1"/>
      <c r="I197" s="1"/>
      <c r="J197" s="1"/>
      <c r="K197" s="1"/>
      <c r="L197" s="1"/>
      <c r="M197" s="1"/>
      <c r="N197" s="1"/>
      <c r="O197" s="1"/>
      <c r="P197" s="1"/>
      <c r="Q197" s="1"/>
      <c r="R197" s="1"/>
      <c r="S197" s="1"/>
      <c r="T197" s="1"/>
      <c r="U197" s="1"/>
      <c r="V197" s="1"/>
      <c r="W197" s="1"/>
      <c r="X197" s="1"/>
      <c r="Y197" s="1"/>
      <c r="Z197" s="1"/>
    </row>
    <row r="198" spans="3:26" ht="25.15" customHeight="1" x14ac:dyDescent="0.2">
      <c r="C198" s="1"/>
      <c r="E198" s="1"/>
      <c r="F198" s="1"/>
      <c r="G198" s="1"/>
      <c r="H198" s="1"/>
      <c r="I198" s="1"/>
      <c r="J198" s="1"/>
      <c r="K198" s="1"/>
      <c r="L198" s="1"/>
      <c r="M198" s="1"/>
      <c r="N198" s="1"/>
      <c r="O198" s="1"/>
      <c r="P198" s="1"/>
      <c r="Q198" s="1"/>
      <c r="R198" s="1"/>
      <c r="S198" s="1"/>
      <c r="T198" s="1"/>
      <c r="U198" s="1"/>
      <c r="V198" s="1"/>
      <c r="W198" s="1"/>
      <c r="X198" s="1"/>
      <c r="Y198" s="1"/>
      <c r="Z198" s="1"/>
    </row>
    <row r="199" spans="3:26" ht="25.15" customHeight="1" x14ac:dyDescent="0.2">
      <c r="C199" s="1"/>
      <c r="E199" s="1"/>
      <c r="F199" s="1"/>
      <c r="G199" s="1"/>
      <c r="H199" s="1"/>
      <c r="I199" s="1"/>
      <c r="J199" s="1"/>
      <c r="K199" s="1"/>
      <c r="L199" s="1"/>
      <c r="M199" s="1"/>
      <c r="N199" s="1"/>
      <c r="O199" s="1"/>
      <c r="P199" s="1"/>
      <c r="Q199" s="1"/>
      <c r="R199" s="1"/>
      <c r="S199" s="1"/>
      <c r="T199" s="1"/>
      <c r="U199" s="1"/>
      <c r="V199" s="1"/>
      <c r="W199" s="1"/>
      <c r="X199" s="1"/>
      <c r="Y199" s="1"/>
      <c r="Z199" s="1"/>
    </row>
    <row r="200" spans="3:26" ht="24.75" customHeight="1" x14ac:dyDescent="0.2">
      <c r="C200" s="1"/>
      <c r="E200" s="1"/>
      <c r="F200" s="1"/>
      <c r="G200" s="1"/>
      <c r="H200" s="1"/>
      <c r="I200" s="1"/>
      <c r="J200" s="1"/>
      <c r="K200" s="1"/>
      <c r="L200" s="1"/>
      <c r="M200" s="1"/>
      <c r="N200" s="1"/>
      <c r="O200" s="1"/>
      <c r="P200" s="1"/>
      <c r="Q200" s="1"/>
      <c r="R200" s="1"/>
      <c r="S200" s="1"/>
      <c r="T200" s="1"/>
      <c r="U200" s="1"/>
      <c r="V200" s="1"/>
      <c r="W200" s="1"/>
      <c r="X200" s="1"/>
      <c r="Y200" s="1"/>
      <c r="Z200" s="1"/>
    </row>
    <row r="201" spans="3:26" ht="25.15" customHeight="1" x14ac:dyDescent="0.2">
      <c r="C201" s="1"/>
      <c r="E201" s="1"/>
      <c r="F201" s="1"/>
      <c r="G201" s="1"/>
      <c r="H201" s="1"/>
      <c r="I201" s="1"/>
      <c r="J201" s="1"/>
      <c r="K201" s="1"/>
      <c r="L201" s="1"/>
      <c r="M201" s="1"/>
      <c r="N201" s="1"/>
      <c r="O201" s="1"/>
      <c r="P201" s="1"/>
      <c r="Q201" s="1"/>
      <c r="R201" s="1"/>
      <c r="S201" s="1"/>
      <c r="T201" s="1"/>
      <c r="U201" s="1"/>
      <c r="V201" s="1"/>
      <c r="W201" s="1"/>
      <c r="X201" s="1"/>
      <c r="Y201" s="1"/>
      <c r="Z201" s="1"/>
    </row>
    <row r="202" spans="3:26" ht="25.15" customHeight="1" x14ac:dyDescent="0.2">
      <c r="C202" s="1"/>
      <c r="E202" s="1"/>
      <c r="F202" s="1"/>
      <c r="G202" s="1"/>
      <c r="H202" s="1"/>
      <c r="I202" s="1"/>
      <c r="J202" s="1"/>
      <c r="K202" s="1"/>
      <c r="L202" s="1"/>
      <c r="M202" s="1"/>
      <c r="N202" s="1"/>
      <c r="O202" s="1"/>
      <c r="P202" s="1"/>
      <c r="Q202" s="1"/>
      <c r="R202" s="1"/>
      <c r="S202" s="1"/>
      <c r="T202" s="1"/>
      <c r="U202" s="1"/>
      <c r="V202" s="1"/>
      <c r="W202" s="1"/>
      <c r="X202" s="1"/>
      <c r="Y202" s="1"/>
      <c r="Z202" s="1"/>
    </row>
    <row r="203" spans="3:26" ht="25.15" customHeight="1" x14ac:dyDescent="0.2">
      <c r="C203" s="1"/>
    </row>
    <row r="204" spans="3:26" ht="25.15" customHeight="1" x14ac:dyDescent="0.2">
      <c r="C204" s="1"/>
    </row>
    <row r="205" spans="3:26" ht="25.15" customHeight="1" x14ac:dyDescent="0.2">
      <c r="C205" s="1"/>
    </row>
    <row r="206" spans="3:26" ht="25.15" customHeight="1" x14ac:dyDescent="0.2">
      <c r="C206" s="1"/>
    </row>
    <row r="207" spans="3:26" ht="25.15" customHeight="1" x14ac:dyDescent="0.2">
      <c r="C207" s="1"/>
    </row>
    <row r="208" spans="3:26" ht="25.15" customHeight="1" x14ac:dyDescent="0.2">
      <c r="C208" s="1"/>
    </row>
    <row r="209" spans="3:26" ht="25.15" customHeight="1" x14ac:dyDescent="0.2">
      <c r="C209" s="1"/>
    </row>
    <row r="210" spans="3:26" ht="25.15" customHeight="1" x14ac:dyDescent="0.2">
      <c r="C210" s="1"/>
    </row>
    <row r="211" spans="3:26" ht="25.15" customHeight="1" x14ac:dyDescent="0.2">
      <c r="C211" s="1"/>
    </row>
    <row r="212" spans="3:26" ht="25.15" customHeight="1" x14ac:dyDescent="0.2">
      <c r="C212" s="1"/>
    </row>
    <row r="213" spans="3:26" ht="25.15" customHeight="1" x14ac:dyDescent="0.2">
      <c r="C213" s="1"/>
    </row>
    <row r="214" spans="3:26" ht="25.15" customHeight="1" x14ac:dyDescent="0.2">
      <c r="C214" s="1"/>
    </row>
    <row r="215" spans="3:26" ht="25.15" customHeight="1" x14ac:dyDescent="0.2">
      <c r="C215" s="1"/>
    </row>
    <row r="216" spans="3:26" ht="25.15" customHeight="1" x14ac:dyDescent="0.2">
      <c r="C216" s="1"/>
    </row>
    <row r="217" spans="3:26" ht="25.15" customHeight="1" x14ac:dyDescent="0.2">
      <c r="C217" s="1"/>
    </row>
    <row r="218" spans="3:26" ht="25.15" customHeight="1" x14ac:dyDescent="0.2">
      <c r="C218" s="1"/>
      <c r="E218" s="1"/>
      <c r="F218" s="1"/>
      <c r="G218" s="1"/>
      <c r="H218" s="1"/>
      <c r="I218" s="1"/>
      <c r="J218" s="1"/>
      <c r="K218" s="1"/>
      <c r="L218" s="1"/>
      <c r="M218" s="1"/>
      <c r="N218" s="1"/>
      <c r="O218" s="1"/>
      <c r="P218" s="1"/>
      <c r="Q218" s="1"/>
      <c r="R218" s="1"/>
      <c r="S218" s="1"/>
      <c r="T218" s="1"/>
      <c r="U218" s="1"/>
      <c r="V218" s="1"/>
      <c r="W218" s="1"/>
      <c r="X218" s="1"/>
      <c r="Y218" s="1"/>
      <c r="Z218" s="1"/>
    </row>
    <row r="219" spans="3:26" ht="25.15" customHeight="1" x14ac:dyDescent="0.2">
      <c r="C219" s="1"/>
      <c r="E219" s="1"/>
      <c r="F219" s="1"/>
      <c r="G219" s="1"/>
      <c r="H219" s="1"/>
      <c r="I219" s="1"/>
      <c r="J219" s="1"/>
      <c r="K219" s="1"/>
      <c r="L219" s="1"/>
      <c r="M219" s="1"/>
      <c r="N219" s="1"/>
      <c r="O219" s="1"/>
      <c r="P219" s="1"/>
      <c r="Q219" s="1"/>
      <c r="R219" s="1"/>
      <c r="S219" s="1"/>
      <c r="T219" s="1"/>
      <c r="U219" s="1"/>
      <c r="V219" s="1"/>
      <c r="W219" s="1"/>
      <c r="X219" s="1"/>
      <c r="Y219" s="1"/>
      <c r="Z219" s="1"/>
    </row>
    <row r="220" spans="3:26" ht="25.15" customHeight="1" x14ac:dyDescent="0.2">
      <c r="C220" s="1"/>
      <c r="E220" s="1"/>
      <c r="F220" s="1"/>
      <c r="G220" s="1"/>
      <c r="H220" s="1"/>
      <c r="I220" s="1"/>
      <c r="J220" s="1"/>
      <c r="K220" s="1"/>
      <c r="L220" s="1"/>
      <c r="M220" s="1"/>
      <c r="N220" s="1"/>
      <c r="O220" s="1"/>
      <c r="P220" s="1"/>
      <c r="Q220" s="1"/>
      <c r="R220" s="1"/>
      <c r="S220" s="1"/>
      <c r="T220" s="1"/>
      <c r="U220" s="1"/>
      <c r="V220" s="1"/>
      <c r="W220" s="1"/>
      <c r="X220" s="1"/>
      <c r="Y220" s="1"/>
      <c r="Z220" s="1"/>
    </row>
    <row r="221" spans="3:26" ht="25.15" customHeight="1" x14ac:dyDescent="0.2">
      <c r="C221" s="1"/>
      <c r="E221" s="1"/>
      <c r="F221" s="1"/>
      <c r="G221" s="1"/>
      <c r="H221" s="1"/>
      <c r="I221" s="1"/>
      <c r="J221" s="1"/>
      <c r="K221" s="1"/>
      <c r="L221" s="1"/>
      <c r="M221" s="1"/>
      <c r="N221" s="1"/>
      <c r="O221" s="1"/>
      <c r="P221" s="1"/>
      <c r="Q221" s="1"/>
      <c r="R221" s="1"/>
      <c r="S221" s="1"/>
      <c r="T221" s="1"/>
      <c r="U221" s="1"/>
      <c r="V221" s="1"/>
      <c r="W221" s="1"/>
      <c r="X221" s="1"/>
      <c r="Y221" s="1"/>
      <c r="Z221" s="1"/>
    </row>
    <row r="222" spans="3:26" ht="25.15" customHeight="1" x14ac:dyDescent="0.2">
      <c r="C222" s="1"/>
      <c r="E222" s="1"/>
      <c r="F222" s="1"/>
      <c r="G222" s="1"/>
      <c r="H222" s="1"/>
      <c r="I222" s="1"/>
      <c r="J222" s="1"/>
      <c r="K222" s="1"/>
      <c r="L222" s="1"/>
      <c r="M222" s="1"/>
      <c r="N222" s="1"/>
      <c r="O222" s="1"/>
      <c r="P222" s="1"/>
      <c r="Q222" s="1"/>
      <c r="R222" s="1"/>
      <c r="S222" s="1"/>
      <c r="T222" s="1"/>
      <c r="U222" s="1"/>
      <c r="V222" s="1"/>
      <c r="W222" s="1"/>
      <c r="X222" s="1"/>
      <c r="Y222" s="1"/>
      <c r="Z222" s="1"/>
    </row>
    <row r="223" spans="3:26" ht="18" customHeight="1" x14ac:dyDescent="0.2">
      <c r="C223" s="1"/>
      <c r="E223" s="1"/>
      <c r="F223" s="1"/>
      <c r="G223" s="1"/>
      <c r="H223" s="1"/>
      <c r="I223" s="1"/>
      <c r="J223" s="1"/>
      <c r="K223" s="1"/>
      <c r="L223" s="1"/>
      <c r="M223" s="1"/>
      <c r="N223" s="1"/>
      <c r="O223" s="1"/>
      <c r="P223" s="1"/>
      <c r="Q223" s="1"/>
      <c r="R223" s="1"/>
      <c r="S223" s="1"/>
      <c r="T223" s="1"/>
      <c r="U223" s="1"/>
      <c r="V223" s="1"/>
      <c r="W223" s="1"/>
      <c r="X223" s="1"/>
      <c r="Y223" s="1"/>
      <c r="Z223" s="1"/>
    </row>
    <row r="224" spans="3:26" ht="18" customHeight="1" x14ac:dyDescent="0.2">
      <c r="C224" s="1"/>
      <c r="E224" s="1"/>
      <c r="F224" s="1"/>
      <c r="G224" s="1"/>
      <c r="H224" s="1"/>
      <c r="I224" s="1"/>
      <c r="J224" s="1"/>
      <c r="K224" s="1"/>
      <c r="L224" s="1"/>
      <c r="M224" s="1"/>
      <c r="N224" s="1"/>
      <c r="O224" s="1"/>
      <c r="P224" s="1"/>
      <c r="Q224" s="1"/>
      <c r="R224" s="1"/>
      <c r="S224" s="1"/>
      <c r="T224" s="1"/>
      <c r="U224" s="1"/>
      <c r="V224" s="1"/>
      <c r="W224" s="1"/>
      <c r="X224" s="1"/>
      <c r="Y224" s="1"/>
      <c r="Z224" s="1"/>
    </row>
    <row r="225" spans="3:26" ht="30.75" customHeight="1" x14ac:dyDescent="0.2">
      <c r="C225" s="1"/>
      <c r="E225" s="1"/>
      <c r="F225" s="1"/>
      <c r="G225" s="1"/>
      <c r="H225" s="1"/>
      <c r="I225" s="1"/>
      <c r="J225" s="1"/>
      <c r="K225" s="1"/>
      <c r="L225" s="1"/>
      <c r="M225" s="1"/>
      <c r="N225" s="1"/>
      <c r="O225" s="1"/>
      <c r="P225" s="1"/>
      <c r="Q225" s="1"/>
      <c r="R225" s="1"/>
      <c r="S225" s="1"/>
      <c r="T225" s="1"/>
      <c r="U225" s="1"/>
      <c r="V225" s="1"/>
      <c r="W225" s="1"/>
      <c r="X225" s="1"/>
      <c r="Y225" s="1"/>
      <c r="Z225" s="1"/>
    </row>
    <row r="226" spans="3:26" ht="59.25" customHeight="1" x14ac:dyDescent="0.2">
      <c r="C226" s="1"/>
      <c r="E226" s="1"/>
      <c r="F226" s="1"/>
      <c r="G226" s="1"/>
      <c r="H226" s="1"/>
      <c r="I226" s="1"/>
      <c r="J226" s="1"/>
      <c r="K226" s="1"/>
      <c r="L226" s="1"/>
      <c r="M226" s="1"/>
      <c r="N226" s="1"/>
      <c r="O226" s="1"/>
      <c r="P226" s="1"/>
      <c r="Q226" s="1"/>
      <c r="R226" s="1"/>
      <c r="S226" s="1"/>
      <c r="T226" s="1"/>
      <c r="U226" s="1"/>
      <c r="V226" s="1"/>
      <c r="W226" s="1"/>
      <c r="X226" s="1"/>
      <c r="Y226" s="1"/>
      <c r="Z226" s="1"/>
    </row>
    <row r="227" spans="3:26" ht="30" customHeight="1" x14ac:dyDescent="0.2">
      <c r="C227" s="1"/>
      <c r="E227" s="1"/>
      <c r="F227" s="1"/>
      <c r="G227" s="1"/>
      <c r="H227" s="1"/>
      <c r="I227" s="1"/>
      <c r="J227" s="1"/>
      <c r="K227" s="1"/>
      <c r="L227" s="1"/>
      <c r="M227" s="1"/>
      <c r="N227" s="1"/>
      <c r="O227" s="1"/>
      <c r="P227" s="1"/>
      <c r="Q227" s="1"/>
      <c r="R227" s="1"/>
      <c r="S227" s="1"/>
      <c r="T227" s="1"/>
      <c r="U227" s="1"/>
      <c r="V227" s="1"/>
      <c r="W227" s="1"/>
      <c r="X227" s="1"/>
      <c r="Y227" s="1"/>
      <c r="Z227" s="1"/>
    </row>
    <row r="228" spans="3:26" ht="30" customHeight="1" x14ac:dyDescent="0.2">
      <c r="C228" s="1"/>
      <c r="E228" s="1"/>
      <c r="F228" s="1"/>
      <c r="G228" s="1"/>
      <c r="H228" s="1"/>
      <c r="I228" s="1"/>
      <c r="J228" s="1"/>
      <c r="K228" s="1"/>
      <c r="L228" s="1"/>
      <c r="M228" s="1"/>
      <c r="N228" s="1"/>
      <c r="O228" s="1"/>
      <c r="P228" s="1"/>
      <c r="Q228" s="1"/>
      <c r="R228" s="1"/>
      <c r="S228" s="1"/>
      <c r="T228" s="1"/>
      <c r="U228" s="1"/>
      <c r="V228" s="1"/>
      <c r="W228" s="1"/>
      <c r="X228" s="1"/>
      <c r="Y228" s="1"/>
      <c r="Z228" s="1"/>
    </row>
    <row r="229" spans="3:26" ht="40.15" customHeight="1" x14ac:dyDescent="0.2">
      <c r="C229" s="1"/>
      <c r="E229" s="1"/>
      <c r="F229" s="1"/>
      <c r="G229" s="1"/>
      <c r="H229" s="1"/>
      <c r="I229" s="1"/>
      <c r="J229" s="1"/>
      <c r="K229" s="1"/>
      <c r="L229" s="1"/>
      <c r="M229" s="1"/>
      <c r="N229" s="1"/>
      <c r="O229" s="1"/>
      <c r="P229" s="1"/>
      <c r="Q229" s="1"/>
      <c r="R229" s="1"/>
      <c r="S229" s="1"/>
      <c r="T229" s="1"/>
      <c r="U229" s="1"/>
      <c r="V229" s="1"/>
      <c r="W229" s="1"/>
      <c r="X229" s="1"/>
      <c r="Y229" s="1"/>
      <c r="Z229" s="1"/>
    </row>
    <row r="230" spans="3:26" ht="39.75" customHeight="1" x14ac:dyDescent="0.2">
      <c r="C230" s="1"/>
      <c r="E230" s="1"/>
      <c r="F230" s="1"/>
      <c r="G230" s="1"/>
      <c r="H230" s="1"/>
      <c r="I230" s="1"/>
      <c r="J230" s="1"/>
      <c r="K230" s="1"/>
      <c r="L230" s="1"/>
      <c r="M230" s="1"/>
      <c r="N230" s="1"/>
      <c r="O230" s="1"/>
      <c r="P230" s="1"/>
      <c r="Q230" s="1"/>
      <c r="R230" s="1"/>
      <c r="S230" s="1"/>
      <c r="T230" s="1"/>
      <c r="U230" s="1"/>
      <c r="V230" s="1"/>
      <c r="W230" s="1"/>
      <c r="X230" s="1"/>
      <c r="Y230" s="1"/>
      <c r="Z230" s="1"/>
    </row>
    <row r="231" spans="3:26" ht="18" customHeight="1" x14ac:dyDescent="0.2">
      <c r="C231" s="1"/>
      <c r="E231" s="1"/>
      <c r="F231" s="1"/>
      <c r="G231" s="1"/>
      <c r="H231" s="1"/>
      <c r="I231" s="1"/>
      <c r="J231" s="1"/>
      <c r="K231" s="1"/>
      <c r="L231" s="1"/>
      <c r="M231" s="1"/>
      <c r="N231" s="1"/>
      <c r="O231" s="1"/>
      <c r="P231" s="1"/>
      <c r="Q231" s="1"/>
      <c r="R231" s="1"/>
      <c r="S231" s="1"/>
      <c r="T231" s="1"/>
      <c r="U231" s="1"/>
      <c r="V231" s="1"/>
      <c r="W231" s="1"/>
      <c r="X231" s="1"/>
      <c r="Y231" s="1"/>
      <c r="Z231" s="1"/>
    </row>
    <row r="232" spans="3:26" ht="25.15" customHeight="1" x14ac:dyDescent="0.2">
      <c r="C232" s="1"/>
      <c r="E232" s="1"/>
      <c r="F232" s="1"/>
      <c r="G232" s="1"/>
      <c r="H232" s="1"/>
      <c r="I232" s="1"/>
      <c r="J232" s="1"/>
      <c r="K232" s="1"/>
      <c r="L232" s="1"/>
      <c r="M232" s="1"/>
      <c r="N232" s="1"/>
      <c r="O232" s="1"/>
      <c r="P232" s="1"/>
      <c r="Q232" s="1"/>
      <c r="R232" s="1"/>
      <c r="S232" s="1"/>
      <c r="T232" s="1"/>
      <c r="U232" s="1"/>
      <c r="V232" s="1"/>
      <c r="W232" s="1"/>
      <c r="X232" s="1"/>
      <c r="Y232" s="1"/>
      <c r="Z232" s="1"/>
    </row>
    <row r="233" spans="3:26" ht="25.15" customHeight="1" x14ac:dyDescent="0.2">
      <c r="C233" s="1"/>
      <c r="E233" s="1"/>
      <c r="F233" s="1"/>
      <c r="G233" s="1"/>
      <c r="H233" s="1"/>
      <c r="I233" s="1"/>
      <c r="J233" s="1"/>
      <c r="K233" s="1"/>
      <c r="L233" s="1"/>
      <c r="M233" s="1"/>
      <c r="N233" s="1"/>
      <c r="O233" s="1"/>
      <c r="P233" s="1"/>
      <c r="Q233" s="1"/>
      <c r="R233" s="1"/>
      <c r="S233" s="1"/>
      <c r="T233" s="1"/>
      <c r="U233" s="1"/>
      <c r="V233" s="1"/>
      <c r="W233" s="1"/>
      <c r="X233" s="1"/>
      <c r="Y233" s="1"/>
      <c r="Z233" s="1"/>
    </row>
    <row r="234" spans="3:26" ht="25.15" customHeight="1" x14ac:dyDescent="0.2">
      <c r="C234" s="1"/>
      <c r="E234" s="1"/>
      <c r="F234" s="1"/>
      <c r="G234" s="1"/>
      <c r="H234" s="1"/>
      <c r="I234" s="1"/>
      <c r="J234" s="1"/>
      <c r="K234" s="1"/>
      <c r="L234" s="1"/>
      <c r="M234" s="1"/>
      <c r="N234" s="1"/>
      <c r="O234" s="1"/>
      <c r="P234" s="1"/>
      <c r="Q234" s="1"/>
      <c r="R234" s="1"/>
      <c r="S234" s="1"/>
      <c r="T234" s="1"/>
      <c r="U234" s="1"/>
      <c r="V234" s="1"/>
      <c r="W234" s="1"/>
      <c r="X234" s="1"/>
      <c r="Y234" s="1"/>
      <c r="Z234" s="1"/>
    </row>
    <row r="235" spans="3:26" ht="24.75" customHeight="1" x14ac:dyDescent="0.2">
      <c r="C235" s="1"/>
      <c r="E235" s="1"/>
      <c r="F235" s="1"/>
      <c r="G235" s="1"/>
      <c r="H235" s="1"/>
      <c r="I235" s="1"/>
      <c r="J235" s="1"/>
      <c r="K235" s="1"/>
      <c r="L235" s="1"/>
      <c r="M235" s="1"/>
      <c r="N235" s="1"/>
      <c r="O235" s="1"/>
      <c r="P235" s="1"/>
      <c r="Q235" s="1"/>
      <c r="R235" s="1"/>
      <c r="S235" s="1"/>
      <c r="T235" s="1"/>
      <c r="U235" s="1"/>
      <c r="V235" s="1"/>
      <c r="W235" s="1"/>
      <c r="X235" s="1"/>
      <c r="Y235" s="1"/>
      <c r="Z235" s="1"/>
    </row>
    <row r="236" spans="3:26" ht="25.15" customHeight="1" x14ac:dyDescent="0.2">
      <c r="C236" s="1"/>
      <c r="E236" s="1"/>
      <c r="F236" s="1"/>
      <c r="G236" s="1"/>
      <c r="H236" s="1"/>
      <c r="I236" s="1"/>
      <c r="J236" s="1"/>
      <c r="K236" s="1"/>
      <c r="L236" s="1"/>
      <c r="M236" s="1"/>
      <c r="N236" s="1"/>
      <c r="O236" s="1"/>
      <c r="P236" s="1"/>
      <c r="Q236" s="1"/>
      <c r="R236" s="1"/>
      <c r="S236" s="1"/>
      <c r="T236" s="1"/>
      <c r="U236" s="1"/>
      <c r="V236" s="1"/>
      <c r="W236" s="1"/>
      <c r="X236" s="1"/>
      <c r="Y236" s="1"/>
      <c r="Z236" s="1"/>
    </row>
    <row r="237" spans="3:26" ht="25.15" customHeight="1" x14ac:dyDescent="0.2">
      <c r="C237" s="1"/>
      <c r="E237" s="1"/>
      <c r="F237" s="1"/>
      <c r="G237" s="1"/>
      <c r="H237" s="1"/>
      <c r="I237" s="1"/>
      <c r="J237" s="1"/>
      <c r="K237" s="1"/>
      <c r="L237" s="1"/>
      <c r="M237" s="1"/>
      <c r="N237" s="1"/>
      <c r="O237" s="1"/>
      <c r="P237" s="1"/>
      <c r="Q237" s="1"/>
      <c r="R237" s="1"/>
      <c r="S237" s="1"/>
      <c r="T237" s="1"/>
      <c r="U237" s="1"/>
      <c r="V237" s="1"/>
      <c r="W237" s="1"/>
      <c r="X237" s="1"/>
      <c r="Y237" s="1"/>
      <c r="Z237" s="1"/>
    </row>
    <row r="238" spans="3:26" ht="25.15" customHeight="1" x14ac:dyDescent="0.2">
      <c r="C238" s="1"/>
      <c r="E238" s="1"/>
      <c r="F238" s="1"/>
      <c r="G238" s="1"/>
      <c r="H238" s="1"/>
      <c r="I238" s="1"/>
      <c r="J238" s="1"/>
      <c r="K238" s="1"/>
      <c r="L238" s="1"/>
      <c r="M238" s="1"/>
      <c r="N238" s="1"/>
      <c r="O238" s="1"/>
      <c r="P238" s="1"/>
      <c r="Q238" s="1"/>
      <c r="R238" s="1"/>
      <c r="S238" s="1"/>
      <c r="T238" s="1"/>
      <c r="U238" s="1"/>
      <c r="V238" s="1"/>
      <c r="W238" s="1"/>
      <c r="X238" s="1"/>
      <c r="Y238" s="1"/>
      <c r="Z238" s="1"/>
    </row>
    <row r="239" spans="3:26" ht="25.15" customHeight="1" x14ac:dyDescent="0.2">
      <c r="C239" s="1"/>
      <c r="E239" s="1"/>
      <c r="F239" s="1"/>
      <c r="G239" s="1"/>
      <c r="H239" s="1"/>
      <c r="I239" s="1"/>
      <c r="J239" s="1"/>
      <c r="K239" s="1"/>
      <c r="L239" s="1"/>
      <c r="M239" s="1"/>
      <c r="N239" s="1"/>
      <c r="O239" s="1"/>
      <c r="P239" s="1"/>
      <c r="Q239" s="1"/>
      <c r="R239" s="1"/>
      <c r="S239" s="1"/>
      <c r="T239" s="1"/>
      <c r="U239" s="1"/>
      <c r="V239" s="1"/>
      <c r="W239" s="1"/>
      <c r="X239" s="1"/>
      <c r="Y239" s="1"/>
      <c r="Z239" s="1"/>
    </row>
    <row r="240" spans="3:26" ht="25.15" customHeight="1" x14ac:dyDescent="0.2">
      <c r="C240" s="1"/>
      <c r="E240" s="1"/>
      <c r="F240" s="1"/>
      <c r="G240" s="1"/>
      <c r="H240" s="1"/>
      <c r="I240" s="1"/>
      <c r="J240" s="1"/>
      <c r="K240" s="1"/>
      <c r="L240" s="1"/>
      <c r="M240" s="1"/>
      <c r="N240" s="1"/>
      <c r="O240" s="1"/>
      <c r="P240" s="1"/>
      <c r="Q240" s="1"/>
      <c r="R240" s="1"/>
      <c r="S240" s="1"/>
      <c r="T240" s="1"/>
      <c r="U240" s="1"/>
      <c r="V240" s="1"/>
      <c r="W240" s="1"/>
      <c r="X240" s="1"/>
      <c r="Y240" s="1"/>
      <c r="Z240" s="1"/>
    </row>
    <row r="241" spans="3:26" ht="25.15" customHeight="1" x14ac:dyDescent="0.2">
      <c r="C241" s="1"/>
      <c r="E241" s="1"/>
      <c r="F241" s="1"/>
      <c r="G241" s="1"/>
      <c r="H241" s="1"/>
      <c r="I241" s="1"/>
      <c r="J241" s="1"/>
      <c r="K241" s="1"/>
      <c r="L241" s="1"/>
      <c r="M241" s="1"/>
      <c r="N241" s="1"/>
      <c r="O241" s="1"/>
      <c r="P241" s="1"/>
      <c r="Q241" s="1"/>
      <c r="R241" s="1"/>
      <c r="S241" s="1"/>
      <c r="T241" s="1"/>
      <c r="U241" s="1"/>
      <c r="V241" s="1"/>
      <c r="W241" s="1"/>
      <c r="X241" s="1"/>
      <c r="Y241" s="1"/>
      <c r="Z241" s="1"/>
    </row>
    <row r="242" spans="3:26" ht="25.15" customHeight="1" x14ac:dyDescent="0.2">
      <c r="C242" s="1"/>
      <c r="E242" s="1"/>
      <c r="F242" s="1"/>
      <c r="G242" s="1"/>
      <c r="H242" s="1"/>
      <c r="I242" s="1"/>
      <c r="J242" s="1"/>
      <c r="K242" s="1"/>
      <c r="L242" s="1"/>
      <c r="M242" s="1"/>
      <c r="N242" s="1"/>
      <c r="O242" s="1"/>
      <c r="P242" s="1"/>
      <c r="Q242" s="1"/>
      <c r="R242" s="1"/>
      <c r="S242" s="1"/>
      <c r="T242" s="1"/>
      <c r="U242" s="1"/>
      <c r="V242" s="1"/>
      <c r="W242" s="1"/>
      <c r="X242" s="1"/>
      <c r="Y242" s="1"/>
      <c r="Z242" s="1"/>
    </row>
    <row r="243" spans="3:26" ht="25.15" customHeight="1" x14ac:dyDescent="0.2">
      <c r="C243" s="1"/>
      <c r="E243" s="1"/>
      <c r="F243" s="1"/>
      <c r="G243" s="1"/>
      <c r="H243" s="1"/>
      <c r="I243" s="1"/>
      <c r="J243" s="1"/>
      <c r="K243" s="1"/>
      <c r="L243" s="1"/>
      <c r="M243" s="1"/>
      <c r="N243" s="1"/>
      <c r="O243" s="1"/>
      <c r="P243" s="1"/>
      <c r="Q243" s="1"/>
      <c r="R243" s="1"/>
      <c r="S243" s="1"/>
      <c r="T243" s="1"/>
      <c r="U243" s="1"/>
      <c r="V243" s="1"/>
      <c r="W243" s="1"/>
      <c r="X243" s="1"/>
      <c r="Y243" s="1"/>
      <c r="Z243" s="1"/>
    </row>
    <row r="244" spans="3:26" ht="25.15" customHeight="1" x14ac:dyDescent="0.2">
      <c r="C244" s="1"/>
      <c r="E244" s="1"/>
      <c r="F244" s="1"/>
      <c r="G244" s="1"/>
      <c r="H244" s="1"/>
      <c r="I244" s="1"/>
      <c r="J244" s="1"/>
      <c r="K244" s="1"/>
      <c r="L244" s="1"/>
      <c r="M244" s="1"/>
      <c r="N244" s="1"/>
      <c r="O244" s="1"/>
      <c r="P244" s="1"/>
      <c r="Q244" s="1"/>
      <c r="R244" s="1"/>
      <c r="S244" s="1"/>
      <c r="T244" s="1"/>
      <c r="U244" s="1"/>
      <c r="V244" s="1"/>
      <c r="W244" s="1"/>
      <c r="X244" s="1"/>
      <c r="Y244" s="1"/>
      <c r="Z244" s="1"/>
    </row>
    <row r="245" spans="3:26" ht="25.15" customHeight="1" x14ac:dyDescent="0.2">
      <c r="C245" s="1"/>
      <c r="E245" s="1"/>
      <c r="F245" s="1"/>
      <c r="G245" s="1"/>
      <c r="H245" s="1"/>
      <c r="I245" s="1"/>
      <c r="J245" s="1"/>
      <c r="K245" s="1"/>
      <c r="L245" s="1"/>
      <c r="M245" s="1"/>
      <c r="N245" s="1"/>
      <c r="O245" s="1"/>
      <c r="P245" s="1"/>
      <c r="Q245" s="1"/>
      <c r="R245" s="1"/>
      <c r="S245" s="1"/>
      <c r="T245" s="1"/>
      <c r="U245" s="1"/>
      <c r="V245" s="1"/>
      <c r="W245" s="1"/>
      <c r="X245" s="1"/>
      <c r="Y245" s="1"/>
      <c r="Z245" s="1"/>
    </row>
    <row r="246" spans="3:26" x14ac:dyDescent="0.2">
      <c r="C246" s="1"/>
      <c r="E246" s="1"/>
      <c r="F246" s="1"/>
      <c r="G246" s="1"/>
      <c r="H246" s="1"/>
      <c r="I246" s="1"/>
      <c r="J246" s="1"/>
      <c r="K246" s="1"/>
      <c r="L246" s="1"/>
      <c r="M246" s="1"/>
      <c r="N246" s="1"/>
      <c r="O246" s="1"/>
      <c r="P246" s="1"/>
      <c r="Q246" s="1"/>
      <c r="R246" s="1"/>
      <c r="S246" s="1"/>
      <c r="T246" s="1"/>
      <c r="U246" s="1"/>
      <c r="V246" s="1"/>
      <c r="W246" s="1"/>
      <c r="X246" s="1"/>
      <c r="Y246" s="1"/>
      <c r="Z246" s="1"/>
    </row>
    <row r="247" spans="3:26" x14ac:dyDescent="0.2">
      <c r="C247" s="1"/>
      <c r="E247" s="1"/>
      <c r="F247" s="1"/>
      <c r="G247" s="1"/>
      <c r="H247" s="1"/>
      <c r="I247" s="1"/>
      <c r="J247" s="1"/>
      <c r="K247" s="1"/>
      <c r="L247" s="1"/>
      <c r="M247" s="1"/>
      <c r="N247" s="1"/>
      <c r="O247" s="1"/>
      <c r="P247" s="1"/>
      <c r="Q247" s="1"/>
      <c r="R247" s="1"/>
      <c r="S247" s="1"/>
      <c r="T247" s="1"/>
      <c r="U247" s="1"/>
      <c r="V247" s="1"/>
      <c r="W247" s="1"/>
      <c r="X247" s="1"/>
      <c r="Y247" s="1"/>
      <c r="Z247" s="1"/>
    </row>
    <row r="248" spans="3:26" x14ac:dyDescent="0.2">
      <c r="C248" s="1"/>
      <c r="E248" s="1"/>
      <c r="F248" s="1"/>
      <c r="G248" s="1"/>
      <c r="H248" s="1"/>
      <c r="I248" s="1"/>
      <c r="J248" s="1"/>
      <c r="K248" s="1"/>
      <c r="L248" s="1"/>
      <c r="M248" s="1"/>
      <c r="N248" s="1"/>
      <c r="O248" s="1"/>
      <c r="P248" s="1"/>
      <c r="Q248" s="1"/>
      <c r="R248" s="1"/>
      <c r="S248" s="1"/>
      <c r="T248" s="1"/>
      <c r="U248" s="1"/>
      <c r="V248" s="1"/>
      <c r="W248" s="1"/>
      <c r="X248" s="1"/>
      <c r="Y248" s="1"/>
      <c r="Z248" s="1"/>
    </row>
    <row r="249" spans="3:26" x14ac:dyDescent="0.2">
      <c r="C249" s="1"/>
      <c r="E249" s="1"/>
      <c r="F249" s="1"/>
      <c r="G249" s="1"/>
      <c r="H249" s="1"/>
      <c r="I249" s="1"/>
      <c r="J249" s="1"/>
      <c r="K249" s="1"/>
      <c r="L249" s="1"/>
      <c r="M249" s="1"/>
      <c r="N249" s="1"/>
      <c r="O249" s="1"/>
      <c r="P249" s="1"/>
      <c r="Q249" s="1"/>
      <c r="R249" s="1"/>
      <c r="S249" s="1"/>
      <c r="T249" s="1"/>
      <c r="U249" s="1"/>
      <c r="V249" s="1"/>
      <c r="W249" s="1"/>
      <c r="X249" s="1"/>
      <c r="Y249" s="1"/>
      <c r="Z249" s="1"/>
    </row>
    <row r="250" spans="3:26" x14ac:dyDescent="0.2">
      <c r="C250" s="1"/>
      <c r="E250" s="1"/>
      <c r="F250" s="1"/>
      <c r="G250" s="1"/>
      <c r="H250" s="1"/>
      <c r="I250" s="1"/>
      <c r="J250" s="1"/>
      <c r="K250" s="1"/>
      <c r="L250" s="1"/>
      <c r="M250" s="1"/>
      <c r="N250" s="1"/>
      <c r="O250" s="1"/>
      <c r="P250" s="1"/>
      <c r="Q250" s="1"/>
      <c r="R250" s="1"/>
      <c r="S250" s="1"/>
      <c r="T250" s="1"/>
      <c r="U250" s="1"/>
      <c r="V250" s="1"/>
      <c r="W250" s="1"/>
      <c r="X250" s="1"/>
      <c r="Y250" s="1"/>
      <c r="Z250" s="1"/>
    </row>
    <row r="251" spans="3:26" x14ac:dyDescent="0.2">
      <c r="C251" s="1"/>
      <c r="E251" s="1"/>
      <c r="F251" s="1"/>
      <c r="G251" s="1"/>
      <c r="H251" s="1"/>
      <c r="I251" s="1"/>
      <c r="J251" s="1"/>
      <c r="K251" s="1"/>
      <c r="L251" s="1"/>
      <c r="M251" s="1"/>
      <c r="N251" s="1"/>
      <c r="O251" s="1"/>
      <c r="P251" s="1"/>
      <c r="Q251" s="1"/>
      <c r="R251" s="1"/>
      <c r="S251" s="1"/>
      <c r="T251" s="1"/>
      <c r="U251" s="1"/>
      <c r="V251" s="1"/>
      <c r="W251" s="1"/>
      <c r="X251" s="1"/>
      <c r="Y251" s="1"/>
      <c r="Z251" s="1"/>
    </row>
    <row r="252" spans="3:26" x14ac:dyDescent="0.2">
      <c r="C252" s="1"/>
      <c r="E252" s="1"/>
      <c r="F252" s="1"/>
      <c r="G252" s="1"/>
      <c r="H252" s="1"/>
      <c r="I252" s="1"/>
      <c r="J252" s="1"/>
      <c r="K252" s="1"/>
      <c r="L252" s="1"/>
      <c r="M252" s="1"/>
      <c r="N252" s="1"/>
      <c r="O252" s="1"/>
      <c r="P252" s="1"/>
      <c r="Q252" s="1"/>
      <c r="R252" s="1"/>
      <c r="S252" s="1"/>
      <c r="T252" s="1"/>
      <c r="U252" s="1"/>
      <c r="V252" s="1"/>
      <c r="W252" s="1"/>
      <c r="X252" s="1"/>
      <c r="Y252" s="1"/>
      <c r="Z252" s="1"/>
    </row>
    <row r="253" spans="3:26" x14ac:dyDescent="0.2">
      <c r="C253" s="1"/>
      <c r="E253" s="1"/>
      <c r="F253" s="1"/>
      <c r="G253" s="1"/>
      <c r="H253" s="1"/>
      <c r="I253" s="1"/>
      <c r="J253" s="1"/>
      <c r="K253" s="1"/>
      <c r="L253" s="1"/>
      <c r="M253" s="1"/>
      <c r="N253" s="1"/>
      <c r="O253" s="1"/>
      <c r="P253" s="1"/>
      <c r="Q253" s="1"/>
      <c r="R253" s="1"/>
      <c r="S253" s="1"/>
      <c r="T253" s="1"/>
      <c r="U253" s="1"/>
      <c r="V253" s="1"/>
      <c r="W253" s="1"/>
      <c r="X253" s="1"/>
      <c r="Y253" s="1"/>
      <c r="Z253" s="1"/>
    </row>
    <row r="254" spans="3:26" x14ac:dyDescent="0.2">
      <c r="C254" s="1"/>
      <c r="E254" s="1"/>
      <c r="F254" s="1"/>
      <c r="G254" s="1"/>
      <c r="H254" s="1"/>
      <c r="I254" s="1"/>
      <c r="J254" s="1"/>
      <c r="K254" s="1"/>
      <c r="L254" s="1"/>
      <c r="M254" s="1"/>
      <c r="N254" s="1"/>
      <c r="O254" s="1"/>
      <c r="P254" s="1"/>
      <c r="Q254" s="1"/>
      <c r="R254" s="1"/>
      <c r="S254" s="1"/>
      <c r="T254" s="1"/>
      <c r="U254" s="1"/>
      <c r="V254" s="1"/>
      <c r="W254" s="1"/>
      <c r="X254" s="1"/>
      <c r="Y254" s="1"/>
      <c r="Z254" s="1"/>
    </row>
    <row r="255" spans="3:26" x14ac:dyDescent="0.2">
      <c r="C255" s="1"/>
      <c r="E255" s="1"/>
      <c r="F255" s="1"/>
      <c r="G255" s="1"/>
      <c r="H255" s="1"/>
      <c r="I255" s="1"/>
      <c r="J255" s="1"/>
      <c r="K255" s="1"/>
      <c r="L255" s="1"/>
      <c r="M255" s="1"/>
      <c r="N255" s="1"/>
      <c r="O255" s="1"/>
      <c r="P255" s="1"/>
      <c r="Q255" s="1"/>
      <c r="R255" s="1"/>
      <c r="S255" s="1"/>
      <c r="T255" s="1"/>
      <c r="U255" s="1"/>
      <c r="V255" s="1"/>
      <c r="W255" s="1"/>
      <c r="X255" s="1"/>
      <c r="Y255" s="1"/>
      <c r="Z255" s="1"/>
    </row>
    <row r="256" spans="3:26" x14ac:dyDescent="0.2">
      <c r="C256" s="1"/>
      <c r="E256" s="1"/>
      <c r="F256" s="1"/>
      <c r="G256" s="1"/>
      <c r="H256" s="1"/>
      <c r="I256" s="1"/>
      <c r="J256" s="1"/>
      <c r="K256" s="1"/>
      <c r="L256" s="1"/>
      <c r="M256" s="1"/>
      <c r="N256" s="1"/>
      <c r="O256" s="1"/>
      <c r="P256" s="1"/>
      <c r="Q256" s="1"/>
      <c r="R256" s="1"/>
      <c r="S256" s="1"/>
      <c r="T256" s="1"/>
      <c r="U256" s="1"/>
      <c r="V256" s="1"/>
      <c r="W256" s="1"/>
      <c r="X256" s="1"/>
      <c r="Y256" s="1"/>
      <c r="Z256" s="1"/>
    </row>
    <row r="257" spans="3:26" x14ac:dyDescent="0.2">
      <c r="C257" s="1"/>
      <c r="E257" s="1"/>
      <c r="F257" s="1"/>
      <c r="G257" s="1"/>
      <c r="H257" s="1"/>
      <c r="I257" s="1"/>
      <c r="J257" s="1"/>
      <c r="K257" s="1"/>
      <c r="L257" s="1"/>
      <c r="M257" s="1"/>
      <c r="N257" s="1"/>
      <c r="O257" s="1"/>
      <c r="P257" s="1"/>
      <c r="Q257" s="1"/>
      <c r="R257" s="1"/>
      <c r="S257" s="1"/>
      <c r="T257" s="1"/>
      <c r="U257" s="1"/>
      <c r="V257" s="1"/>
      <c r="W257" s="1"/>
      <c r="X257" s="1"/>
      <c r="Y257" s="1"/>
      <c r="Z257" s="1"/>
    </row>
    <row r="258" spans="3:26" x14ac:dyDescent="0.2">
      <c r="C258" s="1"/>
      <c r="E258" s="1"/>
      <c r="F258" s="1"/>
      <c r="G258" s="1"/>
      <c r="H258" s="1"/>
      <c r="I258" s="1"/>
      <c r="J258" s="1"/>
      <c r="K258" s="1"/>
      <c r="L258" s="1"/>
      <c r="M258" s="1"/>
      <c r="N258" s="1"/>
      <c r="O258" s="1"/>
      <c r="P258" s="1"/>
      <c r="Q258" s="1"/>
      <c r="R258" s="1"/>
      <c r="S258" s="1"/>
      <c r="T258" s="1"/>
      <c r="U258" s="1"/>
      <c r="V258" s="1"/>
      <c r="W258" s="1"/>
      <c r="X258" s="1"/>
      <c r="Y258" s="1"/>
      <c r="Z258" s="1"/>
    </row>
    <row r="259" spans="3:26" x14ac:dyDescent="0.2">
      <c r="C259" s="1"/>
      <c r="E259" s="1"/>
      <c r="F259" s="1"/>
      <c r="G259" s="1"/>
      <c r="H259" s="1"/>
      <c r="I259" s="1"/>
      <c r="J259" s="1"/>
      <c r="K259" s="1"/>
      <c r="L259" s="1"/>
      <c r="M259" s="1"/>
      <c r="N259" s="1"/>
      <c r="O259" s="1"/>
      <c r="P259" s="1"/>
      <c r="Q259" s="1"/>
      <c r="R259" s="1"/>
      <c r="S259" s="1"/>
      <c r="T259" s="1"/>
      <c r="U259" s="1"/>
      <c r="V259" s="1"/>
      <c r="W259" s="1"/>
      <c r="X259" s="1"/>
      <c r="Y259" s="1"/>
      <c r="Z259" s="1"/>
    </row>
    <row r="260" spans="3:26" x14ac:dyDescent="0.2">
      <c r="C260" s="1"/>
      <c r="E260" s="1"/>
      <c r="F260" s="1"/>
      <c r="G260" s="1"/>
      <c r="H260" s="1"/>
      <c r="I260" s="1"/>
      <c r="J260" s="1"/>
      <c r="K260" s="1"/>
      <c r="L260" s="1"/>
      <c r="M260" s="1"/>
      <c r="N260" s="1"/>
      <c r="O260" s="1"/>
      <c r="P260" s="1"/>
      <c r="Q260" s="1"/>
      <c r="R260" s="1"/>
      <c r="S260" s="1"/>
      <c r="T260" s="1"/>
      <c r="U260" s="1"/>
      <c r="V260" s="1"/>
      <c r="W260" s="1"/>
      <c r="X260" s="1"/>
      <c r="Y260" s="1"/>
      <c r="Z260" s="1"/>
    </row>
    <row r="261" spans="3:26" x14ac:dyDescent="0.2">
      <c r="C261" s="1"/>
      <c r="E261" s="1"/>
      <c r="F261" s="1"/>
      <c r="G261" s="1"/>
      <c r="H261" s="1"/>
      <c r="I261" s="1"/>
      <c r="J261" s="1"/>
      <c r="K261" s="1"/>
      <c r="L261" s="1"/>
      <c r="M261" s="1"/>
      <c r="N261" s="1"/>
      <c r="O261" s="1"/>
      <c r="P261" s="1"/>
      <c r="Q261" s="1"/>
      <c r="R261" s="1"/>
      <c r="S261" s="1"/>
      <c r="T261" s="1"/>
      <c r="U261" s="1"/>
      <c r="V261" s="1"/>
      <c r="W261" s="1"/>
      <c r="X261" s="1"/>
      <c r="Y261" s="1"/>
      <c r="Z261" s="1"/>
    </row>
    <row r="262" spans="3:26" ht="18" customHeight="1" x14ac:dyDescent="0.2">
      <c r="C262" s="1"/>
      <c r="E262" s="1"/>
      <c r="F262" s="1"/>
      <c r="G262" s="1"/>
      <c r="H262" s="1"/>
      <c r="I262" s="1"/>
      <c r="J262" s="1"/>
      <c r="K262" s="1"/>
      <c r="L262" s="1"/>
      <c r="M262" s="1"/>
      <c r="N262" s="1"/>
      <c r="O262" s="1"/>
      <c r="P262" s="1"/>
      <c r="Q262" s="1"/>
      <c r="R262" s="1"/>
      <c r="S262" s="1"/>
      <c r="T262" s="1"/>
      <c r="U262" s="1"/>
      <c r="V262" s="1"/>
      <c r="W262" s="1"/>
      <c r="X262" s="1"/>
      <c r="Y262" s="1"/>
      <c r="Z262" s="1"/>
    </row>
    <row r="263" spans="3:26" x14ac:dyDescent="0.2">
      <c r="C263" s="1"/>
      <c r="E263" s="1"/>
      <c r="F263" s="1"/>
      <c r="G263" s="1"/>
      <c r="H263" s="1"/>
      <c r="I263" s="1"/>
      <c r="J263" s="1"/>
      <c r="K263" s="1"/>
      <c r="L263" s="1"/>
      <c r="M263" s="1"/>
      <c r="N263" s="1"/>
      <c r="O263" s="1"/>
      <c r="P263" s="1"/>
      <c r="Q263" s="1"/>
      <c r="R263" s="1"/>
      <c r="S263" s="1"/>
      <c r="T263" s="1"/>
      <c r="U263" s="1"/>
      <c r="V263" s="1"/>
      <c r="W263" s="1"/>
      <c r="X263" s="1"/>
      <c r="Y263" s="1"/>
      <c r="Z263" s="1"/>
    </row>
    <row r="264" spans="3:26" x14ac:dyDescent="0.2">
      <c r="C264" s="1"/>
      <c r="E264" s="1"/>
      <c r="F264" s="1"/>
      <c r="G264" s="1"/>
      <c r="H264" s="1"/>
      <c r="I264" s="1"/>
      <c r="J264" s="1"/>
      <c r="K264" s="1"/>
      <c r="L264" s="1"/>
      <c r="M264" s="1"/>
      <c r="N264" s="1"/>
      <c r="O264" s="1"/>
      <c r="P264" s="1"/>
      <c r="Q264" s="1"/>
      <c r="R264" s="1"/>
      <c r="S264" s="1"/>
      <c r="T264" s="1"/>
      <c r="U264" s="1"/>
      <c r="V264" s="1"/>
      <c r="W264" s="1"/>
      <c r="X264" s="1"/>
      <c r="Y264" s="1"/>
      <c r="Z264" s="1"/>
    </row>
    <row r="265" spans="3:26" x14ac:dyDescent="0.2">
      <c r="C265" s="1"/>
      <c r="E265" s="1"/>
      <c r="F265" s="1"/>
      <c r="G265" s="1"/>
      <c r="H265" s="1"/>
      <c r="I265" s="1"/>
      <c r="J265" s="1"/>
      <c r="K265" s="1"/>
      <c r="L265" s="1"/>
      <c r="M265" s="1"/>
      <c r="N265" s="1"/>
      <c r="O265" s="1"/>
      <c r="P265" s="1"/>
      <c r="Q265" s="1"/>
      <c r="R265" s="1"/>
      <c r="S265" s="1"/>
      <c r="T265" s="1"/>
      <c r="U265" s="1"/>
      <c r="V265" s="1"/>
      <c r="W265" s="1"/>
      <c r="X265" s="1"/>
      <c r="Y265" s="1"/>
      <c r="Z265" s="1"/>
    </row>
    <row r="266" spans="3:26" x14ac:dyDescent="0.2">
      <c r="C266" s="1"/>
      <c r="E266" s="1"/>
      <c r="F266" s="1"/>
      <c r="G266" s="1"/>
      <c r="H266" s="1"/>
      <c r="I266" s="1"/>
      <c r="J266" s="1"/>
      <c r="K266" s="1"/>
      <c r="L266" s="1"/>
      <c r="M266" s="1"/>
      <c r="N266" s="1"/>
      <c r="O266" s="1"/>
      <c r="P266" s="1"/>
      <c r="Q266" s="1"/>
      <c r="R266" s="1"/>
      <c r="S266" s="1"/>
      <c r="T266" s="1"/>
      <c r="U266" s="1"/>
      <c r="V266" s="1"/>
      <c r="W266" s="1"/>
      <c r="X266" s="1"/>
      <c r="Y266" s="1"/>
      <c r="Z266" s="1"/>
    </row>
    <row r="267" spans="3:26" x14ac:dyDescent="0.2">
      <c r="C267" s="1"/>
      <c r="E267" s="1"/>
      <c r="F267" s="1"/>
      <c r="G267" s="1"/>
      <c r="H267" s="1"/>
      <c r="I267" s="1"/>
      <c r="J267" s="1"/>
      <c r="K267" s="1"/>
      <c r="L267" s="1"/>
      <c r="M267" s="1"/>
      <c r="N267" s="1"/>
      <c r="O267" s="1"/>
      <c r="P267" s="1"/>
      <c r="Q267" s="1"/>
      <c r="R267" s="1"/>
      <c r="S267" s="1"/>
      <c r="T267" s="1"/>
      <c r="U267" s="1"/>
      <c r="V267" s="1"/>
      <c r="W267" s="1"/>
      <c r="X267" s="1"/>
      <c r="Y267" s="1"/>
      <c r="Z267" s="1"/>
    </row>
    <row r="268" spans="3:26" ht="18" customHeight="1" x14ac:dyDescent="0.2">
      <c r="C268" s="1"/>
      <c r="E268" s="1"/>
      <c r="F268" s="1"/>
      <c r="G268" s="1"/>
      <c r="H268" s="1"/>
      <c r="I268" s="1"/>
      <c r="J268" s="1"/>
      <c r="K268" s="1"/>
      <c r="L268" s="1"/>
      <c r="M268" s="1"/>
      <c r="N268" s="1"/>
      <c r="O268" s="1"/>
      <c r="P268" s="1"/>
      <c r="Q268" s="1"/>
      <c r="R268" s="1"/>
      <c r="S268" s="1"/>
      <c r="T268" s="1"/>
      <c r="U268" s="1"/>
      <c r="V268" s="1"/>
      <c r="W268" s="1"/>
      <c r="X268" s="1"/>
      <c r="Y268" s="1"/>
      <c r="Z268" s="1"/>
    </row>
    <row r="269" spans="3:26" x14ac:dyDescent="0.2">
      <c r="C269" s="1"/>
      <c r="E269" s="1"/>
      <c r="F269" s="1"/>
      <c r="G269" s="1"/>
      <c r="H269" s="1"/>
      <c r="I269" s="1"/>
      <c r="J269" s="1"/>
      <c r="K269" s="1"/>
      <c r="L269" s="1"/>
      <c r="M269" s="1"/>
      <c r="N269" s="1"/>
      <c r="O269" s="1"/>
      <c r="P269" s="1"/>
      <c r="Q269" s="1"/>
      <c r="R269" s="1"/>
      <c r="S269" s="1"/>
      <c r="T269" s="1"/>
      <c r="U269" s="1"/>
      <c r="V269" s="1"/>
      <c r="W269" s="1"/>
      <c r="X269" s="1"/>
      <c r="Y269" s="1"/>
      <c r="Z269" s="1"/>
    </row>
    <row r="270" spans="3:26" x14ac:dyDescent="0.2">
      <c r="C270" s="1"/>
      <c r="E270" s="1"/>
      <c r="F270" s="1"/>
      <c r="G270" s="1"/>
      <c r="H270" s="1"/>
      <c r="I270" s="1"/>
      <c r="J270" s="1"/>
      <c r="K270" s="1"/>
      <c r="L270" s="1"/>
      <c r="M270" s="1"/>
      <c r="N270" s="1"/>
      <c r="O270" s="1"/>
      <c r="P270" s="1"/>
      <c r="Q270" s="1"/>
      <c r="R270" s="1"/>
      <c r="S270" s="1"/>
      <c r="T270" s="1"/>
      <c r="U270" s="1"/>
      <c r="V270" s="1"/>
      <c r="W270" s="1"/>
      <c r="X270" s="1"/>
      <c r="Y270" s="1"/>
      <c r="Z270" s="1"/>
    </row>
    <row r="271" spans="3:26" x14ac:dyDescent="0.2">
      <c r="C271" s="1"/>
      <c r="E271" s="1"/>
      <c r="F271" s="1"/>
      <c r="G271" s="1"/>
      <c r="H271" s="1"/>
      <c r="I271" s="1"/>
      <c r="J271" s="1"/>
      <c r="K271" s="1"/>
      <c r="L271" s="1"/>
      <c r="M271" s="1"/>
      <c r="N271" s="1"/>
      <c r="O271" s="1"/>
      <c r="P271" s="1"/>
      <c r="Q271" s="1"/>
      <c r="R271" s="1"/>
      <c r="S271" s="1"/>
      <c r="T271" s="1"/>
      <c r="U271" s="1"/>
      <c r="V271" s="1"/>
      <c r="W271" s="1"/>
      <c r="X271" s="1"/>
      <c r="Y271" s="1"/>
      <c r="Z271" s="1"/>
    </row>
  </sheetData>
  <mergeCells count="67">
    <mergeCell ref="B88:V88"/>
    <mergeCell ref="B83:G83"/>
    <mergeCell ref="B87:U87"/>
    <mergeCell ref="B86:K86"/>
    <mergeCell ref="C17:D17"/>
    <mergeCell ref="C22:D22"/>
    <mergeCell ref="C32:D32"/>
    <mergeCell ref="C41:D41"/>
    <mergeCell ref="C68:D68"/>
    <mergeCell ref="B79:D79"/>
    <mergeCell ref="B80:D80"/>
    <mergeCell ref="B81:D81"/>
    <mergeCell ref="B82:D82"/>
    <mergeCell ref="B48:AD48"/>
    <mergeCell ref="B49:AD49"/>
    <mergeCell ref="W52:X52"/>
    <mergeCell ref="AA52:AB52"/>
    <mergeCell ref="AC52:AD52"/>
    <mergeCell ref="M52:N52"/>
    <mergeCell ref="C73:D73"/>
    <mergeCell ref="C74:D74"/>
    <mergeCell ref="B51:D52"/>
    <mergeCell ref="E51:Z51"/>
    <mergeCell ref="AA51:AD51"/>
    <mergeCell ref="E52:F52"/>
    <mergeCell ref="G52:H52"/>
    <mergeCell ref="I52:J52"/>
    <mergeCell ref="K52:L52"/>
    <mergeCell ref="O52:P52"/>
    <mergeCell ref="Q52:R52"/>
    <mergeCell ref="S52:T52"/>
    <mergeCell ref="U52:V52"/>
    <mergeCell ref="Y52:Z52"/>
    <mergeCell ref="C7:D7"/>
    <mergeCell ref="C8:D8"/>
    <mergeCell ref="C9:D9"/>
    <mergeCell ref="U6:V6"/>
    <mergeCell ref="M6:N6"/>
    <mergeCell ref="W6:X6"/>
    <mergeCell ref="C42:D42"/>
    <mergeCell ref="I6:J6"/>
    <mergeCell ref="G6:H6"/>
    <mergeCell ref="S6:T6"/>
    <mergeCell ref="C13:D13"/>
    <mergeCell ref="C23:D23"/>
    <mergeCell ref="C18:D18"/>
    <mergeCell ref="C33:D33"/>
    <mergeCell ref="C37:D37"/>
    <mergeCell ref="C64:D64"/>
    <mergeCell ref="C69:D69"/>
    <mergeCell ref="C60:D60"/>
    <mergeCell ref="C54:D54"/>
    <mergeCell ref="C55:D55"/>
    <mergeCell ref="C59:D59"/>
    <mergeCell ref="B1:AD1"/>
    <mergeCell ref="B5:D6"/>
    <mergeCell ref="E5:Z5"/>
    <mergeCell ref="AA6:AB6"/>
    <mergeCell ref="AC6:AD6"/>
    <mergeCell ref="B3:AD3"/>
    <mergeCell ref="B4:AD4"/>
    <mergeCell ref="AA5:AD5"/>
    <mergeCell ref="Y6:Z6"/>
    <mergeCell ref="O6:P6"/>
    <mergeCell ref="Q6:R6"/>
    <mergeCell ref="E6:F6"/>
    <mergeCell ref="K6:L6"/>
  </mergeCells>
  <phoneticPr fontId="2" type="noConversion"/>
  <printOptions horizontalCentered="1" verticalCentered="1"/>
  <pageMargins left="0" right="0" top="0" bottom="0" header="0" footer="0"/>
  <pageSetup paperSize="9" scale="25" orientation="landscape" r:id="rId1"/>
  <headerFooter alignWithMargins="0"/>
  <rowBreaks count="6" manualBreakCount="6">
    <brk id="46" min="1" max="29" man="1"/>
    <brk id="88" min="1" max="29" man="1"/>
    <brk id="137" max="32" man="1"/>
    <brk id="151" max="32" man="1"/>
    <brk id="197" max="36" man="1"/>
    <brk id="224" min="2" max="34"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AD24"/>
  <sheetViews>
    <sheetView showGridLines="0" view="pageBreakPreview" zoomScale="80" zoomScaleNormal="100" zoomScaleSheetLayoutView="80" workbookViewId="0">
      <selection activeCell="B4" sqref="B4:I4"/>
    </sheetView>
  </sheetViews>
  <sheetFormatPr baseColWidth="10" defaultColWidth="11.42578125" defaultRowHeight="12.75" x14ac:dyDescent="0.2"/>
  <cols>
    <col min="1" max="1" width="11.42578125" style="49"/>
    <col min="2" max="2" width="1.7109375" style="49" customWidth="1"/>
    <col min="3" max="3" width="28" style="49" customWidth="1"/>
    <col min="4" max="4" width="18.7109375" style="49" customWidth="1"/>
    <col min="5" max="5" width="2.7109375" style="49" customWidth="1"/>
    <col min="6" max="6" width="24.7109375" style="49" customWidth="1"/>
    <col min="7" max="7" width="5.7109375" style="49" customWidth="1"/>
    <col min="8" max="8" width="30.7109375" style="49" customWidth="1"/>
    <col min="9" max="9" width="5.7109375" style="49" customWidth="1"/>
    <col min="10" max="16384" width="11.42578125" style="49"/>
  </cols>
  <sheetData>
    <row r="1" spans="2:10" ht="30" customHeight="1" x14ac:dyDescent="0.2">
      <c r="B1" s="803" t="s">
        <v>65</v>
      </c>
      <c r="C1" s="803"/>
      <c r="D1" s="803"/>
      <c r="E1" s="803"/>
      <c r="F1" s="803"/>
      <c r="G1" s="803"/>
      <c r="H1" s="803"/>
      <c r="I1" s="803"/>
    </row>
    <row r="2" spans="2:10" ht="30" customHeight="1" x14ac:dyDescent="0.2">
      <c r="B2" s="87" t="s">
        <v>145</v>
      </c>
      <c r="C2" s="87"/>
      <c r="D2" s="87"/>
      <c r="E2" s="87"/>
      <c r="F2" s="87"/>
      <c r="G2" s="87"/>
      <c r="H2" s="87"/>
      <c r="I2" s="87"/>
      <c r="J2" s="87"/>
    </row>
    <row r="3" spans="2:10" ht="44.25" customHeight="1" x14ac:dyDescent="0.2">
      <c r="B3" s="804" t="s">
        <v>357</v>
      </c>
      <c r="C3" s="804"/>
      <c r="D3" s="804"/>
      <c r="E3" s="804"/>
      <c r="F3" s="804"/>
      <c r="G3" s="804"/>
      <c r="H3" s="804"/>
      <c r="I3" s="804"/>
    </row>
    <row r="4" spans="2:10" ht="34.5" customHeight="1" x14ac:dyDescent="0.2">
      <c r="B4" s="803">
        <v>2024</v>
      </c>
      <c r="C4" s="803"/>
      <c r="D4" s="803"/>
      <c r="E4" s="803"/>
      <c r="F4" s="803"/>
      <c r="G4" s="803"/>
      <c r="H4" s="803"/>
      <c r="I4" s="803"/>
    </row>
    <row r="5" spans="2:10" ht="48.75" customHeight="1" x14ac:dyDescent="0.2">
      <c r="B5" s="821" t="s">
        <v>253</v>
      </c>
      <c r="C5" s="829"/>
      <c r="D5" s="821" t="s">
        <v>2</v>
      </c>
      <c r="E5" s="821"/>
      <c r="F5" s="860" t="s">
        <v>15</v>
      </c>
      <c r="G5" s="822"/>
      <c r="H5" s="862" t="s">
        <v>66</v>
      </c>
      <c r="I5" s="862"/>
    </row>
    <row r="6" spans="2:10" ht="10.5" customHeight="1" x14ac:dyDescent="0.2">
      <c r="B6" s="522"/>
      <c r="C6" s="522"/>
      <c r="D6" s="177"/>
      <c r="E6" s="177"/>
      <c r="F6" s="376"/>
      <c r="G6" s="376"/>
      <c r="H6" s="376"/>
      <c r="I6" s="376"/>
    </row>
    <row r="7" spans="2:10" ht="25.15" customHeight="1" x14ac:dyDescent="0.2">
      <c r="B7" s="51"/>
      <c r="C7" s="427" t="s">
        <v>25</v>
      </c>
      <c r="D7" s="590">
        <v>2</v>
      </c>
      <c r="E7" s="291"/>
      <c r="F7" s="590">
        <v>281</v>
      </c>
      <c r="G7" s="291"/>
      <c r="H7" s="590">
        <v>12752</v>
      </c>
      <c r="I7" s="377"/>
    </row>
    <row r="8" spans="2:10" ht="25.15" customHeight="1" x14ac:dyDescent="0.2">
      <c r="B8" s="51"/>
      <c r="C8" s="427" t="s">
        <v>26</v>
      </c>
      <c r="D8" s="590">
        <v>3</v>
      </c>
      <c r="E8" s="291"/>
      <c r="F8" s="590">
        <v>5250</v>
      </c>
      <c r="G8" s="291"/>
      <c r="H8" s="590">
        <v>55200</v>
      </c>
      <c r="I8" s="221"/>
    </row>
    <row r="9" spans="2:10" ht="25.15" customHeight="1" x14ac:dyDescent="0.2">
      <c r="B9" s="51"/>
      <c r="C9" s="427" t="s">
        <v>27</v>
      </c>
      <c r="D9" s="590">
        <v>3</v>
      </c>
      <c r="E9" s="291"/>
      <c r="F9" s="590">
        <v>283</v>
      </c>
      <c r="G9" s="291"/>
      <c r="H9" s="590">
        <v>15488</v>
      </c>
      <c r="I9" s="1"/>
    </row>
    <row r="10" spans="2:10" ht="25.15" customHeight="1" x14ac:dyDescent="0.2">
      <c r="B10" s="51"/>
      <c r="C10" s="427" t="s">
        <v>28</v>
      </c>
      <c r="D10" s="590">
        <v>3</v>
      </c>
      <c r="E10" s="291"/>
      <c r="F10" s="590">
        <v>530</v>
      </c>
      <c r="G10" s="291"/>
      <c r="H10" s="590">
        <v>15936</v>
      </c>
      <c r="I10" s="1"/>
    </row>
    <row r="11" spans="2:10" ht="25.15" customHeight="1" x14ac:dyDescent="0.2">
      <c r="B11" s="51"/>
      <c r="C11" s="427" t="s">
        <v>186</v>
      </c>
      <c r="D11" s="590">
        <v>6</v>
      </c>
      <c r="E11" s="291"/>
      <c r="F11" s="590">
        <v>6609</v>
      </c>
      <c r="G11" s="291"/>
      <c r="H11" s="590">
        <v>32440</v>
      </c>
      <c r="I11" s="1"/>
    </row>
    <row r="12" spans="2:10" ht="25.15" customHeight="1" x14ac:dyDescent="0.2">
      <c r="B12" s="51"/>
      <c r="C12" s="427" t="s">
        <v>43</v>
      </c>
      <c r="D12" s="590">
        <v>2</v>
      </c>
      <c r="E12" s="291"/>
      <c r="F12" s="590">
        <v>1574</v>
      </c>
      <c r="G12" s="291"/>
      <c r="H12" s="590">
        <v>63416</v>
      </c>
      <c r="I12" s="1"/>
    </row>
    <row r="13" spans="2:10" ht="25.15" customHeight="1" x14ac:dyDescent="0.2">
      <c r="B13" s="51"/>
      <c r="C13" s="427" t="s">
        <v>187</v>
      </c>
      <c r="D13" s="590">
        <v>5</v>
      </c>
      <c r="E13" s="291"/>
      <c r="F13" s="590">
        <v>1300</v>
      </c>
      <c r="G13" s="291"/>
      <c r="H13" s="590">
        <v>55648</v>
      </c>
      <c r="I13" s="13"/>
    </row>
    <row r="14" spans="2:10" ht="25.15" customHeight="1" x14ac:dyDescent="0.2">
      <c r="B14" s="51"/>
      <c r="C14" s="427" t="s">
        <v>55</v>
      </c>
      <c r="D14" s="590">
        <v>9</v>
      </c>
      <c r="E14" s="291"/>
      <c r="F14" s="590">
        <v>18762</v>
      </c>
      <c r="G14" s="291"/>
      <c r="H14" s="590">
        <v>760496</v>
      </c>
      <c r="I14" s="1"/>
    </row>
    <row r="15" spans="2:10" ht="25.15" customHeight="1" x14ac:dyDescent="0.2">
      <c r="B15" s="51"/>
      <c r="C15" s="427" t="s">
        <v>54</v>
      </c>
      <c r="D15" s="590">
        <v>4</v>
      </c>
      <c r="E15" s="291"/>
      <c r="F15" s="590">
        <v>597</v>
      </c>
      <c r="G15" s="291"/>
      <c r="H15" s="590">
        <v>347744</v>
      </c>
      <c r="I15" s="1"/>
    </row>
    <row r="16" spans="2:10" ht="25.15" customHeight="1" x14ac:dyDescent="0.2">
      <c r="B16" s="51"/>
      <c r="C16" s="427" t="s">
        <v>34</v>
      </c>
      <c r="D16" s="590">
        <v>6</v>
      </c>
      <c r="E16" s="291"/>
      <c r="F16" s="590">
        <v>10650</v>
      </c>
      <c r="G16" s="291"/>
      <c r="H16" s="590">
        <v>149040</v>
      </c>
      <c r="I16" s="67"/>
    </row>
    <row r="17" spans="2:30" ht="25.15" customHeight="1" x14ac:dyDescent="0.2">
      <c r="B17" s="51"/>
      <c r="C17" s="427" t="s">
        <v>35</v>
      </c>
      <c r="D17" s="590">
        <v>15</v>
      </c>
      <c r="E17" s="291"/>
      <c r="F17" s="590">
        <v>30450</v>
      </c>
      <c r="G17" s="291"/>
      <c r="H17" s="590">
        <v>471876</v>
      </c>
      <c r="I17" s="67"/>
    </row>
    <row r="18" spans="2:30" ht="25.15" customHeight="1" x14ac:dyDescent="0.2">
      <c r="B18" s="51"/>
      <c r="C18" s="427" t="s">
        <v>36</v>
      </c>
      <c r="D18" s="590">
        <v>5</v>
      </c>
      <c r="E18" s="291"/>
      <c r="F18" s="590">
        <v>418</v>
      </c>
      <c r="G18" s="291"/>
      <c r="H18" s="590">
        <v>315480</v>
      </c>
      <c r="I18" s="1"/>
    </row>
    <row r="19" spans="2:30" ht="10.5" customHeight="1" x14ac:dyDescent="0.2">
      <c r="B19" s="48"/>
      <c r="C19" s="427"/>
      <c r="D19" s="84"/>
      <c r="E19" s="84"/>
      <c r="F19" s="84"/>
      <c r="G19" s="84"/>
      <c r="H19" s="84"/>
      <c r="I19" s="1"/>
    </row>
    <row r="20" spans="2:30" ht="43.5" customHeight="1" x14ac:dyDescent="0.2">
      <c r="B20" s="453"/>
      <c r="C20" s="449" t="s">
        <v>6</v>
      </c>
      <c r="D20" s="497">
        <f>SUM(D7:D19)</f>
        <v>63</v>
      </c>
      <c r="E20" s="497"/>
      <c r="F20" s="497">
        <f>SUM(F7:F19)</f>
        <v>76704</v>
      </c>
      <c r="G20" s="497"/>
      <c r="H20" s="497">
        <f>SUM(H7:H19)</f>
        <v>2295516</v>
      </c>
      <c r="I20" s="523"/>
    </row>
    <row r="21" spans="2:30" s="1" customFormat="1" ht="8.25" customHeight="1" x14ac:dyDescent="0.2">
      <c r="H21" s="213"/>
    </row>
    <row r="22" spans="2:30" s="1" customFormat="1" ht="29.25" customHeight="1" x14ac:dyDescent="0.2">
      <c r="B22" s="11" t="s">
        <v>245</v>
      </c>
      <c r="C22" s="12"/>
      <c r="D22" s="12"/>
      <c r="E22" s="12"/>
      <c r="F22" s="12"/>
      <c r="G22" s="13"/>
      <c r="H22" s="12"/>
      <c r="I22" s="12"/>
      <c r="Y22" s="14"/>
      <c r="Z22" s="10"/>
      <c r="AA22" s="14"/>
      <c r="AB22" s="15"/>
      <c r="AC22" s="14"/>
      <c r="AD22" s="15"/>
    </row>
    <row r="23" spans="2:30" s="1" customFormat="1" ht="29.25" customHeight="1" x14ac:dyDescent="0.2">
      <c r="B23" s="16" t="s">
        <v>296</v>
      </c>
      <c r="C23" s="17"/>
      <c r="D23" s="17"/>
      <c r="E23" s="17"/>
      <c r="F23" s="17"/>
      <c r="G23" s="17"/>
      <c r="H23" s="18"/>
      <c r="I23" s="18"/>
      <c r="J23" s="18"/>
      <c r="K23" s="18"/>
      <c r="Z23" s="19"/>
      <c r="AA23" s="20"/>
      <c r="AB23" s="19"/>
      <c r="AC23" s="20"/>
      <c r="AD23" s="21"/>
    </row>
    <row r="24" spans="2:30" s="1" customFormat="1" ht="29.25" customHeight="1" x14ac:dyDescent="0.2">
      <c r="B24" s="22" t="s">
        <v>279</v>
      </c>
      <c r="D24" s="23"/>
      <c r="E24" s="24"/>
      <c r="F24" s="23"/>
      <c r="G24" s="25"/>
      <c r="H24" s="26"/>
      <c r="I24" s="27"/>
      <c r="J24" s="27"/>
    </row>
  </sheetData>
  <mergeCells count="7">
    <mergeCell ref="B1:I1"/>
    <mergeCell ref="H5:I5"/>
    <mergeCell ref="B3:I3"/>
    <mergeCell ref="B4:I4"/>
    <mergeCell ref="B5:C5"/>
    <mergeCell ref="D5:E5"/>
    <mergeCell ref="F5:G5"/>
  </mergeCells>
  <phoneticPr fontId="2" type="noConversion"/>
  <printOptions horizontalCentered="1" verticalCentered="1"/>
  <pageMargins left="0" right="0" top="0" bottom="0" header="0" footer="0"/>
  <pageSetup paperSize="9" scale="7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AD43"/>
  <sheetViews>
    <sheetView showGridLines="0" view="pageBreakPreview" zoomScale="66" zoomScaleNormal="66" zoomScaleSheetLayoutView="66" workbookViewId="0">
      <selection activeCell="Q40" sqref="Q40"/>
    </sheetView>
  </sheetViews>
  <sheetFormatPr baseColWidth="10" defaultColWidth="11.42578125" defaultRowHeight="12.75" x14ac:dyDescent="0.2"/>
  <cols>
    <col min="1" max="1" width="11.42578125" style="49"/>
    <col min="2" max="2" width="16.7109375" style="49" customWidth="1"/>
    <col min="3" max="3" width="15.7109375" style="49" customWidth="1"/>
    <col min="4" max="4" width="2.7109375" style="49" customWidth="1"/>
    <col min="5" max="5" width="15.7109375" style="49" customWidth="1"/>
    <col min="6" max="6" width="3.5703125" style="49" customWidth="1"/>
    <col min="7" max="7" width="16.28515625" style="49" customWidth="1"/>
    <col min="8" max="8" width="2.7109375" style="49" customWidth="1"/>
    <col min="9" max="9" width="12.5703125" style="49" customWidth="1"/>
    <col min="10" max="10" width="4" style="49" customWidth="1"/>
    <col min="11" max="11" width="16.5703125" style="49" customWidth="1"/>
    <col min="12" max="12" width="3.5703125" style="49" customWidth="1"/>
    <col min="13" max="13" width="16.28515625" style="49" customWidth="1"/>
    <col min="14" max="14" width="4" style="49" customWidth="1"/>
    <col min="15" max="15" width="15.28515625" style="49" customWidth="1"/>
    <col min="16" max="16" width="2.7109375" style="49" customWidth="1"/>
    <col min="17" max="17" width="18.28515625" style="49" customWidth="1"/>
    <col min="18" max="18" width="2.7109375" style="49" customWidth="1"/>
    <col min="19" max="19" width="20.7109375" style="49" customWidth="1"/>
    <col min="20" max="20" width="4.7109375" style="49" customWidth="1"/>
    <col min="21" max="16384" width="11.42578125" style="49"/>
  </cols>
  <sheetData>
    <row r="1" spans="2:20" ht="30" customHeight="1" x14ac:dyDescent="0.2">
      <c r="B1" s="803" t="s">
        <v>50</v>
      </c>
      <c r="C1" s="803"/>
      <c r="D1" s="803"/>
      <c r="E1" s="803"/>
      <c r="F1" s="803"/>
      <c r="G1" s="803"/>
      <c r="H1" s="803"/>
      <c r="I1" s="803"/>
      <c r="J1" s="803"/>
      <c r="K1" s="803"/>
      <c r="L1" s="803"/>
      <c r="M1" s="803"/>
      <c r="N1" s="803"/>
      <c r="O1" s="803"/>
      <c r="P1" s="803"/>
      <c r="Q1" s="803"/>
      <c r="R1" s="803"/>
      <c r="S1" s="803"/>
      <c r="T1" s="803"/>
    </row>
    <row r="2" spans="2:20" ht="24.75" customHeight="1" x14ac:dyDescent="0.2">
      <c r="B2" s="805" t="s">
        <v>145</v>
      </c>
      <c r="C2" s="805"/>
      <c r="D2" s="805"/>
      <c r="E2" s="805"/>
      <c r="F2" s="805"/>
      <c r="G2" s="805"/>
      <c r="H2" s="805"/>
      <c r="I2" s="805"/>
      <c r="J2" s="805"/>
      <c r="K2" s="805"/>
      <c r="L2" s="805"/>
      <c r="M2" s="805"/>
      <c r="N2" s="805"/>
      <c r="O2" s="805"/>
      <c r="P2" s="805"/>
      <c r="Q2" s="805"/>
      <c r="R2" s="805"/>
      <c r="S2" s="805"/>
    </row>
    <row r="3" spans="2:20" ht="46.5" customHeight="1" x14ac:dyDescent="0.2">
      <c r="B3" s="804" t="s">
        <v>185</v>
      </c>
      <c r="C3" s="804"/>
      <c r="D3" s="804"/>
      <c r="E3" s="804"/>
      <c r="F3" s="804"/>
      <c r="G3" s="804"/>
      <c r="H3" s="804"/>
      <c r="I3" s="804"/>
      <c r="J3" s="804"/>
      <c r="K3" s="804"/>
      <c r="L3" s="804"/>
      <c r="M3" s="804"/>
      <c r="N3" s="804"/>
      <c r="O3" s="804"/>
      <c r="P3" s="804"/>
      <c r="Q3" s="804"/>
      <c r="R3" s="804"/>
      <c r="S3" s="804"/>
      <c r="T3" s="804"/>
    </row>
    <row r="4" spans="2:20" ht="30" customHeight="1" thickBot="1" x14ac:dyDescent="0.25">
      <c r="B4" s="803" t="s">
        <v>311</v>
      </c>
      <c r="C4" s="803"/>
      <c r="D4" s="803"/>
      <c r="E4" s="803"/>
      <c r="F4" s="803"/>
      <c r="G4" s="803"/>
      <c r="H4" s="803"/>
      <c r="I4" s="803"/>
      <c r="J4" s="803"/>
      <c r="K4" s="803"/>
      <c r="L4" s="803"/>
      <c r="M4" s="803"/>
      <c r="N4" s="803"/>
      <c r="O4" s="803"/>
      <c r="P4" s="803"/>
      <c r="Q4" s="803"/>
      <c r="R4" s="803"/>
      <c r="S4" s="803"/>
    </row>
    <row r="5" spans="2:20" ht="30" customHeight="1" thickBot="1" x14ac:dyDescent="0.25">
      <c r="B5" s="952" t="s">
        <v>1</v>
      </c>
      <c r="C5" s="952" t="s">
        <v>2</v>
      </c>
      <c r="D5" s="952"/>
      <c r="E5" s="952"/>
      <c r="F5" s="952"/>
      <c r="G5" s="952"/>
      <c r="H5" s="952"/>
      <c r="I5" s="952" t="s">
        <v>11</v>
      </c>
      <c r="J5" s="952"/>
      <c r="K5" s="952"/>
      <c r="L5" s="952"/>
      <c r="M5" s="952"/>
      <c r="N5" s="952"/>
      <c r="O5" s="952" t="s">
        <v>12</v>
      </c>
      <c r="P5" s="952"/>
      <c r="Q5" s="952"/>
      <c r="R5" s="952"/>
      <c r="S5" s="952"/>
      <c r="T5" s="952"/>
    </row>
    <row r="6" spans="2:20" ht="30" customHeight="1" x14ac:dyDescent="0.2">
      <c r="B6" s="953"/>
      <c r="C6" s="954" t="s">
        <v>173</v>
      </c>
      <c r="D6" s="954"/>
      <c r="E6" s="954" t="s">
        <v>175</v>
      </c>
      <c r="F6" s="954"/>
      <c r="G6" s="953" t="s">
        <v>6</v>
      </c>
      <c r="H6" s="953"/>
      <c r="I6" s="951" t="s">
        <v>173</v>
      </c>
      <c r="J6" s="951"/>
      <c r="K6" s="951" t="s">
        <v>175</v>
      </c>
      <c r="L6" s="951"/>
      <c r="M6" s="953" t="s">
        <v>6</v>
      </c>
      <c r="N6" s="953"/>
      <c r="O6" s="954" t="s">
        <v>173</v>
      </c>
      <c r="P6" s="954"/>
      <c r="Q6" s="954" t="s">
        <v>175</v>
      </c>
      <c r="R6" s="954"/>
      <c r="S6" s="953" t="s">
        <v>6</v>
      </c>
      <c r="T6" s="953"/>
    </row>
    <row r="7" spans="2:20" ht="25.15" customHeight="1" x14ac:dyDescent="0.2">
      <c r="B7" s="414">
        <v>1992</v>
      </c>
      <c r="C7" s="84">
        <v>115</v>
      </c>
      <c r="D7" s="84"/>
      <c r="E7" s="84">
        <v>104</v>
      </c>
      <c r="F7" s="84"/>
      <c r="G7" s="380">
        <f>SUM(C7:E7)</f>
        <v>219</v>
      </c>
      <c r="H7" s="382"/>
      <c r="I7" s="84">
        <v>77566</v>
      </c>
      <c r="J7" s="84"/>
      <c r="K7" s="84">
        <v>37090</v>
      </c>
      <c r="L7" s="379"/>
      <c r="M7" s="380">
        <f t="shared" ref="M7:M39" si="0">SUM(I7:K7)</f>
        <v>114656</v>
      </c>
      <c r="N7" s="380"/>
      <c r="O7" s="84">
        <v>1282113</v>
      </c>
      <c r="P7" s="84"/>
      <c r="Q7" s="84">
        <v>1037266</v>
      </c>
      <c r="R7" s="379"/>
      <c r="S7" s="380">
        <f t="shared" ref="S7:S39" si="1">SUM(O7:Q7)</f>
        <v>2319379</v>
      </c>
      <c r="T7" s="382"/>
    </row>
    <row r="8" spans="2:20" ht="25.15" customHeight="1" x14ac:dyDescent="0.2">
      <c r="B8" s="414">
        <v>1993</v>
      </c>
      <c r="C8" s="84">
        <v>87</v>
      </c>
      <c r="D8" s="84"/>
      <c r="E8" s="84">
        <v>64</v>
      </c>
      <c r="F8" s="84"/>
      <c r="G8" s="380">
        <f t="shared" ref="G8:G39" si="2">SUM(C8:E8)</f>
        <v>151</v>
      </c>
      <c r="H8" s="382"/>
      <c r="I8" s="84">
        <v>25618</v>
      </c>
      <c r="J8" s="84"/>
      <c r="K8" s="84">
        <v>15856</v>
      </c>
      <c r="L8" s="379"/>
      <c r="M8" s="380">
        <f t="shared" si="0"/>
        <v>41474</v>
      </c>
      <c r="N8" s="380"/>
      <c r="O8" s="84">
        <v>783072</v>
      </c>
      <c r="P8" s="84"/>
      <c r="Q8" s="84">
        <v>1384692</v>
      </c>
      <c r="R8" s="379"/>
      <c r="S8" s="380">
        <f t="shared" si="1"/>
        <v>2167764</v>
      </c>
      <c r="T8" s="382"/>
    </row>
    <row r="9" spans="2:20" ht="25.15" customHeight="1" x14ac:dyDescent="0.2">
      <c r="B9" s="414">
        <v>1994</v>
      </c>
      <c r="C9" s="84">
        <v>45</v>
      </c>
      <c r="D9" s="84"/>
      <c r="E9" s="84">
        <v>123</v>
      </c>
      <c r="F9" s="84"/>
      <c r="G9" s="380">
        <f t="shared" si="2"/>
        <v>168</v>
      </c>
      <c r="H9" s="382"/>
      <c r="I9" s="84">
        <v>8665</v>
      </c>
      <c r="J9" s="84"/>
      <c r="K9" s="84">
        <v>54275</v>
      </c>
      <c r="L9" s="379"/>
      <c r="M9" s="380">
        <f t="shared" si="0"/>
        <v>62940</v>
      </c>
      <c r="N9" s="380"/>
      <c r="O9" s="84">
        <v>604484</v>
      </c>
      <c r="P9" s="84"/>
      <c r="Q9" s="84">
        <v>1332163</v>
      </c>
      <c r="R9" s="379"/>
      <c r="S9" s="380">
        <f t="shared" si="1"/>
        <v>1936647</v>
      </c>
      <c r="T9" s="382"/>
    </row>
    <row r="10" spans="2:20" ht="25.15" customHeight="1" x14ac:dyDescent="0.2">
      <c r="B10" s="414">
        <v>1995</v>
      </c>
      <c r="C10" s="84">
        <v>5</v>
      </c>
      <c r="D10" s="84"/>
      <c r="E10" s="84">
        <v>97</v>
      </c>
      <c r="F10" s="84"/>
      <c r="G10" s="380">
        <f t="shared" si="2"/>
        <v>102</v>
      </c>
      <c r="H10" s="382"/>
      <c r="I10" s="84">
        <v>745</v>
      </c>
      <c r="J10" s="84"/>
      <c r="K10" s="84">
        <v>27437</v>
      </c>
      <c r="L10" s="379"/>
      <c r="M10" s="380">
        <f t="shared" si="0"/>
        <v>28182</v>
      </c>
      <c r="N10" s="380"/>
      <c r="O10" s="84">
        <v>63328</v>
      </c>
      <c r="P10" s="84"/>
      <c r="Q10" s="84">
        <v>985425</v>
      </c>
      <c r="R10" s="379"/>
      <c r="S10" s="380">
        <f t="shared" si="1"/>
        <v>1048753</v>
      </c>
      <c r="T10" s="382"/>
    </row>
    <row r="11" spans="2:20" ht="25.15" customHeight="1" x14ac:dyDescent="0.2">
      <c r="B11" s="414">
        <v>1996</v>
      </c>
      <c r="C11" s="84">
        <v>7</v>
      </c>
      <c r="D11" s="84"/>
      <c r="E11" s="84">
        <v>70</v>
      </c>
      <c r="F11" s="84"/>
      <c r="G11" s="380">
        <f t="shared" si="2"/>
        <v>77</v>
      </c>
      <c r="H11" s="382"/>
      <c r="I11" s="84">
        <v>2031</v>
      </c>
      <c r="J11" s="84"/>
      <c r="K11" s="84">
        <v>0</v>
      </c>
      <c r="L11" s="379"/>
      <c r="M11" s="380">
        <f t="shared" si="0"/>
        <v>2031</v>
      </c>
      <c r="N11" s="380"/>
      <c r="O11" s="84">
        <v>457712</v>
      </c>
      <c r="P11" s="84"/>
      <c r="Q11" s="84">
        <v>942174</v>
      </c>
      <c r="R11" s="379"/>
      <c r="S11" s="380">
        <f t="shared" si="1"/>
        <v>1399886</v>
      </c>
      <c r="T11" s="382"/>
    </row>
    <row r="12" spans="2:20" ht="25.15" customHeight="1" x14ac:dyDescent="0.2">
      <c r="B12" s="414">
        <v>1997</v>
      </c>
      <c r="C12" s="84">
        <v>1</v>
      </c>
      <c r="D12" s="84"/>
      <c r="E12" s="84">
        <v>65</v>
      </c>
      <c r="F12" s="84"/>
      <c r="G12" s="380">
        <f t="shared" si="2"/>
        <v>66</v>
      </c>
      <c r="H12" s="382"/>
      <c r="I12" s="84">
        <v>120</v>
      </c>
      <c r="J12" s="84"/>
      <c r="K12" s="84">
        <v>19076</v>
      </c>
      <c r="L12" s="379"/>
      <c r="M12" s="380">
        <f t="shared" si="0"/>
        <v>19196</v>
      </c>
      <c r="N12" s="380"/>
      <c r="O12" s="84">
        <v>2880</v>
      </c>
      <c r="P12" s="84"/>
      <c r="Q12" s="84">
        <v>316534</v>
      </c>
      <c r="R12" s="379"/>
      <c r="S12" s="380">
        <f t="shared" si="1"/>
        <v>319414</v>
      </c>
      <c r="T12" s="382"/>
    </row>
    <row r="13" spans="2:20" ht="25.15" customHeight="1" x14ac:dyDescent="0.2">
      <c r="B13" s="414">
        <v>1998</v>
      </c>
      <c r="C13" s="84">
        <v>3</v>
      </c>
      <c r="D13" s="84"/>
      <c r="E13" s="84">
        <v>55</v>
      </c>
      <c r="F13" s="84"/>
      <c r="G13" s="380">
        <f t="shared" si="2"/>
        <v>58</v>
      </c>
      <c r="H13" s="382"/>
      <c r="I13" s="84">
        <v>347</v>
      </c>
      <c r="J13" s="84"/>
      <c r="K13" s="84">
        <v>16986</v>
      </c>
      <c r="L13" s="379"/>
      <c r="M13" s="380">
        <f t="shared" si="0"/>
        <v>17333</v>
      </c>
      <c r="N13" s="380"/>
      <c r="O13" s="84">
        <v>26428</v>
      </c>
      <c r="P13" s="84"/>
      <c r="Q13" s="84">
        <v>296740</v>
      </c>
      <c r="R13" s="379"/>
      <c r="S13" s="380">
        <f t="shared" si="1"/>
        <v>323168</v>
      </c>
      <c r="T13" s="382"/>
    </row>
    <row r="14" spans="2:20" ht="25.15" customHeight="1" x14ac:dyDescent="0.2">
      <c r="B14" s="414">
        <v>1999</v>
      </c>
      <c r="C14" s="84">
        <v>2</v>
      </c>
      <c r="D14" s="84"/>
      <c r="E14" s="84">
        <v>69</v>
      </c>
      <c r="F14" s="84"/>
      <c r="G14" s="380">
        <f t="shared" si="2"/>
        <v>71</v>
      </c>
      <c r="H14" s="382"/>
      <c r="I14" s="84">
        <v>837</v>
      </c>
      <c r="J14" s="84"/>
      <c r="K14" s="84">
        <v>51243</v>
      </c>
      <c r="L14" s="379"/>
      <c r="M14" s="380">
        <f t="shared" si="0"/>
        <v>52080</v>
      </c>
      <c r="N14" s="380"/>
      <c r="O14" s="84">
        <v>13768</v>
      </c>
      <c r="P14" s="84"/>
      <c r="Q14" s="84">
        <v>710492</v>
      </c>
      <c r="R14" s="379"/>
      <c r="S14" s="380">
        <f t="shared" si="1"/>
        <v>724260</v>
      </c>
      <c r="T14" s="382"/>
    </row>
    <row r="15" spans="2:20" ht="25.15" customHeight="1" x14ac:dyDescent="0.2">
      <c r="B15" s="414">
        <v>2000</v>
      </c>
      <c r="C15" s="84">
        <v>1</v>
      </c>
      <c r="D15" s="84"/>
      <c r="E15" s="84">
        <v>36</v>
      </c>
      <c r="F15" s="84"/>
      <c r="G15" s="380">
        <f t="shared" si="2"/>
        <v>37</v>
      </c>
      <c r="H15" s="382"/>
      <c r="I15" s="84">
        <v>8</v>
      </c>
      <c r="J15" s="84"/>
      <c r="K15" s="84">
        <v>5272</v>
      </c>
      <c r="L15" s="379"/>
      <c r="M15" s="380">
        <f t="shared" si="0"/>
        <v>5280</v>
      </c>
      <c r="N15" s="380"/>
      <c r="O15" s="84">
        <v>1600</v>
      </c>
      <c r="P15" s="84"/>
      <c r="Q15" s="84">
        <v>180091</v>
      </c>
      <c r="R15" s="379"/>
      <c r="S15" s="380">
        <f t="shared" si="1"/>
        <v>181691</v>
      </c>
      <c r="T15" s="382"/>
    </row>
    <row r="16" spans="2:20" ht="25.15" customHeight="1" x14ac:dyDescent="0.2">
      <c r="B16" s="414">
        <v>2001</v>
      </c>
      <c r="C16" s="285">
        <v>3</v>
      </c>
      <c r="D16" s="285"/>
      <c r="E16" s="84">
        <v>37</v>
      </c>
      <c r="F16" s="84"/>
      <c r="G16" s="380">
        <f t="shared" si="2"/>
        <v>40</v>
      </c>
      <c r="H16" s="382"/>
      <c r="I16" s="285">
        <v>537</v>
      </c>
      <c r="J16" s="285"/>
      <c r="K16" s="84">
        <v>10513</v>
      </c>
      <c r="L16" s="379"/>
      <c r="M16" s="380">
        <f t="shared" si="0"/>
        <v>11050</v>
      </c>
      <c r="N16" s="380"/>
      <c r="O16" s="285">
        <v>55824</v>
      </c>
      <c r="P16" s="285"/>
      <c r="Q16" s="84">
        <v>433106</v>
      </c>
      <c r="R16" s="379"/>
      <c r="S16" s="380">
        <f t="shared" si="1"/>
        <v>488930</v>
      </c>
      <c r="T16" s="382"/>
    </row>
    <row r="17" spans="2:20" ht="25.15" customHeight="1" x14ac:dyDescent="0.2">
      <c r="B17" s="414">
        <v>2002</v>
      </c>
      <c r="C17" s="285">
        <v>4</v>
      </c>
      <c r="D17" s="285"/>
      <c r="E17" s="84">
        <v>60</v>
      </c>
      <c r="F17" s="84"/>
      <c r="G17" s="380">
        <f t="shared" si="2"/>
        <v>64</v>
      </c>
      <c r="H17" s="382"/>
      <c r="I17" s="285">
        <v>3694</v>
      </c>
      <c r="J17" s="285"/>
      <c r="K17" s="84">
        <v>19231</v>
      </c>
      <c r="L17" s="379"/>
      <c r="M17" s="380">
        <f t="shared" si="0"/>
        <v>22925</v>
      </c>
      <c r="N17" s="380"/>
      <c r="O17" s="285">
        <v>195112</v>
      </c>
      <c r="P17" s="285"/>
      <c r="Q17" s="84">
        <v>717536</v>
      </c>
      <c r="R17" s="379"/>
      <c r="S17" s="380">
        <f t="shared" si="1"/>
        <v>912648</v>
      </c>
      <c r="T17" s="382"/>
    </row>
    <row r="18" spans="2:20" ht="25.15" customHeight="1" x14ac:dyDescent="0.2">
      <c r="B18" s="414">
        <v>2003</v>
      </c>
      <c r="C18" s="84">
        <v>4</v>
      </c>
      <c r="D18" s="84"/>
      <c r="E18" s="84">
        <v>64</v>
      </c>
      <c r="F18" s="84"/>
      <c r="G18" s="380">
        <f t="shared" si="2"/>
        <v>68</v>
      </c>
      <c r="H18" s="382"/>
      <c r="I18" s="285">
        <v>19621</v>
      </c>
      <c r="J18" s="285"/>
      <c r="K18" s="84">
        <v>17702</v>
      </c>
      <c r="L18" s="379"/>
      <c r="M18" s="380">
        <f t="shared" si="0"/>
        <v>37323</v>
      </c>
      <c r="N18" s="380"/>
      <c r="O18" s="285">
        <v>605640</v>
      </c>
      <c r="P18" s="285"/>
      <c r="Q18" s="84">
        <v>275722</v>
      </c>
      <c r="R18" s="379"/>
      <c r="S18" s="380">
        <f t="shared" si="1"/>
        <v>881362</v>
      </c>
      <c r="T18" s="382"/>
    </row>
    <row r="19" spans="2:20" ht="25.15" customHeight="1" x14ac:dyDescent="0.2">
      <c r="B19" s="414">
        <v>2004</v>
      </c>
      <c r="C19" s="84">
        <v>3</v>
      </c>
      <c r="D19" s="84"/>
      <c r="E19" s="84">
        <v>104</v>
      </c>
      <c r="F19" s="84"/>
      <c r="G19" s="380">
        <f t="shared" si="2"/>
        <v>107</v>
      </c>
      <c r="H19" s="382"/>
      <c r="I19" s="285">
        <v>1240</v>
      </c>
      <c r="J19" s="285"/>
      <c r="K19" s="84">
        <v>28033</v>
      </c>
      <c r="L19" s="379"/>
      <c r="M19" s="380">
        <f t="shared" si="0"/>
        <v>29273</v>
      </c>
      <c r="N19" s="380"/>
      <c r="O19" s="285">
        <v>90632</v>
      </c>
      <c r="P19" s="285"/>
      <c r="Q19" s="84">
        <v>491696</v>
      </c>
      <c r="R19" s="379"/>
      <c r="S19" s="380">
        <f t="shared" si="1"/>
        <v>582328</v>
      </c>
      <c r="T19" s="382"/>
    </row>
    <row r="20" spans="2:20" ht="25.15" customHeight="1" x14ac:dyDescent="0.2">
      <c r="B20" s="414">
        <v>2005</v>
      </c>
      <c r="C20" s="84">
        <v>2</v>
      </c>
      <c r="D20" s="84"/>
      <c r="E20" s="84">
        <v>63</v>
      </c>
      <c r="F20" s="84"/>
      <c r="G20" s="380">
        <f t="shared" si="2"/>
        <v>65</v>
      </c>
      <c r="H20" s="382"/>
      <c r="I20" s="285">
        <v>531</v>
      </c>
      <c r="J20" s="285"/>
      <c r="K20" s="84">
        <v>18491</v>
      </c>
      <c r="L20" s="379"/>
      <c r="M20" s="380">
        <f t="shared" si="0"/>
        <v>19022</v>
      </c>
      <c r="N20" s="380"/>
      <c r="O20" s="285">
        <v>28496</v>
      </c>
      <c r="P20" s="285"/>
      <c r="Q20" s="84">
        <v>450242</v>
      </c>
      <c r="R20" s="379"/>
      <c r="S20" s="380">
        <f t="shared" si="1"/>
        <v>478738</v>
      </c>
      <c r="T20" s="382"/>
    </row>
    <row r="21" spans="2:20" ht="25.15" customHeight="1" x14ac:dyDescent="0.2">
      <c r="B21" s="414">
        <v>2006</v>
      </c>
      <c r="C21" s="84">
        <v>2</v>
      </c>
      <c r="D21" s="84"/>
      <c r="E21" s="84">
        <v>65</v>
      </c>
      <c r="F21" s="84"/>
      <c r="G21" s="380">
        <f t="shared" si="2"/>
        <v>67</v>
      </c>
      <c r="H21" s="382"/>
      <c r="I21" s="285">
        <v>718</v>
      </c>
      <c r="J21" s="285"/>
      <c r="K21" s="84">
        <v>18847</v>
      </c>
      <c r="L21" s="379"/>
      <c r="M21" s="380">
        <f t="shared" si="0"/>
        <v>19565</v>
      </c>
      <c r="N21" s="380"/>
      <c r="O21" s="285">
        <v>48392</v>
      </c>
      <c r="P21" s="285"/>
      <c r="Q21" s="84">
        <v>398192</v>
      </c>
      <c r="R21" s="379"/>
      <c r="S21" s="380">
        <f t="shared" si="1"/>
        <v>446584</v>
      </c>
      <c r="T21" s="382"/>
    </row>
    <row r="22" spans="2:20" ht="25.15" customHeight="1" x14ac:dyDescent="0.2">
      <c r="B22" s="414">
        <v>2007</v>
      </c>
      <c r="C22" s="84">
        <v>2</v>
      </c>
      <c r="D22" s="84"/>
      <c r="E22" s="84">
        <v>71</v>
      </c>
      <c r="F22" s="84"/>
      <c r="G22" s="380">
        <f t="shared" si="2"/>
        <v>73</v>
      </c>
      <c r="H22" s="382"/>
      <c r="I22" s="285">
        <v>1252</v>
      </c>
      <c r="J22" s="285"/>
      <c r="K22" s="84">
        <v>46844</v>
      </c>
      <c r="L22" s="379"/>
      <c r="M22" s="380">
        <f t="shared" si="0"/>
        <v>48096</v>
      </c>
      <c r="N22" s="380"/>
      <c r="O22" s="285">
        <v>68576</v>
      </c>
      <c r="P22" s="285"/>
      <c r="Q22" s="84">
        <v>2147944</v>
      </c>
      <c r="R22" s="379"/>
      <c r="S22" s="380">
        <f t="shared" si="1"/>
        <v>2216520</v>
      </c>
      <c r="T22" s="382"/>
    </row>
    <row r="23" spans="2:20" ht="25.15" customHeight="1" x14ac:dyDescent="0.2">
      <c r="B23" s="414">
        <v>2008</v>
      </c>
      <c r="C23" s="84">
        <v>4</v>
      </c>
      <c r="D23" s="84"/>
      <c r="E23" s="84">
        <v>59</v>
      </c>
      <c r="F23" s="84"/>
      <c r="G23" s="380">
        <f t="shared" si="2"/>
        <v>63</v>
      </c>
      <c r="H23" s="382"/>
      <c r="I23" s="285">
        <v>1224</v>
      </c>
      <c r="J23" s="285"/>
      <c r="K23" s="84">
        <v>32787</v>
      </c>
      <c r="L23" s="379"/>
      <c r="M23" s="380">
        <f t="shared" si="0"/>
        <v>34011</v>
      </c>
      <c r="N23" s="380"/>
      <c r="O23" s="285">
        <v>74960</v>
      </c>
      <c r="P23" s="285"/>
      <c r="Q23" s="84">
        <v>1446000</v>
      </c>
      <c r="R23" s="379"/>
      <c r="S23" s="380">
        <f t="shared" si="1"/>
        <v>1520960</v>
      </c>
      <c r="T23" s="382"/>
    </row>
    <row r="24" spans="2:20" ht="25.15" customHeight="1" x14ac:dyDescent="0.2">
      <c r="B24" s="414">
        <v>2009</v>
      </c>
      <c r="C24" s="84">
        <v>8</v>
      </c>
      <c r="D24" s="84"/>
      <c r="E24" s="84">
        <v>91</v>
      </c>
      <c r="F24" s="84"/>
      <c r="G24" s="380">
        <f t="shared" si="2"/>
        <v>99</v>
      </c>
      <c r="H24" s="382"/>
      <c r="I24" s="285">
        <v>3511</v>
      </c>
      <c r="J24" s="285"/>
      <c r="K24" s="84">
        <v>32603</v>
      </c>
      <c r="L24" s="379"/>
      <c r="M24" s="380">
        <f t="shared" si="0"/>
        <v>36114</v>
      </c>
      <c r="N24" s="380"/>
      <c r="O24" s="285">
        <v>386096</v>
      </c>
      <c r="P24" s="285"/>
      <c r="Q24" s="84">
        <v>1066370</v>
      </c>
      <c r="R24" s="379"/>
      <c r="S24" s="380">
        <f t="shared" si="1"/>
        <v>1452466</v>
      </c>
      <c r="T24" s="382"/>
    </row>
    <row r="25" spans="2:20" ht="25.15" customHeight="1" x14ac:dyDescent="0.2">
      <c r="B25" s="414">
        <v>2010</v>
      </c>
      <c r="C25" s="84">
        <v>13</v>
      </c>
      <c r="D25" s="84"/>
      <c r="E25" s="84">
        <v>70</v>
      </c>
      <c r="F25" s="84"/>
      <c r="G25" s="380">
        <f t="shared" si="2"/>
        <v>83</v>
      </c>
      <c r="H25" s="382"/>
      <c r="I25" s="285">
        <v>4169</v>
      </c>
      <c r="J25" s="285"/>
      <c r="K25" s="84">
        <v>26437</v>
      </c>
      <c r="L25" s="379"/>
      <c r="M25" s="380">
        <f t="shared" si="0"/>
        <v>30606</v>
      </c>
      <c r="N25" s="380"/>
      <c r="O25" s="285">
        <v>236064</v>
      </c>
      <c r="P25" s="285"/>
      <c r="Q25" s="84">
        <v>1043316</v>
      </c>
      <c r="R25" s="379"/>
      <c r="S25" s="380">
        <f t="shared" si="1"/>
        <v>1279380</v>
      </c>
      <c r="T25" s="382"/>
    </row>
    <row r="26" spans="2:20" ht="25.15" customHeight="1" x14ac:dyDescent="0.2">
      <c r="B26" s="414">
        <v>2011</v>
      </c>
      <c r="C26" s="84">
        <v>19</v>
      </c>
      <c r="D26" s="84"/>
      <c r="E26" s="84">
        <v>65</v>
      </c>
      <c r="F26" s="84"/>
      <c r="G26" s="380">
        <f t="shared" si="2"/>
        <v>84</v>
      </c>
      <c r="H26" s="382"/>
      <c r="I26" s="285">
        <v>5838</v>
      </c>
      <c r="J26" s="285"/>
      <c r="K26" s="84">
        <v>20932</v>
      </c>
      <c r="L26" s="379"/>
      <c r="M26" s="380">
        <f t="shared" si="0"/>
        <v>26770</v>
      </c>
      <c r="N26" s="380"/>
      <c r="O26" s="285">
        <v>777188</v>
      </c>
      <c r="P26" s="285"/>
      <c r="Q26" s="84">
        <v>1022228</v>
      </c>
      <c r="R26" s="379"/>
      <c r="S26" s="380">
        <f t="shared" si="1"/>
        <v>1799416</v>
      </c>
      <c r="T26" s="382"/>
    </row>
    <row r="27" spans="2:20" ht="25.15" customHeight="1" x14ac:dyDescent="0.2">
      <c r="B27" s="414">
        <v>2012</v>
      </c>
      <c r="C27" s="84">
        <v>15</v>
      </c>
      <c r="D27" s="84"/>
      <c r="E27" s="84">
        <v>74</v>
      </c>
      <c r="F27" s="84"/>
      <c r="G27" s="380">
        <f t="shared" si="2"/>
        <v>89</v>
      </c>
      <c r="H27" s="382"/>
      <c r="I27" s="285">
        <v>4002</v>
      </c>
      <c r="J27" s="285"/>
      <c r="K27" s="84">
        <v>21843</v>
      </c>
      <c r="L27" s="379"/>
      <c r="M27" s="380">
        <f t="shared" si="0"/>
        <v>25845</v>
      </c>
      <c r="N27" s="380"/>
      <c r="O27" s="285">
        <v>692960</v>
      </c>
      <c r="P27" s="285"/>
      <c r="Q27" s="84">
        <v>1185736</v>
      </c>
      <c r="R27" s="379"/>
      <c r="S27" s="380">
        <f t="shared" si="1"/>
        <v>1878696</v>
      </c>
      <c r="T27" s="382"/>
    </row>
    <row r="28" spans="2:20" ht="25.15" customHeight="1" x14ac:dyDescent="0.2">
      <c r="B28" s="414">
        <v>2013</v>
      </c>
      <c r="C28" s="84">
        <v>25</v>
      </c>
      <c r="D28" s="84"/>
      <c r="E28" s="84">
        <v>69</v>
      </c>
      <c r="F28" s="84"/>
      <c r="G28" s="380">
        <f t="shared" si="2"/>
        <v>94</v>
      </c>
      <c r="H28" s="382"/>
      <c r="I28" s="285">
        <v>5878</v>
      </c>
      <c r="J28" s="285"/>
      <c r="K28" s="84">
        <v>20858</v>
      </c>
      <c r="L28" s="379"/>
      <c r="M28" s="380">
        <f t="shared" si="0"/>
        <v>26736</v>
      </c>
      <c r="N28" s="380"/>
      <c r="O28" s="285">
        <v>438930</v>
      </c>
      <c r="P28" s="285"/>
      <c r="Q28" s="84">
        <v>1134272</v>
      </c>
      <c r="R28" s="379"/>
      <c r="S28" s="380">
        <f t="shared" si="1"/>
        <v>1573202</v>
      </c>
      <c r="T28" s="382"/>
    </row>
    <row r="29" spans="2:20" ht="25.15" customHeight="1" x14ac:dyDescent="0.2">
      <c r="B29" s="414">
        <v>2014</v>
      </c>
      <c r="C29" s="84">
        <v>15</v>
      </c>
      <c r="D29" s="84"/>
      <c r="E29" s="84">
        <v>80</v>
      </c>
      <c r="F29" s="84"/>
      <c r="G29" s="380">
        <f t="shared" si="2"/>
        <v>95</v>
      </c>
      <c r="H29" s="382"/>
      <c r="I29" s="285">
        <v>3579</v>
      </c>
      <c r="J29" s="285"/>
      <c r="K29" s="84">
        <v>37102</v>
      </c>
      <c r="L29" s="379"/>
      <c r="M29" s="380">
        <f t="shared" si="0"/>
        <v>40681</v>
      </c>
      <c r="N29" s="380"/>
      <c r="O29" s="285">
        <v>407080</v>
      </c>
      <c r="P29" s="285"/>
      <c r="Q29" s="84">
        <v>2745938</v>
      </c>
      <c r="R29" s="379"/>
      <c r="S29" s="380">
        <f t="shared" si="1"/>
        <v>3153018</v>
      </c>
      <c r="T29" s="382"/>
    </row>
    <row r="30" spans="2:20" ht="25.15" customHeight="1" x14ac:dyDescent="0.2">
      <c r="B30" s="414">
        <v>2015</v>
      </c>
      <c r="C30" s="84">
        <v>6</v>
      </c>
      <c r="D30" s="84"/>
      <c r="E30" s="84">
        <v>41</v>
      </c>
      <c r="F30" s="84"/>
      <c r="G30" s="380">
        <f t="shared" si="2"/>
        <v>47</v>
      </c>
      <c r="H30" s="382"/>
      <c r="I30" s="285">
        <v>1442</v>
      </c>
      <c r="J30" s="285"/>
      <c r="K30" s="84">
        <v>30624</v>
      </c>
      <c r="L30" s="379"/>
      <c r="M30" s="380">
        <f t="shared" si="0"/>
        <v>32066</v>
      </c>
      <c r="N30" s="380"/>
      <c r="O30" s="285">
        <v>265192</v>
      </c>
      <c r="P30" s="285"/>
      <c r="Q30" s="84">
        <v>1660440</v>
      </c>
      <c r="R30" s="379"/>
      <c r="S30" s="380">
        <f t="shared" si="1"/>
        <v>1925632</v>
      </c>
      <c r="T30" s="382"/>
    </row>
    <row r="31" spans="2:20" ht="25.15" customHeight="1" x14ac:dyDescent="0.2">
      <c r="B31" s="414">
        <v>2016</v>
      </c>
      <c r="C31" s="84">
        <v>3</v>
      </c>
      <c r="D31" s="84"/>
      <c r="E31" s="84">
        <v>38</v>
      </c>
      <c r="F31" s="84"/>
      <c r="G31" s="380">
        <f t="shared" si="2"/>
        <v>41</v>
      </c>
      <c r="H31" s="382"/>
      <c r="I31" s="285">
        <v>1345</v>
      </c>
      <c r="J31" s="285"/>
      <c r="K31" s="84">
        <v>19118</v>
      </c>
      <c r="L31" s="379"/>
      <c r="M31" s="380">
        <f t="shared" si="0"/>
        <v>20463</v>
      </c>
      <c r="N31" s="380"/>
      <c r="O31" s="285">
        <v>244680</v>
      </c>
      <c r="P31" s="285"/>
      <c r="Q31" s="84">
        <v>2839376</v>
      </c>
      <c r="R31" s="379"/>
      <c r="S31" s="380">
        <f t="shared" si="1"/>
        <v>3084056</v>
      </c>
      <c r="T31" s="382"/>
    </row>
    <row r="32" spans="2:20" ht="25.15" customHeight="1" x14ac:dyDescent="0.2">
      <c r="B32" s="414">
        <v>2017</v>
      </c>
      <c r="C32" s="84">
        <v>6</v>
      </c>
      <c r="D32" s="84"/>
      <c r="E32" s="84">
        <v>39</v>
      </c>
      <c r="F32" s="84"/>
      <c r="G32" s="380">
        <f>SUM(C32:E32)</f>
        <v>45</v>
      </c>
      <c r="H32" s="382"/>
      <c r="I32" s="285">
        <v>1856</v>
      </c>
      <c r="J32" s="285"/>
      <c r="K32" s="84">
        <v>54754</v>
      </c>
      <c r="L32" s="379"/>
      <c r="M32" s="380">
        <f>SUM(I32:K32)</f>
        <v>56610</v>
      </c>
      <c r="N32" s="380"/>
      <c r="O32" s="285">
        <v>214392</v>
      </c>
      <c r="P32" s="285"/>
      <c r="Q32" s="84">
        <v>2792102</v>
      </c>
      <c r="R32" s="379"/>
      <c r="S32" s="380">
        <f>SUM(O32:Q32)</f>
        <v>3006494</v>
      </c>
      <c r="T32" s="382"/>
    </row>
    <row r="33" spans="2:30" ht="25.15" customHeight="1" x14ac:dyDescent="0.2">
      <c r="B33" s="414">
        <v>2018</v>
      </c>
      <c r="C33" s="84">
        <v>8</v>
      </c>
      <c r="D33" s="84"/>
      <c r="E33" s="84">
        <v>46</v>
      </c>
      <c r="F33" s="84"/>
      <c r="G33" s="380">
        <f t="shared" si="2"/>
        <v>54</v>
      </c>
      <c r="H33" s="382"/>
      <c r="I33" s="285">
        <v>2786</v>
      </c>
      <c r="J33" s="285"/>
      <c r="K33" s="84">
        <v>18710</v>
      </c>
      <c r="L33" s="379"/>
      <c r="M33" s="380">
        <f t="shared" si="0"/>
        <v>21496</v>
      </c>
      <c r="N33" s="380"/>
      <c r="O33" s="285">
        <v>268626</v>
      </c>
      <c r="P33" s="285"/>
      <c r="Q33" s="84">
        <v>470238</v>
      </c>
      <c r="R33" s="379"/>
      <c r="S33" s="380">
        <f t="shared" si="1"/>
        <v>738864</v>
      </c>
      <c r="T33" s="382"/>
    </row>
    <row r="34" spans="2:30" ht="24.6" customHeight="1" x14ac:dyDescent="0.2">
      <c r="B34" s="414">
        <v>2019</v>
      </c>
      <c r="C34" s="84">
        <v>2</v>
      </c>
      <c r="D34" s="84"/>
      <c r="E34" s="84">
        <v>65</v>
      </c>
      <c r="F34" s="84"/>
      <c r="G34" s="380">
        <f t="shared" ref="G34:G38" si="3">SUM(C34:E34)</f>
        <v>67</v>
      </c>
      <c r="H34" s="382"/>
      <c r="I34" s="285">
        <v>944</v>
      </c>
      <c r="J34" s="285"/>
      <c r="K34" s="84">
        <v>109210</v>
      </c>
      <c r="L34" s="379"/>
      <c r="M34" s="380">
        <f t="shared" ref="M34:M38" si="4">SUM(I34:K34)</f>
        <v>110154</v>
      </c>
      <c r="N34" s="380"/>
      <c r="O34" s="285">
        <v>133312</v>
      </c>
      <c r="P34" s="285"/>
      <c r="Q34" s="84">
        <v>1952544</v>
      </c>
      <c r="R34" s="379"/>
      <c r="S34" s="380">
        <f t="shared" ref="S34:S38" si="5">SUM(O34:Q34)</f>
        <v>2085856</v>
      </c>
      <c r="T34" s="382"/>
    </row>
    <row r="35" spans="2:30" ht="24.6" customHeight="1" x14ac:dyDescent="0.2">
      <c r="B35" s="414">
        <v>2020</v>
      </c>
      <c r="C35" s="84">
        <v>0</v>
      </c>
      <c r="D35" s="84"/>
      <c r="E35" s="84">
        <v>23</v>
      </c>
      <c r="F35" s="84"/>
      <c r="G35" s="380">
        <f t="shared" si="3"/>
        <v>23</v>
      </c>
      <c r="H35" s="382"/>
      <c r="I35" s="285">
        <v>0</v>
      </c>
      <c r="J35" s="285"/>
      <c r="K35" s="84">
        <v>127868</v>
      </c>
      <c r="L35" s="379"/>
      <c r="M35" s="380">
        <f t="shared" si="4"/>
        <v>127868</v>
      </c>
      <c r="N35" s="380"/>
      <c r="O35" s="285">
        <v>0</v>
      </c>
      <c r="P35" s="285"/>
      <c r="Q35" s="84">
        <v>3653184</v>
      </c>
      <c r="R35" s="379"/>
      <c r="S35" s="380">
        <f t="shared" si="5"/>
        <v>3653184</v>
      </c>
      <c r="T35" s="382"/>
    </row>
    <row r="36" spans="2:30" ht="24.6" customHeight="1" x14ac:dyDescent="0.2">
      <c r="B36" s="414">
        <v>2021</v>
      </c>
      <c r="C36" s="84">
        <v>16</v>
      </c>
      <c r="D36" s="84"/>
      <c r="E36" s="84">
        <v>22</v>
      </c>
      <c r="F36" s="84"/>
      <c r="G36" s="380">
        <f t="shared" si="3"/>
        <v>38</v>
      </c>
      <c r="H36" s="382"/>
      <c r="I36" s="285">
        <v>5137</v>
      </c>
      <c r="J36" s="285"/>
      <c r="K36" s="84">
        <v>204005</v>
      </c>
      <c r="L36" s="379"/>
      <c r="M36" s="380">
        <f t="shared" si="4"/>
        <v>209142</v>
      </c>
      <c r="N36" s="380"/>
      <c r="O36" s="285">
        <v>528464</v>
      </c>
      <c r="P36" s="285"/>
      <c r="Q36" s="84">
        <v>2498776</v>
      </c>
      <c r="R36" s="379"/>
      <c r="S36" s="380">
        <f t="shared" si="5"/>
        <v>3027240</v>
      </c>
      <c r="T36" s="382"/>
    </row>
    <row r="37" spans="2:30" ht="24.6" customHeight="1" x14ac:dyDescent="0.2">
      <c r="B37" s="414">
        <v>2022</v>
      </c>
      <c r="C37" s="84">
        <v>10</v>
      </c>
      <c r="D37" s="84"/>
      <c r="E37" s="84">
        <v>31</v>
      </c>
      <c r="F37" s="84"/>
      <c r="G37" s="380">
        <f t="shared" si="3"/>
        <v>41</v>
      </c>
      <c r="H37" s="382"/>
      <c r="I37" s="285">
        <v>1484</v>
      </c>
      <c r="J37" s="285"/>
      <c r="K37" s="84">
        <v>27661</v>
      </c>
      <c r="L37" s="379"/>
      <c r="M37" s="380">
        <f t="shared" si="4"/>
        <v>29145</v>
      </c>
      <c r="N37" s="380"/>
      <c r="O37" s="285">
        <v>328400</v>
      </c>
      <c r="P37" s="285"/>
      <c r="Q37" s="84">
        <v>1794532</v>
      </c>
      <c r="R37" s="379"/>
      <c r="S37" s="380">
        <f t="shared" si="5"/>
        <v>2122932</v>
      </c>
      <c r="T37" s="382"/>
    </row>
    <row r="38" spans="2:30" ht="24.6" customHeight="1" x14ac:dyDescent="0.2">
      <c r="B38" s="414">
        <v>2023</v>
      </c>
      <c r="C38" s="84">
        <v>13</v>
      </c>
      <c r="D38" s="84"/>
      <c r="E38" s="84">
        <v>42</v>
      </c>
      <c r="F38" s="84"/>
      <c r="G38" s="380">
        <f t="shared" si="3"/>
        <v>55</v>
      </c>
      <c r="H38" s="382"/>
      <c r="I38" s="285">
        <v>1607</v>
      </c>
      <c r="J38" s="285"/>
      <c r="K38" s="84">
        <v>76276</v>
      </c>
      <c r="L38" s="379"/>
      <c r="M38" s="380">
        <f t="shared" si="4"/>
        <v>77883</v>
      </c>
      <c r="N38" s="380"/>
      <c r="O38" s="285">
        <v>108953</v>
      </c>
      <c r="P38" s="285"/>
      <c r="Q38" s="84">
        <v>1353056</v>
      </c>
      <c r="R38" s="379"/>
      <c r="S38" s="380">
        <f t="shared" si="5"/>
        <v>1462009</v>
      </c>
      <c r="T38" s="382"/>
    </row>
    <row r="39" spans="2:30" ht="24.6" customHeight="1" x14ac:dyDescent="0.2">
      <c r="B39" s="414">
        <v>2024</v>
      </c>
      <c r="C39" s="84">
        <v>16</v>
      </c>
      <c r="D39" s="84"/>
      <c r="E39" s="84">
        <v>47</v>
      </c>
      <c r="F39" s="84"/>
      <c r="G39" s="380">
        <f t="shared" si="2"/>
        <v>63</v>
      </c>
      <c r="H39" s="382"/>
      <c r="I39" s="285">
        <v>1954</v>
      </c>
      <c r="J39" s="285"/>
      <c r="K39" s="84">
        <v>74750</v>
      </c>
      <c r="L39" s="379"/>
      <c r="M39" s="380">
        <f t="shared" si="0"/>
        <v>76704</v>
      </c>
      <c r="N39" s="380"/>
      <c r="O39" s="285">
        <v>164856</v>
      </c>
      <c r="P39" s="285"/>
      <c r="Q39" s="84">
        <v>2130660</v>
      </c>
      <c r="R39" s="379"/>
      <c r="S39" s="380">
        <f t="shared" si="1"/>
        <v>2295516</v>
      </c>
      <c r="T39" s="382"/>
    </row>
    <row r="40" spans="2:30" ht="9.75" customHeight="1" x14ac:dyDescent="0.2">
      <c r="B40" s="414"/>
      <c r="C40" s="84"/>
      <c r="D40" s="84"/>
      <c r="E40" s="84"/>
      <c r="F40" s="84"/>
      <c r="G40" s="147"/>
      <c r="H40" s="381"/>
      <c r="I40" s="285"/>
      <c r="J40" s="285"/>
      <c r="K40" s="285"/>
      <c r="L40" s="84"/>
      <c r="M40" s="378"/>
      <c r="N40" s="378"/>
      <c r="O40" s="285"/>
      <c r="P40" s="285"/>
      <c r="Q40" s="285"/>
      <c r="R40" s="84"/>
      <c r="S40" s="378"/>
      <c r="T40" s="379"/>
    </row>
    <row r="41" spans="2:30" s="1" customFormat="1" ht="29.25" customHeight="1" x14ac:dyDescent="0.2">
      <c r="B41" s="11" t="s">
        <v>245</v>
      </c>
      <c r="C41" s="12"/>
      <c r="D41" s="12"/>
      <c r="E41" s="12"/>
      <c r="F41" s="12"/>
      <c r="G41" s="13"/>
      <c r="H41" s="12"/>
      <c r="I41" s="12"/>
      <c r="Y41" s="14"/>
      <c r="Z41" s="10"/>
      <c r="AA41" s="14"/>
      <c r="AB41" s="15"/>
      <c r="AC41" s="14"/>
      <c r="AD41" s="15"/>
    </row>
    <row r="42" spans="2:30" s="1" customFormat="1" ht="29.25" customHeight="1" x14ac:dyDescent="0.2">
      <c r="B42" s="16" t="s">
        <v>296</v>
      </c>
      <c r="C42" s="17"/>
      <c r="D42" s="17"/>
      <c r="E42" s="17"/>
      <c r="F42" s="17"/>
      <c r="G42" s="17"/>
      <c r="H42" s="18"/>
      <c r="I42" s="18"/>
      <c r="J42" s="18"/>
      <c r="K42" s="18"/>
      <c r="Z42" s="19"/>
      <c r="AA42" s="20"/>
      <c r="AB42" s="19"/>
      <c r="AC42" s="20"/>
      <c r="AD42" s="21"/>
    </row>
    <row r="43" spans="2:30" s="1" customFormat="1" ht="29.25" customHeight="1" x14ac:dyDescent="0.2">
      <c r="B43" s="22" t="s">
        <v>279</v>
      </c>
      <c r="D43" s="23"/>
      <c r="E43" s="24"/>
      <c r="F43" s="23"/>
      <c r="G43" s="25"/>
      <c r="H43" s="26"/>
      <c r="I43" s="27"/>
      <c r="J43" s="27"/>
    </row>
  </sheetData>
  <mergeCells count="17">
    <mergeCell ref="I6:J6"/>
    <mergeCell ref="K6:L6"/>
    <mergeCell ref="B1:T1"/>
    <mergeCell ref="B2:S2"/>
    <mergeCell ref="B3:T3"/>
    <mergeCell ref="B4:S4"/>
    <mergeCell ref="C5:H5"/>
    <mergeCell ref="I5:N5"/>
    <mergeCell ref="O5:T5"/>
    <mergeCell ref="B5:B6"/>
    <mergeCell ref="M6:N6"/>
    <mergeCell ref="O6:P6"/>
    <mergeCell ref="Q6:R6"/>
    <mergeCell ref="S6:T6"/>
    <mergeCell ref="C6:D6"/>
    <mergeCell ref="E6:F6"/>
    <mergeCell ref="G6:H6"/>
  </mergeCells>
  <phoneticPr fontId="2" type="noConversion"/>
  <printOptions horizontalCentered="1" verticalCentered="1"/>
  <pageMargins left="0" right="0" top="0" bottom="0" header="0" footer="0"/>
  <pageSetup paperSize="9" scale="50" orientation="landscape" r:id="rId1"/>
  <headerFooter alignWithMargins="0"/>
  <ignoredErrors>
    <ignoredError sqref="G7:G31 G33 G32 G34:G39" formulaRang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AS56"/>
  <sheetViews>
    <sheetView showGridLines="0" view="pageBreakPreview" zoomScale="60" zoomScaleNormal="64" workbookViewId="0">
      <selection activeCell="O12" sqref="O12"/>
    </sheetView>
  </sheetViews>
  <sheetFormatPr baseColWidth="10" defaultColWidth="11.5703125" defaultRowHeight="12.75" x14ac:dyDescent="0.2"/>
  <cols>
    <col min="1" max="1" width="11.5703125" style="49"/>
    <col min="2" max="2" width="47.7109375" style="49" customWidth="1"/>
    <col min="3" max="3" width="14" style="49" customWidth="1"/>
    <col min="4" max="4" width="15.5703125" style="49" customWidth="1"/>
    <col min="5" max="5" width="12.7109375" style="49" customWidth="1"/>
    <col min="6" max="6" width="15" style="49" customWidth="1"/>
    <col min="7" max="7" width="12.7109375" style="49" customWidth="1"/>
    <col min="8" max="8" width="20.7109375" style="49" customWidth="1"/>
    <col min="9" max="9" width="19" style="49" customWidth="1"/>
    <col min="10" max="16384" width="11.5703125" style="49"/>
  </cols>
  <sheetData>
    <row r="1" spans="2:11" ht="27" customHeight="1" x14ac:dyDescent="0.2">
      <c r="B1" s="811" t="s">
        <v>95</v>
      </c>
      <c r="C1" s="811"/>
      <c r="D1" s="811"/>
      <c r="E1" s="811"/>
      <c r="F1" s="811"/>
      <c r="G1" s="811"/>
      <c r="H1" s="811"/>
      <c r="I1" s="811"/>
      <c r="J1" s="87"/>
      <c r="K1" s="87"/>
    </row>
    <row r="2" spans="2:11" s="215" customFormat="1" ht="25.5" customHeight="1" x14ac:dyDescent="0.2">
      <c r="B2" s="214" t="s">
        <v>145</v>
      </c>
    </row>
    <row r="3" spans="2:11" s="215" customFormat="1" ht="36" customHeight="1" x14ac:dyDescent="0.2">
      <c r="B3" s="885" t="s">
        <v>223</v>
      </c>
      <c r="C3" s="885"/>
      <c r="D3" s="885"/>
      <c r="E3" s="885"/>
      <c r="F3" s="885"/>
      <c r="G3" s="885"/>
      <c r="H3" s="885"/>
      <c r="I3" s="885"/>
    </row>
    <row r="4" spans="2:11" s="215" customFormat="1" ht="36" customHeight="1" x14ac:dyDescent="0.2">
      <c r="B4" s="885" t="s">
        <v>221</v>
      </c>
      <c r="C4" s="885"/>
      <c r="D4" s="885"/>
      <c r="E4" s="885"/>
      <c r="F4" s="885"/>
      <c r="G4" s="885"/>
      <c r="H4" s="885"/>
      <c r="I4" s="885"/>
    </row>
    <row r="5" spans="2:11" s="215" customFormat="1" ht="50.25" customHeight="1" x14ac:dyDescent="0.2">
      <c r="B5" s="957" t="s">
        <v>224</v>
      </c>
      <c r="C5" s="958" t="s">
        <v>67</v>
      </c>
      <c r="D5" s="955" t="s">
        <v>15</v>
      </c>
      <c r="E5" s="955"/>
      <c r="F5" s="955" t="s">
        <v>68</v>
      </c>
      <c r="G5" s="955" t="s">
        <v>69</v>
      </c>
      <c r="H5" s="955" t="s">
        <v>12</v>
      </c>
      <c r="I5" s="957" t="s">
        <v>70</v>
      </c>
    </row>
    <row r="6" spans="2:11" s="215" customFormat="1" ht="40.5" customHeight="1" x14ac:dyDescent="0.2">
      <c r="B6" s="957"/>
      <c r="C6" s="959"/>
      <c r="D6" s="384" t="s">
        <v>120</v>
      </c>
      <c r="E6" s="385" t="s">
        <v>5</v>
      </c>
      <c r="F6" s="384" t="s">
        <v>120</v>
      </c>
      <c r="G6" s="385" t="s">
        <v>5</v>
      </c>
      <c r="H6" s="956"/>
      <c r="I6" s="957"/>
    </row>
    <row r="7" spans="2:11" s="97" customFormat="1" ht="25.15" customHeight="1" x14ac:dyDescent="0.2">
      <c r="B7" s="427" t="s">
        <v>71</v>
      </c>
      <c r="C7" s="386">
        <v>29601</v>
      </c>
      <c r="D7" s="110">
        <v>326000</v>
      </c>
      <c r="E7" s="383">
        <v>30.8</v>
      </c>
      <c r="F7" s="110">
        <v>732442</v>
      </c>
      <c r="G7" s="383">
        <v>69.2</v>
      </c>
      <c r="H7" s="110">
        <v>2608000</v>
      </c>
      <c r="I7" s="27" t="s">
        <v>72</v>
      </c>
    </row>
    <row r="8" spans="2:11" s="97" customFormat="1" ht="25.15" customHeight="1" x14ac:dyDescent="0.2">
      <c r="B8" s="427" t="s">
        <v>73</v>
      </c>
      <c r="C8" s="386">
        <v>29851</v>
      </c>
      <c r="D8" s="110">
        <v>72989</v>
      </c>
      <c r="E8" s="383">
        <v>10.6</v>
      </c>
      <c r="F8" s="110">
        <v>615586</v>
      </c>
      <c r="G8" s="383">
        <v>89.4</v>
      </c>
      <c r="H8" s="110">
        <v>583912</v>
      </c>
      <c r="I8" s="27">
        <v>7</v>
      </c>
    </row>
    <row r="9" spans="2:11" s="97" customFormat="1" ht="25.15" customHeight="1" x14ac:dyDescent="0.2">
      <c r="B9" s="427" t="s">
        <v>74</v>
      </c>
      <c r="C9" s="386">
        <v>30385</v>
      </c>
      <c r="D9" s="110">
        <v>298322</v>
      </c>
      <c r="E9" s="383">
        <v>29.4</v>
      </c>
      <c r="F9" s="110">
        <v>716379</v>
      </c>
      <c r="G9" s="383">
        <v>70.599999999999994</v>
      </c>
      <c r="H9" s="110">
        <v>2386576</v>
      </c>
      <c r="I9" s="27">
        <v>7</v>
      </c>
    </row>
    <row r="10" spans="2:11" s="97" customFormat="1" ht="25.15" customHeight="1" x14ac:dyDescent="0.2">
      <c r="B10" s="427" t="s">
        <v>73</v>
      </c>
      <c r="C10" s="386">
        <v>30586</v>
      </c>
      <c r="D10" s="110">
        <v>75117</v>
      </c>
      <c r="E10" s="383">
        <v>22</v>
      </c>
      <c r="F10" s="110">
        <v>266324</v>
      </c>
      <c r="G10" s="383">
        <v>78</v>
      </c>
      <c r="H10" s="110">
        <v>600936</v>
      </c>
      <c r="I10" s="27">
        <v>10</v>
      </c>
    </row>
    <row r="11" spans="2:11" s="97" customFormat="1" ht="25.15" customHeight="1" x14ac:dyDescent="0.2">
      <c r="B11" s="427" t="s">
        <v>74</v>
      </c>
      <c r="C11" s="386">
        <v>30763</v>
      </c>
      <c r="D11" s="110">
        <v>242175</v>
      </c>
      <c r="E11" s="383">
        <v>33.6</v>
      </c>
      <c r="F11" s="110">
        <v>478584</v>
      </c>
      <c r="G11" s="383">
        <v>66.400000000000006</v>
      </c>
      <c r="H11" s="110">
        <v>1937400</v>
      </c>
      <c r="I11" s="27">
        <v>16</v>
      </c>
    </row>
    <row r="12" spans="2:11" s="97" customFormat="1" ht="25.15" customHeight="1" x14ac:dyDescent="0.2">
      <c r="B12" s="427" t="s">
        <v>73</v>
      </c>
      <c r="C12" s="386">
        <v>31015</v>
      </c>
      <c r="D12" s="110">
        <v>101627</v>
      </c>
      <c r="E12" s="383">
        <v>14.9</v>
      </c>
      <c r="F12" s="110">
        <v>580433</v>
      </c>
      <c r="G12" s="383">
        <v>85.1</v>
      </c>
      <c r="H12" s="110">
        <v>813016</v>
      </c>
      <c r="I12" s="27">
        <v>16</v>
      </c>
    </row>
    <row r="13" spans="2:11" s="97" customFormat="1" ht="25.15" customHeight="1" x14ac:dyDescent="0.2">
      <c r="B13" s="427" t="s">
        <v>73</v>
      </c>
      <c r="C13" s="386">
        <v>31916</v>
      </c>
      <c r="D13" s="110">
        <v>105414</v>
      </c>
      <c r="E13" s="383">
        <v>24.6</v>
      </c>
      <c r="F13" s="110">
        <v>323098</v>
      </c>
      <c r="G13" s="383">
        <v>75.400000000000006</v>
      </c>
      <c r="H13" s="110">
        <v>843312</v>
      </c>
      <c r="I13" s="27">
        <v>16</v>
      </c>
    </row>
    <row r="14" spans="2:11" s="97" customFormat="1" ht="25.15" customHeight="1" x14ac:dyDescent="0.2">
      <c r="B14" s="427" t="s">
        <v>73</v>
      </c>
      <c r="C14" s="386">
        <v>32170</v>
      </c>
      <c r="D14" s="110">
        <v>109635</v>
      </c>
      <c r="E14" s="383">
        <v>24.9</v>
      </c>
      <c r="F14" s="110">
        <v>330666</v>
      </c>
      <c r="G14" s="383">
        <v>75.099999999999994</v>
      </c>
      <c r="H14" s="110">
        <v>877080</v>
      </c>
      <c r="I14" s="27">
        <v>15</v>
      </c>
    </row>
    <row r="15" spans="2:11" s="97" customFormat="1" ht="25.15" customHeight="1" x14ac:dyDescent="0.2">
      <c r="B15" s="427" t="s">
        <v>73</v>
      </c>
      <c r="C15" s="386">
        <v>32343</v>
      </c>
      <c r="D15" s="110">
        <v>143576</v>
      </c>
      <c r="E15" s="383">
        <v>30.6</v>
      </c>
      <c r="F15" s="110">
        <v>325627</v>
      </c>
      <c r="G15" s="383">
        <v>69.400000000000006</v>
      </c>
      <c r="H15" s="110">
        <v>1148608</v>
      </c>
      <c r="I15" s="27">
        <v>16</v>
      </c>
    </row>
    <row r="16" spans="2:11" s="97" customFormat="1" ht="25.15" customHeight="1" x14ac:dyDescent="0.2">
      <c r="B16" s="427" t="s">
        <v>73</v>
      </c>
      <c r="C16" s="386">
        <v>32344</v>
      </c>
      <c r="D16" s="110">
        <v>127546</v>
      </c>
      <c r="E16" s="383">
        <v>25.4</v>
      </c>
      <c r="F16" s="110">
        <v>374604</v>
      </c>
      <c r="G16" s="383">
        <v>74.599999999999994</v>
      </c>
      <c r="H16" s="110">
        <v>1020368</v>
      </c>
      <c r="I16" s="27">
        <v>16</v>
      </c>
    </row>
    <row r="17" spans="2:30" s="97" customFormat="1" ht="25.15" customHeight="1" x14ac:dyDescent="0.2">
      <c r="B17" s="427" t="s">
        <v>73</v>
      </c>
      <c r="C17" s="386">
        <v>32429</v>
      </c>
      <c r="D17" s="110">
        <v>88488</v>
      </c>
      <c r="E17" s="383">
        <v>18.8</v>
      </c>
      <c r="F17" s="110">
        <v>382192</v>
      </c>
      <c r="G17" s="383">
        <v>81.2</v>
      </c>
      <c r="H17" s="110">
        <v>707904</v>
      </c>
      <c r="I17" s="27">
        <v>14</v>
      </c>
    </row>
    <row r="18" spans="2:30" s="97" customFormat="1" ht="25.15" customHeight="1" x14ac:dyDescent="0.2">
      <c r="B18" s="427" t="s">
        <v>73</v>
      </c>
      <c r="C18" s="386">
        <v>32478</v>
      </c>
      <c r="D18" s="110">
        <v>49421</v>
      </c>
      <c r="E18" s="383">
        <v>10.5</v>
      </c>
      <c r="F18" s="110">
        <v>421259</v>
      </c>
      <c r="G18" s="383">
        <v>89.5</v>
      </c>
      <c r="H18" s="110">
        <v>395368</v>
      </c>
      <c r="I18" s="27">
        <v>9</v>
      </c>
    </row>
    <row r="19" spans="2:30" s="97" customFormat="1" ht="25.15" customHeight="1" x14ac:dyDescent="0.2">
      <c r="B19" s="427" t="s">
        <v>73</v>
      </c>
      <c r="C19" s="386">
        <v>33106</v>
      </c>
      <c r="D19" s="110">
        <v>18187</v>
      </c>
      <c r="E19" s="383">
        <v>13.5</v>
      </c>
      <c r="F19" s="110">
        <v>116978</v>
      </c>
      <c r="G19" s="383">
        <v>86.6</v>
      </c>
      <c r="H19" s="110">
        <v>145496</v>
      </c>
      <c r="I19" s="27">
        <v>15</v>
      </c>
    </row>
    <row r="20" spans="2:30" s="97" customFormat="1" ht="25.15" customHeight="1" x14ac:dyDescent="0.2">
      <c r="B20" s="427" t="s">
        <v>73</v>
      </c>
      <c r="C20" s="386">
        <v>33437</v>
      </c>
      <c r="D20" s="110">
        <v>40501</v>
      </c>
      <c r="E20" s="383">
        <v>10.4</v>
      </c>
      <c r="F20" s="110">
        <v>347724</v>
      </c>
      <c r="G20" s="383">
        <v>89.6</v>
      </c>
      <c r="H20" s="110">
        <v>324008</v>
      </c>
      <c r="I20" s="27" t="s">
        <v>75</v>
      </c>
    </row>
    <row r="21" spans="2:30" s="97" customFormat="1" ht="25.15" customHeight="1" x14ac:dyDescent="0.2">
      <c r="B21" s="427" t="s">
        <v>76</v>
      </c>
      <c r="C21" s="386">
        <v>33806</v>
      </c>
      <c r="D21" s="110">
        <v>20976</v>
      </c>
      <c r="E21" s="383">
        <v>5.0999999999999996</v>
      </c>
      <c r="F21" s="110">
        <v>390373</v>
      </c>
      <c r="G21" s="383">
        <v>94.9</v>
      </c>
      <c r="H21" s="110">
        <v>167808</v>
      </c>
      <c r="I21" s="27" t="s">
        <v>75</v>
      </c>
    </row>
    <row r="22" spans="2:30" s="97" customFormat="1" ht="25.15" customHeight="1" x14ac:dyDescent="0.2">
      <c r="B22" s="427" t="s">
        <v>130</v>
      </c>
      <c r="C22" s="386">
        <v>36278</v>
      </c>
      <c r="D22" s="110">
        <v>594884</v>
      </c>
      <c r="E22" s="383">
        <v>6.2</v>
      </c>
      <c r="F22" s="110">
        <v>558490</v>
      </c>
      <c r="G22" s="383">
        <v>93.8</v>
      </c>
      <c r="H22" s="110">
        <v>291152</v>
      </c>
      <c r="I22" s="27">
        <v>16</v>
      </c>
    </row>
    <row r="23" spans="2:30" s="97" customFormat="1" ht="25.15" customHeight="1" x14ac:dyDescent="0.2">
      <c r="B23" s="427" t="s">
        <v>129</v>
      </c>
      <c r="C23" s="386">
        <v>36447</v>
      </c>
      <c r="D23" s="110">
        <v>2021</v>
      </c>
      <c r="E23" s="383">
        <v>2.1</v>
      </c>
      <c r="F23" s="110">
        <v>93258</v>
      </c>
      <c r="G23" s="383">
        <v>97.9</v>
      </c>
      <c r="H23" s="110">
        <v>16168</v>
      </c>
      <c r="I23" s="27">
        <v>17</v>
      </c>
    </row>
    <row r="24" spans="2:30" s="97" customFormat="1" ht="25.15" customHeight="1" x14ac:dyDescent="0.2">
      <c r="B24" s="427" t="s">
        <v>128</v>
      </c>
      <c r="C24" s="386">
        <v>36608</v>
      </c>
      <c r="D24" s="110">
        <v>10060</v>
      </c>
      <c r="E24" s="383">
        <v>2.1</v>
      </c>
      <c r="F24" s="110">
        <v>481762</v>
      </c>
      <c r="G24" s="383">
        <v>97.9</v>
      </c>
      <c r="H24" s="110">
        <v>80480</v>
      </c>
      <c r="I24" s="27">
        <v>15</v>
      </c>
    </row>
    <row r="25" spans="2:30" s="97" customFormat="1" ht="25.15" customHeight="1" x14ac:dyDescent="0.2">
      <c r="B25" s="427" t="s">
        <v>128</v>
      </c>
      <c r="C25" s="386">
        <v>36671</v>
      </c>
      <c r="D25" s="110">
        <v>8654</v>
      </c>
      <c r="E25" s="383">
        <v>1.5</v>
      </c>
      <c r="F25" s="110">
        <v>554058</v>
      </c>
      <c r="G25" s="383">
        <v>98.5</v>
      </c>
      <c r="H25" s="110">
        <v>69232</v>
      </c>
      <c r="I25" s="27">
        <v>16</v>
      </c>
    </row>
    <row r="26" spans="2:30" s="97" customFormat="1" ht="25.15" customHeight="1" x14ac:dyDescent="0.2">
      <c r="B26" s="427" t="s">
        <v>128</v>
      </c>
      <c r="C26" s="386">
        <v>36811</v>
      </c>
      <c r="D26" s="110">
        <v>3291</v>
      </c>
      <c r="E26" s="383">
        <v>0.8</v>
      </c>
      <c r="F26" s="110">
        <v>426590</v>
      </c>
      <c r="G26" s="383">
        <v>99.2</v>
      </c>
      <c r="H26" s="110">
        <v>26328</v>
      </c>
      <c r="I26" s="27">
        <v>14</v>
      </c>
    </row>
    <row r="27" spans="2:30" s="97" customFormat="1" ht="25.15" customHeight="1" x14ac:dyDescent="0.2">
      <c r="B27" s="435" t="s">
        <v>127</v>
      </c>
      <c r="C27" s="386">
        <v>37239</v>
      </c>
      <c r="D27" s="110">
        <v>1372</v>
      </c>
      <c r="E27" s="383">
        <v>0.5</v>
      </c>
      <c r="F27" s="110">
        <v>299880</v>
      </c>
      <c r="G27" s="383">
        <v>99.5</v>
      </c>
      <c r="H27" s="110">
        <v>10976</v>
      </c>
      <c r="I27" s="27" t="s">
        <v>75</v>
      </c>
    </row>
    <row r="28" spans="2:30" s="97" customFormat="1" ht="25.15" customHeight="1" x14ac:dyDescent="0.2">
      <c r="B28" s="427" t="s">
        <v>126</v>
      </c>
      <c r="C28" s="386">
        <v>37390</v>
      </c>
      <c r="D28" s="110">
        <v>24610</v>
      </c>
      <c r="E28" s="383">
        <v>6.9</v>
      </c>
      <c r="F28" s="110">
        <v>331184</v>
      </c>
      <c r="G28" s="383">
        <v>93.1</v>
      </c>
      <c r="H28" s="110">
        <v>196880</v>
      </c>
      <c r="I28" s="27">
        <v>15</v>
      </c>
    </row>
    <row r="29" spans="2:30" s="97" customFormat="1" ht="25.15" customHeight="1" x14ac:dyDescent="0.2">
      <c r="B29" s="427" t="s">
        <v>73</v>
      </c>
      <c r="C29" s="386">
        <v>37525</v>
      </c>
      <c r="D29" s="110">
        <v>8141</v>
      </c>
      <c r="E29" s="383">
        <v>2.2000000000000002</v>
      </c>
      <c r="F29" s="110">
        <v>367652</v>
      </c>
      <c r="G29" s="383">
        <v>97.8</v>
      </c>
      <c r="H29" s="110">
        <v>65128</v>
      </c>
      <c r="I29" s="27">
        <v>13</v>
      </c>
    </row>
    <row r="30" spans="2:30" s="97" customFormat="1" ht="25.15" customHeight="1" x14ac:dyDescent="0.2">
      <c r="B30" s="427" t="s">
        <v>73</v>
      </c>
      <c r="C30" s="386">
        <v>38182</v>
      </c>
      <c r="D30" s="110">
        <v>30273</v>
      </c>
      <c r="E30" s="383">
        <v>6.2</v>
      </c>
      <c r="F30" s="110">
        <v>458049</v>
      </c>
      <c r="G30" s="383">
        <v>93.8</v>
      </c>
      <c r="H30" s="110">
        <v>242184</v>
      </c>
      <c r="I30" s="27">
        <v>14</v>
      </c>
    </row>
    <row r="31" spans="2:30" s="97" customFormat="1" ht="25.15" customHeight="1" x14ac:dyDescent="0.2">
      <c r="B31" s="427" t="s">
        <v>73</v>
      </c>
      <c r="C31" s="386">
        <v>39638</v>
      </c>
      <c r="D31" s="110">
        <v>1426</v>
      </c>
      <c r="E31" s="383">
        <v>1.6</v>
      </c>
      <c r="F31" s="110">
        <v>85626</v>
      </c>
      <c r="G31" s="383">
        <v>98.4</v>
      </c>
      <c r="H31" s="110">
        <v>11408</v>
      </c>
      <c r="I31" s="27">
        <v>25</v>
      </c>
    </row>
    <row r="32" spans="2:30" s="1" customFormat="1" ht="29.25" customHeight="1" x14ac:dyDescent="0.2">
      <c r="B32" s="11" t="s">
        <v>245</v>
      </c>
      <c r="C32" s="12"/>
      <c r="D32" s="12"/>
      <c r="E32" s="12"/>
      <c r="F32" s="12"/>
      <c r="G32" s="13"/>
      <c r="H32" s="12"/>
      <c r="I32" s="12"/>
      <c r="Y32" s="14"/>
      <c r="Z32" s="10"/>
      <c r="AA32" s="14"/>
      <c r="AB32" s="15"/>
      <c r="AC32" s="14"/>
      <c r="AD32" s="15"/>
    </row>
    <row r="33" spans="2:45" s="1" customFormat="1" ht="29.25" customHeight="1" x14ac:dyDescent="0.2">
      <c r="B33" s="16" t="s">
        <v>296</v>
      </c>
      <c r="C33" s="17"/>
      <c r="D33" s="17"/>
      <c r="E33" s="17"/>
      <c r="F33" s="17"/>
      <c r="G33" s="17"/>
      <c r="H33" s="18"/>
      <c r="I33" s="18"/>
      <c r="J33" s="18"/>
      <c r="K33" s="18"/>
      <c r="Z33" s="19"/>
      <c r="AA33" s="20"/>
      <c r="AB33" s="19"/>
      <c r="AC33" s="20"/>
      <c r="AD33" s="21"/>
    </row>
    <row r="34" spans="2:45" s="1" customFormat="1" ht="29.25" customHeight="1" x14ac:dyDescent="0.2">
      <c r="B34" s="22" t="s">
        <v>279</v>
      </c>
      <c r="D34" s="23"/>
      <c r="E34" s="24"/>
      <c r="F34" s="23"/>
      <c r="G34" s="25"/>
      <c r="H34" s="26"/>
      <c r="I34" s="27"/>
      <c r="J34" s="27"/>
    </row>
    <row r="35" spans="2:45" s="97" customFormat="1" ht="25.15" customHeight="1" x14ac:dyDescent="0.2">
      <c r="B35" s="678" t="s">
        <v>348</v>
      </c>
    </row>
    <row r="36" spans="2:45" ht="34.9" customHeight="1" x14ac:dyDescent="0.2">
      <c r="J36" s="157"/>
      <c r="K36" s="157"/>
      <c r="L36" s="157"/>
      <c r="M36" s="157"/>
      <c r="N36" s="157"/>
      <c r="O36" s="157"/>
      <c r="P36" s="157"/>
      <c r="Q36" s="157"/>
      <c r="R36" s="157"/>
      <c r="S36" s="157"/>
      <c r="T36" s="157"/>
      <c r="U36" s="157"/>
      <c r="V36" s="157"/>
      <c r="W36" s="157"/>
      <c r="X36" s="157"/>
      <c r="Y36" s="157"/>
      <c r="Z36" s="157"/>
      <c r="AA36" s="157"/>
      <c r="AB36" s="157"/>
      <c r="AC36" s="157"/>
      <c r="AD36" s="157"/>
      <c r="AE36" s="157"/>
      <c r="AF36" s="157"/>
      <c r="AG36" s="157"/>
      <c r="AH36" s="157"/>
      <c r="AI36" s="157"/>
      <c r="AJ36" s="157"/>
      <c r="AK36" s="157"/>
      <c r="AL36" s="157"/>
      <c r="AM36" s="157"/>
      <c r="AN36" s="157"/>
      <c r="AO36" s="157"/>
      <c r="AP36" s="157"/>
      <c r="AQ36" s="157"/>
      <c r="AR36" s="157"/>
      <c r="AS36" s="157"/>
    </row>
    <row r="38" spans="2:45" s="97" customFormat="1" ht="25.15" customHeight="1" x14ac:dyDescent="0.2"/>
    <row r="39" spans="2:45" s="97" customFormat="1" ht="25.15" customHeight="1" x14ac:dyDescent="0.2"/>
    <row r="40" spans="2:45" s="97" customFormat="1" ht="25.15" customHeight="1" x14ac:dyDescent="0.2"/>
    <row r="41" spans="2:45" s="97" customFormat="1" ht="25.15" customHeight="1" x14ac:dyDescent="0.2"/>
    <row r="42" spans="2:45" s="97" customFormat="1" ht="25.15" customHeight="1" x14ac:dyDescent="0.2"/>
    <row r="43" spans="2:45" s="97" customFormat="1" ht="25.15" customHeight="1" x14ac:dyDescent="0.2"/>
    <row r="44" spans="2:45" s="97" customFormat="1" ht="25.15" customHeight="1" x14ac:dyDescent="0.2"/>
    <row r="45" spans="2:45" s="97" customFormat="1" ht="25.15" customHeight="1" x14ac:dyDescent="0.2"/>
    <row r="46" spans="2:45" s="97" customFormat="1" ht="25.15" customHeight="1" x14ac:dyDescent="0.2"/>
    <row r="47" spans="2:45" s="97" customFormat="1" ht="25.15" customHeight="1" x14ac:dyDescent="0.2"/>
    <row r="48" spans="2:45" s="97" customFormat="1" ht="25.15" customHeight="1" x14ac:dyDescent="0.2"/>
    <row r="49" s="97" customFormat="1" ht="25.15" customHeight="1" x14ac:dyDescent="0.2"/>
    <row r="50" s="97" customFormat="1" ht="25.15" customHeight="1" x14ac:dyDescent="0.2"/>
    <row r="51" s="97" customFormat="1" ht="25.15" customHeight="1" x14ac:dyDescent="0.2"/>
    <row r="52" s="97" customFormat="1" ht="25.15" customHeight="1" x14ac:dyDescent="0.2"/>
    <row r="53" s="97" customFormat="1" ht="25.15" customHeight="1" x14ac:dyDescent="0.2"/>
    <row r="54" s="97" customFormat="1" ht="25.15" customHeight="1" x14ac:dyDescent="0.2"/>
    <row r="55" s="97" customFormat="1" ht="25.15" customHeight="1" x14ac:dyDescent="0.2"/>
    <row r="56" s="97" customFormat="1" ht="25.15" customHeight="1" x14ac:dyDescent="0.2"/>
  </sheetData>
  <mergeCells count="9">
    <mergeCell ref="B1:I1"/>
    <mergeCell ref="B4:I4"/>
    <mergeCell ref="H5:H6"/>
    <mergeCell ref="I5:I6"/>
    <mergeCell ref="B3:I3"/>
    <mergeCell ref="B5:B6"/>
    <mergeCell ref="C5:C6"/>
    <mergeCell ref="D5:E5"/>
    <mergeCell ref="F5:G5"/>
  </mergeCells>
  <phoneticPr fontId="2" type="noConversion"/>
  <printOptions horizontalCentered="1" verticalCentered="1"/>
  <pageMargins left="0" right="0" top="0" bottom="0" header="0" footer="0"/>
  <pageSetup paperSize="9" scale="60" orientation="portrait" r:id="rId1"/>
  <headerFooter alignWithMargins="0"/>
  <colBreaks count="1" manualBreakCount="1">
    <brk id="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IW25"/>
  <sheetViews>
    <sheetView showGridLines="0" view="pageBreakPreview" zoomScale="60" zoomScaleNormal="68" workbookViewId="0">
      <selection activeCell="B3" sqref="B3:T3"/>
    </sheetView>
  </sheetViews>
  <sheetFormatPr baseColWidth="10" defaultColWidth="11.42578125" defaultRowHeight="12.75" x14ac:dyDescent="0.2"/>
  <cols>
    <col min="1" max="1" width="11.42578125" style="1"/>
    <col min="2" max="2" width="34.7109375" style="1" customWidth="1"/>
    <col min="3" max="3" width="10.7109375" style="1" customWidth="1"/>
    <col min="4" max="4" width="2.7109375" style="1" customWidth="1"/>
    <col min="5" max="5" width="15.7109375" style="1" customWidth="1"/>
    <col min="6" max="6" width="5.7109375" style="1" customWidth="1"/>
    <col min="7" max="7" width="15.7109375" style="1" customWidth="1"/>
    <col min="8" max="8" width="5.7109375" style="1" customWidth="1"/>
    <col min="9" max="9" width="15.28515625" style="1" customWidth="1"/>
    <col min="10" max="10" width="2.5703125" style="1" customWidth="1"/>
    <col min="11" max="11" width="15.7109375" style="1" customWidth="1"/>
    <col min="12" max="12" width="5.7109375" style="1" customWidth="1"/>
    <col min="13" max="13" width="15.7109375" style="1" customWidth="1"/>
    <col min="14" max="14" width="5.7109375" style="1" customWidth="1"/>
    <col min="15" max="15" width="10.7109375" style="1" customWidth="1"/>
    <col min="16" max="16" width="2.7109375" style="1" customWidth="1"/>
    <col min="17" max="17" width="15.7109375" style="1" customWidth="1"/>
    <col min="18" max="18" width="5.7109375" style="1" customWidth="1"/>
    <col min="19" max="19" width="15.7109375" style="1" customWidth="1"/>
    <col min="20" max="20" width="5.7109375" style="1" customWidth="1"/>
    <col min="21" max="21" width="20" style="1" customWidth="1"/>
    <col min="22" max="16384" width="11.42578125" style="1"/>
  </cols>
  <sheetData>
    <row r="1" spans="2:257" ht="30" customHeight="1" x14ac:dyDescent="0.2">
      <c r="B1" s="803" t="s">
        <v>121</v>
      </c>
      <c r="C1" s="803"/>
      <c r="D1" s="803"/>
      <c r="E1" s="803"/>
      <c r="F1" s="803"/>
      <c r="G1" s="803"/>
      <c r="H1" s="803"/>
      <c r="I1" s="803"/>
      <c r="J1" s="803"/>
      <c r="K1" s="803"/>
      <c r="L1" s="803"/>
      <c r="M1" s="803"/>
      <c r="N1" s="803"/>
      <c r="O1" s="803"/>
      <c r="P1" s="803"/>
      <c r="Q1" s="803"/>
      <c r="R1" s="803"/>
      <c r="S1" s="803"/>
      <c r="T1" s="803"/>
    </row>
    <row r="2" spans="2:257" s="3" customFormat="1" ht="30" customHeight="1" x14ac:dyDescent="0.2">
      <c r="B2" s="37" t="s">
        <v>145</v>
      </c>
      <c r="C2" s="37"/>
      <c r="D2" s="37"/>
      <c r="E2" s="37"/>
      <c r="F2" s="37"/>
      <c r="G2" s="37"/>
      <c r="H2" s="37"/>
      <c r="I2" s="37"/>
      <c r="J2" s="37"/>
      <c r="K2" s="37"/>
      <c r="L2" s="37"/>
      <c r="M2" s="37"/>
      <c r="N2" s="37"/>
      <c r="O2" s="37"/>
    </row>
    <row r="3" spans="2:257" s="3" customFormat="1" ht="47.25" customHeight="1" x14ac:dyDescent="0.2">
      <c r="B3" s="817" t="s">
        <v>198</v>
      </c>
      <c r="C3" s="817"/>
      <c r="D3" s="817"/>
      <c r="E3" s="817"/>
      <c r="F3" s="817"/>
      <c r="G3" s="817"/>
      <c r="H3" s="817"/>
      <c r="I3" s="817"/>
      <c r="J3" s="817"/>
      <c r="K3" s="817"/>
      <c r="L3" s="817"/>
      <c r="M3" s="817"/>
      <c r="N3" s="817"/>
      <c r="O3" s="817"/>
      <c r="P3" s="817"/>
      <c r="Q3" s="817"/>
      <c r="R3" s="817"/>
      <c r="S3" s="817"/>
      <c r="T3" s="817"/>
      <c r="U3" s="37"/>
      <c r="V3" s="37"/>
      <c r="W3" s="37"/>
      <c r="X3" s="37"/>
      <c r="Y3" s="37"/>
      <c r="Z3" s="37"/>
      <c r="AA3" s="37"/>
      <c r="AB3" s="811"/>
      <c r="AC3" s="811"/>
      <c r="AD3" s="811"/>
      <c r="AE3" s="811"/>
      <c r="AF3" s="811"/>
      <c r="AG3" s="811"/>
      <c r="AH3" s="811"/>
      <c r="AI3" s="811"/>
      <c r="AJ3" s="811"/>
      <c r="AK3" s="811"/>
      <c r="AL3" s="811"/>
      <c r="AM3" s="811"/>
      <c r="AN3" s="811"/>
      <c r="AO3" s="811"/>
      <c r="AP3" s="811"/>
      <c r="AQ3" s="811"/>
      <c r="AR3" s="811"/>
      <c r="AS3" s="811"/>
      <c r="AT3" s="811"/>
      <c r="AU3" s="811"/>
      <c r="AV3" s="811"/>
      <c r="AW3" s="811"/>
      <c r="AX3" s="811"/>
      <c r="AY3" s="811"/>
      <c r="AZ3" s="811"/>
      <c r="BA3" s="811"/>
      <c r="BB3" s="811"/>
      <c r="BC3" s="811"/>
      <c r="BD3" s="811"/>
      <c r="BE3" s="811"/>
      <c r="BF3" s="811"/>
      <c r="BG3" s="811"/>
      <c r="BH3" s="811"/>
      <c r="BI3" s="811"/>
      <c r="BJ3" s="811"/>
      <c r="BK3" s="811"/>
      <c r="BL3" s="811"/>
      <c r="BM3" s="811"/>
      <c r="BN3" s="811"/>
      <c r="BO3" s="811"/>
      <c r="BP3" s="811"/>
      <c r="BQ3" s="811"/>
      <c r="BR3" s="811"/>
      <c r="BS3" s="811"/>
      <c r="BT3" s="811"/>
      <c r="BU3" s="811"/>
      <c r="BV3" s="811"/>
      <c r="BW3" s="811"/>
      <c r="BX3" s="811"/>
      <c r="BY3" s="811"/>
      <c r="BZ3" s="811"/>
      <c r="CA3" s="811"/>
      <c r="CB3" s="811"/>
      <c r="CC3" s="811"/>
      <c r="CD3" s="811"/>
      <c r="CE3" s="811"/>
      <c r="CF3" s="811"/>
      <c r="CG3" s="811"/>
      <c r="CH3" s="811"/>
      <c r="CI3" s="811"/>
      <c r="CJ3" s="811"/>
      <c r="CK3" s="811"/>
      <c r="CL3" s="811"/>
      <c r="CM3" s="811"/>
      <c r="CN3" s="811"/>
      <c r="CO3" s="811"/>
      <c r="CP3" s="811"/>
      <c r="CQ3" s="811"/>
      <c r="CR3" s="811"/>
      <c r="CS3" s="811"/>
      <c r="CT3" s="811"/>
      <c r="CU3" s="811"/>
      <c r="CV3" s="811"/>
      <c r="CW3" s="811"/>
      <c r="CX3" s="811"/>
      <c r="CY3" s="811"/>
      <c r="CZ3" s="811"/>
      <c r="DA3" s="811"/>
      <c r="DB3" s="811"/>
      <c r="DC3" s="811"/>
      <c r="DD3" s="811"/>
      <c r="DE3" s="811"/>
      <c r="DF3" s="811"/>
      <c r="DG3" s="811"/>
      <c r="DH3" s="811"/>
      <c r="DI3" s="811"/>
      <c r="DJ3" s="811"/>
      <c r="DK3" s="811"/>
      <c r="DL3" s="811"/>
      <c r="DM3" s="811"/>
      <c r="DN3" s="811"/>
      <c r="DO3" s="811"/>
      <c r="DP3" s="811"/>
      <c r="DQ3" s="811"/>
      <c r="DR3" s="811"/>
      <c r="DS3" s="811"/>
      <c r="DT3" s="811"/>
      <c r="DU3" s="811"/>
      <c r="DV3" s="811"/>
      <c r="DW3" s="811"/>
      <c r="DX3" s="811"/>
      <c r="DY3" s="811"/>
      <c r="DZ3" s="811"/>
      <c r="EA3" s="811"/>
      <c r="EB3" s="811"/>
      <c r="EC3" s="811"/>
      <c r="ED3" s="811"/>
      <c r="EE3" s="811"/>
      <c r="EF3" s="811"/>
      <c r="EG3" s="811"/>
      <c r="EH3" s="811"/>
      <c r="EI3" s="811"/>
      <c r="EJ3" s="811"/>
      <c r="EK3" s="811"/>
      <c r="EL3" s="811"/>
      <c r="EM3" s="811"/>
      <c r="EN3" s="811"/>
      <c r="EO3" s="811"/>
      <c r="EP3" s="811"/>
      <c r="EQ3" s="811"/>
      <c r="ER3" s="811"/>
      <c r="ES3" s="811"/>
      <c r="ET3" s="811"/>
      <c r="EU3" s="811"/>
      <c r="EV3" s="811"/>
      <c r="EW3" s="811"/>
      <c r="EX3" s="811"/>
      <c r="EY3" s="811"/>
      <c r="EZ3" s="811"/>
      <c r="FA3" s="811"/>
      <c r="FB3" s="811"/>
      <c r="FC3" s="811"/>
      <c r="FD3" s="811"/>
      <c r="FE3" s="811"/>
      <c r="FF3" s="811"/>
      <c r="FG3" s="811"/>
      <c r="FH3" s="811"/>
      <c r="FI3" s="811"/>
      <c r="FJ3" s="811"/>
      <c r="FK3" s="811"/>
      <c r="FL3" s="811"/>
      <c r="FM3" s="811"/>
      <c r="FN3" s="811"/>
      <c r="FO3" s="811"/>
      <c r="FP3" s="811"/>
      <c r="FQ3" s="811"/>
      <c r="FR3" s="811"/>
      <c r="FS3" s="811"/>
      <c r="FT3" s="811"/>
      <c r="FU3" s="811"/>
      <c r="FV3" s="811"/>
      <c r="FW3" s="811"/>
      <c r="FX3" s="811"/>
      <c r="FY3" s="811"/>
      <c r="FZ3" s="811"/>
      <c r="GA3" s="811"/>
      <c r="GB3" s="811"/>
      <c r="GC3" s="811"/>
      <c r="GD3" s="811"/>
      <c r="GE3" s="811"/>
      <c r="GF3" s="811"/>
      <c r="GG3" s="811"/>
      <c r="GH3" s="811"/>
      <c r="GI3" s="811"/>
      <c r="GJ3" s="811"/>
      <c r="GK3" s="811"/>
      <c r="GL3" s="811"/>
      <c r="GM3" s="811"/>
      <c r="GN3" s="811"/>
      <c r="GO3" s="811"/>
      <c r="GP3" s="811"/>
      <c r="GQ3" s="811"/>
      <c r="GR3" s="811"/>
      <c r="GS3" s="811"/>
      <c r="GT3" s="811"/>
      <c r="GU3" s="811"/>
      <c r="GV3" s="811"/>
      <c r="GW3" s="811"/>
      <c r="GX3" s="811"/>
      <c r="GY3" s="811"/>
      <c r="GZ3" s="811"/>
      <c r="HA3" s="811"/>
      <c r="HB3" s="811"/>
      <c r="HC3" s="811"/>
      <c r="HD3" s="811"/>
      <c r="HE3" s="811"/>
      <c r="HF3" s="811"/>
      <c r="HG3" s="811"/>
      <c r="HH3" s="811"/>
      <c r="HI3" s="811"/>
      <c r="HJ3" s="811"/>
      <c r="HK3" s="811"/>
      <c r="HL3" s="811"/>
      <c r="HM3" s="811"/>
      <c r="HN3" s="811"/>
      <c r="HO3" s="811"/>
      <c r="HP3" s="811"/>
      <c r="HQ3" s="811"/>
      <c r="HR3" s="811"/>
      <c r="HS3" s="811"/>
      <c r="HT3" s="811"/>
      <c r="HU3" s="811"/>
      <c r="HV3" s="811"/>
      <c r="HW3" s="811"/>
      <c r="HX3" s="811"/>
      <c r="HY3" s="811"/>
      <c r="HZ3" s="811"/>
      <c r="IA3" s="811"/>
      <c r="IB3" s="811"/>
      <c r="IC3" s="811"/>
      <c r="ID3" s="811"/>
      <c r="IE3" s="811"/>
      <c r="IF3" s="811"/>
      <c r="IG3" s="811"/>
      <c r="IH3" s="811"/>
      <c r="II3" s="811"/>
      <c r="IJ3" s="811"/>
      <c r="IK3" s="811"/>
      <c r="IL3" s="811"/>
      <c r="IM3" s="811"/>
      <c r="IN3" s="811"/>
      <c r="IO3" s="811"/>
      <c r="IP3" s="811"/>
      <c r="IQ3" s="811"/>
      <c r="IR3" s="811"/>
      <c r="IS3" s="811"/>
      <c r="IT3" s="811"/>
      <c r="IU3" s="811"/>
      <c r="IV3" s="811"/>
      <c r="IW3" s="811"/>
    </row>
    <row r="4" spans="2:257" s="3" customFormat="1" ht="30" customHeight="1" x14ac:dyDescent="0.2">
      <c r="B4" s="811">
        <v>2024</v>
      </c>
      <c r="C4" s="811"/>
      <c r="D4" s="811"/>
      <c r="E4" s="811"/>
      <c r="F4" s="811"/>
      <c r="G4" s="811"/>
      <c r="H4" s="811"/>
      <c r="I4" s="811"/>
      <c r="J4" s="811"/>
      <c r="K4" s="811"/>
      <c r="L4" s="811"/>
      <c r="M4" s="811"/>
      <c r="N4" s="811"/>
      <c r="O4" s="811"/>
      <c r="P4" s="811"/>
      <c r="Q4" s="811"/>
      <c r="R4" s="811"/>
      <c r="S4" s="811"/>
      <c r="T4" s="811"/>
      <c r="U4" s="37"/>
      <c r="V4" s="37"/>
      <c r="W4" s="37"/>
      <c r="X4" s="37"/>
      <c r="Y4" s="37"/>
      <c r="Z4" s="37"/>
      <c r="AA4" s="37"/>
      <c r="AB4" s="811"/>
      <c r="AC4" s="811"/>
      <c r="AD4" s="811"/>
      <c r="AE4" s="811"/>
      <c r="AF4" s="811"/>
      <c r="AG4" s="811"/>
      <c r="AH4" s="811"/>
      <c r="AI4" s="811"/>
      <c r="AJ4" s="811"/>
      <c r="AK4" s="811"/>
      <c r="AL4" s="811"/>
      <c r="AM4" s="811"/>
      <c r="AN4" s="811"/>
      <c r="AO4" s="811"/>
      <c r="AP4" s="811"/>
      <c r="AQ4" s="811"/>
      <c r="AR4" s="811"/>
      <c r="AS4" s="811"/>
      <c r="AT4" s="811"/>
      <c r="AU4" s="811"/>
      <c r="AV4" s="811"/>
      <c r="AW4" s="811"/>
      <c r="AX4" s="811"/>
      <c r="AY4" s="811"/>
      <c r="AZ4" s="811"/>
      <c r="BA4" s="811"/>
      <c r="BB4" s="811"/>
      <c r="BC4" s="811"/>
      <c r="BD4" s="811"/>
      <c r="BE4" s="811"/>
      <c r="BF4" s="811"/>
      <c r="BG4" s="811"/>
      <c r="BH4" s="811"/>
      <c r="BI4" s="811"/>
      <c r="BJ4" s="811"/>
      <c r="BK4" s="811"/>
      <c r="BL4" s="811"/>
      <c r="BM4" s="811"/>
      <c r="BN4" s="811"/>
      <c r="BO4" s="811"/>
      <c r="BP4" s="811"/>
      <c r="BQ4" s="811"/>
      <c r="BR4" s="811"/>
      <c r="BS4" s="811"/>
      <c r="BT4" s="811"/>
      <c r="BU4" s="811"/>
      <c r="BV4" s="811"/>
      <c r="BW4" s="811"/>
      <c r="BX4" s="811"/>
      <c r="BY4" s="811"/>
      <c r="BZ4" s="811"/>
      <c r="CA4" s="811"/>
      <c r="CB4" s="811"/>
      <c r="CC4" s="811"/>
      <c r="CD4" s="811"/>
      <c r="CE4" s="811"/>
      <c r="CF4" s="811"/>
      <c r="CG4" s="811"/>
      <c r="CH4" s="811"/>
      <c r="CI4" s="811"/>
      <c r="CJ4" s="811"/>
      <c r="CK4" s="811"/>
      <c r="CL4" s="811"/>
      <c r="CM4" s="811"/>
      <c r="CN4" s="811"/>
      <c r="CO4" s="811"/>
      <c r="CP4" s="811"/>
      <c r="CQ4" s="811"/>
      <c r="CR4" s="811"/>
      <c r="CS4" s="811"/>
      <c r="CT4" s="811"/>
      <c r="CU4" s="811"/>
      <c r="CV4" s="811"/>
      <c r="CW4" s="811"/>
      <c r="CX4" s="811"/>
      <c r="CY4" s="811"/>
      <c r="CZ4" s="811"/>
      <c r="DA4" s="811"/>
      <c r="DB4" s="811"/>
      <c r="DC4" s="811"/>
      <c r="DD4" s="811"/>
      <c r="DE4" s="811"/>
      <c r="DF4" s="811"/>
      <c r="DG4" s="811"/>
      <c r="DH4" s="811"/>
      <c r="DI4" s="811"/>
      <c r="DJ4" s="811"/>
      <c r="DK4" s="811"/>
      <c r="DL4" s="811"/>
      <c r="DM4" s="811"/>
      <c r="DN4" s="811"/>
      <c r="DO4" s="811"/>
      <c r="DP4" s="811"/>
      <c r="DQ4" s="811"/>
      <c r="DR4" s="811"/>
      <c r="DS4" s="811"/>
      <c r="DT4" s="811"/>
      <c r="DU4" s="811"/>
      <c r="DV4" s="811"/>
      <c r="DW4" s="811"/>
      <c r="DX4" s="811"/>
      <c r="DY4" s="811"/>
      <c r="DZ4" s="811"/>
      <c r="EA4" s="811"/>
      <c r="EB4" s="811"/>
      <c r="EC4" s="811"/>
      <c r="ED4" s="811"/>
      <c r="EE4" s="811"/>
      <c r="EF4" s="811"/>
      <c r="EG4" s="811"/>
      <c r="EH4" s="811"/>
      <c r="EI4" s="811"/>
      <c r="EJ4" s="811"/>
      <c r="EK4" s="811"/>
      <c r="EL4" s="811"/>
      <c r="EM4" s="811"/>
      <c r="EN4" s="811"/>
      <c r="EO4" s="811"/>
      <c r="EP4" s="811"/>
      <c r="EQ4" s="811"/>
      <c r="ER4" s="811"/>
      <c r="ES4" s="811"/>
      <c r="ET4" s="811"/>
      <c r="EU4" s="811"/>
      <c r="EV4" s="811"/>
      <c r="EW4" s="811"/>
      <c r="EX4" s="811"/>
      <c r="EY4" s="811"/>
      <c r="EZ4" s="811"/>
      <c r="FA4" s="811"/>
      <c r="FB4" s="811"/>
      <c r="FC4" s="811"/>
      <c r="FD4" s="811"/>
      <c r="FE4" s="811"/>
      <c r="FF4" s="811"/>
      <c r="FG4" s="811"/>
      <c r="FH4" s="811"/>
      <c r="FI4" s="811"/>
      <c r="FJ4" s="811"/>
      <c r="FK4" s="811"/>
      <c r="FL4" s="811"/>
      <c r="FM4" s="811"/>
      <c r="FN4" s="811"/>
      <c r="FO4" s="811"/>
      <c r="FP4" s="811"/>
      <c r="FQ4" s="811"/>
      <c r="FR4" s="811"/>
      <c r="FS4" s="811"/>
      <c r="FT4" s="811"/>
      <c r="FU4" s="811"/>
      <c r="FV4" s="811"/>
      <c r="FW4" s="811"/>
      <c r="FX4" s="811"/>
      <c r="FY4" s="811"/>
      <c r="FZ4" s="811"/>
      <c r="GA4" s="811"/>
      <c r="GB4" s="811"/>
      <c r="GC4" s="811"/>
      <c r="GD4" s="811"/>
      <c r="GE4" s="811"/>
      <c r="GF4" s="811"/>
      <c r="GG4" s="811"/>
      <c r="GH4" s="811"/>
      <c r="GI4" s="811"/>
      <c r="GJ4" s="811"/>
      <c r="GK4" s="811"/>
      <c r="GL4" s="811"/>
      <c r="GM4" s="811"/>
      <c r="GN4" s="811"/>
      <c r="GO4" s="811"/>
      <c r="GP4" s="811"/>
      <c r="GQ4" s="811"/>
      <c r="GR4" s="811"/>
      <c r="GS4" s="811"/>
      <c r="GT4" s="811"/>
      <c r="GU4" s="811"/>
      <c r="GV4" s="811"/>
      <c r="GW4" s="811"/>
      <c r="GX4" s="811"/>
      <c r="GY4" s="811"/>
      <c r="GZ4" s="811"/>
      <c r="HA4" s="811"/>
      <c r="HB4" s="811"/>
      <c r="HC4" s="811"/>
      <c r="HD4" s="811"/>
      <c r="HE4" s="811"/>
      <c r="HF4" s="811"/>
      <c r="HG4" s="811"/>
      <c r="HH4" s="811"/>
      <c r="HI4" s="811"/>
      <c r="HJ4" s="811"/>
      <c r="HK4" s="811"/>
      <c r="HL4" s="811"/>
      <c r="HM4" s="811"/>
      <c r="HN4" s="811"/>
      <c r="HO4" s="811"/>
      <c r="HP4" s="811"/>
      <c r="HQ4" s="811"/>
      <c r="HR4" s="811"/>
      <c r="HS4" s="811"/>
      <c r="HT4" s="811"/>
      <c r="HU4" s="811"/>
      <c r="HV4" s="811"/>
      <c r="HW4" s="811"/>
      <c r="HX4" s="811"/>
      <c r="HY4" s="811"/>
      <c r="HZ4" s="811"/>
      <c r="IA4" s="811"/>
      <c r="IB4" s="811"/>
      <c r="IC4" s="811"/>
      <c r="ID4" s="811"/>
      <c r="IE4" s="811"/>
      <c r="IF4" s="811"/>
      <c r="IG4" s="811"/>
      <c r="IH4" s="811"/>
      <c r="II4" s="811"/>
      <c r="IJ4" s="811"/>
      <c r="IK4" s="811"/>
      <c r="IL4" s="811"/>
      <c r="IM4" s="811"/>
      <c r="IN4" s="811"/>
      <c r="IO4" s="811"/>
      <c r="IP4" s="811"/>
      <c r="IQ4" s="811"/>
      <c r="IR4" s="811"/>
      <c r="IS4" s="811"/>
      <c r="IT4" s="811"/>
      <c r="IU4" s="811"/>
      <c r="IV4" s="811"/>
      <c r="IW4" s="811"/>
    </row>
    <row r="5" spans="2:257" ht="48.75" customHeight="1" x14ac:dyDescent="0.2">
      <c r="B5" s="862" t="s">
        <v>143</v>
      </c>
      <c r="C5" s="832" t="s">
        <v>122</v>
      </c>
      <c r="D5" s="832"/>
      <c r="E5" s="832"/>
      <c r="F5" s="832"/>
      <c r="G5" s="832"/>
      <c r="H5" s="832"/>
      <c r="I5" s="832" t="s">
        <v>138</v>
      </c>
      <c r="J5" s="832"/>
      <c r="K5" s="832"/>
      <c r="L5" s="832"/>
      <c r="M5" s="832"/>
      <c r="N5" s="832"/>
      <c r="O5" s="832" t="s">
        <v>6</v>
      </c>
      <c r="P5" s="832"/>
      <c r="Q5" s="832"/>
      <c r="R5" s="832"/>
      <c r="S5" s="832"/>
      <c r="T5" s="823"/>
    </row>
    <row r="6" spans="2:257" ht="69" customHeight="1" x14ac:dyDescent="0.2">
      <c r="B6" s="862"/>
      <c r="C6" s="960" t="s">
        <v>2</v>
      </c>
      <c r="D6" s="960"/>
      <c r="E6" s="865" t="s">
        <v>15</v>
      </c>
      <c r="F6" s="865"/>
      <c r="G6" s="865" t="s">
        <v>16</v>
      </c>
      <c r="H6" s="865"/>
      <c r="I6" s="960" t="s">
        <v>2</v>
      </c>
      <c r="J6" s="960"/>
      <c r="K6" s="865" t="s">
        <v>15</v>
      </c>
      <c r="L6" s="865"/>
      <c r="M6" s="865" t="s">
        <v>16</v>
      </c>
      <c r="N6" s="865"/>
      <c r="O6" s="960" t="s">
        <v>2</v>
      </c>
      <c r="P6" s="960"/>
      <c r="Q6" s="865" t="s">
        <v>15</v>
      </c>
      <c r="R6" s="865"/>
      <c r="S6" s="865" t="s">
        <v>16</v>
      </c>
      <c r="T6" s="961"/>
      <c r="U6" s="161"/>
      <c r="V6" s="161"/>
      <c r="W6" s="161"/>
      <c r="X6" s="161"/>
      <c r="Y6" s="161"/>
      <c r="Z6" s="161"/>
    </row>
    <row r="7" spans="2:257" s="27" customFormat="1" ht="30" customHeight="1" x14ac:dyDescent="0.2">
      <c r="B7" s="427" t="s">
        <v>97</v>
      </c>
      <c r="C7" s="387">
        <v>18</v>
      </c>
      <c r="D7" s="388"/>
      <c r="E7" s="387">
        <v>40751</v>
      </c>
      <c r="F7" s="388"/>
      <c r="G7" s="387">
        <v>274300</v>
      </c>
      <c r="H7" s="10"/>
      <c r="I7" s="387">
        <v>8</v>
      </c>
      <c r="J7" s="304"/>
      <c r="K7" s="389">
        <v>1201</v>
      </c>
      <c r="L7" s="387"/>
      <c r="M7" s="389">
        <v>9608</v>
      </c>
      <c r="N7" s="389"/>
      <c r="O7" s="390">
        <f>SUM(C7+I7)</f>
        <v>26</v>
      </c>
      <c r="P7" s="390"/>
      <c r="Q7" s="390">
        <f>SUM(E7+K7)</f>
        <v>41952</v>
      </c>
      <c r="R7" s="390"/>
      <c r="S7" s="390">
        <f>SUM(G7+M7)</f>
        <v>283908</v>
      </c>
      <c r="T7" s="218"/>
    </row>
    <row r="8" spans="2:257" s="27" customFormat="1" ht="30" customHeight="1" x14ac:dyDescent="0.2">
      <c r="B8" s="427" t="s">
        <v>98</v>
      </c>
      <c r="C8" s="387">
        <v>8</v>
      </c>
      <c r="D8" s="388"/>
      <c r="E8" s="387">
        <v>3825</v>
      </c>
      <c r="F8" s="388"/>
      <c r="G8" s="387">
        <v>61200</v>
      </c>
      <c r="H8" s="10"/>
      <c r="I8" s="387">
        <v>5</v>
      </c>
      <c r="J8" s="304"/>
      <c r="K8" s="389">
        <v>2363</v>
      </c>
      <c r="L8" s="387"/>
      <c r="M8" s="389">
        <v>37808</v>
      </c>
      <c r="N8" s="389"/>
      <c r="O8" s="390">
        <f t="shared" ref="O8:O14" si="0">SUM(C8+I8)</f>
        <v>13</v>
      </c>
      <c r="P8" s="390"/>
      <c r="Q8" s="390">
        <f t="shared" ref="Q8:Q14" si="1">SUM(E8+K8)</f>
        <v>6188</v>
      </c>
      <c r="R8" s="390"/>
      <c r="S8" s="390">
        <f t="shared" ref="S8:S14" si="2">SUM(G8+M8)</f>
        <v>99008</v>
      </c>
      <c r="T8" s="218"/>
    </row>
    <row r="9" spans="2:257" s="27" customFormat="1" ht="30" customHeight="1" x14ac:dyDescent="0.2">
      <c r="B9" s="427" t="s">
        <v>99</v>
      </c>
      <c r="C9" s="387">
        <v>2</v>
      </c>
      <c r="D9" s="388"/>
      <c r="E9" s="387">
        <v>1256</v>
      </c>
      <c r="F9" s="388"/>
      <c r="G9" s="387">
        <v>30144</v>
      </c>
      <c r="H9" s="10"/>
      <c r="I9" s="387">
        <v>0</v>
      </c>
      <c r="J9" s="304"/>
      <c r="K9" s="389">
        <v>0</v>
      </c>
      <c r="L9" s="387"/>
      <c r="M9" s="389">
        <v>0</v>
      </c>
      <c r="N9" s="389"/>
      <c r="O9" s="390">
        <f t="shared" si="0"/>
        <v>2</v>
      </c>
      <c r="P9" s="390"/>
      <c r="Q9" s="390">
        <f t="shared" si="1"/>
        <v>1256</v>
      </c>
      <c r="R9" s="390"/>
      <c r="S9" s="390">
        <f t="shared" si="2"/>
        <v>30144</v>
      </c>
      <c r="T9" s="218"/>
    </row>
    <row r="10" spans="2:257" s="27" customFormat="1" ht="30" customHeight="1" x14ac:dyDescent="0.2">
      <c r="B10" s="427" t="s">
        <v>100</v>
      </c>
      <c r="C10" s="387">
        <v>4</v>
      </c>
      <c r="D10" s="388"/>
      <c r="E10" s="387">
        <v>13308</v>
      </c>
      <c r="F10" s="388"/>
      <c r="G10" s="387">
        <v>409320</v>
      </c>
      <c r="H10" s="10"/>
      <c r="I10" s="387">
        <v>3</v>
      </c>
      <c r="J10" s="304"/>
      <c r="K10" s="389">
        <v>182</v>
      </c>
      <c r="L10" s="387"/>
      <c r="M10" s="389">
        <v>7936</v>
      </c>
      <c r="N10" s="389"/>
      <c r="O10" s="390">
        <f t="shared" si="0"/>
        <v>7</v>
      </c>
      <c r="P10" s="390"/>
      <c r="Q10" s="390">
        <f t="shared" si="1"/>
        <v>13490</v>
      </c>
      <c r="R10" s="390"/>
      <c r="S10" s="390">
        <f t="shared" si="2"/>
        <v>417256</v>
      </c>
      <c r="T10" s="218"/>
    </row>
    <row r="11" spans="2:257" s="27" customFormat="1" ht="30" customHeight="1" x14ac:dyDescent="0.2">
      <c r="B11" s="427" t="s">
        <v>101</v>
      </c>
      <c r="C11" s="387">
        <v>5</v>
      </c>
      <c r="D11" s="388"/>
      <c r="E11" s="387">
        <v>12617</v>
      </c>
      <c r="F11" s="388"/>
      <c r="G11" s="387">
        <v>1148288</v>
      </c>
      <c r="I11" s="387">
        <v>2</v>
      </c>
      <c r="J11" s="304"/>
      <c r="K11" s="389">
        <v>125</v>
      </c>
      <c r="L11" s="387"/>
      <c r="M11" s="389">
        <v>8608</v>
      </c>
      <c r="N11" s="389"/>
      <c r="O11" s="390">
        <f t="shared" si="0"/>
        <v>7</v>
      </c>
      <c r="P11" s="390"/>
      <c r="Q11" s="390">
        <f t="shared" si="1"/>
        <v>12742</v>
      </c>
      <c r="R11" s="390"/>
      <c r="S11" s="390">
        <f t="shared" si="2"/>
        <v>1156896</v>
      </c>
      <c r="T11" s="218"/>
    </row>
    <row r="12" spans="2:257" s="27" customFormat="1" ht="30" customHeight="1" x14ac:dyDescent="0.2">
      <c r="B12" s="427" t="s">
        <v>166</v>
      </c>
      <c r="C12" s="387">
        <v>0</v>
      </c>
      <c r="D12" s="388"/>
      <c r="E12" s="387">
        <v>0</v>
      </c>
      <c r="F12" s="388"/>
      <c r="G12" s="387">
        <v>0</v>
      </c>
      <c r="H12" s="391"/>
      <c r="I12" s="387">
        <v>0</v>
      </c>
      <c r="J12" s="304"/>
      <c r="K12" s="389">
        <v>0</v>
      </c>
      <c r="L12" s="387"/>
      <c r="M12" s="389">
        <v>0</v>
      </c>
      <c r="N12" s="389"/>
      <c r="O12" s="390">
        <f t="shared" si="0"/>
        <v>0</v>
      </c>
      <c r="P12" s="390"/>
      <c r="Q12" s="390">
        <f t="shared" si="1"/>
        <v>0</v>
      </c>
      <c r="R12" s="390"/>
      <c r="S12" s="390">
        <f t="shared" si="2"/>
        <v>0</v>
      </c>
      <c r="T12" s="218"/>
    </row>
    <row r="13" spans="2:257" s="27" customFormat="1" ht="30" customHeight="1" x14ac:dyDescent="0.2">
      <c r="B13" s="427" t="s">
        <v>167</v>
      </c>
      <c r="C13" s="387">
        <v>1</v>
      </c>
      <c r="D13" s="392"/>
      <c r="E13" s="387">
        <v>600</v>
      </c>
      <c r="F13" s="388"/>
      <c r="G13" s="387">
        <v>158400</v>
      </c>
      <c r="H13" s="10"/>
      <c r="I13" s="387">
        <v>2</v>
      </c>
      <c r="J13" s="304"/>
      <c r="K13" s="389">
        <v>228</v>
      </c>
      <c r="L13" s="387"/>
      <c r="M13" s="389">
        <v>30592</v>
      </c>
      <c r="N13" s="389"/>
      <c r="O13" s="390">
        <f t="shared" si="0"/>
        <v>3</v>
      </c>
      <c r="P13" s="390"/>
      <c r="Q13" s="390">
        <f t="shared" si="1"/>
        <v>828</v>
      </c>
      <c r="R13" s="390"/>
      <c r="S13" s="390">
        <f t="shared" si="2"/>
        <v>188992</v>
      </c>
      <c r="T13" s="218"/>
    </row>
    <row r="14" spans="2:257" s="27" customFormat="1" ht="30" customHeight="1" x14ac:dyDescent="0.2">
      <c r="B14" s="427" t="s">
        <v>168</v>
      </c>
      <c r="C14" s="387">
        <v>4</v>
      </c>
      <c r="D14" s="388"/>
      <c r="E14" s="387">
        <v>198</v>
      </c>
      <c r="F14" s="388"/>
      <c r="G14" s="387">
        <v>76368</v>
      </c>
      <c r="H14" s="393"/>
      <c r="I14" s="387">
        <v>1</v>
      </c>
      <c r="J14" s="304"/>
      <c r="K14" s="389">
        <v>50</v>
      </c>
      <c r="L14" s="387"/>
      <c r="M14" s="389">
        <v>42944</v>
      </c>
      <c r="N14" s="393"/>
      <c r="O14" s="390">
        <f t="shared" si="0"/>
        <v>5</v>
      </c>
      <c r="P14" s="390"/>
      <c r="Q14" s="390">
        <f t="shared" si="1"/>
        <v>248</v>
      </c>
      <c r="R14" s="390"/>
      <c r="S14" s="390">
        <f t="shared" si="2"/>
        <v>119312</v>
      </c>
      <c r="T14" s="218"/>
    </row>
    <row r="15" spans="2:257" s="27" customFormat="1" ht="43.5" customHeight="1" x14ac:dyDescent="0.2">
      <c r="B15" s="524" t="s">
        <v>6</v>
      </c>
      <c r="C15" s="525">
        <f>SUM(C7:C14)</f>
        <v>42</v>
      </c>
      <c r="D15" s="525"/>
      <c r="E15" s="525">
        <f>SUM(E7:E14)</f>
        <v>72555</v>
      </c>
      <c r="F15" s="525"/>
      <c r="G15" s="525">
        <f>SUM(G7:G14)</f>
        <v>2158020</v>
      </c>
      <c r="H15" s="524"/>
      <c r="I15" s="525">
        <f>SUM(I7:I14)</f>
        <v>21</v>
      </c>
      <c r="J15" s="525"/>
      <c r="K15" s="525">
        <f>SUM(K7:K14)</f>
        <v>4149</v>
      </c>
      <c r="L15" s="525"/>
      <c r="M15" s="525">
        <f>SUM(M7:M14)</f>
        <v>137496</v>
      </c>
      <c r="N15" s="524"/>
      <c r="O15" s="525">
        <f>SUM(O7:O14)</f>
        <v>63</v>
      </c>
      <c r="P15" s="525"/>
      <c r="Q15" s="525">
        <f>SUM(Q7:Q14)</f>
        <v>76704</v>
      </c>
      <c r="R15" s="525"/>
      <c r="S15" s="525">
        <f>SUM(S7:S14)</f>
        <v>2295516</v>
      </c>
      <c r="T15" s="525"/>
      <c r="U15" s="10"/>
    </row>
    <row r="16" spans="2:257" ht="27.75" customHeight="1" x14ac:dyDescent="0.2">
      <c r="B16" s="11" t="s">
        <v>245</v>
      </c>
      <c r="C16" s="12"/>
      <c r="D16" s="12"/>
      <c r="E16" s="12"/>
      <c r="F16" s="12"/>
      <c r="G16" s="13"/>
      <c r="H16" s="12"/>
      <c r="I16" s="12"/>
      <c r="Y16" s="14"/>
      <c r="Z16" s="10"/>
      <c r="AA16" s="14"/>
      <c r="AB16" s="15"/>
      <c r="AC16" s="14"/>
      <c r="AD16" s="15"/>
    </row>
    <row r="17" spans="2:30" ht="33" customHeight="1" x14ac:dyDescent="0.2">
      <c r="B17" s="16" t="s">
        <v>296</v>
      </c>
      <c r="C17" s="17"/>
      <c r="D17" s="17"/>
      <c r="E17" s="17"/>
      <c r="F17" s="17"/>
      <c r="G17" s="17"/>
      <c r="H17" s="18"/>
      <c r="I17" s="18"/>
      <c r="J17" s="18"/>
      <c r="K17" s="18"/>
      <c r="Z17" s="19"/>
      <c r="AA17" s="20"/>
      <c r="AB17" s="19"/>
      <c r="AC17" s="20"/>
      <c r="AD17" s="21"/>
    </row>
    <row r="18" spans="2:30" ht="22.15" customHeight="1" x14ac:dyDescent="0.2">
      <c r="B18" s="22" t="s">
        <v>279</v>
      </c>
      <c r="D18" s="23"/>
      <c r="E18" s="24"/>
      <c r="F18" s="23"/>
      <c r="G18" s="25"/>
      <c r="H18" s="26"/>
      <c r="I18" s="27"/>
      <c r="J18" s="27"/>
    </row>
    <row r="21" spans="2:30" x14ac:dyDescent="0.2">
      <c r="B21" s="11"/>
    </row>
    <row r="22" spans="2:30" x14ac:dyDescent="0.2">
      <c r="B22" s="98"/>
    </row>
    <row r="23" spans="2:30" ht="25.15" customHeight="1" x14ac:dyDescent="0.2">
      <c r="B23" s="962"/>
      <c r="C23" s="962"/>
      <c r="D23" s="962"/>
      <c r="E23" s="962"/>
      <c r="F23" s="962"/>
      <c r="G23" s="962"/>
      <c r="H23" s="962"/>
      <c r="I23" s="962"/>
      <c r="J23" s="962"/>
      <c r="K23" s="962"/>
      <c r="L23" s="962"/>
      <c r="M23" s="962"/>
      <c r="N23" s="962"/>
      <c r="O23" s="962"/>
      <c r="P23" s="962"/>
      <c r="Q23" s="962"/>
      <c r="R23" s="962"/>
      <c r="S23" s="962"/>
      <c r="T23" s="962"/>
    </row>
    <row r="24" spans="2:30" ht="25.15" customHeight="1" x14ac:dyDescent="0.2">
      <c r="B24" s="962"/>
      <c r="C24" s="962"/>
      <c r="D24" s="962"/>
      <c r="E24" s="962"/>
      <c r="F24" s="962"/>
      <c r="G24" s="962"/>
      <c r="H24" s="962"/>
      <c r="I24" s="962"/>
      <c r="J24" s="962"/>
      <c r="K24" s="962"/>
      <c r="L24" s="962"/>
      <c r="M24" s="962"/>
      <c r="N24" s="962"/>
      <c r="O24" s="962"/>
      <c r="P24" s="962"/>
      <c r="Q24" s="962"/>
      <c r="R24" s="962"/>
      <c r="S24" s="962"/>
      <c r="T24" s="962"/>
    </row>
    <row r="25" spans="2:30" ht="25.15" customHeight="1" x14ac:dyDescent="0.2">
      <c r="B25" s="962"/>
      <c r="C25" s="962"/>
      <c r="D25" s="962"/>
      <c r="E25" s="962"/>
      <c r="F25" s="962"/>
      <c r="G25" s="962"/>
      <c r="H25" s="962"/>
      <c r="I25" s="962"/>
      <c r="J25" s="962"/>
      <c r="K25" s="962"/>
      <c r="L25" s="962"/>
      <c r="M25" s="962"/>
      <c r="N25" s="962"/>
      <c r="O25" s="962"/>
      <c r="P25" s="962"/>
      <c r="Q25" s="962"/>
      <c r="R25" s="962"/>
      <c r="S25" s="962"/>
      <c r="T25" s="962"/>
    </row>
  </sheetData>
  <mergeCells count="55">
    <mergeCell ref="B23:T23"/>
    <mergeCell ref="B24:T24"/>
    <mergeCell ref="B25:T25"/>
    <mergeCell ref="AB3:AN3"/>
    <mergeCell ref="B3:T3"/>
    <mergeCell ref="AO3:BA3"/>
    <mergeCell ref="B4:T4"/>
    <mergeCell ref="BB3:BN3"/>
    <mergeCell ref="BO3:CA3"/>
    <mergeCell ref="CB3:CN3"/>
    <mergeCell ref="CO3:DA3"/>
    <mergeCell ref="DB3:DN3"/>
    <mergeCell ref="DO3:EA3"/>
    <mergeCell ref="EB3:EN3"/>
    <mergeCell ref="HO3:IA3"/>
    <mergeCell ref="IB3:IN3"/>
    <mergeCell ref="EO3:FA3"/>
    <mergeCell ref="FB3:FN3"/>
    <mergeCell ref="FO3:GA3"/>
    <mergeCell ref="GB3:GN3"/>
    <mergeCell ref="IO3:IW3"/>
    <mergeCell ref="AB4:AN4"/>
    <mergeCell ref="AO4:BA4"/>
    <mergeCell ref="BB4:BN4"/>
    <mergeCell ref="BO4:CA4"/>
    <mergeCell ref="CB4:CN4"/>
    <mergeCell ref="CO4:DA4"/>
    <mergeCell ref="DB4:DN4"/>
    <mergeCell ref="GO3:HA3"/>
    <mergeCell ref="HB3:HN3"/>
    <mergeCell ref="GO4:HA4"/>
    <mergeCell ref="HB4:HN4"/>
    <mergeCell ref="DO4:EA4"/>
    <mergeCell ref="EB4:EN4"/>
    <mergeCell ref="EO4:FA4"/>
    <mergeCell ref="FB4:FN4"/>
    <mergeCell ref="HO4:IA4"/>
    <mergeCell ref="IB4:IN4"/>
    <mergeCell ref="IO4:IW4"/>
    <mergeCell ref="B5:B6"/>
    <mergeCell ref="C5:H5"/>
    <mergeCell ref="K6:L6"/>
    <mergeCell ref="M6:N6"/>
    <mergeCell ref="Q6:R6"/>
    <mergeCell ref="FO4:GA4"/>
    <mergeCell ref="GB4:GN4"/>
    <mergeCell ref="B1:T1"/>
    <mergeCell ref="C6:D6"/>
    <mergeCell ref="I6:J6"/>
    <mergeCell ref="O6:P6"/>
    <mergeCell ref="O5:T5"/>
    <mergeCell ref="S6:T6"/>
    <mergeCell ref="E6:F6"/>
    <mergeCell ref="G6:H6"/>
    <mergeCell ref="I5:N5"/>
  </mergeCells>
  <phoneticPr fontId="2" type="noConversion"/>
  <printOptions horizontalCentered="1" verticalCentered="1"/>
  <pageMargins left="0" right="0" top="0" bottom="0" header="0" footer="0"/>
  <pageSetup paperSize="9" scale="5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C1:M59"/>
  <sheetViews>
    <sheetView showGridLines="0" view="pageBreakPreview" zoomScale="79" zoomScaleNormal="100" zoomScaleSheetLayoutView="79" workbookViewId="0">
      <selection activeCell="N10" sqref="N10"/>
    </sheetView>
  </sheetViews>
  <sheetFormatPr baseColWidth="10" defaultColWidth="11.5703125" defaultRowHeight="12.75" x14ac:dyDescent="0.2"/>
  <cols>
    <col min="1" max="1" width="8" style="6" customWidth="1"/>
    <col min="2" max="2" width="3.42578125" style="6" customWidth="1"/>
    <col min="3" max="3" width="13.7109375" style="6" customWidth="1"/>
    <col min="4" max="4" width="15" style="6" customWidth="1"/>
    <col min="5" max="5" width="25.42578125" style="6" customWidth="1"/>
    <col min="6" max="6" width="24" style="6" customWidth="1"/>
    <col min="7" max="7" width="7.28515625" style="6" customWidth="1"/>
    <col min="8" max="8" width="16.28515625" style="6" customWidth="1"/>
    <col min="9" max="9" width="16" style="6" customWidth="1"/>
    <col min="10" max="10" width="15.28515625" style="6" customWidth="1"/>
    <col min="11" max="11" width="11.42578125" style="6" customWidth="1"/>
    <col min="12" max="13" width="11.5703125" style="6"/>
    <col min="14" max="14" width="11.5703125" style="6" customWidth="1"/>
    <col min="15" max="16384" width="11.5703125" style="6"/>
  </cols>
  <sheetData>
    <row r="1" spans="3:11" ht="5.25" customHeight="1" x14ac:dyDescent="0.2"/>
    <row r="2" spans="3:11" ht="38.25" customHeight="1" x14ac:dyDescent="0.2">
      <c r="C2" s="4"/>
      <c r="D2" s="4"/>
      <c r="E2" s="4"/>
      <c r="F2" s="4"/>
      <c r="H2" s="7"/>
      <c r="I2" s="7"/>
      <c r="J2" s="7"/>
      <c r="K2" s="7"/>
    </row>
    <row r="3" spans="3:11" ht="6" customHeight="1" x14ac:dyDescent="0.2">
      <c r="H3" s="7"/>
      <c r="I3" s="7"/>
      <c r="J3" s="7"/>
      <c r="K3" s="7"/>
    </row>
    <row r="4" spans="3:11" ht="37.5" customHeight="1" x14ac:dyDescent="0.2">
      <c r="H4" s="7"/>
      <c r="I4" s="7"/>
      <c r="J4" s="7"/>
      <c r="K4" s="7"/>
    </row>
    <row r="5" spans="3:11" ht="6" customHeight="1" x14ac:dyDescent="0.2">
      <c r="H5" s="7"/>
      <c r="I5" s="7"/>
      <c r="J5" s="7"/>
      <c r="K5" s="7"/>
    </row>
    <row r="6" spans="3:11" ht="33.75" customHeight="1" x14ac:dyDescent="0.2">
      <c r="H6" s="7"/>
      <c r="I6" s="7"/>
      <c r="J6" s="7"/>
      <c r="K6" s="7"/>
    </row>
    <row r="7" spans="3:11" ht="9.75" customHeight="1" x14ac:dyDescent="0.2">
      <c r="H7" s="7"/>
      <c r="I7" s="7"/>
      <c r="J7" s="7"/>
      <c r="K7" s="7"/>
    </row>
    <row r="8" spans="3:11" ht="18.75" customHeight="1" x14ac:dyDescent="0.2">
      <c r="H8" s="7"/>
      <c r="I8" s="7"/>
      <c r="J8" s="7"/>
      <c r="K8" s="7"/>
    </row>
    <row r="9" spans="3:11" ht="20.25" customHeight="1" x14ac:dyDescent="0.2">
      <c r="H9" s="7"/>
      <c r="I9" s="7"/>
      <c r="J9" s="7"/>
      <c r="K9" s="7"/>
    </row>
    <row r="10" spans="3:11" ht="21.75" customHeight="1" x14ac:dyDescent="0.2">
      <c r="H10" s="7"/>
      <c r="I10" s="7"/>
      <c r="J10" s="7"/>
      <c r="K10" s="7"/>
    </row>
    <row r="11" spans="3:11" ht="18.75" customHeight="1" x14ac:dyDescent="0.2">
      <c r="H11" s="7"/>
      <c r="I11" s="7"/>
      <c r="J11" s="7"/>
      <c r="K11" s="7"/>
    </row>
    <row r="12" spans="3:11" ht="15" customHeight="1" x14ac:dyDescent="0.2">
      <c r="H12" s="7"/>
      <c r="I12" s="7"/>
      <c r="J12" s="7"/>
      <c r="K12" s="7"/>
    </row>
    <row r="13" spans="3:11" x14ac:dyDescent="0.2">
      <c r="H13" s="7"/>
      <c r="I13" s="7"/>
      <c r="J13" s="7"/>
      <c r="K13" s="7"/>
    </row>
    <row r="14" spans="3:11" x14ac:dyDescent="0.2">
      <c r="H14" s="7"/>
      <c r="I14" s="7"/>
      <c r="J14" s="7"/>
      <c r="K14" s="7"/>
    </row>
    <row r="15" spans="3:11" x14ac:dyDescent="0.2">
      <c r="H15" s="7"/>
      <c r="I15" s="7"/>
      <c r="J15" s="7"/>
      <c r="K15" s="7"/>
    </row>
    <row r="16" spans="3:11" x14ac:dyDescent="0.2">
      <c r="H16" s="7"/>
      <c r="I16" s="7"/>
      <c r="J16" s="7"/>
      <c r="K16" s="7"/>
    </row>
    <row r="17" spans="8:13" x14ac:dyDescent="0.2">
      <c r="H17" s="7"/>
      <c r="I17" s="7"/>
      <c r="J17" s="7"/>
      <c r="K17" s="7"/>
    </row>
    <row r="18" spans="8:13" x14ac:dyDescent="0.2">
      <c r="H18" s="7"/>
      <c r="I18" s="7"/>
      <c r="J18" s="7"/>
      <c r="K18" s="7"/>
    </row>
    <row r="19" spans="8:13" x14ac:dyDescent="0.2">
      <c r="H19" s="7"/>
      <c r="I19" s="7"/>
      <c r="J19" s="7"/>
      <c r="K19" s="7"/>
    </row>
    <row r="20" spans="8:13" x14ac:dyDescent="0.2">
      <c r="H20" s="7"/>
      <c r="I20" s="7"/>
      <c r="J20" s="7"/>
      <c r="K20" s="7"/>
    </row>
    <row r="21" spans="8:13" x14ac:dyDescent="0.2">
      <c r="H21" s="7"/>
      <c r="I21" s="7"/>
      <c r="J21" s="7"/>
      <c r="K21" s="7"/>
    </row>
    <row r="22" spans="8:13" x14ac:dyDescent="0.2">
      <c r="H22" s="7"/>
      <c r="I22" s="7"/>
      <c r="J22" s="7"/>
      <c r="K22" s="7"/>
    </row>
    <row r="23" spans="8:13" x14ac:dyDescent="0.2">
      <c r="H23" s="7"/>
      <c r="I23" s="7"/>
      <c r="J23" s="7"/>
      <c r="K23" s="7"/>
    </row>
    <row r="24" spans="8:13" x14ac:dyDescent="0.2">
      <c r="H24" s="7"/>
      <c r="I24" s="7"/>
      <c r="J24" s="7"/>
      <c r="K24" s="7"/>
    </row>
    <row r="25" spans="8:13" x14ac:dyDescent="0.2">
      <c r="H25" s="7"/>
      <c r="I25" s="7"/>
      <c r="J25" s="7"/>
      <c r="K25" s="7"/>
      <c r="M25" s="7"/>
    </row>
    <row r="26" spans="8:13" x14ac:dyDescent="0.2">
      <c r="H26" s="7"/>
      <c r="I26" s="7"/>
      <c r="J26" s="7"/>
      <c r="K26" s="7"/>
    </row>
    <row r="27" spans="8:13" x14ac:dyDescent="0.2">
      <c r="H27" s="7"/>
      <c r="I27" s="7"/>
      <c r="J27" s="7"/>
      <c r="K27" s="7"/>
    </row>
    <row r="28" spans="8:13" x14ac:dyDescent="0.2">
      <c r="H28" s="7"/>
      <c r="I28" s="7"/>
      <c r="J28" s="7"/>
      <c r="K28" s="7"/>
    </row>
    <row r="29" spans="8:13" x14ac:dyDescent="0.2">
      <c r="H29" s="7"/>
      <c r="I29" s="7"/>
      <c r="J29" s="7"/>
      <c r="K29" s="7"/>
    </row>
    <row r="30" spans="8:13" x14ac:dyDescent="0.2">
      <c r="H30" s="7"/>
      <c r="I30" s="7"/>
      <c r="J30" s="7"/>
      <c r="K30" s="7"/>
    </row>
    <row r="31" spans="8:13" x14ac:dyDescent="0.2">
      <c r="H31" s="7"/>
      <c r="I31" s="7"/>
      <c r="J31" s="7"/>
      <c r="K31" s="7"/>
    </row>
    <row r="32" spans="8:13" x14ac:dyDescent="0.2">
      <c r="H32" s="7"/>
      <c r="I32" s="7"/>
      <c r="J32" s="7"/>
      <c r="K32" s="7"/>
    </row>
    <row r="33" spans="8:11" x14ac:dyDescent="0.2">
      <c r="H33" s="7"/>
      <c r="I33" s="7"/>
      <c r="J33" s="7"/>
      <c r="K33" s="7"/>
    </row>
    <row r="34" spans="8:11" x14ac:dyDescent="0.2">
      <c r="H34" s="7"/>
      <c r="I34" s="7"/>
      <c r="J34" s="7"/>
      <c r="K34" s="7"/>
    </row>
    <row r="35" spans="8:11" x14ac:dyDescent="0.2">
      <c r="H35" s="7"/>
      <c r="I35" s="7"/>
      <c r="J35" s="7"/>
      <c r="K35" s="7"/>
    </row>
    <row r="36" spans="8:11" x14ac:dyDescent="0.2">
      <c r="H36" s="7"/>
      <c r="I36" s="7"/>
      <c r="J36" s="7"/>
      <c r="K36" s="7"/>
    </row>
    <row r="37" spans="8:11" x14ac:dyDescent="0.2">
      <c r="H37" s="7"/>
      <c r="I37" s="7"/>
      <c r="J37" s="7"/>
      <c r="K37" s="7"/>
    </row>
    <row r="38" spans="8:11" x14ac:dyDescent="0.2">
      <c r="H38" s="7"/>
      <c r="I38" s="7"/>
      <c r="J38" s="7"/>
      <c r="K38" s="7"/>
    </row>
    <row r="39" spans="8:11" x14ac:dyDescent="0.2">
      <c r="H39" s="7"/>
      <c r="I39" s="7"/>
      <c r="J39" s="7"/>
      <c r="K39" s="7"/>
    </row>
    <row r="40" spans="8:11" x14ac:dyDescent="0.2">
      <c r="H40" s="7"/>
      <c r="I40" s="7"/>
      <c r="J40" s="7"/>
      <c r="K40" s="7"/>
    </row>
    <row r="41" spans="8:11" x14ac:dyDescent="0.2">
      <c r="H41" s="7"/>
      <c r="I41" s="7"/>
      <c r="J41" s="7"/>
      <c r="K41" s="7"/>
    </row>
    <row r="42" spans="8:11" x14ac:dyDescent="0.2">
      <c r="H42" s="7"/>
      <c r="I42" s="7"/>
      <c r="J42" s="7"/>
      <c r="K42" s="7"/>
    </row>
    <row r="43" spans="8:11" x14ac:dyDescent="0.2">
      <c r="H43" s="7"/>
      <c r="I43" s="7"/>
      <c r="J43" s="7"/>
      <c r="K43" s="7"/>
    </row>
    <row r="44" spans="8:11" x14ac:dyDescent="0.2">
      <c r="H44" s="7"/>
      <c r="I44" s="7"/>
      <c r="J44" s="7"/>
      <c r="K44" s="7"/>
    </row>
    <row r="45" spans="8:11" x14ac:dyDescent="0.2">
      <c r="H45" s="7"/>
      <c r="I45" s="7"/>
      <c r="J45" s="7"/>
      <c r="K45" s="7"/>
    </row>
    <row r="46" spans="8:11" ht="11.25" customHeight="1" x14ac:dyDescent="0.2">
      <c r="H46" s="7"/>
      <c r="I46" s="7"/>
      <c r="J46" s="7"/>
      <c r="K46" s="7"/>
    </row>
    <row r="47" spans="8:11" x14ac:dyDescent="0.2">
      <c r="H47" s="7"/>
      <c r="I47" s="7"/>
      <c r="J47" s="7"/>
      <c r="K47" s="7"/>
    </row>
    <row r="48" spans="8:11" x14ac:dyDescent="0.2">
      <c r="H48" s="7"/>
      <c r="I48" s="7"/>
      <c r="J48" s="7"/>
      <c r="K48" s="7"/>
    </row>
    <row r="49" spans="3:11" x14ac:dyDescent="0.2">
      <c r="H49" s="7"/>
      <c r="I49" s="7"/>
      <c r="J49" s="7"/>
      <c r="K49" s="7"/>
    </row>
    <row r="50" spans="3:11" x14ac:dyDescent="0.2">
      <c r="H50" s="7"/>
      <c r="I50" s="7"/>
      <c r="J50" s="7"/>
      <c r="K50" s="7"/>
    </row>
    <row r="51" spans="3:11" x14ac:dyDescent="0.2">
      <c r="H51" s="7"/>
      <c r="I51" s="7"/>
      <c r="J51" s="7"/>
      <c r="K51" s="7"/>
    </row>
    <row r="52" spans="3:11" x14ac:dyDescent="0.2">
      <c r="H52" s="7"/>
      <c r="I52" s="7"/>
      <c r="J52" s="7"/>
      <c r="K52" s="7"/>
    </row>
    <row r="53" spans="3:11" x14ac:dyDescent="0.2">
      <c r="H53" s="7"/>
      <c r="I53" s="7"/>
      <c r="J53" s="7"/>
      <c r="K53" s="7"/>
    </row>
    <row r="54" spans="3:11" x14ac:dyDescent="0.2">
      <c r="H54" s="7"/>
      <c r="I54" s="7"/>
      <c r="J54" s="7"/>
      <c r="K54" s="7"/>
    </row>
    <row r="55" spans="3:11" x14ac:dyDescent="0.2">
      <c r="H55" s="7"/>
      <c r="I55" s="7"/>
      <c r="J55" s="7"/>
      <c r="K55" s="7"/>
    </row>
    <row r="56" spans="3:11" x14ac:dyDescent="0.2">
      <c r="H56" s="7"/>
      <c r="I56" s="7"/>
      <c r="J56" s="7"/>
      <c r="K56" s="7"/>
    </row>
    <row r="57" spans="3:11" x14ac:dyDescent="0.2">
      <c r="H57" s="7"/>
      <c r="I57" s="7"/>
      <c r="J57" s="7"/>
      <c r="K57" s="7"/>
    </row>
    <row r="58" spans="3:11" x14ac:dyDescent="0.2">
      <c r="C58" s="718" t="s">
        <v>213</v>
      </c>
      <c r="H58" s="7"/>
      <c r="I58" s="7"/>
      <c r="J58" s="7"/>
      <c r="K58" s="7"/>
    </row>
    <row r="59" spans="3:11" ht="21" customHeight="1" x14ac:dyDescent="0.2"/>
  </sheetData>
  <printOptions horizontalCentered="1" verticalCentered="1"/>
  <pageMargins left="0" right="0" top="0" bottom="0" header="0" footer="0"/>
  <pageSetup paperSize="9" scale="6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AS38"/>
  <sheetViews>
    <sheetView showGridLines="0" view="pageBreakPreview" zoomScale="83" zoomScaleNormal="82" zoomScaleSheetLayoutView="83" workbookViewId="0">
      <selection activeCell="P8" sqref="P8"/>
    </sheetView>
  </sheetViews>
  <sheetFormatPr baseColWidth="10" defaultColWidth="11.42578125" defaultRowHeight="12.75" x14ac:dyDescent="0.2"/>
  <cols>
    <col min="1" max="1" width="11.42578125" style="1"/>
    <col min="2" max="2" width="17.28515625" style="1" customWidth="1"/>
    <col min="3" max="3" width="13.7109375" style="1" customWidth="1"/>
    <col min="4" max="4" width="10.7109375" style="1" customWidth="1"/>
    <col min="5" max="5" width="13.7109375" style="1" customWidth="1"/>
    <col min="6" max="6" width="8.7109375" style="1" customWidth="1"/>
    <col min="7" max="7" width="13.7109375" style="1" customWidth="1"/>
    <col min="8" max="8" width="8.7109375" style="1" customWidth="1"/>
    <col min="9" max="16384" width="11.42578125" style="1"/>
  </cols>
  <sheetData>
    <row r="1" spans="2:22" ht="24" customHeight="1" x14ac:dyDescent="0.2">
      <c r="B1" s="803" t="s">
        <v>113</v>
      </c>
      <c r="C1" s="803"/>
      <c r="D1" s="803"/>
      <c r="E1" s="803"/>
      <c r="F1" s="803"/>
      <c r="G1" s="803"/>
      <c r="H1" s="803"/>
      <c r="I1" s="87"/>
      <c r="J1" s="87"/>
      <c r="K1" s="87"/>
      <c r="L1" s="87"/>
      <c r="M1" s="87"/>
      <c r="N1" s="87"/>
      <c r="O1" s="87"/>
      <c r="Q1" s="161"/>
      <c r="R1" s="216"/>
      <c r="S1" s="161"/>
      <c r="T1" s="29"/>
      <c r="U1" s="161"/>
      <c r="V1" s="216"/>
    </row>
    <row r="2" spans="2:22" s="87" customFormat="1" ht="25.15" customHeight="1" x14ac:dyDescent="0.2">
      <c r="B2" s="87" t="s">
        <v>145</v>
      </c>
    </row>
    <row r="3" spans="2:22" s="87" customFormat="1" ht="34.5" customHeight="1" x14ac:dyDescent="0.2">
      <c r="B3" s="803" t="s">
        <v>147</v>
      </c>
      <c r="C3" s="803"/>
      <c r="D3" s="803"/>
      <c r="E3" s="803"/>
      <c r="F3" s="803"/>
      <c r="G3" s="803"/>
      <c r="H3" s="803"/>
    </row>
    <row r="4" spans="2:22" s="87" customFormat="1" ht="25.15" customHeight="1" x14ac:dyDescent="0.2">
      <c r="B4" s="803" t="s">
        <v>307</v>
      </c>
      <c r="C4" s="803"/>
      <c r="D4" s="803"/>
      <c r="E4" s="803"/>
      <c r="F4" s="803"/>
      <c r="G4" s="803"/>
      <c r="H4" s="803"/>
    </row>
    <row r="5" spans="2:22" s="87" customFormat="1" ht="25.15" customHeight="1" x14ac:dyDescent="0.2">
      <c r="B5" s="821" t="s">
        <v>1</v>
      </c>
      <c r="C5" s="832" t="s">
        <v>225</v>
      </c>
      <c r="D5" s="832"/>
      <c r="E5" s="832"/>
      <c r="F5" s="832"/>
      <c r="G5" s="821" t="s">
        <v>94</v>
      </c>
      <c r="H5" s="821"/>
    </row>
    <row r="6" spans="2:22" s="87" customFormat="1" ht="45.75" customHeight="1" x14ac:dyDescent="0.2">
      <c r="B6" s="821"/>
      <c r="C6" s="965" t="s">
        <v>14</v>
      </c>
      <c r="D6" s="965"/>
      <c r="E6" s="965" t="s">
        <v>13</v>
      </c>
      <c r="F6" s="965"/>
      <c r="G6" s="821"/>
      <c r="H6" s="821"/>
    </row>
    <row r="7" spans="2:22" ht="12" customHeight="1" x14ac:dyDescent="0.2">
      <c r="B7" s="526"/>
      <c r="C7" s="97"/>
      <c r="D7" s="300"/>
      <c r="E7" s="97"/>
      <c r="F7" s="300"/>
      <c r="G7" s="706"/>
      <c r="H7" s="707"/>
    </row>
    <row r="8" spans="2:22" ht="25.15" customHeight="1" x14ac:dyDescent="0.2">
      <c r="B8" s="527">
        <v>2000</v>
      </c>
      <c r="C8" s="97">
        <v>30</v>
      </c>
      <c r="D8" s="300"/>
      <c r="E8" s="97">
        <v>7</v>
      </c>
      <c r="F8" s="300"/>
      <c r="G8" s="708">
        <f t="shared" ref="G8:G14" si="0">SUM(C8:F8)</f>
        <v>37</v>
      </c>
      <c r="H8" s="707"/>
    </row>
    <row r="9" spans="2:22" ht="25.15" customHeight="1" x14ac:dyDescent="0.2">
      <c r="B9" s="527">
        <v>2001</v>
      </c>
      <c r="C9" s="97">
        <v>29</v>
      </c>
      <c r="D9" s="300"/>
      <c r="E9" s="97">
        <v>11</v>
      </c>
      <c r="F9" s="300"/>
      <c r="G9" s="708">
        <f t="shared" si="0"/>
        <v>40</v>
      </c>
      <c r="H9" s="707"/>
    </row>
    <row r="10" spans="2:22" ht="25.15" customHeight="1" x14ac:dyDescent="0.2">
      <c r="B10" s="527">
        <v>2002</v>
      </c>
      <c r="C10" s="97">
        <v>53</v>
      </c>
      <c r="D10" s="300"/>
      <c r="E10" s="97">
        <v>11</v>
      </c>
      <c r="F10" s="300"/>
      <c r="G10" s="708">
        <f t="shared" si="0"/>
        <v>64</v>
      </c>
      <c r="H10" s="707"/>
    </row>
    <row r="11" spans="2:22" ht="25.15" customHeight="1" x14ac:dyDescent="0.2">
      <c r="B11" s="527">
        <v>2003</v>
      </c>
      <c r="C11" s="97">
        <v>60</v>
      </c>
      <c r="D11" s="300"/>
      <c r="E11" s="97">
        <v>8</v>
      </c>
      <c r="F11" s="300"/>
      <c r="G11" s="708">
        <f t="shared" si="0"/>
        <v>68</v>
      </c>
      <c r="H11" s="707"/>
    </row>
    <row r="12" spans="2:22" ht="25.15" customHeight="1" x14ac:dyDescent="0.2">
      <c r="B12" s="527">
        <v>2004</v>
      </c>
      <c r="C12" s="97">
        <v>100</v>
      </c>
      <c r="D12" s="300"/>
      <c r="E12" s="97">
        <v>7</v>
      </c>
      <c r="F12" s="300"/>
      <c r="G12" s="708">
        <f t="shared" si="0"/>
        <v>107</v>
      </c>
      <c r="H12" s="707"/>
    </row>
    <row r="13" spans="2:22" ht="25.15" customHeight="1" x14ac:dyDescent="0.2">
      <c r="B13" s="527">
        <v>2005</v>
      </c>
      <c r="C13" s="97">
        <v>57</v>
      </c>
      <c r="D13" s="300"/>
      <c r="E13" s="97">
        <v>8</v>
      </c>
      <c r="F13" s="300"/>
      <c r="G13" s="708">
        <f t="shared" si="0"/>
        <v>65</v>
      </c>
      <c r="H13" s="707"/>
    </row>
    <row r="14" spans="2:22" ht="25.15" customHeight="1" x14ac:dyDescent="0.2">
      <c r="B14" s="527">
        <v>2006</v>
      </c>
      <c r="C14" s="97">
        <v>58</v>
      </c>
      <c r="D14" s="300"/>
      <c r="E14" s="97">
        <v>9</v>
      </c>
      <c r="F14" s="300"/>
      <c r="G14" s="708">
        <f t="shared" si="0"/>
        <v>67</v>
      </c>
      <c r="H14" s="707"/>
    </row>
    <row r="15" spans="2:22" ht="25.15" customHeight="1" x14ac:dyDescent="0.2">
      <c r="B15" s="527">
        <v>2007</v>
      </c>
      <c r="C15" s="97">
        <v>47</v>
      </c>
      <c r="D15" s="300"/>
      <c r="E15" s="97">
        <v>26</v>
      </c>
      <c r="F15" s="300"/>
      <c r="G15" s="708">
        <f t="shared" ref="G15:G21" si="1">SUM(C15:F15)</f>
        <v>73</v>
      </c>
      <c r="H15" s="707"/>
    </row>
    <row r="16" spans="2:22" ht="25.15" customHeight="1" x14ac:dyDescent="0.2">
      <c r="B16" s="527">
        <v>2008</v>
      </c>
      <c r="C16" s="97">
        <v>33</v>
      </c>
      <c r="D16" s="300"/>
      <c r="E16" s="97">
        <v>30</v>
      </c>
      <c r="F16" s="300"/>
      <c r="G16" s="708">
        <f t="shared" si="1"/>
        <v>63</v>
      </c>
      <c r="H16" s="707"/>
    </row>
    <row r="17" spans="2:8" ht="25.15" customHeight="1" x14ac:dyDescent="0.2">
      <c r="B17" s="527">
        <v>2009</v>
      </c>
      <c r="C17" s="97">
        <v>47</v>
      </c>
      <c r="D17" s="300"/>
      <c r="E17" s="97">
        <v>52</v>
      </c>
      <c r="F17" s="300"/>
      <c r="G17" s="708">
        <f t="shared" si="1"/>
        <v>99</v>
      </c>
      <c r="H17" s="707"/>
    </row>
    <row r="18" spans="2:8" ht="25.15" customHeight="1" x14ac:dyDescent="0.2">
      <c r="B18" s="527">
        <v>2010</v>
      </c>
      <c r="C18" s="1">
        <v>27</v>
      </c>
      <c r="E18" s="1">
        <v>56</v>
      </c>
      <c r="G18" s="709">
        <f t="shared" si="1"/>
        <v>83</v>
      </c>
      <c r="H18" s="707"/>
    </row>
    <row r="19" spans="2:8" ht="25.15" customHeight="1" x14ac:dyDescent="0.2">
      <c r="B19" s="527">
        <v>2011</v>
      </c>
      <c r="C19" s="1">
        <v>38</v>
      </c>
      <c r="E19" s="1">
        <v>46</v>
      </c>
      <c r="G19" s="709">
        <f t="shared" si="1"/>
        <v>84</v>
      </c>
      <c r="H19" s="707"/>
    </row>
    <row r="20" spans="2:8" ht="25.15" customHeight="1" x14ac:dyDescent="0.2">
      <c r="B20" s="527">
        <v>2012</v>
      </c>
      <c r="C20" s="1">
        <v>48</v>
      </c>
      <c r="E20" s="1">
        <v>41</v>
      </c>
      <c r="G20" s="709">
        <f>SUM(C20:F20)</f>
        <v>89</v>
      </c>
      <c r="H20" s="707"/>
    </row>
    <row r="21" spans="2:8" ht="25.15" customHeight="1" x14ac:dyDescent="0.2">
      <c r="B21" s="527">
        <v>2013</v>
      </c>
      <c r="C21" s="1">
        <v>36</v>
      </c>
      <c r="E21" s="1">
        <v>58</v>
      </c>
      <c r="G21" s="709">
        <f t="shared" si="1"/>
        <v>94</v>
      </c>
      <c r="H21" s="707"/>
    </row>
    <row r="22" spans="2:8" ht="25.15" customHeight="1" x14ac:dyDescent="0.2">
      <c r="B22" s="527">
        <v>2014</v>
      </c>
      <c r="C22" s="97">
        <v>44</v>
      </c>
      <c r="D22" s="300"/>
      <c r="E22" s="97">
        <v>51</v>
      </c>
      <c r="F22" s="300"/>
      <c r="G22" s="708">
        <f t="shared" ref="G22:G32" si="2">SUM(C22:F22)</f>
        <v>95</v>
      </c>
      <c r="H22" s="707"/>
    </row>
    <row r="23" spans="2:8" ht="25.15" customHeight="1" x14ac:dyDescent="0.2">
      <c r="B23" s="527">
        <v>2015</v>
      </c>
      <c r="C23" s="97">
        <v>23</v>
      </c>
      <c r="D23" s="300"/>
      <c r="E23" s="97">
        <v>24</v>
      </c>
      <c r="F23" s="300"/>
      <c r="G23" s="708">
        <f t="shared" si="2"/>
        <v>47</v>
      </c>
      <c r="H23" s="707"/>
    </row>
    <row r="24" spans="2:8" ht="25.15" customHeight="1" x14ac:dyDescent="0.2">
      <c r="B24" s="527">
        <v>2016</v>
      </c>
      <c r="C24" s="97">
        <v>20</v>
      </c>
      <c r="D24" s="300"/>
      <c r="E24" s="97">
        <v>21</v>
      </c>
      <c r="F24" s="300"/>
      <c r="G24" s="708">
        <f t="shared" si="2"/>
        <v>41</v>
      </c>
      <c r="H24" s="707"/>
    </row>
    <row r="25" spans="2:8" ht="25.15" customHeight="1" x14ac:dyDescent="0.2">
      <c r="B25" s="527">
        <v>2017</v>
      </c>
      <c r="C25" s="97">
        <v>18</v>
      </c>
      <c r="D25" s="300"/>
      <c r="E25" s="97">
        <v>27</v>
      </c>
      <c r="F25" s="300"/>
      <c r="G25" s="708">
        <f t="shared" si="2"/>
        <v>45</v>
      </c>
      <c r="H25" s="707"/>
    </row>
    <row r="26" spans="2:8" ht="25.15" customHeight="1" x14ac:dyDescent="0.2">
      <c r="B26" s="527">
        <v>2018</v>
      </c>
      <c r="C26" s="97">
        <v>24</v>
      </c>
      <c r="D26" s="300"/>
      <c r="E26" s="97">
        <v>30</v>
      </c>
      <c r="F26" s="300"/>
      <c r="G26" s="708">
        <f t="shared" si="2"/>
        <v>54</v>
      </c>
      <c r="H26" s="707"/>
    </row>
    <row r="27" spans="2:8" ht="25.15" customHeight="1" x14ac:dyDescent="0.2">
      <c r="B27" s="527">
        <v>2019</v>
      </c>
      <c r="C27" s="97">
        <v>36</v>
      </c>
      <c r="D27" s="300"/>
      <c r="E27" s="97">
        <v>31</v>
      </c>
      <c r="F27" s="300"/>
      <c r="G27" s="708">
        <f t="shared" ref="G27:G31" si="3">SUM(C27:F27)</f>
        <v>67</v>
      </c>
      <c r="H27" s="707"/>
    </row>
    <row r="28" spans="2:8" ht="25.15" customHeight="1" x14ac:dyDescent="0.2">
      <c r="B28" s="527">
        <v>2020</v>
      </c>
      <c r="C28" s="97">
        <v>15</v>
      </c>
      <c r="D28" s="300"/>
      <c r="E28" s="97">
        <v>8</v>
      </c>
      <c r="F28" s="300"/>
      <c r="G28" s="708">
        <f t="shared" si="3"/>
        <v>23</v>
      </c>
      <c r="H28" s="707"/>
    </row>
    <row r="29" spans="2:8" ht="25.15" customHeight="1" x14ac:dyDescent="0.2">
      <c r="B29" s="527">
        <v>2021</v>
      </c>
      <c r="C29" s="97">
        <v>12</v>
      </c>
      <c r="D29" s="300"/>
      <c r="E29" s="97">
        <v>26</v>
      </c>
      <c r="F29" s="300"/>
      <c r="G29" s="708">
        <f t="shared" si="3"/>
        <v>38</v>
      </c>
      <c r="H29" s="707"/>
    </row>
    <row r="30" spans="2:8" ht="25.15" customHeight="1" x14ac:dyDescent="0.2">
      <c r="B30" s="527">
        <v>2022</v>
      </c>
      <c r="C30" s="97">
        <v>11</v>
      </c>
      <c r="D30" s="300"/>
      <c r="E30" s="97">
        <v>30</v>
      </c>
      <c r="F30" s="300"/>
      <c r="G30" s="708">
        <f t="shared" si="3"/>
        <v>41</v>
      </c>
      <c r="H30" s="707"/>
    </row>
    <row r="31" spans="2:8" ht="25.15" customHeight="1" x14ac:dyDescent="0.2">
      <c r="B31" s="527">
        <v>2023</v>
      </c>
      <c r="C31" s="97">
        <v>27</v>
      </c>
      <c r="D31" s="300"/>
      <c r="E31" s="97">
        <v>28</v>
      </c>
      <c r="F31" s="300"/>
      <c r="G31" s="708">
        <f t="shared" si="3"/>
        <v>55</v>
      </c>
      <c r="H31" s="707"/>
    </row>
    <row r="32" spans="2:8" ht="25.15" customHeight="1" x14ac:dyDescent="0.2">
      <c r="B32" s="527">
        <v>2024</v>
      </c>
      <c r="C32" s="97">
        <v>28</v>
      </c>
      <c r="D32" s="300"/>
      <c r="E32" s="97">
        <v>35</v>
      </c>
      <c r="F32" s="300"/>
      <c r="G32" s="708">
        <f t="shared" si="2"/>
        <v>63</v>
      </c>
      <c r="H32" s="707"/>
    </row>
    <row r="33" spans="2:45" ht="9" customHeight="1" x14ac:dyDescent="0.2">
      <c r="B33" s="448"/>
      <c r="C33" s="137"/>
      <c r="D33" s="299"/>
      <c r="E33" s="137"/>
      <c r="F33" s="299"/>
      <c r="G33" s="708"/>
      <c r="H33" s="710"/>
    </row>
    <row r="34" spans="2:45" ht="21" customHeight="1" x14ac:dyDescent="0.2">
      <c r="B34" s="11" t="s">
        <v>245</v>
      </c>
      <c r="C34" s="12"/>
      <c r="D34" s="12"/>
      <c r="E34" s="12"/>
      <c r="F34" s="12"/>
      <c r="G34" s="13"/>
      <c r="H34" s="12"/>
      <c r="I34" s="12"/>
      <c r="Y34" s="14"/>
      <c r="Z34" s="10"/>
      <c r="AA34" s="14"/>
      <c r="AB34" s="15"/>
      <c r="AC34" s="14"/>
      <c r="AD34" s="15"/>
    </row>
    <row r="35" spans="2:45" ht="23.25" customHeight="1" x14ac:dyDescent="0.2">
      <c r="B35" s="964" t="s">
        <v>301</v>
      </c>
      <c r="C35" s="964"/>
      <c r="D35" s="964"/>
      <c r="E35" s="964"/>
      <c r="F35" s="964"/>
      <c r="G35" s="964"/>
      <c r="H35" s="964"/>
      <c r="I35" s="18"/>
      <c r="J35" s="18"/>
      <c r="K35" s="18"/>
      <c r="Z35" s="19"/>
      <c r="AA35" s="20"/>
      <c r="AB35" s="19"/>
      <c r="AC35" s="20"/>
      <c r="AD35" s="21"/>
    </row>
    <row r="36" spans="2:45" ht="21.75" customHeight="1" x14ac:dyDescent="0.2">
      <c r="B36" s="963" t="s">
        <v>302</v>
      </c>
      <c r="C36" s="963"/>
      <c r="D36" s="963"/>
      <c r="E36" s="963"/>
      <c r="F36" s="963"/>
      <c r="G36" s="963"/>
      <c r="H36" s="963"/>
      <c r="I36" s="18"/>
      <c r="J36" s="18"/>
      <c r="K36" s="18"/>
      <c r="Z36" s="19"/>
      <c r="AA36" s="20"/>
      <c r="AB36" s="19"/>
      <c r="AC36" s="20"/>
      <c r="AD36" s="21"/>
    </row>
    <row r="37" spans="2:45" ht="16.899999999999999" customHeight="1" x14ac:dyDescent="0.2">
      <c r="B37" s="22" t="s">
        <v>279</v>
      </c>
      <c r="D37" s="23"/>
      <c r="E37" s="24"/>
      <c r="F37" s="23"/>
      <c r="G37" s="25"/>
      <c r="H37" s="26"/>
      <c r="I37" s="27"/>
      <c r="J37" s="27"/>
    </row>
    <row r="38" spans="2:45" s="49" customFormat="1" ht="52.9" customHeight="1" x14ac:dyDescent="0.2">
      <c r="B38" s="810" t="s">
        <v>243</v>
      </c>
      <c r="C38" s="810"/>
      <c r="D38" s="810"/>
      <c r="E38" s="810"/>
      <c r="F38" s="810"/>
      <c r="G38" s="810"/>
      <c r="H38" s="810"/>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57"/>
      <c r="AK38" s="157"/>
      <c r="AL38" s="157"/>
      <c r="AM38" s="157"/>
      <c r="AN38" s="157"/>
      <c r="AO38" s="157"/>
      <c r="AP38" s="157"/>
      <c r="AQ38" s="157"/>
      <c r="AR38" s="157"/>
      <c r="AS38" s="157"/>
    </row>
  </sheetData>
  <mergeCells count="11">
    <mergeCell ref="B38:H38"/>
    <mergeCell ref="B36:H36"/>
    <mergeCell ref="B35:H35"/>
    <mergeCell ref="B1:H1"/>
    <mergeCell ref="B3:H3"/>
    <mergeCell ref="B4:H4"/>
    <mergeCell ref="B5:B6"/>
    <mergeCell ref="C5:F5"/>
    <mergeCell ref="G5:H6"/>
    <mergeCell ref="C6:D6"/>
    <mergeCell ref="E6:F6"/>
  </mergeCells>
  <phoneticPr fontId="2" type="noConversion"/>
  <printOptions horizontalCentered="1" verticalCentered="1"/>
  <pageMargins left="0" right="0" top="0" bottom="0" header="0" footer="0"/>
  <pageSetup paperSize="9" scale="70" orientation="portrait" r:id="rId1"/>
  <headerFooter alignWithMargins="0"/>
  <ignoredErrors>
    <ignoredError sqref="G8:G32"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AS38"/>
  <sheetViews>
    <sheetView showGridLines="0" view="pageBreakPreview" zoomScale="60" zoomScaleNormal="86" workbookViewId="0">
      <selection activeCell="R33" sqref="R33"/>
    </sheetView>
  </sheetViews>
  <sheetFormatPr baseColWidth="10" defaultColWidth="11.42578125" defaultRowHeight="12.75" x14ac:dyDescent="0.2"/>
  <cols>
    <col min="1" max="1" width="6.42578125" style="49" customWidth="1"/>
    <col min="2" max="2" width="16" style="49" customWidth="1"/>
    <col min="3" max="3" width="14.42578125" style="49" customWidth="1"/>
    <col min="4" max="4" width="3.7109375" style="49" customWidth="1"/>
    <col min="5" max="5" width="10.7109375" style="49" customWidth="1"/>
    <col min="6" max="6" width="3.7109375" style="49" customWidth="1"/>
    <col min="7" max="7" width="12" style="49" customWidth="1"/>
    <col min="8" max="8" width="5.7109375" style="49" customWidth="1"/>
    <col min="9" max="9" width="15.28515625" style="49" customWidth="1"/>
    <col min="10" max="10" width="3.7109375" style="49" customWidth="1"/>
    <col min="11" max="11" width="11.42578125" style="49" customWidth="1"/>
    <col min="12" max="12" width="3.7109375" style="49" customWidth="1"/>
    <col min="13" max="13" width="16.42578125" style="49" customWidth="1"/>
    <col min="14" max="14" width="5.7109375" style="49" customWidth="1"/>
    <col min="15" max="15" width="15.85546875" style="49" customWidth="1"/>
    <col min="16" max="16" width="3.5703125" style="49" customWidth="1"/>
    <col min="17" max="17" width="13.42578125" style="49" customWidth="1"/>
    <col min="18" max="18" width="5.7109375" style="49" customWidth="1"/>
    <col min="19" max="19" width="19.28515625" style="49" customWidth="1"/>
    <col min="20" max="20" width="5.7109375" style="49" customWidth="1"/>
    <col min="21" max="21" width="6.42578125" style="49" customWidth="1"/>
    <col min="22" max="16384" width="11.42578125" style="49"/>
  </cols>
  <sheetData>
    <row r="1" spans="2:20" s="1" customFormat="1" ht="30" customHeight="1" x14ac:dyDescent="0.2">
      <c r="B1" s="811" t="s">
        <v>116</v>
      </c>
      <c r="C1" s="811"/>
      <c r="D1" s="811"/>
      <c r="E1" s="811"/>
      <c r="F1" s="811"/>
      <c r="G1" s="811"/>
      <c r="H1" s="811"/>
      <c r="I1" s="811"/>
      <c r="J1" s="811"/>
      <c r="K1" s="811"/>
      <c r="L1" s="811"/>
      <c r="M1" s="811"/>
      <c r="N1" s="811"/>
      <c r="O1" s="811"/>
      <c r="P1" s="811"/>
      <c r="Q1" s="811"/>
      <c r="R1" s="811"/>
      <c r="S1" s="811"/>
      <c r="T1" s="811"/>
    </row>
    <row r="2" spans="2:20" s="1" customFormat="1" ht="30" customHeight="1" x14ac:dyDescent="0.2">
      <c r="B2" s="37" t="s">
        <v>145</v>
      </c>
      <c r="C2" s="37"/>
      <c r="D2" s="37"/>
      <c r="E2" s="37"/>
      <c r="F2" s="37"/>
      <c r="G2" s="37"/>
      <c r="H2" s="37"/>
      <c r="I2" s="37"/>
      <c r="J2" s="37"/>
      <c r="K2" s="37"/>
      <c r="L2" s="37"/>
      <c r="M2" s="37"/>
      <c r="N2" s="37"/>
      <c r="O2" s="37"/>
      <c r="P2" s="37"/>
      <c r="Q2" s="37"/>
      <c r="R2" s="37"/>
      <c r="S2" s="37"/>
      <c r="T2" s="3"/>
    </row>
    <row r="3" spans="2:20" s="1" customFormat="1" ht="58.5" customHeight="1" x14ac:dyDescent="0.2">
      <c r="B3" s="817" t="s">
        <v>266</v>
      </c>
      <c r="C3" s="817"/>
      <c r="D3" s="817"/>
      <c r="E3" s="817"/>
      <c r="F3" s="817"/>
      <c r="G3" s="817"/>
      <c r="H3" s="817"/>
      <c r="I3" s="817"/>
      <c r="J3" s="817"/>
      <c r="K3" s="817"/>
      <c r="L3" s="817"/>
      <c r="M3" s="817"/>
      <c r="N3" s="817"/>
      <c r="O3" s="817"/>
      <c r="P3" s="817"/>
      <c r="Q3" s="817"/>
      <c r="R3" s="817"/>
      <c r="S3" s="817"/>
      <c r="T3" s="817"/>
    </row>
    <row r="4" spans="2:20" s="1" customFormat="1" ht="35.25" customHeight="1" x14ac:dyDescent="0.2">
      <c r="B4" s="811" t="s">
        <v>307</v>
      </c>
      <c r="C4" s="811"/>
      <c r="D4" s="811"/>
      <c r="E4" s="811"/>
      <c r="F4" s="811"/>
      <c r="G4" s="811"/>
      <c r="H4" s="811"/>
      <c r="I4" s="811"/>
      <c r="J4" s="811"/>
      <c r="K4" s="811"/>
      <c r="L4" s="811"/>
      <c r="M4" s="811"/>
      <c r="N4" s="811"/>
      <c r="O4" s="811"/>
      <c r="P4" s="811"/>
      <c r="Q4" s="811"/>
      <c r="R4" s="811"/>
      <c r="S4" s="811"/>
      <c r="T4" s="811"/>
    </row>
    <row r="5" spans="2:20" ht="30" customHeight="1" x14ac:dyDescent="0.2">
      <c r="B5" s="903" t="s">
        <v>1</v>
      </c>
      <c r="C5" s="966" t="s">
        <v>2</v>
      </c>
      <c r="D5" s="966"/>
      <c r="E5" s="966"/>
      <c r="F5" s="966"/>
      <c r="G5" s="966"/>
      <c r="H5" s="966"/>
      <c r="I5" s="400" t="s">
        <v>11</v>
      </c>
      <c r="J5" s="400"/>
      <c r="K5" s="400"/>
      <c r="L5" s="400"/>
      <c r="M5" s="400"/>
      <c r="N5" s="400"/>
      <c r="O5" s="966" t="s">
        <v>96</v>
      </c>
      <c r="P5" s="966"/>
      <c r="Q5" s="966"/>
      <c r="R5" s="966"/>
      <c r="S5" s="966"/>
      <c r="T5" s="966"/>
    </row>
    <row r="6" spans="2:20" ht="18" customHeight="1" x14ac:dyDescent="0.2">
      <c r="B6" s="903"/>
      <c r="C6" s="967" t="s">
        <v>148</v>
      </c>
      <c r="D6" s="967"/>
      <c r="E6" s="967" t="s">
        <v>148</v>
      </c>
      <c r="F6" s="967"/>
      <c r="G6" s="907" t="s">
        <v>6</v>
      </c>
      <c r="H6" s="907"/>
      <c r="I6" s="967" t="s">
        <v>148</v>
      </c>
      <c r="J6" s="967"/>
      <c r="K6" s="967" t="s">
        <v>148</v>
      </c>
      <c r="L6" s="967"/>
      <c r="M6" s="907" t="s">
        <v>6</v>
      </c>
      <c r="N6" s="907"/>
      <c r="O6" s="967" t="s">
        <v>148</v>
      </c>
      <c r="P6" s="967"/>
      <c r="Q6" s="967" t="s">
        <v>148</v>
      </c>
      <c r="R6" s="967"/>
      <c r="S6" s="907" t="s">
        <v>6</v>
      </c>
      <c r="T6" s="907"/>
    </row>
    <row r="7" spans="2:20" ht="25.15" customHeight="1" x14ac:dyDescent="0.2">
      <c r="B7" s="903"/>
      <c r="C7" s="806" t="s">
        <v>14</v>
      </c>
      <c r="D7" s="806"/>
      <c r="E7" s="806" t="s">
        <v>13</v>
      </c>
      <c r="F7" s="806"/>
      <c r="G7" s="968"/>
      <c r="H7" s="968"/>
      <c r="I7" s="806" t="s">
        <v>14</v>
      </c>
      <c r="J7" s="806"/>
      <c r="K7" s="806" t="s">
        <v>13</v>
      </c>
      <c r="L7" s="806"/>
      <c r="M7" s="968"/>
      <c r="N7" s="968"/>
      <c r="O7" s="806" t="s">
        <v>14</v>
      </c>
      <c r="P7" s="806"/>
      <c r="Q7" s="806" t="s">
        <v>13</v>
      </c>
      <c r="R7" s="806"/>
      <c r="S7" s="968"/>
      <c r="T7" s="968"/>
    </row>
    <row r="8" spans="2:20" s="27" customFormat="1" x14ac:dyDescent="0.2">
      <c r="B8" s="413"/>
      <c r="C8" s="304"/>
      <c r="D8" s="341"/>
      <c r="E8" s="304"/>
      <c r="F8" s="341"/>
      <c r="G8" s="394"/>
      <c r="H8" s="395"/>
      <c r="I8" s="304"/>
      <c r="J8" s="341"/>
      <c r="K8" s="304"/>
      <c r="L8" s="342"/>
      <c r="M8" s="394"/>
      <c r="N8" s="396"/>
      <c r="O8" s="81"/>
      <c r="P8" s="342"/>
      <c r="Q8" s="81"/>
      <c r="R8" s="342"/>
      <c r="S8" s="394"/>
      <c r="T8" s="396"/>
    </row>
    <row r="9" spans="2:20" s="27" customFormat="1" ht="25.15" customHeight="1" x14ac:dyDescent="0.2">
      <c r="B9" s="427">
        <v>2000</v>
      </c>
      <c r="C9" s="304">
        <v>30</v>
      </c>
      <c r="D9" s="341"/>
      <c r="E9" s="304">
        <v>7</v>
      </c>
      <c r="F9" s="341"/>
      <c r="G9" s="394">
        <f>SUM(C9+E9)</f>
        <v>37</v>
      </c>
      <c r="H9" s="395"/>
      <c r="I9" s="304">
        <v>4366</v>
      </c>
      <c r="J9" s="341"/>
      <c r="K9" s="304">
        <v>914</v>
      </c>
      <c r="L9" s="342"/>
      <c r="M9" s="394">
        <f>SUM(I9+K9)</f>
        <v>5280</v>
      </c>
      <c r="N9" s="396"/>
      <c r="O9" s="344">
        <v>55427</v>
      </c>
      <c r="P9" s="342"/>
      <c r="Q9" s="344">
        <v>126264</v>
      </c>
      <c r="R9" s="342"/>
      <c r="S9" s="394">
        <f>SUM(O9+Q9)</f>
        <v>181691</v>
      </c>
      <c r="T9" s="396"/>
    </row>
    <row r="10" spans="2:20" s="27" customFormat="1" ht="25.15" customHeight="1" x14ac:dyDescent="0.2">
      <c r="B10" s="427">
        <v>2001</v>
      </c>
      <c r="C10" s="304">
        <v>29</v>
      </c>
      <c r="D10" s="341"/>
      <c r="E10" s="304">
        <v>11</v>
      </c>
      <c r="F10" s="341"/>
      <c r="G10" s="394">
        <f>SUM(C10+E10)</f>
        <v>40</v>
      </c>
      <c r="H10" s="395"/>
      <c r="I10" s="304">
        <v>8611</v>
      </c>
      <c r="J10" s="341"/>
      <c r="K10" s="304">
        <v>2439</v>
      </c>
      <c r="L10" s="342"/>
      <c r="M10" s="394">
        <f>SUM(I10+K10)</f>
        <v>11050</v>
      </c>
      <c r="N10" s="396"/>
      <c r="O10" s="344">
        <v>195338</v>
      </c>
      <c r="P10" s="342"/>
      <c r="Q10" s="344">
        <v>293592</v>
      </c>
      <c r="R10" s="342"/>
      <c r="S10" s="394">
        <f>SUM(O10+Q10)</f>
        <v>488930</v>
      </c>
      <c r="T10" s="396"/>
    </row>
    <row r="11" spans="2:20" s="27" customFormat="1" ht="25.15" customHeight="1" x14ac:dyDescent="0.2">
      <c r="B11" s="427">
        <v>2002</v>
      </c>
      <c r="C11" s="304">
        <v>53</v>
      </c>
      <c r="D11" s="341"/>
      <c r="E11" s="304">
        <v>11</v>
      </c>
      <c r="F11" s="341"/>
      <c r="G11" s="394">
        <f>SUM(C11+E11)</f>
        <v>64</v>
      </c>
      <c r="H11" s="395"/>
      <c r="I11" s="304">
        <v>17912</v>
      </c>
      <c r="J11" s="341"/>
      <c r="K11" s="304">
        <v>5013</v>
      </c>
      <c r="L11" s="342"/>
      <c r="M11" s="394">
        <f>SUM(I11+K11)</f>
        <v>22925</v>
      </c>
      <c r="N11" s="396"/>
      <c r="O11" s="344">
        <v>331736</v>
      </c>
      <c r="P11" s="342"/>
      <c r="Q11" s="344">
        <v>580912</v>
      </c>
      <c r="R11" s="342"/>
      <c r="S11" s="394">
        <f>SUM(O11+Q11)</f>
        <v>912648</v>
      </c>
      <c r="T11" s="396"/>
    </row>
    <row r="12" spans="2:20" s="27" customFormat="1" ht="25.15" customHeight="1" x14ac:dyDescent="0.2">
      <c r="B12" s="427">
        <v>2003</v>
      </c>
      <c r="C12" s="304">
        <v>60</v>
      </c>
      <c r="D12" s="341"/>
      <c r="E12" s="304">
        <v>8</v>
      </c>
      <c r="F12" s="341"/>
      <c r="G12" s="394">
        <f>SUM(C12+E12)</f>
        <v>68</v>
      </c>
      <c r="H12" s="395"/>
      <c r="I12" s="304">
        <v>29458</v>
      </c>
      <c r="J12" s="341"/>
      <c r="K12" s="304">
        <v>7865</v>
      </c>
      <c r="L12" s="342"/>
      <c r="M12" s="394">
        <f>SUM(I12+K12)</f>
        <v>37323</v>
      </c>
      <c r="N12" s="396"/>
      <c r="O12" s="344">
        <v>615466</v>
      </c>
      <c r="P12" s="342"/>
      <c r="Q12" s="344">
        <v>265896</v>
      </c>
      <c r="R12" s="342"/>
      <c r="S12" s="394">
        <f t="shared" ref="S12:S33" si="0">SUM(O12+Q12)</f>
        <v>881362</v>
      </c>
      <c r="T12" s="396"/>
    </row>
    <row r="13" spans="2:20" s="27" customFormat="1" ht="25.15" customHeight="1" x14ac:dyDescent="0.2">
      <c r="B13" s="427">
        <v>2004</v>
      </c>
      <c r="C13" s="304">
        <v>100</v>
      </c>
      <c r="D13" s="345"/>
      <c r="E13" s="304">
        <v>7</v>
      </c>
      <c r="F13" s="341"/>
      <c r="G13" s="394">
        <f>SUM(E13+C13)</f>
        <v>107</v>
      </c>
      <c r="H13" s="397"/>
      <c r="I13" s="304">
        <v>27093</v>
      </c>
      <c r="J13" s="341"/>
      <c r="K13" s="304">
        <v>2180</v>
      </c>
      <c r="L13" s="342"/>
      <c r="M13" s="394">
        <f t="shared" ref="M13:M33" si="1">SUM(I13+K13)</f>
        <v>29273</v>
      </c>
      <c r="N13" s="396"/>
      <c r="O13" s="344">
        <v>374136</v>
      </c>
      <c r="P13" s="342"/>
      <c r="Q13" s="344">
        <v>208192</v>
      </c>
      <c r="R13" s="398"/>
      <c r="S13" s="394">
        <f t="shared" si="0"/>
        <v>582328</v>
      </c>
      <c r="T13" s="396"/>
    </row>
    <row r="14" spans="2:20" s="27" customFormat="1" ht="25.15" customHeight="1" x14ac:dyDescent="0.2">
      <c r="B14" s="427">
        <v>2005</v>
      </c>
      <c r="C14" s="304">
        <v>57</v>
      </c>
      <c r="D14" s="345"/>
      <c r="E14" s="304">
        <v>8</v>
      </c>
      <c r="F14" s="304"/>
      <c r="G14" s="394">
        <f t="shared" ref="G14:G33" si="2">SUM(C14+E14)</f>
        <v>65</v>
      </c>
      <c r="H14" s="397"/>
      <c r="I14" s="304">
        <v>14161</v>
      </c>
      <c r="J14" s="341"/>
      <c r="K14" s="304">
        <v>4861</v>
      </c>
      <c r="L14" s="304"/>
      <c r="M14" s="394">
        <f t="shared" si="1"/>
        <v>19022</v>
      </c>
      <c r="N14" s="399"/>
      <c r="O14" s="344">
        <v>228964</v>
      </c>
      <c r="P14" s="342"/>
      <c r="Q14" s="344">
        <v>249774</v>
      </c>
      <c r="R14" s="342"/>
      <c r="S14" s="394">
        <f t="shared" si="0"/>
        <v>478738</v>
      </c>
      <c r="T14" s="399"/>
    </row>
    <row r="15" spans="2:20" s="27" customFormat="1" ht="25.15" customHeight="1" x14ac:dyDescent="0.2">
      <c r="B15" s="427">
        <v>2006</v>
      </c>
      <c r="C15" s="304">
        <v>58</v>
      </c>
      <c r="D15" s="341"/>
      <c r="E15" s="304">
        <v>9</v>
      </c>
      <c r="F15" s="341"/>
      <c r="G15" s="394">
        <f t="shared" si="2"/>
        <v>67</v>
      </c>
      <c r="H15" s="395"/>
      <c r="I15" s="304">
        <v>15360</v>
      </c>
      <c r="J15" s="341"/>
      <c r="K15" s="304">
        <v>4205</v>
      </c>
      <c r="L15" s="342"/>
      <c r="M15" s="394">
        <f t="shared" si="1"/>
        <v>19565</v>
      </c>
      <c r="N15" s="396"/>
      <c r="O15" s="344">
        <v>177560</v>
      </c>
      <c r="P15" s="342"/>
      <c r="Q15" s="344">
        <v>269024</v>
      </c>
      <c r="R15" s="342"/>
      <c r="S15" s="394">
        <f t="shared" si="0"/>
        <v>446584</v>
      </c>
      <c r="T15" s="396"/>
    </row>
    <row r="16" spans="2:20" s="27" customFormat="1" ht="25.15" customHeight="1" x14ac:dyDescent="0.2">
      <c r="B16" s="427">
        <v>2007</v>
      </c>
      <c r="C16" s="304">
        <v>47</v>
      </c>
      <c r="D16" s="341"/>
      <c r="E16" s="304">
        <v>26</v>
      </c>
      <c r="F16" s="341"/>
      <c r="G16" s="394">
        <f t="shared" si="2"/>
        <v>73</v>
      </c>
      <c r="H16" s="395"/>
      <c r="I16" s="304">
        <v>13754</v>
      </c>
      <c r="J16" s="341"/>
      <c r="K16" s="304">
        <v>34342</v>
      </c>
      <c r="L16" s="342"/>
      <c r="M16" s="394">
        <f t="shared" si="1"/>
        <v>48096</v>
      </c>
      <c r="N16" s="396"/>
      <c r="O16" s="344">
        <v>333872</v>
      </c>
      <c r="P16" s="342"/>
      <c r="Q16" s="344">
        <v>1882648</v>
      </c>
      <c r="R16" s="342"/>
      <c r="S16" s="394">
        <f t="shared" si="0"/>
        <v>2216520</v>
      </c>
      <c r="T16" s="396"/>
    </row>
    <row r="17" spans="2:20" s="27" customFormat="1" ht="25.15" customHeight="1" x14ac:dyDescent="0.2">
      <c r="B17" s="427">
        <v>2008</v>
      </c>
      <c r="C17" s="304">
        <v>33</v>
      </c>
      <c r="D17" s="341"/>
      <c r="E17" s="304">
        <v>30</v>
      </c>
      <c r="F17" s="341"/>
      <c r="G17" s="394">
        <f t="shared" si="2"/>
        <v>63</v>
      </c>
      <c r="H17" s="395"/>
      <c r="I17" s="304">
        <v>10741</v>
      </c>
      <c r="J17" s="341"/>
      <c r="K17" s="304">
        <v>23270</v>
      </c>
      <c r="L17" s="342"/>
      <c r="M17" s="394">
        <f t="shared" si="1"/>
        <v>34011</v>
      </c>
      <c r="N17" s="396"/>
      <c r="O17" s="344">
        <v>268720</v>
      </c>
      <c r="P17" s="342"/>
      <c r="Q17" s="344">
        <v>1252240</v>
      </c>
      <c r="R17" s="342"/>
      <c r="S17" s="394">
        <f t="shared" si="0"/>
        <v>1520960</v>
      </c>
      <c r="T17" s="396"/>
    </row>
    <row r="18" spans="2:20" s="27" customFormat="1" ht="25.15" customHeight="1" x14ac:dyDescent="0.2">
      <c r="B18" s="427">
        <v>2009</v>
      </c>
      <c r="C18" s="304">
        <v>59</v>
      </c>
      <c r="D18" s="345"/>
      <c r="E18" s="304">
        <v>40</v>
      </c>
      <c r="F18" s="304"/>
      <c r="G18" s="394">
        <f t="shared" si="2"/>
        <v>99</v>
      </c>
      <c r="H18" s="395"/>
      <c r="I18" s="304">
        <v>19774</v>
      </c>
      <c r="J18" s="341"/>
      <c r="K18" s="304">
        <v>16340</v>
      </c>
      <c r="L18" s="304"/>
      <c r="M18" s="394">
        <f>SUM(I18+K18)</f>
        <v>36114</v>
      </c>
      <c r="N18" s="396"/>
      <c r="O18" s="344">
        <v>371434</v>
      </c>
      <c r="P18" s="342"/>
      <c r="Q18" s="344">
        <v>1081032</v>
      </c>
      <c r="R18" s="342"/>
      <c r="S18" s="394">
        <f>SUM(O18+Q18)</f>
        <v>1452466</v>
      </c>
      <c r="T18" s="396"/>
    </row>
    <row r="19" spans="2:20" s="27" customFormat="1" ht="25.15" customHeight="1" x14ac:dyDescent="0.2">
      <c r="B19" s="427">
        <v>2010</v>
      </c>
      <c r="C19" s="304">
        <v>27</v>
      </c>
      <c r="D19" s="345"/>
      <c r="E19" s="304">
        <v>56</v>
      </c>
      <c r="F19" s="304"/>
      <c r="G19" s="394">
        <f t="shared" si="2"/>
        <v>83</v>
      </c>
      <c r="H19" s="395"/>
      <c r="I19" s="304">
        <v>7505</v>
      </c>
      <c r="J19" s="341"/>
      <c r="K19" s="304">
        <v>23101</v>
      </c>
      <c r="L19" s="304"/>
      <c r="M19" s="394">
        <f t="shared" si="1"/>
        <v>30606</v>
      </c>
      <c r="N19" s="396"/>
      <c r="O19" s="344">
        <v>133080</v>
      </c>
      <c r="P19" s="342"/>
      <c r="Q19" s="344">
        <v>1146300</v>
      </c>
      <c r="R19" s="342"/>
      <c r="S19" s="394">
        <f t="shared" si="0"/>
        <v>1279380</v>
      </c>
      <c r="T19" s="396"/>
    </row>
    <row r="20" spans="2:20" s="27" customFormat="1" ht="25.15" customHeight="1" x14ac:dyDescent="0.2">
      <c r="B20" s="427">
        <v>2011</v>
      </c>
      <c r="C20" s="304">
        <v>38</v>
      </c>
      <c r="D20" s="345"/>
      <c r="E20" s="304">
        <v>46</v>
      </c>
      <c r="F20" s="304"/>
      <c r="G20" s="394">
        <f t="shared" si="2"/>
        <v>84</v>
      </c>
      <c r="H20" s="395"/>
      <c r="I20" s="304">
        <v>7535</v>
      </c>
      <c r="J20" s="341"/>
      <c r="K20" s="304">
        <v>19235</v>
      </c>
      <c r="L20" s="304"/>
      <c r="M20" s="394">
        <f t="shared" si="1"/>
        <v>26770</v>
      </c>
      <c r="N20" s="396"/>
      <c r="O20" s="344">
        <v>83680</v>
      </c>
      <c r="P20" s="342"/>
      <c r="Q20" s="344">
        <v>1715736</v>
      </c>
      <c r="R20" s="342"/>
      <c r="S20" s="394">
        <f t="shared" si="0"/>
        <v>1799416</v>
      </c>
      <c r="T20" s="396"/>
    </row>
    <row r="21" spans="2:20" s="27" customFormat="1" ht="25.15" customHeight="1" x14ac:dyDescent="0.2">
      <c r="B21" s="427">
        <v>2012</v>
      </c>
      <c r="C21" s="304">
        <v>48</v>
      </c>
      <c r="D21" s="345"/>
      <c r="E21" s="304">
        <v>41</v>
      </c>
      <c r="F21" s="304"/>
      <c r="G21" s="394">
        <f t="shared" si="2"/>
        <v>89</v>
      </c>
      <c r="H21" s="395"/>
      <c r="I21" s="304">
        <v>10082</v>
      </c>
      <c r="J21" s="341"/>
      <c r="K21" s="304">
        <v>15763</v>
      </c>
      <c r="L21" s="304"/>
      <c r="M21" s="394">
        <f t="shared" si="1"/>
        <v>25845</v>
      </c>
      <c r="N21" s="396"/>
      <c r="O21" s="344">
        <v>123654</v>
      </c>
      <c r="P21" s="342"/>
      <c r="Q21" s="344">
        <v>1755042</v>
      </c>
      <c r="R21" s="342"/>
      <c r="S21" s="394">
        <f t="shared" si="0"/>
        <v>1878696</v>
      </c>
      <c r="T21" s="396"/>
    </row>
    <row r="22" spans="2:20" s="27" customFormat="1" ht="25.15" customHeight="1" x14ac:dyDescent="0.2">
      <c r="B22" s="427">
        <v>2013</v>
      </c>
      <c r="C22" s="304">
        <v>36</v>
      </c>
      <c r="D22" s="345"/>
      <c r="E22" s="304">
        <v>58</v>
      </c>
      <c r="F22" s="304"/>
      <c r="G22" s="394">
        <f t="shared" si="2"/>
        <v>94</v>
      </c>
      <c r="H22" s="395"/>
      <c r="I22" s="304">
        <v>10674</v>
      </c>
      <c r="J22" s="341"/>
      <c r="K22" s="304">
        <v>16062</v>
      </c>
      <c r="L22" s="304"/>
      <c r="M22" s="394">
        <f t="shared" si="1"/>
        <v>26736</v>
      </c>
      <c r="N22" s="396"/>
      <c r="O22" s="344">
        <v>172104</v>
      </c>
      <c r="P22" s="342"/>
      <c r="Q22" s="344">
        <v>1401098</v>
      </c>
      <c r="R22" s="342"/>
      <c r="S22" s="394">
        <f t="shared" si="0"/>
        <v>1573202</v>
      </c>
      <c r="T22" s="396"/>
    </row>
    <row r="23" spans="2:20" s="27" customFormat="1" ht="25.15" customHeight="1" x14ac:dyDescent="0.2">
      <c r="B23" s="427">
        <v>2014</v>
      </c>
      <c r="C23" s="304">
        <v>44</v>
      </c>
      <c r="D23" s="345"/>
      <c r="E23" s="304">
        <v>51</v>
      </c>
      <c r="F23" s="304"/>
      <c r="G23" s="394">
        <f t="shared" si="2"/>
        <v>95</v>
      </c>
      <c r="H23" s="395"/>
      <c r="I23" s="304">
        <v>15299</v>
      </c>
      <c r="J23" s="341"/>
      <c r="K23" s="304">
        <v>25382</v>
      </c>
      <c r="L23" s="304"/>
      <c r="M23" s="394">
        <f t="shared" si="1"/>
        <v>40681</v>
      </c>
      <c r="N23" s="396"/>
      <c r="O23" s="344">
        <v>239914</v>
      </c>
      <c r="P23" s="342"/>
      <c r="Q23" s="344">
        <v>2913104</v>
      </c>
      <c r="R23" s="342"/>
      <c r="S23" s="394">
        <f t="shared" si="0"/>
        <v>3153018</v>
      </c>
      <c r="T23" s="396"/>
    </row>
    <row r="24" spans="2:20" s="27" customFormat="1" ht="25.15" customHeight="1" x14ac:dyDescent="0.2">
      <c r="B24" s="427">
        <v>2015</v>
      </c>
      <c r="C24" s="304">
        <v>23</v>
      </c>
      <c r="D24" s="345"/>
      <c r="E24" s="304">
        <v>24</v>
      </c>
      <c r="F24" s="304"/>
      <c r="G24" s="394">
        <f t="shared" si="2"/>
        <v>47</v>
      </c>
      <c r="H24" s="395"/>
      <c r="I24" s="304">
        <v>17547</v>
      </c>
      <c r="J24" s="341"/>
      <c r="K24" s="304">
        <v>14519</v>
      </c>
      <c r="L24" s="304"/>
      <c r="M24" s="394">
        <f t="shared" si="1"/>
        <v>32066</v>
      </c>
      <c r="N24" s="396"/>
      <c r="O24" s="344">
        <v>206816</v>
      </c>
      <c r="P24" s="342"/>
      <c r="Q24" s="344">
        <v>1718816</v>
      </c>
      <c r="R24" s="342"/>
      <c r="S24" s="394">
        <f t="shared" si="0"/>
        <v>1925632</v>
      </c>
      <c r="T24" s="396"/>
    </row>
    <row r="25" spans="2:20" s="27" customFormat="1" ht="25.15" customHeight="1" x14ac:dyDescent="0.2">
      <c r="B25" s="427">
        <v>2016</v>
      </c>
      <c r="C25" s="304">
        <v>20</v>
      </c>
      <c r="D25" s="345"/>
      <c r="E25" s="304">
        <v>21</v>
      </c>
      <c r="F25" s="304"/>
      <c r="G25" s="394">
        <f t="shared" si="2"/>
        <v>41</v>
      </c>
      <c r="H25" s="395"/>
      <c r="I25" s="304">
        <v>7826</v>
      </c>
      <c r="J25" s="341"/>
      <c r="K25" s="304">
        <v>12637</v>
      </c>
      <c r="L25" s="304"/>
      <c r="M25" s="394">
        <f t="shared" si="1"/>
        <v>20463</v>
      </c>
      <c r="N25" s="396"/>
      <c r="O25" s="344">
        <v>85736</v>
      </c>
      <c r="P25" s="342"/>
      <c r="Q25" s="344">
        <v>2998320</v>
      </c>
      <c r="R25" s="342"/>
      <c r="S25" s="394">
        <f t="shared" si="0"/>
        <v>3084056</v>
      </c>
      <c r="T25" s="396"/>
    </row>
    <row r="26" spans="2:20" s="27" customFormat="1" ht="25.15" customHeight="1" x14ac:dyDescent="0.2">
      <c r="B26" s="427">
        <v>2017</v>
      </c>
      <c r="C26" s="304">
        <v>18</v>
      </c>
      <c r="D26" s="345"/>
      <c r="E26" s="304">
        <v>27</v>
      </c>
      <c r="F26" s="304"/>
      <c r="G26" s="394">
        <f>SUM(C26+E26)</f>
        <v>45</v>
      </c>
      <c r="H26" s="395"/>
      <c r="I26" s="304">
        <v>21185</v>
      </c>
      <c r="J26" s="341"/>
      <c r="K26" s="304">
        <v>35425</v>
      </c>
      <c r="L26" s="304"/>
      <c r="M26" s="394">
        <f>SUM(I26+K26)</f>
        <v>56610</v>
      </c>
      <c r="N26" s="396"/>
      <c r="O26" s="344">
        <v>286956</v>
      </c>
      <c r="P26" s="342"/>
      <c r="Q26" s="344">
        <v>2719538</v>
      </c>
      <c r="R26" s="342"/>
      <c r="S26" s="394">
        <f>SUM(O26+Q26)</f>
        <v>3006494</v>
      </c>
      <c r="T26" s="396"/>
    </row>
    <row r="27" spans="2:20" s="27" customFormat="1" ht="25.15" customHeight="1" x14ac:dyDescent="0.2">
      <c r="B27" s="427">
        <v>2018</v>
      </c>
      <c r="C27" s="304">
        <v>24</v>
      </c>
      <c r="D27" s="345"/>
      <c r="E27" s="304">
        <v>30</v>
      </c>
      <c r="F27" s="304"/>
      <c r="G27" s="394">
        <f t="shared" si="2"/>
        <v>54</v>
      </c>
      <c r="H27" s="395"/>
      <c r="I27" s="304">
        <f>7197+250</f>
        <v>7447</v>
      </c>
      <c r="J27" s="341"/>
      <c r="K27" s="304">
        <v>14049</v>
      </c>
      <c r="L27" s="304"/>
      <c r="M27" s="394">
        <f t="shared" si="1"/>
        <v>21496</v>
      </c>
      <c r="N27" s="396"/>
      <c r="O27" s="344">
        <f>90310+2000</f>
        <v>92310</v>
      </c>
      <c r="P27" s="342"/>
      <c r="Q27" s="344">
        <v>646554</v>
      </c>
      <c r="R27" s="342"/>
      <c r="S27" s="394">
        <f t="shared" si="0"/>
        <v>738864</v>
      </c>
      <c r="T27" s="396"/>
    </row>
    <row r="28" spans="2:20" s="27" customFormat="1" ht="25.15" customHeight="1" x14ac:dyDescent="0.2">
      <c r="B28" s="427">
        <v>2019</v>
      </c>
      <c r="C28" s="304">
        <v>36</v>
      </c>
      <c r="D28" s="345"/>
      <c r="E28" s="304">
        <v>31</v>
      </c>
      <c r="F28" s="304"/>
      <c r="G28" s="394">
        <f t="shared" ref="G28:G32" si="3">SUM(C28+E28)</f>
        <v>67</v>
      </c>
      <c r="H28" s="395"/>
      <c r="I28" s="304">
        <v>86311</v>
      </c>
      <c r="J28" s="341"/>
      <c r="K28" s="304">
        <v>23843</v>
      </c>
      <c r="L28" s="304"/>
      <c r="M28" s="394">
        <f t="shared" ref="M28:M32" si="4">SUM(I28+K28)</f>
        <v>110154</v>
      </c>
      <c r="N28" s="396"/>
      <c r="O28" s="344">
        <v>770232</v>
      </c>
      <c r="P28" s="342"/>
      <c r="Q28" s="344">
        <v>1315624</v>
      </c>
      <c r="R28" s="342"/>
      <c r="S28" s="394">
        <f t="shared" ref="S28:S32" si="5">SUM(O28+Q28)</f>
        <v>2085856</v>
      </c>
      <c r="T28" s="396"/>
    </row>
    <row r="29" spans="2:20" s="27" customFormat="1" ht="25.15" customHeight="1" x14ac:dyDescent="0.2">
      <c r="B29" s="427">
        <v>2020</v>
      </c>
      <c r="C29" s="304">
        <v>15</v>
      </c>
      <c r="D29" s="345"/>
      <c r="E29" s="304">
        <v>8</v>
      </c>
      <c r="F29" s="304"/>
      <c r="G29" s="394">
        <f t="shared" si="3"/>
        <v>23</v>
      </c>
      <c r="H29" s="395"/>
      <c r="I29" s="304">
        <v>31143</v>
      </c>
      <c r="J29" s="341"/>
      <c r="K29" s="304">
        <v>96725</v>
      </c>
      <c r="L29" s="304"/>
      <c r="M29" s="394">
        <f t="shared" si="4"/>
        <v>127868</v>
      </c>
      <c r="N29" s="396"/>
      <c r="O29" s="344">
        <v>544528</v>
      </c>
      <c r="P29" s="342"/>
      <c r="Q29" s="344">
        <v>3108656</v>
      </c>
      <c r="R29" s="342"/>
      <c r="S29" s="394">
        <f t="shared" si="5"/>
        <v>3653184</v>
      </c>
      <c r="T29" s="396"/>
    </row>
    <row r="30" spans="2:20" s="27" customFormat="1" ht="25.15" customHeight="1" x14ac:dyDescent="0.2">
      <c r="B30" s="427">
        <v>2021</v>
      </c>
      <c r="C30" s="304">
        <v>12</v>
      </c>
      <c r="D30" s="345"/>
      <c r="E30" s="304">
        <v>26</v>
      </c>
      <c r="F30" s="304"/>
      <c r="G30" s="394">
        <f t="shared" si="3"/>
        <v>38</v>
      </c>
      <c r="H30" s="395"/>
      <c r="I30" s="304">
        <v>201861</v>
      </c>
      <c r="J30" s="341"/>
      <c r="K30" s="304">
        <v>7281</v>
      </c>
      <c r="L30" s="304"/>
      <c r="M30" s="394">
        <f t="shared" si="4"/>
        <v>209142</v>
      </c>
      <c r="N30" s="396"/>
      <c r="O30" s="344">
        <v>2393352</v>
      </c>
      <c r="P30" s="342"/>
      <c r="Q30" s="344">
        <v>633888</v>
      </c>
      <c r="R30" s="342"/>
      <c r="S30" s="394">
        <f t="shared" si="5"/>
        <v>3027240</v>
      </c>
      <c r="T30" s="396"/>
    </row>
    <row r="31" spans="2:20" s="27" customFormat="1" ht="25.15" customHeight="1" x14ac:dyDescent="0.2">
      <c r="B31" s="427">
        <v>2022</v>
      </c>
      <c r="C31" s="304">
        <v>11</v>
      </c>
      <c r="D31" s="345"/>
      <c r="E31" s="304">
        <v>30</v>
      </c>
      <c r="F31" s="304"/>
      <c r="G31" s="394">
        <f t="shared" si="3"/>
        <v>41</v>
      </c>
      <c r="H31" s="395"/>
      <c r="I31" s="304">
        <v>9295</v>
      </c>
      <c r="J31" s="341"/>
      <c r="K31" s="304">
        <v>19850</v>
      </c>
      <c r="L31" s="304"/>
      <c r="M31" s="394">
        <f t="shared" si="4"/>
        <v>29145</v>
      </c>
      <c r="N31" s="396"/>
      <c r="O31" s="344">
        <v>103332</v>
      </c>
      <c r="P31" s="342"/>
      <c r="Q31" s="344">
        <v>2019600</v>
      </c>
      <c r="R31" s="342"/>
      <c r="S31" s="394">
        <f t="shared" si="5"/>
        <v>2122932</v>
      </c>
      <c r="T31" s="396"/>
    </row>
    <row r="32" spans="2:20" s="27" customFormat="1" ht="25.15" customHeight="1" x14ac:dyDescent="0.2">
      <c r="B32" s="427">
        <v>2023</v>
      </c>
      <c r="C32" s="304">
        <v>27</v>
      </c>
      <c r="D32" s="345"/>
      <c r="E32" s="304">
        <v>28</v>
      </c>
      <c r="F32" s="304"/>
      <c r="G32" s="394">
        <f t="shared" si="3"/>
        <v>55</v>
      </c>
      <c r="H32" s="395"/>
      <c r="I32" s="304">
        <v>68604</v>
      </c>
      <c r="J32" s="341"/>
      <c r="K32" s="304">
        <v>9279</v>
      </c>
      <c r="L32" s="304"/>
      <c r="M32" s="394">
        <f t="shared" si="4"/>
        <v>77883</v>
      </c>
      <c r="N32" s="396"/>
      <c r="O32" s="344">
        <v>844848</v>
      </c>
      <c r="P32" s="342"/>
      <c r="Q32" s="344">
        <v>617161</v>
      </c>
      <c r="R32" s="342"/>
      <c r="S32" s="394">
        <f t="shared" si="5"/>
        <v>1462009</v>
      </c>
      <c r="T32" s="396"/>
    </row>
    <row r="33" spans="2:45" s="27" customFormat="1" ht="25.15" customHeight="1" x14ac:dyDescent="0.2">
      <c r="B33" s="427">
        <v>2024</v>
      </c>
      <c r="C33" s="304">
        <v>28</v>
      </c>
      <c r="D33" s="345"/>
      <c r="E33" s="304">
        <v>35</v>
      </c>
      <c r="F33" s="304"/>
      <c r="G33" s="394">
        <f t="shared" si="2"/>
        <v>63</v>
      </c>
      <c r="H33" s="395"/>
      <c r="I33" s="304">
        <v>37409</v>
      </c>
      <c r="J33" s="341"/>
      <c r="K33" s="304">
        <v>39295</v>
      </c>
      <c r="L33" s="304"/>
      <c r="M33" s="394">
        <f t="shared" si="1"/>
        <v>76704</v>
      </c>
      <c r="N33" s="396"/>
      <c r="O33" s="344">
        <v>328408</v>
      </c>
      <c r="P33" s="342"/>
      <c r="Q33" s="344">
        <v>1967108</v>
      </c>
      <c r="R33" s="342"/>
      <c r="S33" s="394">
        <f t="shared" si="0"/>
        <v>2295516</v>
      </c>
      <c r="T33" s="396"/>
    </row>
    <row r="34" spans="2:45" s="27" customFormat="1" ht="16.5" customHeight="1" x14ac:dyDescent="0.2">
      <c r="B34" s="427"/>
      <c r="C34" s="304"/>
      <c r="D34" s="345"/>
      <c r="E34" s="304"/>
      <c r="F34" s="341"/>
      <c r="G34" s="394"/>
      <c r="H34" s="395"/>
      <c r="I34" s="304"/>
      <c r="J34" s="341"/>
      <c r="K34" s="304"/>
      <c r="L34" s="342"/>
      <c r="M34" s="394"/>
      <c r="N34" s="396"/>
      <c r="O34" s="304"/>
      <c r="P34" s="342"/>
      <c r="Q34" s="344"/>
      <c r="R34" s="342"/>
      <c r="S34" s="394"/>
      <c r="T34" s="396"/>
    </row>
    <row r="35" spans="2:45" s="1" customFormat="1" ht="25.9" customHeight="1" x14ac:dyDescent="0.2">
      <c r="B35" s="11" t="s">
        <v>245</v>
      </c>
      <c r="C35" s="12"/>
      <c r="D35" s="12"/>
      <c r="E35" s="12"/>
      <c r="F35" s="12"/>
      <c r="G35" s="13"/>
      <c r="H35" s="12"/>
      <c r="I35" s="12"/>
      <c r="Y35" s="14"/>
      <c r="Z35" s="10"/>
      <c r="AA35" s="14"/>
      <c r="AB35" s="15"/>
      <c r="AC35" s="14"/>
      <c r="AD35" s="15"/>
    </row>
    <row r="36" spans="2:45" s="1" customFormat="1" ht="30" customHeight="1" x14ac:dyDescent="0.2">
      <c r="B36" s="16" t="s">
        <v>296</v>
      </c>
      <c r="C36" s="17"/>
      <c r="D36" s="17"/>
      <c r="E36" s="17"/>
      <c r="F36" s="17"/>
      <c r="G36" s="17"/>
      <c r="H36" s="18"/>
      <c r="I36" s="18"/>
      <c r="J36" s="18"/>
      <c r="K36" s="18"/>
      <c r="Z36" s="19"/>
      <c r="AA36" s="20"/>
      <c r="AB36" s="19"/>
      <c r="AC36" s="20"/>
      <c r="AD36" s="21"/>
    </row>
    <row r="37" spans="2:45" s="1" customFormat="1" ht="30" customHeight="1" x14ac:dyDescent="0.2">
      <c r="B37" s="22" t="s">
        <v>279</v>
      </c>
      <c r="D37" s="23"/>
      <c r="E37" s="24"/>
      <c r="F37" s="23"/>
      <c r="G37" s="25"/>
      <c r="H37" s="26"/>
      <c r="I37" s="27"/>
      <c r="J37" s="27"/>
    </row>
    <row r="38" spans="2:45" ht="40.9" customHeight="1" x14ac:dyDescent="0.2">
      <c r="B38" s="810" t="s">
        <v>243</v>
      </c>
      <c r="C38" s="810"/>
      <c r="D38" s="810"/>
      <c r="E38" s="810"/>
      <c r="F38" s="810"/>
      <c r="G38" s="810"/>
      <c r="H38" s="810"/>
      <c r="I38" s="810"/>
      <c r="J38" s="810"/>
      <c r="K38" s="810"/>
      <c r="L38" s="810"/>
      <c r="M38" s="810"/>
      <c r="N38" s="810"/>
      <c r="O38" s="810"/>
      <c r="P38" s="810"/>
      <c r="Q38" s="810"/>
      <c r="R38" s="810"/>
      <c r="S38" s="810"/>
      <c r="T38" s="810"/>
      <c r="U38" s="157"/>
      <c r="V38" s="157"/>
      <c r="W38" s="157"/>
      <c r="X38" s="157"/>
      <c r="Y38" s="157"/>
      <c r="Z38" s="157"/>
      <c r="AA38" s="157"/>
      <c r="AB38" s="157"/>
      <c r="AC38" s="157"/>
      <c r="AD38" s="157"/>
      <c r="AE38" s="157"/>
      <c r="AF38" s="157"/>
      <c r="AG38" s="157"/>
      <c r="AH38" s="157"/>
      <c r="AI38" s="157"/>
      <c r="AJ38" s="157"/>
      <c r="AK38" s="157"/>
      <c r="AL38" s="157"/>
      <c r="AM38" s="157"/>
      <c r="AN38" s="157"/>
      <c r="AO38" s="157"/>
      <c r="AP38" s="157"/>
      <c r="AQ38" s="157"/>
      <c r="AR38" s="157"/>
      <c r="AS38" s="157"/>
    </row>
  </sheetData>
  <mergeCells count="22">
    <mergeCell ref="C6:D6"/>
    <mergeCell ref="E6:F6"/>
    <mergeCell ref="Q6:R6"/>
    <mergeCell ref="K7:L7"/>
    <mergeCell ref="G6:H7"/>
    <mergeCell ref="Q7:R7"/>
    <mergeCell ref="B38:T38"/>
    <mergeCell ref="B1:T1"/>
    <mergeCell ref="B3:T3"/>
    <mergeCell ref="B4:T4"/>
    <mergeCell ref="B5:B7"/>
    <mergeCell ref="C5:H5"/>
    <mergeCell ref="O5:T5"/>
    <mergeCell ref="C7:D7"/>
    <mergeCell ref="O6:P6"/>
    <mergeCell ref="O7:P7"/>
    <mergeCell ref="S6:T7"/>
    <mergeCell ref="M6:N7"/>
    <mergeCell ref="E7:F7"/>
    <mergeCell ref="I7:J7"/>
    <mergeCell ref="I6:J6"/>
    <mergeCell ref="K6:L6"/>
  </mergeCells>
  <phoneticPr fontId="2" type="noConversion"/>
  <printOptions horizontalCentered="1" verticalCentered="1"/>
  <pageMargins left="0" right="0" top="0" bottom="0" header="0" footer="0"/>
  <pageSetup paperSize="9" scale="45" orientation="landscape" r:id="rId1"/>
  <headerFooter alignWithMargins="0"/>
  <rowBreaks count="1" manualBreakCount="1">
    <brk id="38" min="1" max="19" man="1"/>
  </rowBreaks>
  <ignoredErrors>
    <ignoredError sqref="G13"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AS38"/>
  <sheetViews>
    <sheetView showGridLines="0" view="pageBreakPreview" zoomScale="70" zoomScaleNormal="68" zoomScaleSheetLayoutView="70" workbookViewId="0">
      <selection activeCell="I18" sqref="I18"/>
    </sheetView>
  </sheetViews>
  <sheetFormatPr baseColWidth="10" defaultColWidth="11.5703125" defaultRowHeight="12.75" x14ac:dyDescent="0.2"/>
  <cols>
    <col min="1" max="1" width="11.5703125" style="49"/>
    <col min="2" max="2" width="15.140625" style="49" customWidth="1"/>
    <col min="3" max="3" width="10.7109375" style="49" customWidth="1"/>
    <col min="4" max="4" width="4.7109375" style="49" customWidth="1"/>
    <col min="5" max="5" width="17.85546875" style="49" customWidth="1"/>
    <col min="6" max="6" width="4.7109375" style="49" customWidth="1"/>
    <col min="7" max="7" width="12.7109375" style="49" customWidth="1"/>
    <col min="8" max="8" width="4.7109375" style="49" customWidth="1"/>
    <col min="9" max="9" width="12.28515625" style="49" customWidth="1"/>
    <col min="10" max="10" width="4.7109375" style="49" customWidth="1"/>
    <col min="11" max="11" width="16" style="49" customWidth="1"/>
    <col min="12" max="12" width="4.7109375" style="49" customWidth="1"/>
    <col min="13" max="13" width="12.7109375" style="49" customWidth="1"/>
    <col min="14" max="14" width="4.7109375" style="49" customWidth="1"/>
    <col min="15" max="15" width="12.7109375" style="49" customWidth="1"/>
    <col min="16" max="16" width="4.7109375" style="49" customWidth="1"/>
    <col min="17" max="17" width="15.140625" style="49" customWidth="1"/>
    <col min="18" max="18" width="4.7109375" style="49" customWidth="1"/>
    <col min="19" max="19" width="15.7109375" style="49" customWidth="1"/>
    <col min="20" max="20" width="4.7109375" style="49" customWidth="1"/>
    <col min="21" max="16384" width="11.5703125" style="49"/>
  </cols>
  <sheetData>
    <row r="1" spans="2:27" ht="29.25" customHeight="1" x14ac:dyDescent="0.2">
      <c r="B1" s="803" t="s">
        <v>139</v>
      </c>
      <c r="C1" s="803"/>
      <c r="D1" s="803"/>
      <c r="E1" s="803"/>
      <c r="F1" s="803"/>
      <c r="G1" s="803"/>
      <c r="H1" s="803"/>
      <c r="I1" s="803"/>
      <c r="J1" s="803"/>
      <c r="K1" s="803"/>
      <c r="L1" s="803"/>
      <c r="M1" s="803"/>
      <c r="N1" s="803"/>
      <c r="O1" s="803"/>
      <c r="P1" s="803"/>
      <c r="Q1" s="803"/>
      <c r="R1" s="803"/>
      <c r="S1" s="803"/>
      <c r="T1" s="803"/>
      <c r="U1" s="1"/>
      <c r="V1" s="1"/>
      <c r="W1" s="1"/>
      <c r="X1" s="1"/>
      <c r="Y1" s="1"/>
      <c r="Z1" s="1"/>
      <c r="AA1" s="1"/>
    </row>
    <row r="2" spans="2:27" ht="35.1" customHeight="1" x14ac:dyDescent="0.2">
      <c r="B2" s="805" t="s">
        <v>145</v>
      </c>
      <c r="C2" s="805"/>
      <c r="D2" s="805"/>
      <c r="E2" s="805"/>
      <c r="F2" s="805"/>
      <c r="G2" s="805"/>
      <c r="H2" s="805"/>
      <c r="I2" s="805"/>
      <c r="J2" s="805"/>
      <c r="K2" s="805"/>
      <c r="L2" s="805"/>
      <c r="M2" s="805"/>
      <c r="N2" s="805"/>
      <c r="O2" s="805"/>
      <c r="P2" s="805"/>
      <c r="Q2" s="805"/>
      <c r="R2" s="805"/>
      <c r="S2" s="805"/>
      <c r="T2" s="1"/>
      <c r="U2" s="1"/>
      <c r="V2" s="1"/>
      <c r="W2" s="1"/>
      <c r="X2" s="1"/>
      <c r="Y2" s="1"/>
      <c r="Z2" s="1"/>
      <c r="AA2" s="1"/>
    </row>
    <row r="3" spans="2:27" ht="35.1" customHeight="1" x14ac:dyDescent="0.2">
      <c r="B3" s="804" t="s">
        <v>267</v>
      </c>
      <c r="C3" s="804"/>
      <c r="D3" s="804"/>
      <c r="E3" s="804"/>
      <c r="F3" s="804"/>
      <c r="G3" s="804"/>
      <c r="H3" s="804"/>
      <c r="I3" s="804"/>
      <c r="J3" s="804"/>
      <c r="K3" s="804"/>
      <c r="L3" s="804"/>
      <c r="M3" s="804"/>
      <c r="N3" s="804"/>
      <c r="O3" s="804"/>
      <c r="P3" s="804"/>
      <c r="Q3" s="804"/>
      <c r="R3" s="804"/>
      <c r="S3" s="804"/>
      <c r="T3" s="804"/>
      <c r="U3" s="1"/>
      <c r="V3" s="973"/>
      <c r="W3" s="973"/>
      <c r="X3" s="973"/>
      <c r="Y3" s="973"/>
      <c r="Z3" s="973"/>
      <c r="AA3" s="1"/>
    </row>
    <row r="4" spans="2:27" ht="35.1" customHeight="1" thickBot="1" x14ac:dyDescent="0.25">
      <c r="B4" s="803" t="s">
        <v>312</v>
      </c>
      <c r="C4" s="803"/>
      <c r="D4" s="803"/>
      <c r="E4" s="803"/>
      <c r="F4" s="803"/>
      <c r="G4" s="803"/>
      <c r="H4" s="803"/>
      <c r="I4" s="803"/>
      <c r="J4" s="803"/>
      <c r="K4" s="803"/>
      <c r="L4" s="803"/>
      <c r="M4" s="803"/>
      <c r="N4" s="803"/>
      <c r="O4" s="803"/>
      <c r="P4" s="803"/>
      <c r="Q4" s="803"/>
      <c r="R4" s="803"/>
      <c r="S4" s="803"/>
      <c r="T4" s="803"/>
      <c r="U4" s="29"/>
      <c r="V4" s="217"/>
      <c r="W4" s="217"/>
      <c r="X4" s="29"/>
      <c r="Y4" s="218"/>
      <c r="Z4" s="217"/>
      <c r="AA4" s="1"/>
    </row>
    <row r="5" spans="2:27" ht="30" customHeight="1" thickBot="1" x14ac:dyDescent="0.25">
      <c r="B5" s="952" t="s">
        <v>1</v>
      </c>
      <c r="C5" s="952" t="s">
        <v>2</v>
      </c>
      <c r="D5" s="952"/>
      <c r="E5" s="952"/>
      <c r="F5" s="952"/>
      <c r="G5" s="952"/>
      <c r="H5" s="952"/>
      <c r="I5" s="952" t="s">
        <v>11</v>
      </c>
      <c r="J5" s="952"/>
      <c r="K5" s="952"/>
      <c r="L5" s="952"/>
      <c r="M5" s="952"/>
      <c r="N5" s="952"/>
      <c r="O5" s="952" t="s">
        <v>12</v>
      </c>
      <c r="P5" s="952"/>
      <c r="Q5" s="952"/>
      <c r="R5" s="952"/>
      <c r="S5" s="952"/>
      <c r="T5" s="970"/>
      <c r="U5" s="1"/>
      <c r="V5" s="81"/>
      <c r="W5" s="81"/>
      <c r="X5" s="1"/>
      <c r="Y5" s="81"/>
      <c r="Z5" s="81"/>
      <c r="AA5" s="1"/>
    </row>
    <row r="6" spans="2:27" ht="30" customHeight="1" thickBot="1" x14ac:dyDescent="0.25">
      <c r="B6" s="952"/>
      <c r="C6" s="969" t="s">
        <v>151</v>
      </c>
      <c r="D6" s="969"/>
      <c r="E6" s="969" t="s">
        <v>149</v>
      </c>
      <c r="F6" s="969"/>
      <c r="G6" s="952" t="s">
        <v>6</v>
      </c>
      <c r="H6" s="952"/>
      <c r="I6" s="969" t="s">
        <v>151</v>
      </c>
      <c r="J6" s="969"/>
      <c r="K6" s="969" t="s">
        <v>149</v>
      </c>
      <c r="L6" s="969"/>
      <c r="M6" s="952" t="s">
        <v>6</v>
      </c>
      <c r="N6" s="952"/>
      <c r="O6" s="969" t="s">
        <v>151</v>
      </c>
      <c r="P6" s="969"/>
      <c r="Q6" s="969" t="s">
        <v>149</v>
      </c>
      <c r="R6" s="969"/>
      <c r="S6" s="952" t="s">
        <v>6</v>
      </c>
      <c r="T6" s="970"/>
      <c r="U6" s="1"/>
      <c r="V6" s="81"/>
      <c r="W6" s="81"/>
      <c r="X6" s="1"/>
      <c r="Y6" s="81"/>
      <c r="Z6" s="81"/>
      <c r="AA6" s="1"/>
    </row>
    <row r="7" spans="2:27" ht="30" customHeight="1" x14ac:dyDescent="0.2">
      <c r="B7" s="953"/>
      <c r="C7" s="972" t="s">
        <v>152</v>
      </c>
      <c r="D7" s="972"/>
      <c r="E7" s="972" t="s">
        <v>150</v>
      </c>
      <c r="F7" s="972"/>
      <c r="G7" s="953"/>
      <c r="H7" s="953"/>
      <c r="I7" s="972" t="s">
        <v>152</v>
      </c>
      <c r="J7" s="972"/>
      <c r="K7" s="972" t="s">
        <v>150</v>
      </c>
      <c r="L7" s="972"/>
      <c r="M7" s="953"/>
      <c r="N7" s="953"/>
      <c r="O7" s="972" t="s">
        <v>152</v>
      </c>
      <c r="P7" s="972"/>
      <c r="Q7" s="972" t="s">
        <v>150</v>
      </c>
      <c r="R7" s="972"/>
      <c r="S7" s="953"/>
      <c r="T7" s="971"/>
      <c r="U7" s="1"/>
      <c r="V7" s="81"/>
      <c r="W7" s="81"/>
      <c r="X7" s="1"/>
      <c r="Y7" s="81"/>
      <c r="Z7" s="81"/>
      <c r="AA7" s="1"/>
    </row>
    <row r="8" spans="2:27" x14ac:dyDescent="0.2">
      <c r="B8" s="448"/>
      <c r="C8" s="401"/>
      <c r="D8" s="401"/>
      <c r="E8" s="401"/>
      <c r="F8" s="401"/>
      <c r="G8" s="402"/>
      <c r="H8" s="402"/>
      <c r="I8" s="401"/>
      <c r="J8" s="401"/>
      <c r="K8" s="401"/>
      <c r="L8" s="401"/>
      <c r="M8" s="402"/>
      <c r="N8" s="402"/>
      <c r="O8" s="401"/>
      <c r="P8" s="401"/>
      <c r="Q8" s="401"/>
      <c r="R8" s="401"/>
      <c r="S8" s="402"/>
      <c r="T8" s="51"/>
      <c r="U8" s="1"/>
      <c r="V8" s="81"/>
      <c r="W8" s="81"/>
      <c r="X8" s="1"/>
      <c r="Y8" s="81"/>
      <c r="Z8" s="81"/>
      <c r="AA8" s="1"/>
    </row>
    <row r="9" spans="2:27" ht="25.15" customHeight="1" x14ac:dyDescent="0.2">
      <c r="B9" s="414">
        <v>2000</v>
      </c>
      <c r="C9" s="84">
        <v>20</v>
      </c>
      <c r="D9" s="84"/>
      <c r="E9" s="84">
        <v>17</v>
      </c>
      <c r="F9" s="84"/>
      <c r="G9" s="380">
        <f t="shared" ref="G9:G19" si="0">SUM(C9:E9)</f>
        <v>37</v>
      </c>
      <c r="H9" s="380"/>
      <c r="I9" s="84">
        <v>2648</v>
      </c>
      <c r="J9" s="84"/>
      <c r="K9" s="84">
        <v>2632</v>
      </c>
      <c r="L9" s="84"/>
      <c r="M9" s="380">
        <f>SUM(I9:K9)</f>
        <v>5280</v>
      </c>
      <c r="N9" s="380"/>
      <c r="O9" s="84">
        <v>143992</v>
      </c>
      <c r="P9" s="84"/>
      <c r="Q9" s="84">
        <v>37699</v>
      </c>
      <c r="R9" s="84"/>
      <c r="S9" s="380">
        <f t="shared" ref="S9:S33" si="1">SUM(O9:Q9)</f>
        <v>181691</v>
      </c>
      <c r="T9" s="51"/>
      <c r="U9" s="1"/>
      <c r="V9" s="81"/>
      <c r="W9" s="81"/>
      <c r="X9" s="1"/>
      <c r="Y9" s="81"/>
      <c r="Z9" s="81"/>
      <c r="AA9" s="1"/>
    </row>
    <row r="10" spans="2:27" ht="25.15" customHeight="1" x14ac:dyDescent="0.2">
      <c r="B10" s="414">
        <v>2001</v>
      </c>
      <c r="C10" s="84">
        <v>19</v>
      </c>
      <c r="D10" s="84"/>
      <c r="E10" s="84">
        <v>21</v>
      </c>
      <c r="F10" s="84"/>
      <c r="G10" s="380">
        <f t="shared" si="0"/>
        <v>40</v>
      </c>
      <c r="H10" s="380"/>
      <c r="I10" s="84">
        <v>3497</v>
      </c>
      <c r="J10" s="84"/>
      <c r="K10" s="84">
        <v>7553</v>
      </c>
      <c r="L10" s="84"/>
      <c r="M10" s="380">
        <f t="shared" ref="M10:M33" si="2">SUM(I10:K10)</f>
        <v>11050</v>
      </c>
      <c r="N10" s="380"/>
      <c r="O10" s="84">
        <v>286832</v>
      </c>
      <c r="P10" s="84"/>
      <c r="Q10" s="84">
        <v>202098</v>
      </c>
      <c r="R10" s="84"/>
      <c r="S10" s="380">
        <f t="shared" si="1"/>
        <v>488930</v>
      </c>
      <c r="T10" s="51"/>
      <c r="U10" s="1"/>
      <c r="V10" s="81"/>
      <c r="W10" s="81"/>
      <c r="X10" s="1"/>
      <c r="Y10" s="81"/>
      <c r="Z10" s="81"/>
      <c r="AA10" s="1"/>
    </row>
    <row r="11" spans="2:27" ht="25.15" customHeight="1" x14ac:dyDescent="0.2">
      <c r="B11" s="414">
        <v>2002</v>
      </c>
      <c r="C11" s="285">
        <v>25</v>
      </c>
      <c r="D11" s="285"/>
      <c r="E11" s="84">
        <v>39</v>
      </c>
      <c r="F11" s="84"/>
      <c r="G11" s="380">
        <f t="shared" si="0"/>
        <v>64</v>
      </c>
      <c r="H11" s="380"/>
      <c r="I11" s="285">
        <v>13352</v>
      </c>
      <c r="J11" s="285"/>
      <c r="K11" s="84">
        <v>9573</v>
      </c>
      <c r="L11" s="84"/>
      <c r="M11" s="380">
        <f t="shared" si="2"/>
        <v>22925</v>
      </c>
      <c r="N11" s="380"/>
      <c r="O11" s="285">
        <v>564416</v>
      </c>
      <c r="P11" s="285"/>
      <c r="Q11" s="84">
        <v>348232</v>
      </c>
      <c r="R11" s="84"/>
      <c r="S11" s="380">
        <f t="shared" si="1"/>
        <v>912648</v>
      </c>
      <c r="T11" s="51"/>
      <c r="U11" s="1"/>
      <c r="V11" s="81"/>
      <c r="W11" s="1"/>
      <c r="X11" s="1"/>
      <c r="Y11" s="81"/>
      <c r="Z11" s="81"/>
      <c r="AA11" s="1"/>
    </row>
    <row r="12" spans="2:27" ht="25.15" customHeight="1" x14ac:dyDescent="0.2">
      <c r="B12" s="414">
        <v>2003</v>
      </c>
      <c r="C12" s="285">
        <v>23</v>
      </c>
      <c r="D12" s="285"/>
      <c r="E12" s="84">
        <v>45</v>
      </c>
      <c r="F12" s="84"/>
      <c r="G12" s="380">
        <f t="shared" si="0"/>
        <v>68</v>
      </c>
      <c r="H12" s="380"/>
      <c r="I12" s="285">
        <v>23499</v>
      </c>
      <c r="J12" s="285"/>
      <c r="K12" s="84">
        <v>13824</v>
      </c>
      <c r="L12" s="84"/>
      <c r="M12" s="380">
        <f>SUM(I12:K12)</f>
        <v>37323</v>
      </c>
      <c r="N12" s="380"/>
      <c r="O12" s="285">
        <v>686832</v>
      </c>
      <c r="P12" s="285"/>
      <c r="Q12" s="84">
        <v>194530</v>
      </c>
      <c r="R12" s="84"/>
      <c r="S12" s="380">
        <f t="shared" si="1"/>
        <v>881362</v>
      </c>
      <c r="T12" s="51"/>
      <c r="U12" s="1"/>
      <c r="V12" s="81"/>
      <c r="W12" s="81"/>
      <c r="X12" s="1"/>
      <c r="Y12" s="81"/>
      <c r="Z12" s="81"/>
      <c r="AA12" s="1"/>
    </row>
    <row r="13" spans="2:27" ht="25.15" customHeight="1" x14ac:dyDescent="0.2">
      <c r="B13" s="414">
        <v>2004</v>
      </c>
      <c r="C13" s="84">
        <v>62</v>
      </c>
      <c r="D13" s="84"/>
      <c r="E13" s="84">
        <v>45</v>
      </c>
      <c r="F13" s="84"/>
      <c r="G13" s="380">
        <f t="shared" si="0"/>
        <v>107</v>
      </c>
      <c r="H13" s="380"/>
      <c r="I13" s="285">
        <v>15892</v>
      </c>
      <c r="J13" s="285"/>
      <c r="K13" s="84">
        <v>13381</v>
      </c>
      <c r="L13" s="84"/>
      <c r="M13" s="380">
        <f t="shared" si="2"/>
        <v>29273</v>
      </c>
      <c r="N13" s="380"/>
      <c r="O13" s="285">
        <v>436696</v>
      </c>
      <c r="P13" s="285"/>
      <c r="Q13" s="84">
        <v>145632</v>
      </c>
      <c r="R13" s="84"/>
      <c r="S13" s="380">
        <f t="shared" si="1"/>
        <v>582328</v>
      </c>
      <c r="T13" s="51"/>
      <c r="U13" s="1"/>
      <c r="V13" s="81"/>
      <c r="W13" s="81"/>
      <c r="X13" s="1"/>
      <c r="Y13" s="81"/>
      <c r="Z13" s="81"/>
      <c r="AA13" s="1"/>
    </row>
    <row r="14" spans="2:27" ht="25.15" customHeight="1" x14ac:dyDescent="0.2">
      <c r="B14" s="414">
        <v>2005</v>
      </c>
      <c r="C14" s="84">
        <v>35</v>
      </c>
      <c r="D14" s="84"/>
      <c r="E14" s="84">
        <v>30</v>
      </c>
      <c r="F14" s="84"/>
      <c r="G14" s="380">
        <f t="shared" si="0"/>
        <v>65</v>
      </c>
      <c r="H14" s="380"/>
      <c r="I14" s="285">
        <v>5879</v>
      </c>
      <c r="J14" s="285"/>
      <c r="K14" s="84">
        <v>13143</v>
      </c>
      <c r="L14" s="84"/>
      <c r="M14" s="380">
        <f t="shared" si="2"/>
        <v>19022</v>
      </c>
      <c r="N14" s="380"/>
      <c r="O14" s="285">
        <v>186448</v>
      </c>
      <c r="P14" s="285"/>
      <c r="Q14" s="84">
        <v>292290</v>
      </c>
      <c r="R14" s="84"/>
      <c r="S14" s="380">
        <f t="shared" si="1"/>
        <v>478738</v>
      </c>
      <c r="T14" s="51"/>
      <c r="U14" s="1"/>
      <c r="V14" s="81"/>
      <c r="W14" s="81"/>
      <c r="X14" s="1"/>
      <c r="Y14" s="81"/>
      <c r="Z14" s="1"/>
      <c r="AA14" s="1"/>
    </row>
    <row r="15" spans="2:27" ht="25.15" customHeight="1" x14ac:dyDescent="0.2">
      <c r="B15" s="414">
        <v>2006</v>
      </c>
      <c r="C15" s="84">
        <v>39</v>
      </c>
      <c r="D15" s="84"/>
      <c r="E15" s="84">
        <v>28</v>
      </c>
      <c r="F15" s="84"/>
      <c r="G15" s="380">
        <f t="shared" si="0"/>
        <v>67</v>
      </c>
      <c r="H15" s="380"/>
      <c r="I15" s="285">
        <v>11491</v>
      </c>
      <c r="J15" s="285"/>
      <c r="K15" s="84">
        <v>8074</v>
      </c>
      <c r="L15" s="84"/>
      <c r="M15" s="380">
        <f t="shared" si="2"/>
        <v>19565</v>
      </c>
      <c r="N15" s="380"/>
      <c r="O15" s="285">
        <v>228112</v>
      </c>
      <c r="P15" s="285"/>
      <c r="Q15" s="84">
        <v>218472</v>
      </c>
      <c r="R15" s="84"/>
      <c r="S15" s="380">
        <f t="shared" si="1"/>
        <v>446584</v>
      </c>
      <c r="T15" s="51"/>
      <c r="U15" s="1"/>
      <c r="V15" s="81"/>
      <c r="W15" s="81"/>
      <c r="X15" s="1"/>
      <c r="Y15" s="81"/>
      <c r="Z15" s="1"/>
      <c r="AA15" s="1"/>
    </row>
    <row r="16" spans="2:27" ht="25.15" customHeight="1" x14ac:dyDescent="0.2">
      <c r="B16" s="414">
        <v>2007</v>
      </c>
      <c r="C16" s="84">
        <v>38</v>
      </c>
      <c r="D16" s="84"/>
      <c r="E16" s="84">
        <v>35</v>
      </c>
      <c r="F16" s="84"/>
      <c r="G16" s="380">
        <f t="shared" si="0"/>
        <v>73</v>
      </c>
      <c r="H16" s="380"/>
      <c r="I16" s="285">
        <v>35623</v>
      </c>
      <c r="J16" s="285"/>
      <c r="K16" s="84">
        <v>12473</v>
      </c>
      <c r="L16" s="84"/>
      <c r="M16" s="380">
        <f t="shared" si="2"/>
        <v>48096</v>
      </c>
      <c r="N16" s="380"/>
      <c r="O16" s="285">
        <v>1373552</v>
      </c>
      <c r="P16" s="285"/>
      <c r="Q16" s="84">
        <v>842968</v>
      </c>
      <c r="R16" s="84"/>
      <c r="S16" s="380">
        <f t="shared" si="1"/>
        <v>2216520</v>
      </c>
      <c r="T16" s="51"/>
      <c r="U16" s="1"/>
      <c r="V16" s="81"/>
      <c r="W16" s="81"/>
      <c r="X16" s="1"/>
      <c r="Y16" s="81"/>
      <c r="Z16" s="1"/>
      <c r="AA16" s="1"/>
    </row>
    <row r="17" spans="2:27" ht="25.15" customHeight="1" x14ac:dyDescent="0.2">
      <c r="B17" s="414">
        <v>2008</v>
      </c>
      <c r="C17" s="84">
        <v>41</v>
      </c>
      <c r="D17" s="84"/>
      <c r="E17" s="84">
        <v>22</v>
      </c>
      <c r="F17" s="84"/>
      <c r="G17" s="380">
        <f t="shared" si="0"/>
        <v>63</v>
      </c>
      <c r="H17" s="380"/>
      <c r="I17" s="285">
        <v>28325</v>
      </c>
      <c r="J17" s="285"/>
      <c r="K17" s="84">
        <v>5686</v>
      </c>
      <c r="L17" s="84"/>
      <c r="M17" s="380">
        <f t="shared" si="2"/>
        <v>34011</v>
      </c>
      <c r="N17" s="380"/>
      <c r="O17" s="285">
        <v>1406936</v>
      </c>
      <c r="P17" s="285"/>
      <c r="Q17" s="84">
        <v>114024</v>
      </c>
      <c r="R17" s="84"/>
      <c r="S17" s="380">
        <f t="shared" si="1"/>
        <v>1520960</v>
      </c>
      <c r="T17" s="51"/>
      <c r="U17" s="1"/>
      <c r="V17" s="81"/>
      <c r="W17" s="81"/>
      <c r="X17" s="1"/>
      <c r="Y17" s="81"/>
      <c r="Z17" s="1"/>
      <c r="AA17" s="1"/>
    </row>
    <row r="18" spans="2:27" ht="25.15" customHeight="1" x14ac:dyDescent="0.2">
      <c r="B18" s="414">
        <v>2009</v>
      </c>
      <c r="C18" s="84">
        <v>47</v>
      </c>
      <c r="D18" s="84"/>
      <c r="E18" s="84">
        <v>52</v>
      </c>
      <c r="F18" s="84"/>
      <c r="G18" s="380">
        <f>SUM(C18:E18)</f>
        <v>99</v>
      </c>
      <c r="H18" s="380"/>
      <c r="I18" s="285">
        <v>19740</v>
      </c>
      <c r="J18" s="285"/>
      <c r="K18" s="84">
        <v>16374</v>
      </c>
      <c r="L18" s="84"/>
      <c r="M18" s="380">
        <f t="shared" si="2"/>
        <v>36114</v>
      </c>
      <c r="N18" s="380"/>
      <c r="O18" s="285">
        <v>1104912</v>
      </c>
      <c r="P18" s="285"/>
      <c r="Q18" s="84">
        <v>347554</v>
      </c>
      <c r="R18" s="84"/>
      <c r="S18" s="380">
        <f t="shared" si="1"/>
        <v>1452466</v>
      </c>
      <c r="T18" s="51"/>
      <c r="U18" s="1"/>
      <c r="V18" s="81"/>
      <c r="W18" s="81"/>
      <c r="X18" s="1"/>
      <c r="Y18" s="81"/>
      <c r="Z18" s="1"/>
      <c r="AA18" s="1"/>
    </row>
    <row r="19" spans="2:27" ht="25.15" customHeight="1" x14ac:dyDescent="0.2">
      <c r="B19" s="414">
        <v>2010</v>
      </c>
      <c r="C19" s="84">
        <v>77</v>
      </c>
      <c r="D19" s="84"/>
      <c r="E19" s="84">
        <v>6</v>
      </c>
      <c r="F19" s="84"/>
      <c r="G19" s="380">
        <f t="shared" si="0"/>
        <v>83</v>
      </c>
      <c r="H19" s="380"/>
      <c r="I19" s="285">
        <v>28677</v>
      </c>
      <c r="J19" s="285"/>
      <c r="K19" s="84">
        <v>1929</v>
      </c>
      <c r="L19" s="84"/>
      <c r="M19" s="380">
        <f t="shared" si="2"/>
        <v>30606</v>
      </c>
      <c r="N19" s="380"/>
      <c r="O19" s="285">
        <v>1217468</v>
      </c>
      <c r="P19" s="285"/>
      <c r="Q19" s="84">
        <v>61912</v>
      </c>
      <c r="R19" s="84"/>
      <c r="S19" s="380">
        <f t="shared" si="1"/>
        <v>1279380</v>
      </c>
      <c r="T19" s="51"/>
      <c r="U19" s="1"/>
      <c r="V19" s="81"/>
      <c r="W19" s="81"/>
      <c r="X19" s="1"/>
      <c r="Y19" s="81"/>
      <c r="Z19" s="1"/>
      <c r="AA19" s="1"/>
    </row>
    <row r="20" spans="2:27" ht="25.15" customHeight="1" x14ac:dyDescent="0.2">
      <c r="B20" s="414">
        <v>2011</v>
      </c>
      <c r="C20" s="84">
        <v>66</v>
      </c>
      <c r="D20" s="84"/>
      <c r="E20" s="84">
        <v>18</v>
      </c>
      <c r="F20" s="84"/>
      <c r="G20" s="380">
        <f t="shared" ref="G20:G33" si="3">SUM(C20:E20)</f>
        <v>84</v>
      </c>
      <c r="H20" s="380"/>
      <c r="I20" s="285">
        <v>23310</v>
      </c>
      <c r="J20" s="285"/>
      <c r="K20" s="84">
        <v>3460</v>
      </c>
      <c r="L20" s="84"/>
      <c r="M20" s="380">
        <f t="shared" si="2"/>
        <v>26770</v>
      </c>
      <c r="N20" s="380"/>
      <c r="O20" s="285">
        <v>1742616</v>
      </c>
      <c r="P20" s="285"/>
      <c r="Q20" s="84">
        <v>56800</v>
      </c>
      <c r="R20" s="84"/>
      <c r="S20" s="380">
        <f t="shared" si="1"/>
        <v>1799416</v>
      </c>
      <c r="T20" s="51"/>
      <c r="U20" s="1"/>
      <c r="V20" s="81"/>
      <c r="W20" s="81"/>
      <c r="X20" s="1"/>
      <c r="Y20" s="81"/>
      <c r="Z20" s="1"/>
      <c r="AA20" s="1"/>
    </row>
    <row r="21" spans="2:27" ht="25.15" customHeight="1" x14ac:dyDescent="0.2">
      <c r="B21" s="414">
        <v>2012</v>
      </c>
      <c r="C21" s="84">
        <v>65</v>
      </c>
      <c r="D21" s="84"/>
      <c r="E21" s="84">
        <v>24</v>
      </c>
      <c r="F21" s="84"/>
      <c r="G21" s="380">
        <f t="shared" si="3"/>
        <v>89</v>
      </c>
      <c r="H21" s="380"/>
      <c r="I21" s="285">
        <v>21740</v>
      </c>
      <c r="J21" s="285"/>
      <c r="K21" s="84">
        <v>4105</v>
      </c>
      <c r="L21" s="84"/>
      <c r="M21" s="380">
        <f>SUM(I21:K21)</f>
        <v>25845</v>
      </c>
      <c r="N21" s="380"/>
      <c r="O21" s="285">
        <v>1827426</v>
      </c>
      <c r="P21" s="285"/>
      <c r="Q21" s="84">
        <v>51270</v>
      </c>
      <c r="R21" s="84"/>
      <c r="S21" s="380">
        <f t="shared" si="1"/>
        <v>1878696</v>
      </c>
      <c r="T21" s="51"/>
      <c r="U21" s="1"/>
      <c r="V21" s="81"/>
      <c r="W21" s="81"/>
      <c r="X21" s="1"/>
      <c r="Y21" s="81"/>
      <c r="Z21" s="1"/>
      <c r="AA21" s="1"/>
    </row>
    <row r="22" spans="2:27" ht="25.15" customHeight="1" x14ac:dyDescent="0.2">
      <c r="B22" s="414">
        <v>2013</v>
      </c>
      <c r="C22" s="84">
        <v>89</v>
      </c>
      <c r="D22" s="84"/>
      <c r="E22" s="84">
        <v>5</v>
      </c>
      <c r="F22" s="84"/>
      <c r="G22" s="380">
        <f t="shared" si="3"/>
        <v>94</v>
      </c>
      <c r="H22" s="380"/>
      <c r="I22" s="285">
        <v>25934</v>
      </c>
      <c r="J22" s="285"/>
      <c r="K22" s="84">
        <v>802</v>
      </c>
      <c r="L22" s="84"/>
      <c r="M22" s="380">
        <f t="shared" si="2"/>
        <v>26736</v>
      </c>
      <c r="N22" s="380"/>
      <c r="O22" s="285">
        <v>1558106</v>
      </c>
      <c r="P22" s="285"/>
      <c r="Q22" s="84">
        <v>15096</v>
      </c>
      <c r="R22" s="84"/>
      <c r="S22" s="380">
        <f t="shared" si="1"/>
        <v>1573202</v>
      </c>
      <c r="T22" s="51"/>
      <c r="U22" s="1"/>
      <c r="V22" s="81"/>
      <c r="W22" s="81"/>
      <c r="X22" s="1"/>
      <c r="Y22" s="81"/>
      <c r="Z22" s="1"/>
      <c r="AA22" s="1"/>
    </row>
    <row r="23" spans="2:27" ht="25.15" customHeight="1" x14ac:dyDescent="0.2">
      <c r="B23" s="414">
        <v>2014</v>
      </c>
      <c r="C23" s="84">
        <v>88</v>
      </c>
      <c r="D23" s="84"/>
      <c r="E23" s="84">
        <v>7</v>
      </c>
      <c r="F23" s="84"/>
      <c r="G23" s="380">
        <f t="shared" si="3"/>
        <v>95</v>
      </c>
      <c r="H23" s="380"/>
      <c r="I23" s="285">
        <v>38118</v>
      </c>
      <c r="J23" s="285"/>
      <c r="K23" s="84">
        <v>2563</v>
      </c>
      <c r="L23" s="84"/>
      <c r="M23" s="380">
        <f t="shared" si="2"/>
        <v>40681</v>
      </c>
      <c r="N23" s="380"/>
      <c r="O23" s="285">
        <v>3112596</v>
      </c>
      <c r="P23" s="285"/>
      <c r="Q23" s="84">
        <v>40422</v>
      </c>
      <c r="R23" s="84"/>
      <c r="S23" s="380">
        <f t="shared" si="1"/>
        <v>3153018</v>
      </c>
      <c r="T23" s="51"/>
      <c r="U23" s="1"/>
      <c r="V23" s="81"/>
      <c r="W23" s="81"/>
      <c r="X23" s="1"/>
      <c r="Y23" s="81"/>
      <c r="Z23" s="1"/>
      <c r="AA23" s="1"/>
    </row>
    <row r="24" spans="2:27" ht="25.15" customHeight="1" x14ac:dyDescent="0.2">
      <c r="B24" s="414">
        <v>2015</v>
      </c>
      <c r="C24" s="84">
        <v>39</v>
      </c>
      <c r="D24" s="84"/>
      <c r="E24" s="84">
        <v>8</v>
      </c>
      <c r="F24" s="84"/>
      <c r="G24" s="380">
        <f t="shared" si="3"/>
        <v>47</v>
      </c>
      <c r="H24" s="380"/>
      <c r="I24" s="285">
        <v>29985</v>
      </c>
      <c r="J24" s="285"/>
      <c r="K24" s="84">
        <v>2081</v>
      </c>
      <c r="L24" s="84"/>
      <c r="M24" s="380">
        <f>SUM(I24:K24)</f>
        <v>32066</v>
      </c>
      <c r="N24" s="380"/>
      <c r="O24" s="285">
        <v>1862184</v>
      </c>
      <c r="P24" s="285"/>
      <c r="Q24" s="84">
        <v>63448</v>
      </c>
      <c r="R24" s="84"/>
      <c r="S24" s="380">
        <f>SUM(O24:Q24)</f>
        <v>1925632</v>
      </c>
      <c r="T24" s="51"/>
      <c r="U24" s="1"/>
      <c r="V24" s="81"/>
      <c r="W24" s="81"/>
      <c r="X24" s="1"/>
      <c r="Y24" s="81"/>
      <c r="Z24" s="1"/>
      <c r="AA24" s="1"/>
    </row>
    <row r="25" spans="2:27" ht="25.15" customHeight="1" x14ac:dyDescent="0.2">
      <c r="B25" s="414">
        <v>2016</v>
      </c>
      <c r="C25" s="84">
        <v>34</v>
      </c>
      <c r="D25" s="84"/>
      <c r="E25" s="84">
        <v>7</v>
      </c>
      <c r="F25" s="84"/>
      <c r="G25" s="380">
        <f t="shared" si="3"/>
        <v>41</v>
      </c>
      <c r="H25" s="380"/>
      <c r="I25" s="285">
        <v>17909</v>
      </c>
      <c r="J25" s="285"/>
      <c r="K25" s="84">
        <v>2554</v>
      </c>
      <c r="L25" s="84"/>
      <c r="M25" s="380">
        <f t="shared" si="2"/>
        <v>20463</v>
      </c>
      <c r="N25" s="380"/>
      <c r="O25" s="285">
        <v>2957808</v>
      </c>
      <c r="P25" s="285"/>
      <c r="Q25" s="84">
        <v>126248</v>
      </c>
      <c r="R25" s="84"/>
      <c r="S25" s="380">
        <f t="shared" si="1"/>
        <v>3084056</v>
      </c>
      <c r="T25" s="51"/>
      <c r="U25" s="1"/>
      <c r="V25" s="81"/>
      <c r="W25" s="81"/>
      <c r="X25" s="1"/>
      <c r="Y25" s="81"/>
      <c r="Z25" s="1"/>
      <c r="AA25" s="1"/>
    </row>
    <row r="26" spans="2:27" ht="25.5" customHeight="1" x14ac:dyDescent="0.2">
      <c r="B26" s="414">
        <v>2017</v>
      </c>
      <c r="C26" s="84">
        <v>39</v>
      </c>
      <c r="D26" s="84"/>
      <c r="E26" s="84">
        <v>6</v>
      </c>
      <c r="F26" s="84"/>
      <c r="G26" s="380">
        <f>SUM(C26:E26)</f>
        <v>45</v>
      </c>
      <c r="H26" s="380"/>
      <c r="I26" s="285">
        <v>55653</v>
      </c>
      <c r="J26" s="285"/>
      <c r="K26" s="84">
        <v>957</v>
      </c>
      <c r="L26" s="84"/>
      <c r="M26" s="380">
        <f>SUM(I26:K26)</f>
        <v>56610</v>
      </c>
      <c r="N26" s="380"/>
      <c r="O26" s="285">
        <v>2965606</v>
      </c>
      <c r="P26" s="285"/>
      <c r="Q26" s="84">
        <v>40888</v>
      </c>
      <c r="R26" s="84"/>
      <c r="S26" s="380">
        <f>SUM(O26:Q26)</f>
        <v>3006494</v>
      </c>
      <c r="T26" s="51"/>
      <c r="U26" s="1"/>
      <c r="V26" s="81"/>
      <c r="W26" s="81"/>
      <c r="X26" s="1"/>
      <c r="Y26" s="81"/>
      <c r="Z26" s="1"/>
      <c r="AA26" s="1"/>
    </row>
    <row r="27" spans="2:27" ht="25.5" customHeight="1" x14ac:dyDescent="0.2">
      <c r="B27" s="414">
        <v>2018</v>
      </c>
      <c r="C27" s="84">
        <v>47</v>
      </c>
      <c r="D27" s="84"/>
      <c r="E27" s="84">
        <v>7</v>
      </c>
      <c r="F27" s="84"/>
      <c r="G27" s="380">
        <f t="shared" si="3"/>
        <v>54</v>
      </c>
      <c r="H27" s="380"/>
      <c r="I27" s="285">
        <v>20686</v>
      </c>
      <c r="J27" s="285"/>
      <c r="K27" s="84">
        <f>560+250</f>
        <v>810</v>
      </c>
      <c r="L27" s="84"/>
      <c r="M27" s="380">
        <f t="shared" si="2"/>
        <v>21496</v>
      </c>
      <c r="N27" s="380"/>
      <c r="O27" s="285">
        <v>724184</v>
      </c>
      <c r="P27" s="285"/>
      <c r="Q27" s="84">
        <f>12680+2000</f>
        <v>14680</v>
      </c>
      <c r="R27" s="84"/>
      <c r="S27" s="380">
        <f t="shared" si="1"/>
        <v>738864</v>
      </c>
      <c r="T27" s="51"/>
      <c r="U27" s="1"/>
      <c r="V27" s="81"/>
      <c r="W27" s="81"/>
      <c r="X27" s="1"/>
      <c r="Y27" s="81"/>
      <c r="Z27" s="1"/>
      <c r="AA27" s="1"/>
    </row>
    <row r="28" spans="2:27" ht="25.5" customHeight="1" x14ac:dyDescent="0.2">
      <c r="B28" s="414">
        <v>2019</v>
      </c>
      <c r="C28" s="84">
        <v>41</v>
      </c>
      <c r="D28" s="84"/>
      <c r="E28" s="84">
        <v>26</v>
      </c>
      <c r="F28" s="84"/>
      <c r="G28" s="380">
        <f t="shared" ref="G28:G32" si="4">SUM(C28:E28)</f>
        <v>67</v>
      </c>
      <c r="H28" s="380"/>
      <c r="I28" s="285">
        <v>93586</v>
      </c>
      <c r="J28" s="285"/>
      <c r="K28" s="84">
        <v>16568</v>
      </c>
      <c r="L28" s="84"/>
      <c r="M28" s="380">
        <f t="shared" ref="M28:M32" si="5">SUM(I28:K28)</f>
        <v>110154</v>
      </c>
      <c r="N28" s="380"/>
      <c r="O28" s="285">
        <v>1434856</v>
      </c>
      <c r="P28" s="285"/>
      <c r="Q28" s="84">
        <v>651000</v>
      </c>
      <c r="R28" s="84"/>
      <c r="S28" s="380">
        <f t="shared" ref="S28:S32" si="6">SUM(O28:Q28)</f>
        <v>2085856</v>
      </c>
      <c r="T28" s="51"/>
      <c r="U28" s="1"/>
      <c r="V28" s="81"/>
      <c r="W28" s="81"/>
      <c r="X28" s="1"/>
      <c r="Y28" s="81"/>
      <c r="Z28" s="1"/>
      <c r="AA28" s="1"/>
    </row>
    <row r="29" spans="2:27" ht="25.5" customHeight="1" x14ac:dyDescent="0.2">
      <c r="B29" s="414">
        <v>2020</v>
      </c>
      <c r="C29" s="84">
        <v>23</v>
      </c>
      <c r="D29" s="84"/>
      <c r="E29" s="84">
        <v>0</v>
      </c>
      <c r="F29" s="84"/>
      <c r="G29" s="380">
        <f t="shared" si="4"/>
        <v>23</v>
      </c>
      <c r="H29" s="380"/>
      <c r="I29" s="285">
        <v>127868</v>
      </c>
      <c r="J29" s="285"/>
      <c r="K29" s="84">
        <v>0</v>
      </c>
      <c r="L29" s="84"/>
      <c r="M29" s="380">
        <f t="shared" si="5"/>
        <v>127868</v>
      </c>
      <c r="N29" s="380"/>
      <c r="O29" s="285">
        <v>3653184</v>
      </c>
      <c r="P29" s="285"/>
      <c r="Q29" s="84">
        <v>0</v>
      </c>
      <c r="R29" s="84"/>
      <c r="S29" s="380">
        <f t="shared" si="6"/>
        <v>3653184</v>
      </c>
      <c r="T29" s="51"/>
      <c r="U29" s="1"/>
      <c r="V29" s="81"/>
      <c r="W29" s="81"/>
      <c r="X29" s="1"/>
      <c r="Y29" s="81"/>
      <c r="Z29" s="1"/>
      <c r="AA29" s="1"/>
    </row>
    <row r="30" spans="2:27" ht="25.5" customHeight="1" x14ac:dyDescent="0.2">
      <c r="B30" s="414">
        <v>2021</v>
      </c>
      <c r="C30" s="84">
        <v>38</v>
      </c>
      <c r="D30" s="84"/>
      <c r="E30" s="84">
        <v>0</v>
      </c>
      <c r="F30" s="84"/>
      <c r="G30" s="380">
        <f t="shared" si="4"/>
        <v>38</v>
      </c>
      <c r="H30" s="380"/>
      <c r="I30" s="285">
        <v>209142</v>
      </c>
      <c r="J30" s="285"/>
      <c r="K30" s="84">
        <v>0</v>
      </c>
      <c r="L30" s="84"/>
      <c r="M30" s="380">
        <f t="shared" si="5"/>
        <v>209142</v>
      </c>
      <c r="N30" s="380"/>
      <c r="O30" s="285">
        <v>3027240</v>
      </c>
      <c r="P30" s="285"/>
      <c r="Q30" s="84">
        <v>0</v>
      </c>
      <c r="R30" s="84"/>
      <c r="S30" s="380">
        <f t="shared" si="6"/>
        <v>3027240</v>
      </c>
      <c r="T30" s="51"/>
      <c r="U30" s="1"/>
      <c r="V30" s="81"/>
      <c r="W30" s="81"/>
      <c r="X30" s="1"/>
      <c r="Y30" s="81"/>
      <c r="Z30" s="1"/>
      <c r="AA30" s="1"/>
    </row>
    <row r="31" spans="2:27" ht="25.5" customHeight="1" x14ac:dyDescent="0.2">
      <c r="B31" s="414">
        <v>2022</v>
      </c>
      <c r="C31" s="84">
        <v>41</v>
      </c>
      <c r="D31" s="84"/>
      <c r="E31" s="84">
        <v>0</v>
      </c>
      <c r="F31" s="84"/>
      <c r="G31" s="380">
        <f t="shared" si="4"/>
        <v>41</v>
      </c>
      <c r="H31" s="380"/>
      <c r="I31" s="285">
        <v>29145</v>
      </c>
      <c r="J31" s="285"/>
      <c r="K31" s="84">
        <v>0</v>
      </c>
      <c r="L31" s="84"/>
      <c r="M31" s="380">
        <f t="shared" si="5"/>
        <v>29145</v>
      </c>
      <c r="N31" s="380"/>
      <c r="O31" s="285">
        <v>2122932</v>
      </c>
      <c r="P31" s="285"/>
      <c r="Q31" s="84">
        <v>0</v>
      </c>
      <c r="R31" s="84"/>
      <c r="S31" s="380">
        <f t="shared" si="6"/>
        <v>2122932</v>
      </c>
      <c r="T31" s="51"/>
      <c r="U31" s="1"/>
      <c r="V31" s="81"/>
      <c r="W31" s="81"/>
      <c r="X31" s="1"/>
      <c r="Y31" s="81"/>
      <c r="Z31" s="1"/>
      <c r="AA31" s="1"/>
    </row>
    <row r="32" spans="2:27" ht="25.5" customHeight="1" x14ac:dyDescent="0.2">
      <c r="B32" s="414">
        <v>2023</v>
      </c>
      <c r="C32" s="84">
        <v>54</v>
      </c>
      <c r="D32" s="84"/>
      <c r="E32" s="84">
        <v>1</v>
      </c>
      <c r="F32" s="84"/>
      <c r="G32" s="380">
        <f t="shared" si="4"/>
        <v>55</v>
      </c>
      <c r="H32" s="380"/>
      <c r="I32" s="285">
        <v>77836</v>
      </c>
      <c r="J32" s="285"/>
      <c r="K32" s="84">
        <v>47</v>
      </c>
      <c r="L32" s="84"/>
      <c r="M32" s="380">
        <f t="shared" si="5"/>
        <v>77883</v>
      </c>
      <c r="N32" s="380"/>
      <c r="O32" s="285">
        <v>1461633</v>
      </c>
      <c r="P32" s="285"/>
      <c r="Q32" s="84">
        <v>376</v>
      </c>
      <c r="R32" s="84"/>
      <c r="S32" s="380">
        <f t="shared" si="6"/>
        <v>1462009</v>
      </c>
      <c r="T32" s="51"/>
      <c r="U32" s="1"/>
      <c r="V32" s="81"/>
      <c r="W32" s="81"/>
      <c r="X32" s="1"/>
      <c r="Y32" s="81"/>
      <c r="Z32" s="1"/>
      <c r="AA32" s="1"/>
    </row>
    <row r="33" spans="2:45" ht="25.5" customHeight="1" x14ac:dyDescent="0.2">
      <c r="B33" s="414">
        <v>2024</v>
      </c>
      <c r="C33" s="84">
        <v>61</v>
      </c>
      <c r="D33" s="84"/>
      <c r="E33" s="84">
        <v>2</v>
      </c>
      <c r="F33" s="84"/>
      <c r="G33" s="380">
        <f t="shared" si="3"/>
        <v>63</v>
      </c>
      <c r="H33" s="380"/>
      <c r="I33" s="285">
        <v>76333</v>
      </c>
      <c r="J33" s="285"/>
      <c r="K33" s="84">
        <v>371</v>
      </c>
      <c r="L33" s="84"/>
      <c r="M33" s="380">
        <f t="shared" si="2"/>
        <v>76704</v>
      </c>
      <c r="N33" s="380"/>
      <c r="O33" s="285">
        <v>2292548</v>
      </c>
      <c r="P33" s="285"/>
      <c r="Q33" s="84">
        <v>2968</v>
      </c>
      <c r="R33" s="84"/>
      <c r="S33" s="380">
        <f t="shared" si="1"/>
        <v>2295516</v>
      </c>
      <c r="T33" s="51"/>
      <c r="U33" s="1"/>
      <c r="V33" s="81"/>
      <c r="W33" s="81"/>
      <c r="X33" s="1"/>
      <c r="Y33" s="81"/>
      <c r="Z33" s="1"/>
      <c r="AA33" s="1"/>
    </row>
    <row r="34" spans="2:45" ht="12.75" customHeight="1" x14ac:dyDescent="0.2">
      <c r="B34" s="414"/>
      <c r="C34" s="314"/>
      <c r="D34" s="314"/>
      <c r="E34" s="314"/>
      <c r="F34" s="314"/>
      <c r="G34" s="403"/>
      <c r="H34" s="403"/>
      <c r="I34" s="316"/>
      <c r="J34" s="316"/>
      <c r="K34" s="314"/>
      <c r="L34" s="314"/>
      <c r="M34" s="403"/>
      <c r="N34" s="403"/>
      <c r="O34" s="316"/>
      <c r="P34" s="316"/>
      <c r="Q34" s="314"/>
      <c r="R34" s="314"/>
      <c r="S34" s="403"/>
      <c r="T34" s="51"/>
      <c r="U34" s="1"/>
      <c r="V34" s="81"/>
      <c r="W34" s="81"/>
      <c r="X34" s="1"/>
      <c r="Y34" s="81"/>
      <c r="Z34" s="1"/>
      <c r="AA34" s="1"/>
    </row>
    <row r="35" spans="2:45" s="1" customFormat="1" ht="27" customHeight="1" x14ac:dyDescent="0.2">
      <c r="B35" s="11" t="s">
        <v>245</v>
      </c>
      <c r="C35" s="12"/>
      <c r="D35" s="12"/>
      <c r="E35" s="12"/>
      <c r="F35" s="12"/>
      <c r="G35" s="13"/>
      <c r="H35" s="12"/>
      <c r="I35" s="12"/>
      <c r="Y35" s="14"/>
      <c r="Z35" s="10"/>
      <c r="AA35" s="14"/>
      <c r="AB35" s="15"/>
      <c r="AC35" s="14"/>
      <c r="AD35" s="15"/>
    </row>
    <row r="36" spans="2:45" s="1" customFormat="1" ht="30" customHeight="1" x14ac:dyDescent="0.2">
      <c r="B36" s="16" t="s">
        <v>296</v>
      </c>
      <c r="C36" s="17"/>
      <c r="D36" s="17"/>
      <c r="E36" s="17"/>
      <c r="F36" s="17"/>
      <c r="G36" s="17"/>
      <c r="H36" s="18"/>
      <c r="I36" s="18"/>
      <c r="J36" s="18"/>
      <c r="K36" s="18"/>
      <c r="Z36" s="19"/>
      <c r="AA36" s="20"/>
      <c r="AB36" s="19"/>
      <c r="AC36" s="20"/>
      <c r="AD36" s="21"/>
    </row>
    <row r="37" spans="2:45" s="1" customFormat="1" ht="30" customHeight="1" x14ac:dyDescent="0.2">
      <c r="B37" s="22" t="s">
        <v>279</v>
      </c>
      <c r="D37" s="23"/>
      <c r="E37" s="24"/>
      <c r="F37" s="23"/>
      <c r="G37" s="25"/>
      <c r="H37" s="26"/>
      <c r="I37" s="27"/>
      <c r="J37" s="27"/>
    </row>
    <row r="38" spans="2:45" ht="42" customHeight="1" x14ac:dyDescent="0.2">
      <c r="B38" s="810" t="s">
        <v>243</v>
      </c>
      <c r="C38" s="810"/>
      <c r="D38" s="810"/>
      <c r="E38" s="810"/>
      <c r="F38" s="810"/>
      <c r="G38" s="810"/>
      <c r="H38" s="810"/>
      <c r="I38" s="810"/>
      <c r="J38" s="810"/>
      <c r="K38" s="810"/>
      <c r="L38" s="810"/>
      <c r="M38" s="810"/>
      <c r="N38" s="810"/>
      <c r="O38" s="810"/>
      <c r="P38" s="810"/>
      <c r="Q38" s="810"/>
      <c r="R38" s="810"/>
      <c r="S38" s="810"/>
      <c r="T38" s="810"/>
      <c r="U38" s="157"/>
      <c r="V38" s="157"/>
      <c r="W38" s="157"/>
      <c r="X38" s="157"/>
      <c r="Y38" s="157"/>
      <c r="Z38" s="157"/>
      <c r="AA38" s="157"/>
      <c r="AB38" s="157"/>
      <c r="AC38" s="157"/>
      <c r="AD38" s="157"/>
      <c r="AE38" s="157"/>
      <c r="AF38" s="157"/>
      <c r="AG38" s="157"/>
      <c r="AH38" s="157"/>
      <c r="AI38" s="157"/>
      <c r="AJ38" s="157"/>
      <c r="AK38" s="157"/>
      <c r="AL38" s="157"/>
      <c r="AM38" s="157"/>
      <c r="AN38" s="157"/>
      <c r="AO38" s="157"/>
      <c r="AP38" s="157"/>
      <c r="AQ38" s="157"/>
      <c r="AR38" s="157"/>
      <c r="AS38" s="157"/>
    </row>
  </sheetData>
  <mergeCells count="25">
    <mergeCell ref="V3:Z3"/>
    <mergeCell ref="O5:T5"/>
    <mergeCell ref="B3:T3"/>
    <mergeCell ref="B4:T4"/>
    <mergeCell ref="E6:F6"/>
    <mergeCell ref="G6:H7"/>
    <mergeCell ref="I6:J6"/>
    <mergeCell ref="K6:L6"/>
    <mergeCell ref="C6:D6"/>
    <mergeCell ref="B1:T1"/>
    <mergeCell ref="B38:T38"/>
    <mergeCell ref="C5:H5"/>
    <mergeCell ref="I5:N5"/>
    <mergeCell ref="B2:S2"/>
    <mergeCell ref="B5:B7"/>
    <mergeCell ref="M6:N7"/>
    <mergeCell ref="O6:P6"/>
    <mergeCell ref="Q6:R6"/>
    <mergeCell ref="S6:T7"/>
    <mergeCell ref="C7:D7"/>
    <mergeCell ref="E7:F7"/>
    <mergeCell ref="I7:J7"/>
    <mergeCell ref="K7:L7"/>
    <mergeCell ref="O7:P7"/>
    <mergeCell ref="Q7:R7"/>
  </mergeCells>
  <phoneticPr fontId="2" type="noConversion"/>
  <printOptions horizontalCentered="1" verticalCentered="1"/>
  <pageMargins left="0" right="0" top="0" bottom="0" header="0" footer="0"/>
  <pageSetup paperSize="9" scale="52" orientation="landscape" r:id="rId1"/>
  <headerFooter alignWithMargins="0"/>
  <ignoredErrors>
    <ignoredError sqref="G9:G27 G33 G28:G32" formulaRange="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BD67"/>
  <sheetViews>
    <sheetView showGridLines="0" view="pageBreakPreview" zoomScale="43" zoomScaleNormal="47" zoomScaleSheetLayoutView="43" workbookViewId="0">
      <selection activeCell="B5" sqref="B5:AY5"/>
    </sheetView>
  </sheetViews>
  <sheetFormatPr baseColWidth="10" defaultColWidth="11.42578125" defaultRowHeight="27" x14ac:dyDescent="0.35"/>
  <cols>
    <col min="1" max="1" width="8.28515625" style="49" customWidth="1"/>
    <col min="2" max="2" width="2.28515625" style="49" customWidth="1"/>
    <col min="3" max="3" width="57.85546875" style="38" customWidth="1"/>
    <col min="4" max="4" width="20.7109375" style="49" customWidth="1"/>
    <col min="5" max="5" width="3.28515625" style="696" customWidth="1"/>
    <col min="6" max="6" width="20.5703125" style="49" customWidth="1"/>
    <col min="7" max="7" width="4.42578125" style="49" customWidth="1"/>
    <col min="8" max="8" width="20.5703125" style="49" customWidth="1"/>
    <col min="9" max="9" width="4.5703125" style="49" customWidth="1"/>
    <col min="10" max="10" width="20.5703125" style="49" customWidth="1"/>
    <col min="11" max="11" width="4.5703125" style="49" customWidth="1"/>
    <col min="12" max="12" width="20.7109375" style="49" customWidth="1"/>
    <col min="13" max="13" width="3.7109375" style="49" customWidth="1"/>
    <col min="14" max="14" width="20.7109375" style="49" customWidth="1"/>
    <col min="15" max="15" width="4.140625" style="49" customWidth="1"/>
    <col min="16" max="16" width="20.5703125" style="49" customWidth="1"/>
    <col min="17" max="17" width="4.7109375" style="49" customWidth="1"/>
    <col min="18" max="18" width="20.5703125" style="49" customWidth="1"/>
    <col min="19" max="19" width="4.5703125" style="49" customWidth="1"/>
    <col min="20" max="20" width="20.5703125" style="49" customWidth="1"/>
    <col min="21" max="21" width="4.7109375" style="49" customWidth="1"/>
    <col min="22" max="22" width="20.7109375" style="49" customWidth="1"/>
    <col min="23" max="23" width="5.7109375" style="49" customWidth="1"/>
    <col min="24" max="24" width="20.85546875" style="49" customWidth="1"/>
    <col min="25" max="25" width="5.7109375" style="49" customWidth="1"/>
    <col min="26" max="26" width="20.85546875" style="49" customWidth="1"/>
    <col min="27" max="27" width="5.7109375" style="49" customWidth="1"/>
    <col min="28" max="28" width="20.5703125" style="49" customWidth="1"/>
    <col min="29" max="29" width="5.7109375" style="49" customWidth="1"/>
    <col min="30" max="30" width="20.85546875" style="49" customWidth="1"/>
    <col min="31" max="31" width="5.7109375" style="49" customWidth="1"/>
    <col min="32" max="32" width="20.7109375" style="49" customWidth="1"/>
    <col min="33" max="33" width="5.7109375" style="49" customWidth="1"/>
    <col min="34" max="34" width="20.7109375" style="49" customWidth="1"/>
    <col min="35" max="35" width="5.7109375" style="49" customWidth="1"/>
    <col min="36" max="36" width="20.85546875" style="49" customWidth="1"/>
    <col min="37" max="37" width="4.28515625" style="49" customWidth="1"/>
    <col min="38" max="38" width="20.7109375" style="49" customWidth="1"/>
    <col min="39" max="39" width="5.7109375" style="49" customWidth="1"/>
    <col min="40" max="40" width="20.7109375" style="49" customWidth="1"/>
    <col min="41" max="41" width="5.7109375" style="49" customWidth="1"/>
    <col min="42" max="42" width="20.85546875" style="49" customWidth="1"/>
    <col min="43" max="43" width="4.7109375" style="49" customWidth="1"/>
    <col min="44" max="44" width="20.85546875" style="49" customWidth="1"/>
    <col min="45" max="45" width="4" style="49" customWidth="1"/>
    <col min="46" max="46" width="20.85546875" style="49" customWidth="1"/>
    <col min="47" max="47" width="2.28515625" style="49" customWidth="1"/>
    <col min="48" max="48" width="24.5703125" style="49" customWidth="1"/>
    <col min="49" max="49" width="19.7109375" style="49" customWidth="1"/>
    <col min="50" max="50" width="20.28515625" style="49" bestFit="1" customWidth="1"/>
    <col min="51" max="51" width="11.42578125" style="49"/>
    <col min="52" max="52" width="19.28515625" style="49" customWidth="1"/>
    <col min="53" max="53" width="17.7109375" style="49" customWidth="1"/>
    <col min="54" max="54" width="25.28515625" style="49" customWidth="1"/>
    <col min="55" max="55" width="11.7109375" style="49" customWidth="1"/>
    <col min="56" max="16384" width="11.42578125" style="49"/>
  </cols>
  <sheetData>
    <row r="2" spans="2:54" s="219" customFormat="1" ht="35.25" customHeight="1" x14ac:dyDescent="0.4">
      <c r="B2" s="976" t="s">
        <v>170</v>
      </c>
      <c r="C2" s="976"/>
      <c r="D2" s="976"/>
      <c r="E2" s="976"/>
      <c r="F2" s="976"/>
      <c r="G2" s="976"/>
      <c r="H2" s="976"/>
      <c r="I2" s="976"/>
      <c r="J2" s="976"/>
      <c r="K2" s="976"/>
      <c r="L2" s="976"/>
      <c r="M2" s="976"/>
      <c r="N2" s="976"/>
      <c r="O2" s="976"/>
      <c r="P2" s="976"/>
      <c r="Q2" s="976"/>
      <c r="R2" s="976"/>
      <c r="S2" s="976"/>
      <c r="T2" s="976"/>
      <c r="U2" s="976"/>
      <c r="V2" s="976"/>
      <c r="W2" s="976"/>
      <c r="X2" s="976"/>
      <c r="Y2" s="976"/>
      <c r="Z2" s="976"/>
      <c r="AA2" s="976"/>
      <c r="AB2" s="976"/>
      <c r="AC2" s="976"/>
      <c r="AD2" s="976"/>
      <c r="AE2" s="976"/>
      <c r="AF2" s="976"/>
      <c r="AG2" s="976"/>
      <c r="AH2" s="976"/>
      <c r="AI2" s="976"/>
      <c r="AJ2" s="976"/>
      <c r="AK2" s="976"/>
      <c r="AL2" s="976"/>
      <c r="AM2" s="976"/>
      <c r="AN2" s="976"/>
      <c r="AO2" s="976"/>
      <c r="AP2" s="976"/>
      <c r="AQ2" s="976"/>
      <c r="AR2" s="976"/>
      <c r="AS2" s="976"/>
      <c r="AT2" s="976"/>
      <c r="AU2" s="976"/>
      <c r="AV2" s="976"/>
      <c r="AW2" s="976"/>
      <c r="AX2" s="976"/>
      <c r="AY2" s="976"/>
    </row>
    <row r="3" spans="2:54" s="210" customFormat="1" ht="30" customHeight="1" x14ac:dyDescent="0.2">
      <c r="B3" s="983" t="s">
        <v>145</v>
      </c>
      <c r="C3" s="983"/>
      <c r="D3" s="983"/>
      <c r="E3" s="983"/>
      <c r="F3" s="983"/>
      <c r="G3" s="983"/>
      <c r="H3" s="983"/>
      <c r="I3" s="983"/>
      <c r="J3" s="983"/>
      <c r="K3" s="983"/>
      <c r="L3" s="983"/>
      <c r="M3" s="983"/>
      <c r="N3" s="983"/>
      <c r="O3" s="983"/>
      <c r="P3" s="983"/>
      <c r="Q3" s="983"/>
      <c r="R3" s="983"/>
      <c r="S3" s="983"/>
      <c r="T3" s="983"/>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c r="AT3" s="983"/>
      <c r="AU3" s="983"/>
      <c r="AV3" s="237"/>
      <c r="AW3" s="237"/>
      <c r="AX3" s="237"/>
      <c r="AY3" s="237"/>
    </row>
    <row r="4" spans="2:54" s="210" customFormat="1" ht="47.25" customHeight="1" x14ac:dyDescent="0.2">
      <c r="B4" s="977" t="s">
        <v>160</v>
      </c>
      <c r="C4" s="977"/>
      <c r="D4" s="977"/>
      <c r="E4" s="977"/>
      <c r="F4" s="977"/>
      <c r="G4" s="977"/>
      <c r="H4" s="977"/>
      <c r="I4" s="977"/>
      <c r="J4" s="977"/>
      <c r="K4" s="977"/>
      <c r="L4" s="977"/>
      <c r="M4" s="977"/>
      <c r="N4" s="977"/>
      <c r="O4" s="977"/>
      <c r="P4" s="977"/>
      <c r="Q4" s="977"/>
      <c r="R4" s="977"/>
      <c r="S4" s="977"/>
      <c r="T4" s="977"/>
      <c r="U4" s="977"/>
      <c r="V4" s="977"/>
      <c r="W4" s="977"/>
      <c r="X4" s="977"/>
      <c r="Y4" s="977"/>
      <c r="Z4" s="977"/>
      <c r="AA4" s="977"/>
      <c r="AB4" s="977"/>
      <c r="AC4" s="977"/>
      <c r="AD4" s="977"/>
      <c r="AE4" s="977"/>
      <c r="AF4" s="977"/>
      <c r="AG4" s="977"/>
      <c r="AH4" s="977"/>
      <c r="AI4" s="977"/>
      <c r="AJ4" s="977"/>
      <c r="AK4" s="977"/>
      <c r="AL4" s="977"/>
      <c r="AM4" s="977"/>
      <c r="AN4" s="977"/>
      <c r="AO4" s="977"/>
      <c r="AP4" s="977"/>
      <c r="AQ4" s="977"/>
      <c r="AR4" s="977"/>
      <c r="AS4" s="977"/>
      <c r="AT4" s="977"/>
      <c r="AU4" s="977"/>
      <c r="AV4" s="977"/>
      <c r="AW4" s="977"/>
      <c r="AX4" s="977"/>
      <c r="AY4" s="977"/>
    </row>
    <row r="5" spans="2:54" s="210" customFormat="1" ht="52.9" customHeight="1" x14ac:dyDescent="0.2">
      <c r="B5" s="977">
        <v>2024</v>
      </c>
      <c r="C5" s="977"/>
      <c r="D5" s="977"/>
      <c r="E5" s="977"/>
      <c r="F5" s="977"/>
      <c r="G5" s="977"/>
      <c r="H5" s="977"/>
      <c r="I5" s="977"/>
      <c r="J5" s="977"/>
      <c r="K5" s="977"/>
      <c r="L5" s="977"/>
      <c r="M5" s="977"/>
      <c r="N5" s="977"/>
      <c r="O5" s="977"/>
      <c r="P5" s="977"/>
      <c r="Q5" s="977"/>
      <c r="R5" s="977"/>
      <c r="S5" s="977"/>
      <c r="T5" s="977"/>
      <c r="U5" s="977"/>
      <c r="V5" s="977"/>
      <c r="W5" s="977"/>
      <c r="X5" s="977"/>
      <c r="Y5" s="977"/>
      <c r="Z5" s="977"/>
      <c r="AA5" s="977"/>
      <c r="AB5" s="977"/>
      <c r="AC5" s="977"/>
      <c r="AD5" s="977"/>
      <c r="AE5" s="977"/>
      <c r="AF5" s="977"/>
      <c r="AG5" s="977"/>
      <c r="AH5" s="977"/>
      <c r="AI5" s="977"/>
      <c r="AJ5" s="977"/>
      <c r="AK5" s="977"/>
      <c r="AL5" s="977"/>
      <c r="AM5" s="977"/>
      <c r="AN5" s="977"/>
      <c r="AO5" s="977"/>
      <c r="AP5" s="977"/>
      <c r="AQ5" s="977"/>
      <c r="AR5" s="977"/>
      <c r="AS5" s="977"/>
      <c r="AT5" s="977"/>
      <c r="AU5" s="977"/>
      <c r="AV5" s="977"/>
      <c r="AW5" s="977"/>
      <c r="AX5" s="977"/>
      <c r="AY5" s="977"/>
    </row>
    <row r="6" spans="2:54" s="98" customFormat="1" ht="60" customHeight="1" thickBot="1" x14ac:dyDescent="0.25">
      <c r="B6" s="987" t="s">
        <v>24</v>
      </c>
      <c r="C6" s="987"/>
      <c r="D6" s="978" t="s">
        <v>201</v>
      </c>
      <c r="E6" s="979"/>
      <c r="F6" s="979"/>
      <c r="G6" s="979"/>
      <c r="H6" s="979"/>
      <c r="I6" s="979"/>
      <c r="J6" s="979"/>
      <c r="K6" s="979"/>
      <c r="L6" s="979"/>
      <c r="M6" s="979"/>
      <c r="N6" s="979"/>
      <c r="O6" s="979"/>
      <c r="P6" s="979"/>
      <c r="Q6" s="979"/>
      <c r="R6" s="979"/>
      <c r="S6" s="979"/>
      <c r="T6" s="979"/>
      <c r="U6" s="979"/>
      <c r="V6" s="979"/>
      <c r="W6" s="979"/>
      <c r="X6" s="979"/>
      <c r="Y6" s="979"/>
      <c r="Z6" s="979"/>
      <c r="AA6" s="979"/>
      <c r="AB6" s="979"/>
      <c r="AC6" s="979"/>
      <c r="AD6" s="979"/>
      <c r="AE6" s="979"/>
      <c r="AF6" s="979"/>
      <c r="AG6" s="979"/>
      <c r="AH6" s="979"/>
      <c r="AI6" s="979"/>
      <c r="AJ6" s="979"/>
      <c r="AK6" s="979"/>
      <c r="AL6" s="979"/>
      <c r="AM6" s="979"/>
      <c r="AN6" s="979"/>
      <c r="AO6" s="979"/>
      <c r="AP6" s="979"/>
      <c r="AQ6" s="979"/>
      <c r="AR6" s="979"/>
      <c r="AS6" s="979"/>
      <c r="AT6" s="979"/>
      <c r="AU6" s="980"/>
      <c r="AV6" s="986" t="s">
        <v>86</v>
      </c>
      <c r="AW6" s="931"/>
      <c r="AX6" s="931"/>
      <c r="AY6" s="931"/>
    </row>
    <row r="7" spans="2:54" s="98" customFormat="1" ht="98.25" customHeight="1" thickBot="1" x14ac:dyDescent="0.25">
      <c r="B7" s="987"/>
      <c r="C7" s="987"/>
      <c r="D7" s="985" t="s">
        <v>260</v>
      </c>
      <c r="E7" s="974"/>
      <c r="F7" s="974"/>
      <c r="G7" s="974"/>
      <c r="H7" s="974" t="s">
        <v>161</v>
      </c>
      <c r="I7" s="974"/>
      <c r="J7" s="974"/>
      <c r="K7" s="974"/>
      <c r="L7" s="974" t="s">
        <v>305</v>
      </c>
      <c r="M7" s="974"/>
      <c r="N7" s="974"/>
      <c r="O7" s="974"/>
      <c r="P7" s="974" t="s">
        <v>261</v>
      </c>
      <c r="Q7" s="974"/>
      <c r="R7" s="974"/>
      <c r="S7" s="974"/>
      <c r="T7" s="974" t="s">
        <v>109</v>
      </c>
      <c r="U7" s="974"/>
      <c r="V7" s="974"/>
      <c r="W7" s="974"/>
      <c r="X7" s="974" t="s">
        <v>262</v>
      </c>
      <c r="Y7" s="974"/>
      <c r="Z7" s="974"/>
      <c r="AA7" s="974"/>
      <c r="AB7" s="974" t="s">
        <v>110</v>
      </c>
      <c r="AC7" s="974"/>
      <c r="AD7" s="974"/>
      <c r="AE7" s="974"/>
      <c r="AF7" s="974" t="s">
        <v>269</v>
      </c>
      <c r="AG7" s="974"/>
      <c r="AH7" s="974"/>
      <c r="AI7" s="974"/>
      <c r="AJ7" s="974" t="s">
        <v>19</v>
      </c>
      <c r="AK7" s="974"/>
      <c r="AL7" s="974"/>
      <c r="AM7" s="974"/>
      <c r="AN7" s="974" t="s">
        <v>268</v>
      </c>
      <c r="AO7" s="974"/>
      <c r="AP7" s="974"/>
      <c r="AQ7" s="984"/>
      <c r="AR7" s="974" t="s">
        <v>349</v>
      </c>
      <c r="AS7" s="974"/>
      <c r="AT7" s="974"/>
      <c r="AU7" s="984"/>
      <c r="AV7" s="932"/>
      <c r="AW7" s="933"/>
      <c r="AX7" s="933"/>
      <c r="AY7" s="933"/>
    </row>
    <row r="8" spans="2:54" s="98" customFormat="1" ht="63" customHeight="1" x14ac:dyDescent="0.2">
      <c r="B8" s="987"/>
      <c r="C8" s="987"/>
      <c r="D8" s="982" t="s">
        <v>162</v>
      </c>
      <c r="E8" s="975"/>
      <c r="F8" s="975" t="s">
        <v>163</v>
      </c>
      <c r="G8" s="975"/>
      <c r="H8" s="975" t="s">
        <v>162</v>
      </c>
      <c r="I8" s="975"/>
      <c r="J8" s="975" t="s">
        <v>163</v>
      </c>
      <c r="K8" s="975"/>
      <c r="L8" s="975" t="s">
        <v>162</v>
      </c>
      <c r="M8" s="975"/>
      <c r="N8" s="975" t="s">
        <v>163</v>
      </c>
      <c r="O8" s="975"/>
      <c r="P8" s="975" t="s">
        <v>162</v>
      </c>
      <c r="Q8" s="975"/>
      <c r="R8" s="975" t="s">
        <v>163</v>
      </c>
      <c r="S8" s="975"/>
      <c r="T8" s="975" t="s">
        <v>162</v>
      </c>
      <c r="U8" s="975"/>
      <c r="V8" s="975" t="s">
        <v>163</v>
      </c>
      <c r="W8" s="975"/>
      <c r="X8" s="975" t="s">
        <v>162</v>
      </c>
      <c r="Y8" s="975"/>
      <c r="Z8" s="975" t="s">
        <v>163</v>
      </c>
      <c r="AA8" s="975"/>
      <c r="AB8" s="975" t="s">
        <v>162</v>
      </c>
      <c r="AC8" s="975"/>
      <c r="AD8" s="975" t="s">
        <v>163</v>
      </c>
      <c r="AE8" s="975"/>
      <c r="AF8" s="975" t="s">
        <v>162</v>
      </c>
      <c r="AG8" s="975"/>
      <c r="AH8" s="975" t="s">
        <v>163</v>
      </c>
      <c r="AI8" s="975"/>
      <c r="AJ8" s="975" t="s">
        <v>162</v>
      </c>
      <c r="AK8" s="975"/>
      <c r="AL8" s="975" t="s">
        <v>163</v>
      </c>
      <c r="AM8" s="975"/>
      <c r="AN8" s="975" t="s">
        <v>162</v>
      </c>
      <c r="AO8" s="975"/>
      <c r="AP8" s="975" t="s">
        <v>163</v>
      </c>
      <c r="AQ8" s="975"/>
      <c r="AR8" s="975" t="s">
        <v>162</v>
      </c>
      <c r="AS8" s="975"/>
      <c r="AT8" s="975" t="s">
        <v>163</v>
      </c>
      <c r="AU8" s="981"/>
      <c r="AV8" s="935" t="s">
        <v>63</v>
      </c>
      <c r="AW8" s="935"/>
      <c r="AX8" s="935" t="s">
        <v>5</v>
      </c>
      <c r="AY8" s="935"/>
    </row>
    <row r="9" spans="2:54" s="3" customFormat="1" ht="30" customHeight="1" x14ac:dyDescent="0.2">
      <c r="B9" s="519"/>
      <c r="C9" s="547" t="s">
        <v>25</v>
      </c>
      <c r="D9" s="548"/>
      <c r="E9" s="682"/>
      <c r="F9" s="548"/>
      <c r="G9" s="548"/>
      <c r="H9" s="548"/>
      <c r="I9" s="548"/>
      <c r="J9" s="548"/>
      <c r="K9" s="548"/>
      <c r="L9" s="548"/>
      <c r="M9" s="548"/>
      <c r="N9" s="548"/>
      <c r="O9" s="548"/>
      <c r="P9" s="548"/>
      <c r="Q9" s="548"/>
      <c r="R9" s="548"/>
      <c r="S9" s="548"/>
      <c r="T9" s="548"/>
      <c r="U9" s="548"/>
      <c r="V9" s="548"/>
      <c r="W9" s="548"/>
      <c r="X9" s="548"/>
      <c r="Y9" s="548"/>
      <c r="Z9" s="548"/>
      <c r="AA9" s="548"/>
      <c r="AB9" s="548"/>
      <c r="AC9" s="548"/>
      <c r="AD9" s="548"/>
      <c r="AE9" s="548"/>
      <c r="AF9" s="548"/>
      <c r="AG9" s="548"/>
      <c r="AH9" s="548"/>
      <c r="AI9" s="548"/>
      <c r="AJ9" s="548"/>
      <c r="AK9" s="548"/>
      <c r="AL9" s="548"/>
      <c r="AM9" s="548"/>
      <c r="AN9" s="548"/>
      <c r="AO9" s="548"/>
      <c r="AP9" s="548"/>
      <c r="AQ9" s="548"/>
      <c r="AR9" s="548"/>
      <c r="AS9" s="548"/>
      <c r="AT9" s="548"/>
      <c r="AU9" s="404"/>
      <c r="AV9" s="533"/>
      <c r="AW9" s="533"/>
      <c r="AX9" s="534"/>
      <c r="AY9" s="535"/>
      <c r="AZ9" s="405"/>
      <c r="BA9" s="221"/>
      <c r="BB9" s="13"/>
    </row>
    <row r="10" spans="2:54" s="3" customFormat="1" ht="30" customHeight="1" x14ac:dyDescent="0.2">
      <c r="B10" s="519"/>
      <c r="C10" s="549" t="s">
        <v>2</v>
      </c>
      <c r="D10" s="375">
        <v>0</v>
      </c>
      <c r="E10" s="681"/>
      <c r="F10" s="375">
        <v>0</v>
      </c>
      <c r="G10" s="375"/>
      <c r="H10" s="375">
        <v>0</v>
      </c>
      <c r="I10" s="375"/>
      <c r="J10" s="375">
        <v>1</v>
      </c>
      <c r="K10" s="375"/>
      <c r="L10" s="375">
        <v>0</v>
      </c>
      <c r="M10" s="375"/>
      <c r="N10" s="375">
        <v>0</v>
      </c>
      <c r="O10" s="375"/>
      <c r="P10" s="375">
        <v>0</v>
      </c>
      <c r="Q10" s="375"/>
      <c r="R10" s="375">
        <v>0</v>
      </c>
      <c r="S10" s="375"/>
      <c r="T10" s="375">
        <v>0</v>
      </c>
      <c r="U10" s="375"/>
      <c r="V10" s="375">
        <v>0</v>
      </c>
      <c r="W10" s="375"/>
      <c r="X10" s="684">
        <v>0</v>
      </c>
      <c r="Y10" s="684"/>
      <c r="Z10" s="684">
        <v>0</v>
      </c>
      <c r="AA10" s="684"/>
      <c r="AB10" s="684">
        <v>0</v>
      </c>
      <c r="AC10" s="684"/>
      <c r="AD10" s="684">
        <v>0</v>
      </c>
      <c r="AE10" s="684"/>
      <c r="AF10" s="684">
        <v>0</v>
      </c>
      <c r="AG10" s="685"/>
      <c r="AH10" s="685">
        <v>1</v>
      </c>
      <c r="AI10" s="375"/>
      <c r="AJ10" s="375">
        <v>0</v>
      </c>
      <c r="AK10" s="375"/>
      <c r="AL10" s="375">
        <v>0</v>
      </c>
      <c r="AM10" s="375"/>
      <c r="AN10" s="375">
        <v>0</v>
      </c>
      <c r="AO10" s="375"/>
      <c r="AP10" s="375">
        <v>0</v>
      </c>
      <c r="AQ10" s="375"/>
      <c r="AR10" s="375">
        <v>0</v>
      </c>
      <c r="AS10" s="375"/>
      <c r="AT10" s="375">
        <v>0</v>
      </c>
      <c r="AU10" s="406"/>
      <c r="AV10" s="532">
        <f>SUM(D10:AU10)</f>
        <v>2</v>
      </c>
      <c r="AW10" s="532"/>
      <c r="AX10" s="536">
        <f>AV10/AV58*100</f>
        <v>3.1746031746031744</v>
      </c>
      <c r="AY10" s="531"/>
      <c r="AZ10" s="25"/>
      <c r="BA10" s="25"/>
      <c r="BB10" s="222"/>
    </row>
    <row r="11" spans="2:54" s="3" customFormat="1" ht="30" customHeight="1" x14ac:dyDescent="0.2">
      <c r="B11" s="519"/>
      <c r="C11" s="549" t="s">
        <v>15</v>
      </c>
      <c r="D11" s="375">
        <v>0</v>
      </c>
      <c r="E11" s="681"/>
      <c r="F11" s="375">
        <v>0</v>
      </c>
      <c r="G11" s="375"/>
      <c r="H11" s="375">
        <v>0</v>
      </c>
      <c r="I11" s="375"/>
      <c r="J11" s="375">
        <v>256</v>
      </c>
      <c r="K11" s="375"/>
      <c r="L11" s="375">
        <v>0</v>
      </c>
      <c r="M11" s="375"/>
      <c r="N11" s="375">
        <v>0</v>
      </c>
      <c r="O11" s="375"/>
      <c r="P11" s="375">
        <v>0</v>
      </c>
      <c r="Q11" s="375"/>
      <c r="R11" s="375">
        <v>0</v>
      </c>
      <c r="S11" s="375"/>
      <c r="T11" s="375">
        <v>0</v>
      </c>
      <c r="U11" s="375"/>
      <c r="V11" s="375">
        <v>0</v>
      </c>
      <c r="W11" s="375"/>
      <c r="X11" s="684">
        <v>0</v>
      </c>
      <c r="Y11" s="684"/>
      <c r="Z11" s="684">
        <v>0</v>
      </c>
      <c r="AA11" s="684"/>
      <c r="AB11" s="684">
        <v>0</v>
      </c>
      <c r="AC11" s="684"/>
      <c r="AD11" s="684">
        <v>0</v>
      </c>
      <c r="AE11" s="684"/>
      <c r="AF11" s="684">
        <v>0</v>
      </c>
      <c r="AG11" s="685"/>
      <c r="AH11" s="685">
        <v>25</v>
      </c>
      <c r="AI11" s="375"/>
      <c r="AJ11" s="375">
        <v>0</v>
      </c>
      <c r="AK11" s="375"/>
      <c r="AL11" s="375">
        <v>0</v>
      </c>
      <c r="AM11" s="375"/>
      <c r="AN11" s="375">
        <v>0</v>
      </c>
      <c r="AO11" s="375"/>
      <c r="AP11" s="375">
        <v>0</v>
      </c>
      <c r="AQ11" s="375"/>
      <c r="AR11" s="375">
        <v>0</v>
      </c>
      <c r="AS11" s="375"/>
      <c r="AT11" s="375">
        <v>0</v>
      </c>
      <c r="AU11" s="406"/>
      <c r="AV11" s="532">
        <f>SUM(D11:AU11)</f>
        <v>281</v>
      </c>
      <c r="AW11" s="532"/>
      <c r="AX11" s="536">
        <f>AV11/AV59*100</f>
        <v>0.36634334584897787</v>
      </c>
      <c r="AY11" s="531"/>
      <c r="AZ11" s="25"/>
      <c r="BA11" s="25"/>
      <c r="BB11" s="222"/>
    </row>
    <row r="12" spans="2:54" s="3" customFormat="1" ht="30" customHeight="1" x14ac:dyDescent="0.2">
      <c r="B12" s="519"/>
      <c r="C12" s="549" t="s">
        <v>16</v>
      </c>
      <c r="D12" s="375">
        <v>5408</v>
      </c>
      <c r="E12" s="681" t="s">
        <v>62</v>
      </c>
      <c r="F12" s="375">
        <v>0</v>
      </c>
      <c r="G12" s="375"/>
      <c r="H12" s="375">
        <v>0</v>
      </c>
      <c r="I12" s="375"/>
      <c r="J12" s="375">
        <v>6144</v>
      </c>
      <c r="K12" s="371"/>
      <c r="L12" s="375">
        <v>0</v>
      </c>
      <c r="M12" s="375"/>
      <c r="N12" s="375">
        <v>0</v>
      </c>
      <c r="O12" s="375"/>
      <c r="P12" s="375">
        <v>0</v>
      </c>
      <c r="Q12" s="375"/>
      <c r="R12" s="375">
        <v>0</v>
      </c>
      <c r="S12" s="375"/>
      <c r="T12" s="375">
        <v>0</v>
      </c>
      <c r="U12" s="375"/>
      <c r="V12" s="375">
        <v>0</v>
      </c>
      <c r="W12" s="375"/>
      <c r="X12" s="684">
        <v>0</v>
      </c>
      <c r="Y12" s="686"/>
      <c r="Z12" s="684">
        <v>0</v>
      </c>
      <c r="AA12" s="684"/>
      <c r="AB12" s="684">
        <v>0</v>
      </c>
      <c r="AC12" s="684"/>
      <c r="AD12" s="684">
        <v>0</v>
      </c>
      <c r="AE12" s="684"/>
      <c r="AF12" s="684">
        <v>0</v>
      </c>
      <c r="AG12" s="685"/>
      <c r="AH12" s="685">
        <v>1200</v>
      </c>
      <c r="AI12" s="375"/>
      <c r="AJ12" s="375">
        <v>0</v>
      </c>
      <c r="AK12" s="375"/>
      <c r="AL12" s="375">
        <v>0</v>
      </c>
      <c r="AM12" s="375"/>
      <c r="AN12" s="375">
        <v>0</v>
      </c>
      <c r="AO12" s="375"/>
      <c r="AP12" s="375">
        <v>0</v>
      </c>
      <c r="AQ12" s="375"/>
      <c r="AR12" s="375">
        <v>0</v>
      </c>
      <c r="AS12" s="375"/>
      <c r="AT12" s="375">
        <v>0</v>
      </c>
      <c r="AU12" s="406"/>
      <c r="AV12" s="532">
        <f>SUM(D12:AU12)</f>
        <v>12752</v>
      </c>
      <c r="AW12" s="532"/>
      <c r="AX12" s="536">
        <f>AV12/AV60*100</f>
        <v>0.55551780079075908</v>
      </c>
      <c r="AY12" s="531"/>
      <c r="AZ12" s="25"/>
      <c r="BA12" s="25"/>
      <c r="BB12" s="222"/>
    </row>
    <row r="13" spans="2:54" s="3" customFormat="1" ht="30" customHeight="1" x14ac:dyDescent="0.2">
      <c r="B13" s="519"/>
      <c r="C13" s="547" t="s">
        <v>26</v>
      </c>
      <c r="D13" s="550"/>
      <c r="E13" s="682"/>
      <c r="F13" s="548"/>
      <c r="G13" s="548"/>
      <c r="H13" s="548"/>
      <c r="I13" s="548"/>
      <c r="J13" s="548"/>
      <c r="K13" s="548"/>
      <c r="L13" s="548"/>
      <c r="M13" s="548"/>
      <c r="N13" s="548"/>
      <c r="O13" s="548"/>
      <c r="P13" s="548"/>
      <c r="Q13" s="548"/>
      <c r="R13" s="548"/>
      <c r="S13" s="548"/>
      <c r="T13" s="548"/>
      <c r="U13" s="548"/>
      <c r="V13" s="548"/>
      <c r="W13" s="548"/>
      <c r="X13" s="687"/>
      <c r="Y13" s="687"/>
      <c r="Z13" s="687"/>
      <c r="AA13" s="687"/>
      <c r="AB13" s="687"/>
      <c r="AC13" s="687"/>
      <c r="AD13" s="687"/>
      <c r="AE13" s="687"/>
      <c r="AF13" s="687"/>
      <c r="AG13" s="687"/>
      <c r="AH13" s="687"/>
      <c r="AI13" s="548"/>
      <c r="AJ13" s="548"/>
      <c r="AK13" s="548"/>
      <c r="AL13" s="548"/>
      <c r="AM13" s="548"/>
      <c r="AN13" s="548"/>
      <c r="AO13" s="548"/>
      <c r="AP13" s="548"/>
      <c r="AQ13" s="548"/>
      <c r="AR13" s="548"/>
      <c r="AS13" s="548"/>
      <c r="AT13" s="548"/>
      <c r="AU13" s="407"/>
      <c r="AV13" s="537"/>
      <c r="AW13" s="537"/>
      <c r="AX13" s="536"/>
      <c r="AY13" s="531"/>
      <c r="AZ13" s="13"/>
      <c r="BA13" s="13"/>
      <c r="BB13" s="221"/>
    </row>
    <row r="14" spans="2:54" s="3" customFormat="1" ht="30" customHeight="1" x14ac:dyDescent="0.2">
      <c r="B14" s="519"/>
      <c r="C14" s="549" t="s">
        <v>2</v>
      </c>
      <c r="D14" s="375">
        <v>0</v>
      </c>
      <c r="E14" s="681"/>
      <c r="F14" s="375">
        <v>0</v>
      </c>
      <c r="G14" s="375"/>
      <c r="H14" s="375">
        <v>1</v>
      </c>
      <c r="I14" s="375"/>
      <c r="J14" s="375">
        <v>0</v>
      </c>
      <c r="K14" s="375"/>
      <c r="L14" s="375">
        <v>0</v>
      </c>
      <c r="M14" s="375"/>
      <c r="N14" s="375">
        <v>0</v>
      </c>
      <c r="O14" s="375"/>
      <c r="P14" s="375">
        <v>1</v>
      </c>
      <c r="Q14" s="375"/>
      <c r="R14" s="375">
        <v>0</v>
      </c>
      <c r="S14" s="375"/>
      <c r="T14" s="375">
        <v>0</v>
      </c>
      <c r="U14" s="375"/>
      <c r="V14" s="375">
        <v>0</v>
      </c>
      <c r="W14" s="375"/>
      <c r="X14" s="684">
        <v>0</v>
      </c>
      <c r="Y14" s="684"/>
      <c r="Z14" s="684">
        <v>0</v>
      </c>
      <c r="AA14" s="684"/>
      <c r="AB14" s="684">
        <v>0</v>
      </c>
      <c r="AC14" s="684"/>
      <c r="AD14" s="684">
        <v>0</v>
      </c>
      <c r="AE14" s="684"/>
      <c r="AF14" s="684">
        <v>0</v>
      </c>
      <c r="AG14" s="685"/>
      <c r="AH14" s="685">
        <v>1</v>
      </c>
      <c r="AI14" s="375"/>
      <c r="AJ14" s="375">
        <v>0</v>
      </c>
      <c r="AK14" s="375"/>
      <c r="AL14" s="375">
        <v>0</v>
      </c>
      <c r="AM14" s="375"/>
      <c r="AN14" s="375">
        <v>0</v>
      </c>
      <c r="AO14" s="375"/>
      <c r="AP14" s="375">
        <v>0</v>
      </c>
      <c r="AQ14" s="375"/>
      <c r="AR14" s="375">
        <v>0</v>
      </c>
      <c r="AS14" s="375"/>
      <c r="AT14" s="375">
        <v>0</v>
      </c>
      <c r="AU14" s="406"/>
      <c r="AV14" s="532">
        <f>SUM(D14:AU14)</f>
        <v>3</v>
      </c>
      <c r="AW14" s="532"/>
      <c r="AX14" s="536">
        <f>AV14/AV58*100</f>
        <v>4.7619047619047619</v>
      </c>
      <c r="AY14" s="531"/>
      <c r="AZ14" s="25"/>
      <c r="BA14" s="25"/>
      <c r="BB14" s="222"/>
    </row>
    <row r="15" spans="2:54" s="3" customFormat="1" ht="30" customHeight="1" x14ac:dyDescent="0.2">
      <c r="B15" s="519"/>
      <c r="C15" s="549" t="s">
        <v>15</v>
      </c>
      <c r="D15" s="375">
        <v>0</v>
      </c>
      <c r="E15" s="681"/>
      <c r="F15" s="375">
        <v>0</v>
      </c>
      <c r="G15" s="375"/>
      <c r="H15" s="375">
        <v>50</v>
      </c>
      <c r="I15" s="375"/>
      <c r="J15" s="375">
        <v>0</v>
      </c>
      <c r="K15" s="375"/>
      <c r="L15" s="375">
        <v>0</v>
      </c>
      <c r="M15" s="375"/>
      <c r="N15" s="375">
        <v>0</v>
      </c>
      <c r="O15" s="375"/>
      <c r="P15" s="375">
        <v>5000</v>
      </c>
      <c r="Q15" s="375"/>
      <c r="R15" s="375">
        <v>0</v>
      </c>
      <c r="S15" s="375"/>
      <c r="T15" s="375">
        <v>0</v>
      </c>
      <c r="U15" s="375"/>
      <c r="V15" s="375">
        <v>0</v>
      </c>
      <c r="W15" s="375"/>
      <c r="X15" s="684">
        <v>0</v>
      </c>
      <c r="Y15" s="684"/>
      <c r="Z15" s="684">
        <v>0</v>
      </c>
      <c r="AA15" s="684"/>
      <c r="AB15" s="684">
        <v>0</v>
      </c>
      <c r="AC15" s="684"/>
      <c r="AD15" s="684">
        <v>0</v>
      </c>
      <c r="AE15" s="684"/>
      <c r="AF15" s="684">
        <v>0</v>
      </c>
      <c r="AG15" s="685"/>
      <c r="AH15" s="685">
        <v>200</v>
      </c>
      <c r="AI15" s="375"/>
      <c r="AJ15" s="375">
        <v>0</v>
      </c>
      <c r="AK15" s="375"/>
      <c r="AL15" s="375">
        <v>0</v>
      </c>
      <c r="AM15" s="375"/>
      <c r="AN15" s="375">
        <v>0</v>
      </c>
      <c r="AO15" s="375"/>
      <c r="AP15" s="375">
        <v>0</v>
      </c>
      <c r="AQ15" s="375"/>
      <c r="AR15" s="375">
        <v>0</v>
      </c>
      <c r="AS15" s="375"/>
      <c r="AT15" s="375">
        <v>0</v>
      </c>
      <c r="AU15" s="406"/>
      <c r="AV15" s="532">
        <f>SUM(D15:AU15)</f>
        <v>5250</v>
      </c>
      <c r="AW15" s="532"/>
      <c r="AX15" s="536">
        <f>AV15/AV59*100</f>
        <v>6.844493116395495</v>
      </c>
      <c r="AY15" s="531"/>
      <c r="AZ15" s="25"/>
      <c r="BA15" s="25"/>
      <c r="BB15" s="222"/>
    </row>
    <row r="16" spans="2:54" s="3" customFormat="1" ht="30" customHeight="1" x14ac:dyDescent="0.2">
      <c r="B16" s="519"/>
      <c r="C16" s="549" t="s">
        <v>16</v>
      </c>
      <c r="D16" s="375">
        <v>5200</v>
      </c>
      <c r="E16" s="681" t="s">
        <v>62</v>
      </c>
      <c r="F16" s="375">
        <v>0</v>
      </c>
      <c r="G16" s="375"/>
      <c r="H16" s="375">
        <v>6800</v>
      </c>
      <c r="I16" s="375"/>
      <c r="J16" s="375">
        <v>0</v>
      </c>
      <c r="K16" s="371"/>
      <c r="L16" s="375">
        <v>0</v>
      </c>
      <c r="M16" s="375"/>
      <c r="N16" s="375">
        <v>0</v>
      </c>
      <c r="O16" s="375"/>
      <c r="P16" s="375">
        <v>40000</v>
      </c>
      <c r="Q16" s="375"/>
      <c r="R16" s="375">
        <v>0</v>
      </c>
      <c r="S16" s="375"/>
      <c r="T16" s="375">
        <v>0</v>
      </c>
      <c r="U16" s="375"/>
      <c r="V16" s="375">
        <v>0</v>
      </c>
      <c r="W16" s="375"/>
      <c r="X16" s="684">
        <v>0</v>
      </c>
      <c r="Y16" s="684"/>
      <c r="Z16" s="684">
        <v>0</v>
      </c>
      <c r="AA16" s="684"/>
      <c r="AB16" s="684">
        <v>0</v>
      </c>
      <c r="AC16" s="684"/>
      <c r="AD16" s="684">
        <v>0</v>
      </c>
      <c r="AE16" s="684"/>
      <c r="AF16" s="684">
        <v>0</v>
      </c>
      <c r="AG16" s="685"/>
      <c r="AH16" s="685">
        <v>3200</v>
      </c>
      <c r="AI16" s="375"/>
      <c r="AJ16" s="375">
        <v>0</v>
      </c>
      <c r="AK16" s="375"/>
      <c r="AL16" s="375">
        <v>0</v>
      </c>
      <c r="AM16" s="375"/>
      <c r="AN16" s="375">
        <v>0</v>
      </c>
      <c r="AO16" s="375"/>
      <c r="AP16" s="375">
        <v>0</v>
      </c>
      <c r="AQ16" s="371"/>
      <c r="AR16" s="375">
        <v>0</v>
      </c>
      <c r="AS16" s="375"/>
      <c r="AT16" s="375">
        <v>0</v>
      </c>
      <c r="AU16" s="406"/>
      <c r="AV16" s="532">
        <f>SUM(D16:AU16)</f>
        <v>55200</v>
      </c>
      <c r="AW16" s="532"/>
      <c r="AX16" s="536">
        <f>AV16/AV60*100</f>
        <v>2.4046880962711654</v>
      </c>
      <c r="AY16" s="531"/>
      <c r="AZ16" s="25"/>
      <c r="BA16" s="25"/>
      <c r="BB16" s="222"/>
    </row>
    <row r="17" spans="2:54" s="3" customFormat="1" ht="30" customHeight="1" x14ac:dyDescent="0.2">
      <c r="B17" s="519"/>
      <c r="C17" s="547" t="s">
        <v>27</v>
      </c>
      <c r="D17" s="548"/>
      <c r="E17" s="682"/>
      <c r="F17" s="548"/>
      <c r="G17" s="548"/>
      <c r="H17" s="548"/>
      <c r="I17" s="548"/>
      <c r="J17" s="548"/>
      <c r="K17" s="548"/>
      <c r="L17" s="548"/>
      <c r="M17" s="548"/>
      <c r="N17" s="548"/>
      <c r="O17" s="548"/>
      <c r="P17" s="548"/>
      <c r="Q17" s="548"/>
      <c r="R17" s="548"/>
      <c r="S17" s="548"/>
      <c r="T17" s="548"/>
      <c r="U17" s="548"/>
      <c r="V17" s="548"/>
      <c r="W17" s="548"/>
      <c r="X17" s="687"/>
      <c r="Y17" s="687"/>
      <c r="Z17" s="687"/>
      <c r="AA17" s="687"/>
      <c r="AB17" s="687"/>
      <c r="AC17" s="687"/>
      <c r="AD17" s="687"/>
      <c r="AE17" s="687"/>
      <c r="AF17" s="687"/>
      <c r="AG17" s="687"/>
      <c r="AH17" s="687"/>
      <c r="AI17" s="548"/>
      <c r="AJ17" s="548"/>
      <c r="AK17" s="548"/>
      <c r="AL17" s="548"/>
      <c r="AM17" s="548"/>
      <c r="AN17" s="548"/>
      <c r="AO17" s="548"/>
      <c r="AP17" s="548"/>
      <c r="AQ17" s="548"/>
      <c r="AR17" s="548"/>
      <c r="AS17" s="548"/>
      <c r="AT17" s="548"/>
      <c r="AU17" s="407"/>
      <c r="AV17" s="537"/>
      <c r="AW17" s="537"/>
      <c r="AX17" s="536"/>
      <c r="AY17" s="531"/>
      <c r="AZ17" s="13"/>
      <c r="BA17" s="13"/>
      <c r="BB17" s="221"/>
    </row>
    <row r="18" spans="2:54" s="3" customFormat="1" ht="30" customHeight="1" x14ac:dyDescent="0.2">
      <c r="B18" s="519"/>
      <c r="C18" s="549" t="s">
        <v>2</v>
      </c>
      <c r="D18" s="375">
        <v>0</v>
      </c>
      <c r="E18" s="681"/>
      <c r="F18" s="375">
        <v>0</v>
      </c>
      <c r="G18" s="375"/>
      <c r="H18" s="375">
        <v>0</v>
      </c>
      <c r="I18" s="375"/>
      <c r="J18" s="375">
        <v>0</v>
      </c>
      <c r="K18" s="375"/>
      <c r="L18" s="375">
        <v>0</v>
      </c>
      <c r="M18" s="375"/>
      <c r="N18" s="375">
        <v>0</v>
      </c>
      <c r="O18" s="375"/>
      <c r="P18" s="375">
        <v>0</v>
      </c>
      <c r="Q18" s="375"/>
      <c r="R18" s="375">
        <v>0</v>
      </c>
      <c r="S18" s="375"/>
      <c r="T18" s="375">
        <v>0</v>
      </c>
      <c r="U18" s="375"/>
      <c r="V18" s="375">
        <v>0</v>
      </c>
      <c r="W18" s="375"/>
      <c r="X18" s="684">
        <v>0</v>
      </c>
      <c r="Y18" s="684"/>
      <c r="Z18" s="684">
        <v>0</v>
      </c>
      <c r="AA18" s="684"/>
      <c r="AB18" s="684">
        <v>0</v>
      </c>
      <c r="AC18" s="684"/>
      <c r="AD18" s="684">
        <v>0</v>
      </c>
      <c r="AE18" s="684"/>
      <c r="AF18" s="684">
        <v>2</v>
      </c>
      <c r="AG18" s="685"/>
      <c r="AH18" s="685">
        <v>1</v>
      </c>
      <c r="AI18" s="375"/>
      <c r="AJ18" s="375">
        <v>0</v>
      </c>
      <c r="AK18" s="375"/>
      <c r="AL18" s="375">
        <v>0</v>
      </c>
      <c r="AM18" s="375"/>
      <c r="AN18" s="375">
        <v>0</v>
      </c>
      <c r="AO18" s="375"/>
      <c r="AP18" s="375">
        <v>0</v>
      </c>
      <c r="AQ18" s="375"/>
      <c r="AR18" s="375">
        <v>0</v>
      </c>
      <c r="AS18" s="375"/>
      <c r="AT18" s="375">
        <v>0</v>
      </c>
      <c r="AU18" s="406"/>
      <c r="AV18" s="532">
        <f>SUM(D18:AU18)</f>
        <v>3</v>
      </c>
      <c r="AW18" s="532"/>
      <c r="AX18" s="536">
        <f>AV18/AV58*100</f>
        <v>4.7619047619047619</v>
      </c>
      <c r="AY18" s="531"/>
      <c r="AZ18" s="25"/>
      <c r="BA18" s="25"/>
      <c r="BB18" s="222"/>
    </row>
    <row r="19" spans="2:54" s="3" customFormat="1" ht="30" customHeight="1" x14ac:dyDescent="0.2">
      <c r="B19" s="519"/>
      <c r="C19" s="549" t="s">
        <v>15</v>
      </c>
      <c r="D19" s="375">
        <v>0</v>
      </c>
      <c r="E19" s="681"/>
      <c r="F19" s="375">
        <v>0</v>
      </c>
      <c r="G19" s="375"/>
      <c r="H19" s="375">
        <v>0</v>
      </c>
      <c r="I19" s="375"/>
      <c r="J19" s="375">
        <v>0</v>
      </c>
      <c r="K19" s="375"/>
      <c r="L19" s="375">
        <v>0</v>
      </c>
      <c r="M19" s="375"/>
      <c r="N19" s="375">
        <v>0</v>
      </c>
      <c r="O19" s="375"/>
      <c r="P19" s="375">
        <v>0</v>
      </c>
      <c r="Q19" s="375"/>
      <c r="R19" s="375">
        <v>0</v>
      </c>
      <c r="S19" s="375"/>
      <c r="T19" s="375">
        <v>0</v>
      </c>
      <c r="U19" s="375"/>
      <c r="V19" s="375">
        <v>0</v>
      </c>
      <c r="W19" s="375"/>
      <c r="X19" s="684">
        <v>0</v>
      </c>
      <c r="Y19" s="684"/>
      <c r="Z19" s="684">
        <v>0</v>
      </c>
      <c r="AA19" s="684"/>
      <c r="AB19" s="684">
        <v>0</v>
      </c>
      <c r="AC19" s="684"/>
      <c r="AD19" s="684">
        <v>0</v>
      </c>
      <c r="AE19" s="684"/>
      <c r="AF19" s="684">
        <v>126</v>
      </c>
      <c r="AG19" s="685"/>
      <c r="AH19" s="685">
        <v>157</v>
      </c>
      <c r="AI19" s="375"/>
      <c r="AJ19" s="375">
        <v>0</v>
      </c>
      <c r="AK19" s="375"/>
      <c r="AL19" s="375">
        <v>0</v>
      </c>
      <c r="AM19" s="375"/>
      <c r="AN19" s="375">
        <v>0</v>
      </c>
      <c r="AO19" s="375"/>
      <c r="AP19" s="375">
        <v>0</v>
      </c>
      <c r="AQ19" s="375"/>
      <c r="AR19" s="375">
        <v>0</v>
      </c>
      <c r="AS19" s="375"/>
      <c r="AT19" s="375">
        <v>0</v>
      </c>
      <c r="AU19" s="406"/>
      <c r="AV19" s="532">
        <f>SUM(D19:AU19)</f>
        <v>283</v>
      </c>
      <c r="AW19" s="532"/>
      <c r="AX19" s="536">
        <f>AV19/AV59*100</f>
        <v>0.36895077179808095</v>
      </c>
      <c r="AY19" s="531"/>
      <c r="AZ19" s="25"/>
      <c r="BA19" s="25"/>
      <c r="BB19" s="222"/>
    </row>
    <row r="20" spans="2:54" s="3" customFormat="1" ht="30" customHeight="1" x14ac:dyDescent="0.2">
      <c r="B20" s="519"/>
      <c r="C20" s="549" t="s">
        <v>16</v>
      </c>
      <c r="D20" s="375">
        <v>4992</v>
      </c>
      <c r="E20" s="681" t="s">
        <v>62</v>
      </c>
      <c r="F20" s="375">
        <v>0</v>
      </c>
      <c r="G20" s="375"/>
      <c r="H20" s="375">
        <v>8000</v>
      </c>
      <c r="I20" s="681" t="s">
        <v>62</v>
      </c>
      <c r="J20" s="375">
        <v>0</v>
      </c>
      <c r="K20" s="371"/>
      <c r="L20" s="375">
        <v>0</v>
      </c>
      <c r="M20" s="375"/>
      <c r="N20" s="375">
        <v>0</v>
      </c>
      <c r="O20" s="375"/>
      <c r="P20" s="375">
        <v>0</v>
      </c>
      <c r="Q20" s="375"/>
      <c r="R20" s="375">
        <v>0</v>
      </c>
      <c r="S20" s="375"/>
      <c r="T20" s="375">
        <v>0</v>
      </c>
      <c r="U20" s="375"/>
      <c r="V20" s="375">
        <v>0</v>
      </c>
      <c r="W20" s="375"/>
      <c r="X20" s="684">
        <v>0</v>
      </c>
      <c r="Y20" s="684"/>
      <c r="Z20" s="684">
        <v>0</v>
      </c>
      <c r="AA20" s="684"/>
      <c r="AB20" s="684">
        <v>0</v>
      </c>
      <c r="AC20" s="684"/>
      <c r="AD20" s="684">
        <v>0</v>
      </c>
      <c r="AE20" s="684"/>
      <c r="AF20" s="684">
        <v>1240</v>
      </c>
      <c r="AG20" s="685"/>
      <c r="AH20" s="685">
        <v>1256</v>
      </c>
      <c r="AI20" s="375"/>
      <c r="AJ20" s="375">
        <v>0</v>
      </c>
      <c r="AK20" s="375"/>
      <c r="AL20" s="375">
        <v>0</v>
      </c>
      <c r="AM20" s="375"/>
      <c r="AN20" s="375">
        <v>0</v>
      </c>
      <c r="AO20" s="375"/>
      <c r="AP20" s="375">
        <v>0</v>
      </c>
      <c r="AQ20" s="371"/>
      <c r="AR20" s="375">
        <v>0</v>
      </c>
      <c r="AS20" s="375"/>
      <c r="AT20" s="375">
        <v>0</v>
      </c>
      <c r="AU20" s="406"/>
      <c r="AV20" s="532">
        <f>SUM(D20:AU20)</f>
        <v>15488</v>
      </c>
      <c r="AW20" s="532"/>
      <c r="AX20" s="536">
        <f>AV20/AV60*100</f>
        <v>0.67470668904072106</v>
      </c>
      <c r="AY20" s="531"/>
      <c r="AZ20" s="25"/>
      <c r="BA20" s="25"/>
      <c r="BB20" s="222"/>
    </row>
    <row r="21" spans="2:54" s="3" customFormat="1" ht="30" customHeight="1" x14ac:dyDescent="0.2">
      <c r="B21" s="519"/>
      <c r="C21" s="547" t="s">
        <v>28</v>
      </c>
      <c r="D21" s="548"/>
      <c r="E21" s="682"/>
      <c r="F21" s="548"/>
      <c r="G21" s="548"/>
      <c r="H21" s="548"/>
      <c r="I21" s="548"/>
      <c r="J21" s="548"/>
      <c r="K21" s="548"/>
      <c r="L21" s="548"/>
      <c r="M21" s="548"/>
      <c r="N21" s="548"/>
      <c r="O21" s="548"/>
      <c r="P21" s="548"/>
      <c r="Q21" s="548"/>
      <c r="R21" s="548"/>
      <c r="S21" s="548"/>
      <c r="T21" s="548"/>
      <c r="U21" s="548"/>
      <c r="V21" s="548"/>
      <c r="W21" s="548"/>
      <c r="X21" s="687"/>
      <c r="Y21" s="687"/>
      <c r="Z21" s="687"/>
      <c r="AA21" s="687"/>
      <c r="AB21" s="687"/>
      <c r="AC21" s="687"/>
      <c r="AD21" s="687"/>
      <c r="AE21" s="687"/>
      <c r="AF21" s="687"/>
      <c r="AG21" s="687"/>
      <c r="AH21" s="687"/>
      <c r="AI21" s="548"/>
      <c r="AJ21" s="548"/>
      <c r="AK21" s="548"/>
      <c r="AL21" s="548"/>
      <c r="AM21" s="548"/>
      <c r="AN21" s="548"/>
      <c r="AO21" s="548"/>
      <c r="AP21" s="548"/>
      <c r="AQ21" s="548"/>
      <c r="AR21" s="548"/>
      <c r="AS21" s="548"/>
      <c r="AT21" s="548"/>
      <c r="AU21" s="407"/>
      <c r="AV21" s="532"/>
      <c r="AW21" s="532"/>
      <c r="AX21" s="538"/>
      <c r="AY21" s="531"/>
      <c r="AZ21" s="13"/>
      <c r="BA21" s="13"/>
      <c r="BB21" s="221"/>
    </row>
    <row r="22" spans="2:54" s="3" customFormat="1" ht="30" customHeight="1" x14ac:dyDescent="0.2">
      <c r="B22" s="519"/>
      <c r="C22" s="549" t="s">
        <v>2</v>
      </c>
      <c r="D22" s="375">
        <v>0</v>
      </c>
      <c r="E22" s="681"/>
      <c r="F22" s="375">
        <v>0</v>
      </c>
      <c r="G22" s="375"/>
      <c r="H22" s="375">
        <v>0</v>
      </c>
      <c r="I22" s="375"/>
      <c r="J22" s="375">
        <v>1</v>
      </c>
      <c r="K22" s="375"/>
      <c r="L22" s="375">
        <v>1</v>
      </c>
      <c r="M22" s="375"/>
      <c r="N22" s="375">
        <v>0</v>
      </c>
      <c r="O22" s="375"/>
      <c r="P22" s="375">
        <v>0</v>
      </c>
      <c r="Q22" s="375"/>
      <c r="R22" s="375">
        <v>0</v>
      </c>
      <c r="S22" s="375"/>
      <c r="T22" s="375">
        <v>0</v>
      </c>
      <c r="U22" s="375"/>
      <c r="V22" s="375">
        <v>0</v>
      </c>
      <c r="W22" s="375"/>
      <c r="X22" s="684">
        <v>0</v>
      </c>
      <c r="Y22" s="684"/>
      <c r="Z22" s="684">
        <v>0</v>
      </c>
      <c r="AA22" s="684"/>
      <c r="AB22" s="684">
        <v>0</v>
      </c>
      <c r="AC22" s="684"/>
      <c r="AD22" s="684">
        <v>0</v>
      </c>
      <c r="AE22" s="684"/>
      <c r="AF22" s="684">
        <v>1</v>
      </c>
      <c r="AG22" s="685"/>
      <c r="AH22" s="685">
        <v>0</v>
      </c>
      <c r="AI22" s="375"/>
      <c r="AJ22" s="375">
        <v>0</v>
      </c>
      <c r="AK22" s="375"/>
      <c r="AL22" s="375">
        <v>0</v>
      </c>
      <c r="AM22" s="375"/>
      <c r="AN22" s="375">
        <v>0</v>
      </c>
      <c r="AO22" s="375"/>
      <c r="AP22" s="375">
        <v>0</v>
      </c>
      <c r="AQ22" s="375"/>
      <c r="AR22" s="375">
        <v>0</v>
      </c>
      <c r="AS22" s="375"/>
      <c r="AT22" s="375">
        <v>0</v>
      </c>
      <c r="AU22" s="406"/>
      <c r="AV22" s="532">
        <f>SUM(D22:AU22)</f>
        <v>3</v>
      </c>
      <c r="AW22" s="532"/>
      <c r="AX22" s="536">
        <f>AV22/AV58*100</f>
        <v>4.7619047619047619</v>
      </c>
      <c r="AY22" s="531"/>
      <c r="AZ22" s="25"/>
      <c r="BA22" s="25"/>
      <c r="BB22" s="222"/>
    </row>
    <row r="23" spans="2:54" s="3" customFormat="1" ht="30" customHeight="1" x14ac:dyDescent="0.2">
      <c r="B23" s="519"/>
      <c r="C23" s="549" t="s">
        <v>15</v>
      </c>
      <c r="D23" s="375">
        <v>0</v>
      </c>
      <c r="E23" s="681"/>
      <c r="F23" s="375">
        <v>0</v>
      </c>
      <c r="G23" s="375"/>
      <c r="H23" s="375">
        <v>0</v>
      </c>
      <c r="I23" s="375"/>
      <c r="J23" s="375">
        <v>100</v>
      </c>
      <c r="K23" s="375"/>
      <c r="L23" s="375">
        <v>230</v>
      </c>
      <c r="M23" s="375"/>
      <c r="N23" s="375">
        <v>0</v>
      </c>
      <c r="O23" s="375"/>
      <c r="P23" s="375">
        <v>0</v>
      </c>
      <c r="Q23" s="375"/>
      <c r="R23" s="375">
        <v>0</v>
      </c>
      <c r="S23" s="375"/>
      <c r="T23" s="375">
        <v>0</v>
      </c>
      <c r="U23" s="375"/>
      <c r="V23" s="375">
        <v>0</v>
      </c>
      <c r="W23" s="375"/>
      <c r="X23" s="684">
        <v>0</v>
      </c>
      <c r="Y23" s="684"/>
      <c r="Z23" s="684">
        <v>0</v>
      </c>
      <c r="AA23" s="684"/>
      <c r="AB23" s="684">
        <v>0</v>
      </c>
      <c r="AC23" s="684"/>
      <c r="AD23" s="684">
        <v>0</v>
      </c>
      <c r="AE23" s="684"/>
      <c r="AF23" s="684">
        <v>200</v>
      </c>
      <c r="AG23" s="685"/>
      <c r="AH23" s="685">
        <v>0</v>
      </c>
      <c r="AI23" s="375"/>
      <c r="AJ23" s="375">
        <v>0</v>
      </c>
      <c r="AK23" s="375"/>
      <c r="AL23" s="375">
        <v>0</v>
      </c>
      <c r="AM23" s="375"/>
      <c r="AN23" s="375">
        <v>0</v>
      </c>
      <c r="AO23" s="375"/>
      <c r="AP23" s="375">
        <v>0</v>
      </c>
      <c r="AQ23" s="375"/>
      <c r="AR23" s="375">
        <v>0</v>
      </c>
      <c r="AS23" s="375"/>
      <c r="AT23" s="375">
        <v>0</v>
      </c>
      <c r="AU23" s="406"/>
      <c r="AV23" s="532">
        <f>SUM(D23:AU23)</f>
        <v>530</v>
      </c>
      <c r="AW23" s="532"/>
      <c r="AX23" s="536">
        <f>AV23/AV59*100</f>
        <v>0.69096787651230707</v>
      </c>
      <c r="AY23" s="531"/>
      <c r="AZ23" s="25"/>
      <c r="BA23" s="25"/>
      <c r="BB23" s="222"/>
    </row>
    <row r="24" spans="2:54" s="3" customFormat="1" ht="30" customHeight="1" x14ac:dyDescent="0.2">
      <c r="B24" s="519"/>
      <c r="C24" s="549" t="s">
        <v>16</v>
      </c>
      <c r="D24" s="375">
        <v>6656</v>
      </c>
      <c r="E24" s="681" t="s">
        <v>62</v>
      </c>
      <c r="F24" s="375">
        <v>0</v>
      </c>
      <c r="G24" s="375"/>
      <c r="H24" s="375">
        <v>0</v>
      </c>
      <c r="I24" s="371"/>
      <c r="J24" s="375">
        <v>4000</v>
      </c>
      <c r="K24" s="371"/>
      <c r="L24" s="375">
        <v>3680</v>
      </c>
      <c r="M24" s="375"/>
      <c r="N24" s="375">
        <v>0</v>
      </c>
      <c r="O24" s="375"/>
      <c r="P24" s="375">
        <v>0</v>
      </c>
      <c r="Q24" s="375"/>
      <c r="R24" s="375">
        <v>0</v>
      </c>
      <c r="S24" s="375"/>
      <c r="T24" s="375">
        <v>0</v>
      </c>
      <c r="U24" s="375"/>
      <c r="V24" s="375">
        <v>0</v>
      </c>
      <c r="W24" s="375"/>
      <c r="X24" s="684">
        <v>0</v>
      </c>
      <c r="Y24" s="684"/>
      <c r="Z24" s="684">
        <v>0</v>
      </c>
      <c r="AA24" s="684"/>
      <c r="AB24" s="684">
        <v>0</v>
      </c>
      <c r="AC24" s="684"/>
      <c r="AD24" s="684">
        <v>0</v>
      </c>
      <c r="AE24" s="684"/>
      <c r="AF24" s="684">
        <v>1600</v>
      </c>
      <c r="AG24" s="685"/>
      <c r="AH24" s="685">
        <v>0</v>
      </c>
      <c r="AI24" s="375"/>
      <c r="AJ24" s="375">
        <v>0</v>
      </c>
      <c r="AK24" s="375"/>
      <c r="AL24" s="375">
        <v>0</v>
      </c>
      <c r="AM24" s="375"/>
      <c r="AN24" s="375">
        <v>0</v>
      </c>
      <c r="AO24" s="375"/>
      <c r="AP24" s="375">
        <v>0</v>
      </c>
      <c r="AQ24" s="371"/>
      <c r="AR24" s="375">
        <v>0</v>
      </c>
      <c r="AS24" s="375"/>
      <c r="AT24" s="375">
        <v>0</v>
      </c>
      <c r="AU24" s="406"/>
      <c r="AV24" s="532">
        <f>SUM(D24:AU24)</f>
        <v>15936</v>
      </c>
      <c r="AW24" s="532"/>
      <c r="AX24" s="536">
        <f>AV24/AV60*100</f>
        <v>0.69422299822784939</v>
      </c>
      <c r="AY24" s="531"/>
      <c r="AZ24" s="25"/>
      <c r="BA24" s="25"/>
      <c r="BB24" s="222"/>
    </row>
    <row r="25" spans="2:54" s="3" customFormat="1" ht="30" customHeight="1" x14ac:dyDescent="0.2">
      <c r="B25" s="519"/>
      <c r="C25" s="547" t="s">
        <v>29</v>
      </c>
      <c r="D25" s="548"/>
      <c r="E25" s="682"/>
      <c r="F25" s="548"/>
      <c r="G25" s="548"/>
      <c r="H25" s="548"/>
      <c r="I25" s="548"/>
      <c r="J25" s="548"/>
      <c r="K25" s="548"/>
      <c r="L25" s="548"/>
      <c r="M25" s="548"/>
      <c r="N25" s="548"/>
      <c r="O25" s="548"/>
      <c r="P25" s="548"/>
      <c r="Q25" s="548"/>
      <c r="R25" s="548"/>
      <c r="S25" s="548"/>
      <c r="T25" s="548"/>
      <c r="U25" s="548"/>
      <c r="V25" s="548"/>
      <c r="W25" s="548"/>
      <c r="X25" s="687"/>
      <c r="Y25" s="687"/>
      <c r="Z25" s="687"/>
      <c r="AA25" s="687"/>
      <c r="AB25" s="687"/>
      <c r="AC25" s="687"/>
      <c r="AD25" s="687"/>
      <c r="AE25" s="687"/>
      <c r="AF25" s="687"/>
      <c r="AG25" s="687"/>
      <c r="AH25" s="687"/>
      <c r="AI25" s="548"/>
      <c r="AJ25" s="548"/>
      <c r="AK25" s="548"/>
      <c r="AL25" s="548"/>
      <c r="AM25" s="548"/>
      <c r="AN25" s="548"/>
      <c r="AO25" s="548"/>
      <c r="AP25" s="548"/>
      <c r="AQ25" s="548"/>
      <c r="AR25" s="548"/>
      <c r="AS25" s="548"/>
      <c r="AT25" s="548"/>
      <c r="AU25" s="407"/>
      <c r="AV25" s="532"/>
      <c r="AW25" s="532"/>
      <c r="AX25" s="538"/>
      <c r="AY25" s="531"/>
      <c r="AZ25" s="13"/>
      <c r="BA25" s="13"/>
      <c r="BB25" s="221"/>
    </row>
    <row r="26" spans="2:54" s="3" customFormat="1" ht="30" customHeight="1" x14ac:dyDescent="0.2">
      <c r="B26" s="519"/>
      <c r="C26" s="549" t="s">
        <v>2</v>
      </c>
      <c r="D26" s="375">
        <v>0</v>
      </c>
      <c r="E26" s="681"/>
      <c r="F26" s="375">
        <v>0</v>
      </c>
      <c r="G26" s="375"/>
      <c r="H26" s="375">
        <v>0</v>
      </c>
      <c r="I26" s="375"/>
      <c r="J26" s="375">
        <v>0</v>
      </c>
      <c r="K26" s="375"/>
      <c r="L26" s="375">
        <v>0</v>
      </c>
      <c r="M26" s="375"/>
      <c r="N26" s="375">
        <v>0</v>
      </c>
      <c r="O26" s="375"/>
      <c r="P26" s="375">
        <v>0</v>
      </c>
      <c r="Q26" s="375"/>
      <c r="R26" s="375">
        <v>0</v>
      </c>
      <c r="S26" s="375"/>
      <c r="T26" s="375">
        <v>0</v>
      </c>
      <c r="U26" s="375"/>
      <c r="V26" s="375">
        <v>0</v>
      </c>
      <c r="W26" s="375"/>
      <c r="X26" s="684">
        <v>0</v>
      </c>
      <c r="Y26" s="684"/>
      <c r="Z26" s="684">
        <v>0</v>
      </c>
      <c r="AA26" s="684"/>
      <c r="AB26" s="684">
        <v>0</v>
      </c>
      <c r="AC26" s="684"/>
      <c r="AD26" s="684">
        <v>0</v>
      </c>
      <c r="AE26" s="684"/>
      <c r="AF26" s="684">
        <v>1</v>
      </c>
      <c r="AG26" s="685"/>
      <c r="AH26" s="685">
        <v>1</v>
      </c>
      <c r="AI26" s="375"/>
      <c r="AJ26" s="375">
        <v>0</v>
      </c>
      <c r="AK26" s="375"/>
      <c r="AL26" s="375">
        <v>0</v>
      </c>
      <c r="AM26" s="375"/>
      <c r="AN26" s="375">
        <v>0</v>
      </c>
      <c r="AO26" s="375"/>
      <c r="AP26" s="375">
        <v>4</v>
      </c>
      <c r="AQ26" s="375"/>
      <c r="AR26" s="375">
        <v>0</v>
      </c>
      <c r="AS26" s="375"/>
      <c r="AT26" s="375">
        <v>0</v>
      </c>
      <c r="AU26" s="406"/>
      <c r="AV26" s="532">
        <f>SUM(D26:AU26)</f>
        <v>6</v>
      </c>
      <c r="AW26" s="532"/>
      <c r="AX26" s="536">
        <f>AV26/AV58*100</f>
        <v>9.5238095238095237</v>
      </c>
      <c r="AY26" s="531"/>
      <c r="AZ26" s="25"/>
      <c r="BA26" s="25"/>
      <c r="BB26" s="222"/>
    </row>
    <row r="27" spans="2:54" s="3" customFormat="1" ht="30" customHeight="1" x14ac:dyDescent="0.2">
      <c r="B27" s="519"/>
      <c r="C27" s="549" t="s">
        <v>15</v>
      </c>
      <c r="D27" s="375">
        <v>0</v>
      </c>
      <c r="E27" s="681"/>
      <c r="F27" s="375">
        <v>0</v>
      </c>
      <c r="G27" s="375"/>
      <c r="H27" s="375">
        <v>0</v>
      </c>
      <c r="I27" s="375"/>
      <c r="J27" s="375">
        <v>0</v>
      </c>
      <c r="K27" s="375"/>
      <c r="L27" s="375">
        <v>0</v>
      </c>
      <c r="M27" s="375"/>
      <c r="N27" s="375">
        <v>0</v>
      </c>
      <c r="O27" s="375"/>
      <c r="P27" s="375">
        <v>0</v>
      </c>
      <c r="Q27" s="375"/>
      <c r="R27" s="375">
        <v>0</v>
      </c>
      <c r="S27" s="375"/>
      <c r="T27" s="375">
        <v>0</v>
      </c>
      <c r="U27" s="375"/>
      <c r="V27" s="375">
        <v>0</v>
      </c>
      <c r="W27" s="375"/>
      <c r="X27" s="684">
        <v>0</v>
      </c>
      <c r="Y27" s="684"/>
      <c r="Z27" s="684">
        <v>0</v>
      </c>
      <c r="AA27" s="684"/>
      <c r="AB27" s="684">
        <v>0</v>
      </c>
      <c r="AC27" s="684"/>
      <c r="AD27" s="684">
        <v>0</v>
      </c>
      <c r="AE27" s="684"/>
      <c r="AF27" s="684">
        <v>29</v>
      </c>
      <c r="AG27" s="685"/>
      <c r="AH27" s="685">
        <v>100</v>
      </c>
      <c r="AI27" s="375"/>
      <c r="AJ27" s="375">
        <v>0</v>
      </c>
      <c r="AK27" s="375"/>
      <c r="AL27" s="375">
        <v>0</v>
      </c>
      <c r="AM27" s="375"/>
      <c r="AN27" s="375">
        <v>0</v>
      </c>
      <c r="AO27" s="375"/>
      <c r="AP27" s="375">
        <v>6480</v>
      </c>
      <c r="AQ27" s="375"/>
      <c r="AR27" s="375">
        <v>0</v>
      </c>
      <c r="AS27" s="375"/>
      <c r="AT27" s="375">
        <v>0</v>
      </c>
      <c r="AU27" s="406"/>
      <c r="AV27" s="532">
        <f>SUM(D27:AU27)</f>
        <v>6609</v>
      </c>
      <c r="AW27" s="532"/>
      <c r="AX27" s="536">
        <f>AV27/AV59*100</f>
        <v>8.6162390488110141</v>
      </c>
      <c r="AY27" s="531"/>
      <c r="AZ27" s="25"/>
      <c r="BA27" s="25"/>
      <c r="BB27" s="222"/>
    </row>
    <row r="28" spans="2:54" s="3" customFormat="1" ht="30" customHeight="1" x14ac:dyDescent="0.2">
      <c r="B28" s="519"/>
      <c r="C28" s="549" t="s">
        <v>16</v>
      </c>
      <c r="D28" s="375">
        <v>5888</v>
      </c>
      <c r="E28" s="681" t="s">
        <v>62</v>
      </c>
      <c r="F28" s="375">
        <v>0</v>
      </c>
      <c r="G28" s="375"/>
      <c r="H28" s="375">
        <v>0</v>
      </c>
      <c r="I28" s="375"/>
      <c r="J28" s="375">
        <v>0</v>
      </c>
      <c r="K28" s="371"/>
      <c r="L28" s="375">
        <v>0</v>
      </c>
      <c r="M28" s="375"/>
      <c r="N28" s="375">
        <v>0</v>
      </c>
      <c r="O28" s="375"/>
      <c r="P28" s="375">
        <v>0</v>
      </c>
      <c r="Q28" s="375"/>
      <c r="R28" s="375">
        <v>0</v>
      </c>
      <c r="S28" s="375"/>
      <c r="T28" s="375">
        <v>0</v>
      </c>
      <c r="U28" s="375"/>
      <c r="V28" s="375">
        <v>0</v>
      </c>
      <c r="W28" s="375"/>
      <c r="X28" s="684">
        <v>0</v>
      </c>
      <c r="Y28" s="684"/>
      <c r="Z28" s="684">
        <v>0</v>
      </c>
      <c r="AA28" s="684"/>
      <c r="AB28" s="684">
        <v>0</v>
      </c>
      <c r="AC28" s="684"/>
      <c r="AD28" s="684">
        <v>0</v>
      </c>
      <c r="AE28" s="684"/>
      <c r="AF28" s="684">
        <v>232</v>
      </c>
      <c r="AG28" s="685"/>
      <c r="AH28" s="685">
        <v>400</v>
      </c>
      <c r="AI28" s="375"/>
      <c r="AJ28" s="375">
        <v>0</v>
      </c>
      <c r="AK28" s="375"/>
      <c r="AL28" s="375">
        <v>0</v>
      </c>
      <c r="AM28" s="375"/>
      <c r="AN28" s="375">
        <v>0</v>
      </c>
      <c r="AO28" s="375"/>
      <c r="AP28" s="375">
        <v>25920</v>
      </c>
      <c r="AQ28" s="371"/>
      <c r="AR28" s="375">
        <v>0</v>
      </c>
      <c r="AS28" s="375"/>
      <c r="AT28" s="375">
        <v>0</v>
      </c>
      <c r="AU28" s="406"/>
      <c r="AV28" s="532">
        <f>SUM(D28:AU28)</f>
        <v>32440</v>
      </c>
      <c r="AW28" s="532"/>
      <c r="AX28" s="536">
        <f>AV28/AV60*100</f>
        <v>1.4131898884608081</v>
      </c>
      <c r="AY28" s="531"/>
      <c r="AZ28" s="25"/>
      <c r="BA28" s="25"/>
      <c r="BB28" s="222"/>
    </row>
    <row r="29" spans="2:54" s="3" customFormat="1" ht="30" customHeight="1" x14ac:dyDescent="0.2">
      <c r="B29" s="519"/>
      <c r="C29" s="547" t="s">
        <v>30</v>
      </c>
      <c r="D29" s="548"/>
      <c r="E29" s="682"/>
      <c r="F29" s="548"/>
      <c r="G29" s="548"/>
      <c r="H29" s="548"/>
      <c r="I29" s="548"/>
      <c r="J29" s="548"/>
      <c r="K29" s="548"/>
      <c r="L29" s="548"/>
      <c r="M29" s="548"/>
      <c r="N29" s="548"/>
      <c r="O29" s="548"/>
      <c r="P29" s="548"/>
      <c r="Q29" s="548"/>
      <c r="R29" s="548"/>
      <c r="S29" s="548"/>
      <c r="T29" s="548"/>
      <c r="U29" s="548"/>
      <c r="V29" s="548"/>
      <c r="W29" s="548"/>
      <c r="X29" s="687"/>
      <c r="Y29" s="687"/>
      <c r="Z29" s="687"/>
      <c r="AA29" s="687"/>
      <c r="AB29" s="687"/>
      <c r="AC29" s="687"/>
      <c r="AD29" s="687"/>
      <c r="AE29" s="687"/>
      <c r="AF29" s="687"/>
      <c r="AG29" s="687"/>
      <c r="AH29" s="687"/>
      <c r="AI29" s="548"/>
      <c r="AJ29" s="548"/>
      <c r="AK29" s="548"/>
      <c r="AL29" s="548"/>
      <c r="AM29" s="548"/>
      <c r="AN29" s="548"/>
      <c r="AO29" s="548"/>
      <c r="AP29" s="548"/>
      <c r="AQ29" s="548"/>
      <c r="AR29" s="548"/>
      <c r="AS29" s="548"/>
      <c r="AT29" s="548"/>
      <c r="AU29" s="407"/>
      <c r="AV29" s="532"/>
      <c r="AW29" s="532"/>
      <c r="AX29" s="538"/>
      <c r="AY29" s="531"/>
      <c r="AZ29" s="13"/>
      <c r="BA29" s="13"/>
      <c r="BB29" s="221"/>
    </row>
    <row r="30" spans="2:54" s="3" customFormat="1" ht="30" customHeight="1" x14ac:dyDescent="0.2">
      <c r="B30" s="519"/>
      <c r="C30" s="549" t="s">
        <v>2</v>
      </c>
      <c r="D30" s="375">
        <v>0</v>
      </c>
      <c r="E30" s="681"/>
      <c r="F30" s="375">
        <v>0</v>
      </c>
      <c r="G30" s="375"/>
      <c r="H30" s="375">
        <v>0</v>
      </c>
      <c r="I30" s="375"/>
      <c r="J30" s="375">
        <v>1</v>
      </c>
      <c r="K30" s="375"/>
      <c r="L30" s="375">
        <v>0</v>
      </c>
      <c r="M30" s="375"/>
      <c r="N30" s="375">
        <v>0</v>
      </c>
      <c r="O30" s="375"/>
      <c r="P30" s="375">
        <v>0</v>
      </c>
      <c r="Q30" s="375"/>
      <c r="R30" s="375">
        <v>0</v>
      </c>
      <c r="S30" s="375"/>
      <c r="T30" s="375">
        <v>0</v>
      </c>
      <c r="U30" s="375"/>
      <c r="V30" s="375">
        <v>0</v>
      </c>
      <c r="W30" s="375"/>
      <c r="X30" s="684">
        <v>0</v>
      </c>
      <c r="Y30" s="684"/>
      <c r="Z30" s="684">
        <v>0</v>
      </c>
      <c r="AA30" s="684"/>
      <c r="AB30" s="684">
        <v>0</v>
      </c>
      <c r="AC30" s="684"/>
      <c r="AD30" s="684">
        <v>0</v>
      </c>
      <c r="AE30" s="684"/>
      <c r="AF30" s="684">
        <v>0</v>
      </c>
      <c r="AG30" s="685"/>
      <c r="AH30" s="685">
        <v>1</v>
      </c>
      <c r="AI30" s="375"/>
      <c r="AJ30" s="375">
        <v>0</v>
      </c>
      <c r="AK30" s="375"/>
      <c r="AL30" s="375">
        <v>0</v>
      </c>
      <c r="AM30" s="375"/>
      <c r="AN30" s="375">
        <v>0</v>
      </c>
      <c r="AO30" s="375"/>
      <c r="AP30" s="375">
        <v>0</v>
      </c>
      <c r="AQ30" s="375"/>
      <c r="AR30" s="375">
        <v>0</v>
      </c>
      <c r="AS30" s="375"/>
      <c r="AT30" s="375">
        <v>0</v>
      </c>
      <c r="AU30" s="406"/>
      <c r="AV30" s="532">
        <f>SUM(D30:AU30)</f>
        <v>2</v>
      </c>
      <c r="AW30" s="532"/>
      <c r="AX30" s="536">
        <f>AV30/AV58*100</f>
        <v>3.1746031746031744</v>
      </c>
      <c r="AY30" s="531"/>
      <c r="AZ30" s="25"/>
      <c r="BA30" s="25"/>
      <c r="BB30" s="222"/>
    </row>
    <row r="31" spans="2:54" s="3" customFormat="1" ht="30" customHeight="1" x14ac:dyDescent="0.2">
      <c r="B31" s="519"/>
      <c r="C31" s="549" t="s">
        <v>15</v>
      </c>
      <c r="D31" s="375">
        <v>0</v>
      </c>
      <c r="E31" s="681"/>
      <c r="F31" s="375">
        <v>0</v>
      </c>
      <c r="G31" s="375"/>
      <c r="H31" s="375">
        <v>0</v>
      </c>
      <c r="I31" s="375"/>
      <c r="J31" s="375">
        <v>57</v>
      </c>
      <c r="K31" s="375"/>
      <c r="L31" s="375">
        <v>0</v>
      </c>
      <c r="M31" s="375"/>
      <c r="N31" s="375">
        <v>0</v>
      </c>
      <c r="O31" s="375"/>
      <c r="P31" s="375">
        <v>0</v>
      </c>
      <c r="Q31" s="375"/>
      <c r="R31" s="375">
        <v>0</v>
      </c>
      <c r="S31" s="375"/>
      <c r="T31" s="375">
        <v>0</v>
      </c>
      <c r="U31" s="375"/>
      <c r="V31" s="375">
        <v>0</v>
      </c>
      <c r="W31" s="375"/>
      <c r="X31" s="684">
        <v>0</v>
      </c>
      <c r="Y31" s="684"/>
      <c r="Z31" s="684">
        <v>0</v>
      </c>
      <c r="AA31" s="684"/>
      <c r="AB31" s="684">
        <v>0</v>
      </c>
      <c r="AC31" s="684"/>
      <c r="AD31" s="684">
        <v>0</v>
      </c>
      <c r="AE31" s="684"/>
      <c r="AF31" s="684">
        <v>0</v>
      </c>
      <c r="AG31" s="685"/>
      <c r="AH31" s="685">
        <v>1517</v>
      </c>
      <c r="AI31" s="375"/>
      <c r="AJ31" s="375">
        <v>0</v>
      </c>
      <c r="AK31" s="375"/>
      <c r="AL31" s="375">
        <v>0</v>
      </c>
      <c r="AM31" s="375"/>
      <c r="AN31" s="375">
        <v>0</v>
      </c>
      <c r="AO31" s="375"/>
      <c r="AP31" s="375">
        <v>0</v>
      </c>
      <c r="AQ31" s="375"/>
      <c r="AR31" s="375">
        <v>0</v>
      </c>
      <c r="AS31" s="375"/>
      <c r="AT31" s="375">
        <v>0</v>
      </c>
      <c r="AU31" s="406"/>
      <c r="AV31" s="532">
        <f>SUM(D31:AU31)</f>
        <v>1574</v>
      </c>
      <c r="AW31" s="532"/>
      <c r="AX31" s="536">
        <f>AV31/AV59*100</f>
        <v>2.0520442219440969</v>
      </c>
      <c r="AY31" s="531"/>
      <c r="AZ31" s="25"/>
      <c r="BA31" s="25"/>
      <c r="BB31" s="222"/>
    </row>
    <row r="32" spans="2:54" s="3" customFormat="1" ht="30" customHeight="1" x14ac:dyDescent="0.2">
      <c r="B32" s="519"/>
      <c r="C32" s="549" t="s">
        <v>16</v>
      </c>
      <c r="D32" s="375">
        <v>0</v>
      </c>
      <c r="E32" s="681"/>
      <c r="F32" s="375">
        <v>0</v>
      </c>
      <c r="G32" s="375"/>
      <c r="H32" s="375">
        <v>0</v>
      </c>
      <c r="I32" s="375"/>
      <c r="J32" s="375">
        <v>2736</v>
      </c>
      <c r="K32" s="371"/>
      <c r="L32" s="375">
        <v>0</v>
      </c>
      <c r="M32" s="375"/>
      <c r="N32" s="375">
        <v>0</v>
      </c>
      <c r="O32" s="375"/>
      <c r="P32" s="375">
        <v>0</v>
      </c>
      <c r="Q32" s="375"/>
      <c r="R32" s="375">
        <v>0</v>
      </c>
      <c r="S32" s="375"/>
      <c r="T32" s="375">
        <v>0</v>
      </c>
      <c r="U32" s="375"/>
      <c r="V32" s="375">
        <v>0</v>
      </c>
      <c r="W32" s="375"/>
      <c r="X32" s="684">
        <v>0</v>
      </c>
      <c r="Y32" s="684"/>
      <c r="Z32" s="684">
        <v>0</v>
      </c>
      <c r="AA32" s="684"/>
      <c r="AB32" s="684">
        <v>0</v>
      </c>
      <c r="AC32" s="684"/>
      <c r="AD32" s="684">
        <v>0</v>
      </c>
      <c r="AE32" s="684"/>
      <c r="AF32" s="684">
        <v>0</v>
      </c>
      <c r="AG32" s="685"/>
      <c r="AH32" s="685">
        <v>60680</v>
      </c>
      <c r="AI32" s="375"/>
      <c r="AJ32" s="375">
        <v>0</v>
      </c>
      <c r="AK32" s="375"/>
      <c r="AL32" s="375">
        <v>0</v>
      </c>
      <c r="AM32" s="375"/>
      <c r="AN32" s="375">
        <v>0</v>
      </c>
      <c r="AO32" s="375"/>
      <c r="AP32" s="375">
        <v>0</v>
      </c>
      <c r="AQ32" s="371"/>
      <c r="AR32" s="375">
        <v>0</v>
      </c>
      <c r="AS32" s="375"/>
      <c r="AT32" s="375">
        <v>0</v>
      </c>
      <c r="AU32" s="406"/>
      <c r="AV32" s="532">
        <f>SUM(D32:AU32)</f>
        <v>63416</v>
      </c>
      <c r="AW32" s="532"/>
      <c r="AX32" s="536">
        <f>AV32/AV60*100</f>
        <v>2.7626032665422504</v>
      </c>
      <c r="AY32" s="531"/>
      <c r="AZ32" s="25"/>
      <c r="BA32" s="25"/>
      <c r="BB32" s="222"/>
    </row>
    <row r="33" spans="2:54" s="3" customFormat="1" ht="30" customHeight="1" x14ac:dyDescent="0.2">
      <c r="B33" s="519"/>
      <c r="C33" s="547" t="s">
        <v>164</v>
      </c>
      <c r="D33" s="548"/>
      <c r="E33" s="682"/>
      <c r="F33" s="548"/>
      <c r="G33" s="548"/>
      <c r="H33" s="548"/>
      <c r="I33" s="548"/>
      <c r="J33" s="548"/>
      <c r="K33" s="548"/>
      <c r="L33" s="548"/>
      <c r="M33" s="548"/>
      <c r="N33" s="548"/>
      <c r="O33" s="548"/>
      <c r="P33" s="548"/>
      <c r="Q33" s="548"/>
      <c r="R33" s="548"/>
      <c r="S33" s="548"/>
      <c r="T33" s="548"/>
      <c r="U33" s="548"/>
      <c r="V33" s="548"/>
      <c r="W33" s="548"/>
      <c r="X33" s="687"/>
      <c r="Y33" s="687"/>
      <c r="Z33" s="687"/>
      <c r="AA33" s="687"/>
      <c r="AB33" s="687"/>
      <c r="AC33" s="687"/>
      <c r="AD33" s="687"/>
      <c r="AE33" s="687"/>
      <c r="AF33" s="687"/>
      <c r="AG33" s="687"/>
      <c r="AH33" s="687"/>
      <c r="AI33" s="548"/>
      <c r="AJ33" s="548"/>
      <c r="AK33" s="548"/>
      <c r="AL33" s="548"/>
      <c r="AM33" s="548"/>
      <c r="AN33" s="548"/>
      <c r="AO33" s="548"/>
      <c r="AP33" s="548"/>
      <c r="AQ33" s="548"/>
      <c r="AR33" s="548"/>
      <c r="AS33" s="548"/>
      <c r="AT33" s="548"/>
      <c r="AU33" s="407"/>
      <c r="AV33" s="532"/>
      <c r="AW33" s="532"/>
      <c r="AX33" s="536"/>
      <c r="AY33" s="531"/>
      <c r="AZ33" s="13"/>
      <c r="BA33" s="13"/>
      <c r="BB33" s="13"/>
    </row>
    <row r="34" spans="2:54" s="3" customFormat="1" ht="30" customHeight="1" x14ac:dyDescent="0.2">
      <c r="B34" s="519"/>
      <c r="C34" s="549" t="s">
        <v>2</v>
      </c>
      <c r="D34" s="375">
        <v>0</v>
      </c>
      <c r="E34" s="681"/>
      <c r="F34" s="375">
        <v>0</v>
      </c>
      <c r="G34" s="375"/>
      <c r="H34" s="375">
        <v>1</v>
      </c>
      <c r="I34" s="375"/>
      <c r="J34" s="375">
        <v>0</v>
      </c>
      <c r="K34" s="375"/>
      <c r="L34" s="375">
        <v>0</v>
      </c>
      <c r="M34" s="375"/>
      <c r="N34" s="375">
        <v>0</v>
      </c>
      <c r="O34" s="375"/>
      <c r="P34" s="375">
        <v>0</v>
      </c>
      <c r="Q34" s="375"/>
      <c r="R34" s="375">
        <v>0</v>
      </c>
      <c r="S34" s="375"/>
      <c r="T34" s="375">
        <v>0</v>
      </c>
      <c r="U34" s="375"/>
      <c r="V34" s="375">
        <v>0</v>
      </c>
      <c r="W34" s="375"/>
      <c r="X34" s="684">
        <v>0</v>
      </c>
      <c r="Y34" s="684"/>
      <c r="Z34" s="684">
        <v>0</v>
      </c>
      <c r="AA34" s="684"/>
      <c r="AB34" s="684">
        <v>0</v>
      </c>
      <c r="AC34" s="684"/>
      <c r="AD34" s="684">
        <v>0</v>
      </c>
      <c r="AE34" s="684"/>
      <c r="AF34" s="684">
        <v>1</v>
      </c>
      <c r="AG34" s="685"/>
      <c r="AH34" s="685">
        <v>3</v>
      </c>
      <c r="AI34" s="375"/>
      <c r="AJ34" s="375">
        <v>0</v>
      </c>
      <c r="AK34" s="375"/>
      <c r="AL34" s="375">
        <v>0</v>
      </c>
      <c r="AM34" s="375"/>
      <c r="AN34" s="375">
        <v>0</v>
      </c>
      <c r="AO34" s="375"/>
      <c r="AP34" s="375">
        <v>0</v>
      </c>
      <c r="AQ34" s="375"/>
      <c r="AR34" s="375">
        <v>0</v>
      </c>
      <c r="AS34" s="375"/>
      <c r="AT34" s="375">
        <v>0</v>
      </c>
      <c r="AU34" s="406"/>
      <c r="AV34" s="532">
        <f>SUM(D34:AU34)</f>
        <v>5</v>
      </c>
      <c r="AW34" s="532"/>
      <c r="AX34" s="536">
        <f>AV34/AV58*100</f>
        <v>7.9365079365079358</v>
      </c>
      <c r="AY34" s="531"/>
      <c r="AZ34" s="25"/>
      <c r="BA34" s="25"/>
      <c r="BB34" s="222"/>
    </row>
    <row r="35" spans="2:54" s="3" customFormat="1" ht="30" customHeight="1" x14ac:dyDescent="0.2">
      <c r="B35" s="519"/>
      <c r="C35" s="549" t="s">
        <v>15</v>
      </c>
      <c r="D35" s="375">
        <v>0</v>
      </c>
      <c r="E35" s="681"/>
      <c r="F35" s="375">
        <v>0</v>
      </c>
      <c r="G35" s="375"/>
      <c r="H35" s="375">
        <v>145</v>
      </c>
      <c r="I35" s="375"/>
      <c r="J35" s="375">
        <v>0</v>
      </c>
      <c r="K35" s="375"/>
      <c r="L35" s="375">
        <v>0</v>
      </c>
      <c r="M35" s="375"/>
      <c r="N35" s="375">
        <v>0</v>
      </c>
      <c r="O35" s="375"/>
      <c r="P35" s="375">
        <v>0</v>
      </c>
      <c r="Q35" s="375"/>
      <c r="R35" s="375">
        <v>0</v>
      </c>
      <c r="S35" s="375"/>
      <c r="T35" s="375">
        <v>0</v>
      </c>
      <c r="U35" s="375"/>
      <c r="V35" s="375">
        <v>0</v>
      </c>
      <c r="W35" s="375"/>
      <c r="X35" s="684">
        <v>0</v>
      </c>
      <c r="Y35" s="684"/>
      <c r="Z35" s="684">
        <v>0</v>
      </c>
      <c r="AA35" s="684"/>
      <c r="AB35" s="684">
        <v>0</v>
      </c>
      <c r="AC35" s="684"/>
      <c r="AD35" s="684">
        <v>0</v>
      </c>
      <c r="AE35" s="684"/>
      <c r="AF35" s="684">
        <v>50</v>
      </c>
      <c r="AG35" s="685"/>
      <c r="AH35" s="685">
        <v>1105</v>
      </c>
      <c r="AI35" s="375"/>
      <c r="AJ35" s="375">
        <v>0</v>
      </c>
      <c r="AK35" s="375"/>
      <c r="AL35" s="375">
        <v>0</v>
      </c>
      <c r="AM35" s="375"/>
      <c r="AN35" s="375">
        <v>0</v>
      </c>
      <c r="AO35" s="375"/>
      <c r="AP35" s="375">
        <v>0</v>
      </c>
      <c r="AQ35" s="375"/>
      <c r="AR35" s="375">
        <v>0</v>
      </c>
      <c r="AS35" s="375"/>
      <c r="AT35" s="375">
        <v>0</v>
      </c>
      <c r="AU35" s="406"/>
      <c r="AV35" s="532">
        <f>SUM(D35:AU35)</f>
        <v>1300</v>
      </c>
      <c r="AW35" s="532"/>
      <c r="AX35" s="536">
        <f>AV35/AV59*100</f>
        <v>1.6948268669169795</v>
      </c>
      <c r="AY35" s="531"/>
      <c r="AZ35" s="25"/>
      <c r="BA35" s="25"/>
      <c r="BB35" s="222"/>
    </row>
    <row r="36" spans="2:54" s="3" customFormat="1" ht="30" customHeight="1" x14ac:dyDescent="0.2">
      <c r="B36" s="519"/>
      <c r="C36" s="549" t="s">
        <v>16</v>
      </c>
      <c r="D36" s="375">
        <v>0</v>
      </c>
      <c r="E36" s="681"/>
      <c r="F36" s="375">
        <v>0</v>
      </c>
      <c r="G36" s="375"/>
      <c r="H36" s="375">
        <v>1160</v>
      </c>
      <c r="I36" s="375"/>
      <c r="J36" s="375">
        <v>0</v>
      </c>
      <c r="K36" s="371"/>
      <c r="L36" s="375">
        <v>0</v>
      </c>
      <c r="M36" s="375"/>
      <c r="N36" s="375">
        <v>0</v>
      </c>
      <c r="O36" s="375"/>
      <c r="P36" s="375">
        <v>0</v>
      </c>
      <c r="Q36" s="375"/>
      <c r="R36" s="375">
        <v>0</v>
      </c>
      <c r="S36" s="375"/>
      <c r="T36" s="375">
        <v>0</v>
      </c>
      <c r="U36" s="375"/>
      <c r="V36" s="375">
        <v>0</v>
      </c>
      <c r="W36" s="375"/>
      <c r="X36" s="684">
        <v>0</v>
      </c>
      <c r="Y36" s="684"/>
      <c r="Z36" s="684">
        <v>0</v>
      </c>
      <c r="AA36" s="684"/>
      <c r="AB36" s="684">
        <v>0</v>
      </c>
      <c r="AC36" s="684"/>
      <c r="AD36" s="684">
        <v>0</v>
      </c>
      <c r="AE36" s="684"/>
      <c r="AF36" s="684">
        <v>400</v>
      </c>
      <c r="AG36" s="685"/>
      <c r="AH36" s="685">
        <v>54088</v>
      </c>
      <c r="AI36" s="375"/>
      <c r="AJ36" s="375">
        <v>0</v>
      </c>
      <c r="AK36" s="375"/>
      <c r="AL36" s="375">
        <v>0</v>
      </c>
      <c r="AM36" s="375"/>
      <c r="AN36" s="375">
        <v>0</v>
      </c>
      <c r="AO36" s="375"/>
      <c r="AP36" s="375">
        <v>0</v>
      </c>
      <c r="AQ36" s="371"/>
      <c r="AR36" s="375">
        <v>0</v>
      </c>
      <c r="AS36" s="375"/>
      <c r="AT36" s="375">
        <v>0</v>
      </c>
      <c r="AU36" s="406"/>
      <c r="AV36" s="532">
        <f>SUM(D36:AU36)</f>
        <v>55648</v>
      </c>
      <c r="AW36" s="539"/>
      <c r="AX36" s="536">
        <f>AV36/AV60*100</f>
        <v>2.4242044054582936</v>
      </c>
      <c r="AY36" s="531"/>
      <c r="AZ36" s="25"/>
      <c r="BA36" s="25"/>
      <c r="BB36" s="222"/>
    </row>
    <row r="37" spans="2:54" s="3" customFormat="1" ht="30" customHeight="1" x14ac:dyDescent="0.2">
      <c r="B37" s="519"/>
      <c r="C37" s="547" t="s">
        <v>32</v>
      </c>
      <c r="D37" s="551"/>
      <c r="E37" s="693"/>
      <c r="F37" s="551"/>
      <c r="G37" s="551"/>
      <c r="H37" s="551"/>
      <c r="I37" s="551"/>
      <c r="J37" s="551"/>
      <c r="K37" s="551"/>
      <c r="L37" s="551"/>
      <c r="M37" s="551"/>
      <c r="N37" s="551"/>
      <c r="O37" s="551"/>
      <c r="P37" s="551"/>
      <c r="Q37" s="551"/>
      <c r="R37" s="551"/>
      <c r="S37" s="551"/>
      <c r="T37" s="551"/>
      <c r="U37" s="551"/>
      <c r="V37" s="551"/>
      <c r="W37" s="551"/>
      <c r="X37" s="688"/>
      <c r="Y37" s="688"/>
      <c r="Z37" s="688"/>
      <c r="AA37" s="688"/>
      <c r="AB37" s="688"/>
      <c r="AC37" s="688"/>
      <c r="AD37" s="688"/>
      <c r="AE37" s="688"/>
      <c r="AF37" s="688"/>
      <c r="AG37" s="688"/>
      <c r="AH37" s="688"/>
      <c r="AI37" s="551"/>
      <c r="AJ37" s="551"/>
      <c r="AK37" s="551"/>
      <c r="AL37" s="551"/>
      <c r="AM37" s="551"/>
      <c r="AN37" s="551"/>
      <c r="AO37" s="551"/>
      <c r="AP37" s="551"/>
      <c r="AQ37" s="551"/>
      <c r="AR37" s="551"/>
      <c r="AS37" s="551"/>
      <c r="AT37" s="551"/>
      <c r="AU37" s="408"/>
      <c r="AV37" s="532"/>
      <c r="AW37" s="532"/>
      <c r="AX37" s="536"/>
      <c r="AY37" s="531"/>
      <c r="AZ37" s="13"/>
      <c r="BA37" s="13"/>
      <c r="BB37" s="13"/>
    </row>
    <row r="38" spans="2:54" s="3" customFormat="1" ht="30" customHeight="1" x14ac:dyDescent="0.2">
      <c r="B38" s="519"/>
      <c r="C38" s="549" t="s">
        <v>2</v>
      </c>
      <c r="D38" s="375">
        <v>0</v>
      </c>
      <c r="E38" s="681"/>
      <c r="F38" s="375">
        <v>0</v>
      </c>
      <c r="G38" s="375"/>
      <c r="H38" s="375">
        <v>0</v>
      </c>
      <c r="I38" s="375"/>
      <c r="J38" s="375">
        <v>0</v>
      </c>
      <c r="K38" s="375"/>
      <c r="L38" s="375">
        <v>0</v>
      </c>
      <c r="M38" s="375"/>
      <c r="N38" s="375">
        <v>0</v>
      </c>
      <c r="O38" s="375"/>
      <c r="P38" s="375">
        <v>0</v>
      </c>
      <c r="Q38" s="375"/>
      <c r="R38" s="375">
        <v>0</v>
      </c>
      <c r="S38" s="375"/>
      <c r="T38" s="375">
        <v>0</v>
      </c>
      <c r="U38" s="375"/>
      <c r="V38" s="375">
        <v>0</v>
      </c>
      <c r="W38" s="375"/>
      <c r="X38" s="684">
        <v>0</v>
      </c>
      <c r="Y38" s="684"/>
      <c r="Z38" s="684">
        <v>0</v>
      </c>
      <c r="AA38" s="684"/>
      <c r="AB38" s="684">
        <v>0</v>
      </c>
      <c r="AC38" s="684"/>
      <c r="AD38" s="684">
        <v>0</v>
      </c>
      <c r="AE38" s="684"/>
      <c r="AF38" s="684">
        <v>1</v>
      </c>
      <c r="AG38" s="685"/>
      <c r="AH38" s="685">
        <v>6</v>
      </c>
      <c r="AI38" s="375"/>
      <c r="AJ38" s="375">
        <v>0</v>
      </c>
      <c r="AK38" s="375"/>
      <c r="AL38" s="375">
        <v>1</v>
      </c>
      <c r="AM38" s="375"/>
      <c r="AN38" s="375">
        <v>0</v>
      </c>
      <c r="AO38" s="375"/>
      <c r="AP38" s="375">
        <v>0</v>
      </c>
      <c r="AQ38" s="375"/>
      <c r="AR38" s="375">
        <v>0</v>
      </c>
      <c r="AS38" s="375"/>
      <c r="AT38" s="375">
        <v>1</v>
      </c>
      <c r="AU38" s="406"/>
      <c r="AV38" s="532">
        <f>SUM(D38:AU38)</f>
        <v>9</v>
      </c>
      <c r="AW38" s="532"/>
      <c r="AX38" s="536">
        <f>AV38/AV58*100</f>
        <v>14.285714285714285</v>
      </c>
      <c r="AY38" s="531"/>
      <c r="AZ38" s="25"/>
      <c r="BA38" s="25"/>
      <c r="BB38" s="222"/>
    </row>
    <row r="39" spans="2:54" s="3" customFormat="1" ht="30" customHeight="1" x14ac:dyDescent="0.2">
      <c r="B39" s="519"/>
      <c r="C39" s="549" t="s">
        <v>15</v>
      </c>
      <c r="D39" s="375">
        <v>0</v>
      </c>
      <c r="E39" s="681"/>
      <c r="F39" s="375">
        <v>0</v>
      </c>
      <c r="G39" s="375"/>
      <c r="H39" s="375">
        <v>0</v>
      </c>
      <c r="I39" s="375"/>
      <c r="J39" s="375">
        <v>0</v>
      </c>
      <c r="K39" s="375"/>
      <c r="L39" s="375">
        <v>0</v>
      </c>
      <c r="M39" s="375"/>
      <c r="N39" s="375">
        <v>0</v>
      </c>
      <c r="O39" s="375"/>
      <c r="P39" s="375">
        <v>0</v>
      </c>
      <c r="Q39" s="375"/>
      <c r="R39" s="375">
        <v>0</v>
      </c>
      <c r="S39" s="375"/>
      <c r="T39" s="375">
        <v>0</v>
      </c>
      <c r="U39" s="375"/>
      <c r="V39" s="375">
        <v>0</v>
      </c>
      <c r="W39" s="375"/>
      <c r="X39" s="684">
        <v>0</v>
      </c>
      <c r="Y39" s="684"/>
      <c r="Z39" s="684">
        <v>0</v>
      </c>
      <c r="AA39" s="684"/>
      <c r="AB39" s="684">
        <v>0</v>
      </c>
      <c r="AC39" s="684"/>
      <c r="AD39" s="684">
        <v>0</v>
      </c>
      <c r="AE39" s="684"/>
      <c r="AF39" s="684">
        <v>3000</v>
      </c>
      <c r="AG39" s="685"/>
      <c r="AH39" s="685">
        <v>15246</v>
      </c>
      <c r="AI39" s="375"/>
      <c r="AJ39" s="375">
        <v>0</v>
      </c>
      <c r="AK39" s="375"/>
      <c r="AL39" s="375">
        <v>16</v>
      </c>
      <c r="AM39" s="375"/>
      <c r="AN39" s="375">
        <v>0</v>
      </c>
      <c r="AO39" s="375"/>
      <c r="AP39" s="375">
        <v>0</v>
      </c>
      <c r="AQ39" s="375"/>
      <c r="AR39" s="375">
        <v>0</v>
      </c>
      <c r="AS39" s="375"/>
      <c r="AT39" s="375">
        <v>500</v>
      </c>
      <c r="AU39" s="406"/>
      <c r="AV39" s="532">
        <f>SUM(D39:AU39)</f>
        <v>18762</v>
      </c>
      <c r="AW39" s="532"/>
      <c r="AX39" s="536">
        <f>AV39/AV59*100</f>
        <v>24.460262828535669</v>
      </c>
      <c r="AY39" s="531"/>
      <c r="AZ39" s="25"/>
      <c r="BA39" s="25"/>
      <c r="BB39" s="222"/>
    </row>
    <row r="40" spans="2:54" s="3" customFormat="1" ht="30" customHeight="1" x14ac:dyDescent="0.2">
      <c r="B40" s="519"/>
      <c r="C40" s="549" t="s">
        <v>16</v>
      </c>
      <c r="D40" s="375">
        <v>0</v>
      </c>
      <c r="E40" s="681"/>
      <c r="F40" s="375">
        <v>0</v>
      </c>
      <c r="G40" s="375"/>
      <c r="H40" s="375">
        <v>0</v>
      </c>
      <c r="I40" s="375"/>
      <c r="J40" s="375">
        <v>0</v>
      </c>
      <c r="K40" s="371"/>
      <c r="L40" s="375">
        <v>0</v>
      </c>
      <c r="M40" s="375"/>
      <c r="N40" s="375">
        <v>0</v>
      </c>
      <c r="O40" s="375"/>
      <c r="P40" s="375">
        <v>0</v>
      </c>
      <c r="Q40" s="375"/>
      <c r="R40" s="375">
        <v>0</v>
      </c>
      <c r="S40" s="375"/>
      <c r="T40" s="375">
        <v>0</v>
      </c>
      <c r="U40" s="375"/>
      <c r="V40" s="375">
        <v>0</v>
      </c>
      <c r="W40" s="375"/>
      <c r="X40" s="684">
        <v>0</v>
      </c>
      <c r="Y40" s="684"/>
      <c r="Z40" s="684">
        <v>0</v>
      </c>
      <c r="AA40" s="684"/>
      <c r="AB40" s="684">
        <v>0</v>
      </c>
      <c r="AC40" s="684"/>
      <c r="AD40" s="684">
        <v>0</v>
      </c>
      <c r="AE40" s="684"/>
      <c r="AF40" s="684">
        <v>288000</v>
      </c>
      <c r="AG40" s="685"/>
      <c r="AH40" s="685">
        <v>468240</v>
      </c>
      <c r="AI40" s="375"/>
      <c r="AJ40" s="375">
        <v>0</v>
      </c>
      <c r="AK40" s="375"/>
      <c r="AL40" s="375">
        <v>256</v>
      </c>
      <c r="AM40" s="375"/>
      <c r="AN40" s="375">
        <v>0</v>
      </c>
      <c r="AO40" s="375"/>
      <c r="AP40" s="375">
        <v>0</v>
      </c>
      <c r="AQ40" s="371"/>
      <c r="AR40" s="375">
        <v>0</v>
      </c>
      <c r="AS40" s="375"/>
      <c r="AT40" s="375">
        <v>4000</v>
      </c>
      <c r="AU40" s="406"/>
      <c r="AV40" s="532">
        <f>SUM(D40:AU40)</f>
        <v>760496</v>
      </c>
      <c r="AW40" s="532"/>
      <c r="AX40" s="536">
        <f>AV40/AV60*100</f>
        <v>33.129631856192681</v>
      </c>
      <c r="AY40" s="531"/>
      <c r="AZ40" s="25"/>
      <c r="BA40" s="25"/>
      <c r="BB40" s="222"/>
    </row>
    <row r="41" spans="2:54" s="3" customFormat="1" ht="30" customHeight="1" x14ac:dyDescent="0.2">
      <c r="B41" s="519"/>
      <c r="C41" s="547" t="s">
        <v>33</v>
      </c>
      <c r="D41" s="551"/>
      <c r="E41" s="693"/>
      <c r="F41" s="551"/>
      <c r="G41" s="551"/>
      <c r="H41" s="551"/>
      <c r="I41" s="551"/>
      <c r="J41" s="551"/>
      <c r="K41" s="551"/>
      <c r="L41" s="551"/>
      <c r="M41" s="551"/>
      <c r="N41" s="551"/>
      <c r="O41" s="551"/>
      <c r="P41" s="551"/>
      <c r="Q41" s="551"/>
      <c r="R41" s="551"/>
      <c r="S41" s="551"/>
      <c r="T41" s="551"/>
      <c r="U41" s="551"/>
      <c r="V41" s="551"/>
      <c r="W41" s="551"/>
      <c r="X41" s="688"/>
      <c r="Y41" s="688"/>
      <c r="Z41" s="688"/>
      <c r="AA41" s="688"/>
      <c r="AB41" s="688"/>
      <c r="AC41" s="688"/>
      <c r="AD41" s="688"/>
      <c r="AE41" s="688"/>
      <c r="AF41" s="688"/>
      <c r="AG41" s="688"/>
      <c r="AH41" s="688"/>
      <c r="AI41" s="551"/>
      <c r="AJ41" s="551"/>
      <c r="AK41" s="551"/>
      <c r="AL41" s="551"/>
      <c r="AM41" s="551"/>
      <c r="AN41" s="551"/>
      <c r="AO41" s="551"/>
      <c r="AP41" s="551"/>
      <c r="AQ41" s="551"/>
      <c r="AR41" s="551"/>
      <c r="AS41" s="551"/>
      <c r="AT41" s="551"/>
      <c r="AU41" s="408"/>
      <c r="AV41" s="532"/>
      <c r="AW41" s="532"/>
      <c r="AX41" s="537"/>
      <c r="AY41" s="531"/>
      <c r="AZ41" s="13"/>
      <c r="BA41" s="13"/>
      <c r="BB41" s="13"/>
    </row>
    <row r="42" spans="2:54" s="3" customFormat="1" ht="30" customHeight="1" x14ac:dyDescent="0.2">
      <c r="B42" s="519"/>
      <c r="C42" s="549" t="s">
        <v>2</v>
      </c>
      <c r="D42" s="375">
        <v>0</v>
      </c>
      <c r="E42" s="681"/>
      <c r="F42" s="375">
        <v>0</v>
      </c>
      <c r="G42" s="375"/>
      <c r="H42" s="375">
        <v>0</v>
      </c>
      <c r="I42" s="375"/>
      <c r="J42" s="375">
        <v>0</v>
      </c>
      <c r="K42" s="375"/>
      <c r="L42" s="375">
        <v>2</v>
      </c>
      <c r="M42" s="375"/>
      <c r="N42" s="375">
        <v>0</v>
      </c>
      <c r="O42" s="375"/>
      <c r="P42" s="375">
        <v>0</v>
      </c>
      <c r="Q42" s="375"/>
      <c r="R42" s="375">
        <v>0</v>
      </c>
      <c r="S42" s="375"/>
      <c r="T42" s="375">
        <v>0</v>
      </c>
      <c r="U42" s="375"/>
      <c r="V42" s="375">
        <v>0</v>
      </c>
      <c r="W42" s="375"/>
      <c r="X42" s="684">
        <v>0</v>
      </c>
      <c r="Y42" s="684"/>
      <c r="Z42" s="684">
        <v>0</v>
      </c>
      <c r="AA42" s="684"/>
      <c r="AB42" s="684">
        <v>0</v>
      </c>
      <c r="AC42" s="684"/>
      <c r="AD42" s="684">
        <v>0</v>
      </c>
      <c r="AE42" s="684"/>
      <c r="AF42" s="684">
        <v>1</v>
      </c>
      <c r="AG42" s="685"/>
      <c r="AH42" s="685">
        <v>1</v>
      </c>
      <c r="AI42" s="375"/>
      <c r="AJ42" s="375">
        <v>0</v>
      </c>
      <c r="AK42" s="375"/>
      <c r="AL42" s="375">
        <v>0</v>
      </c>
      <c r="AM42" s="375"/>
      <c r="AN42" s="375">
        <v>0</v>
      </c>
      <c r="AO42" s="375"/>
      <c r="AP42" s="375">
        <v>0</v>
      </c>
      <c r="AQ42" s="375"/>
      <c r="AR42" s="375">
        <v>0</v>
      </c>
      <c r="AS42" s="375"/>
      <c r="AT42" s="375">
        <v>0</v>
      </c>
      <c r="AU42" s="406"/>
      <c r="AV42" s="532">
        <f>SUM(D42:AU42)</f>
        <v>4</v>
      </c>
      <c r="AW42" s="532"/>
      <c r="AX42" s="536">
        <f>AV42/AV58*100</f>
        <v>6.3492063492063489</v>
      </c>
      <c r="AY42" s="531"/>
      <c r="AZ42" s="25"/>
      <c r="BA42" s="25"/>
      <c r="BB42" s="222"/>
    </row>
    <row r="43" spans="2:54" s="3" customFormat="1" ht="30" customHeight="1" x14ac:dyDescent="0.2">
      <c r="B43" s="519"/>
      <c r="C43" s="549" t="s">
        <v>15</v>
      </c>
      <c r="D43" s="375">
        <v>0</v>
      </c>
      <c r="E43" s="681"/>
      <c r="F43" s="375">
        <v>0</v>
      </c>
      <c r="G43" s="375"/>
      <c r="H43" s="375">
        <v>0</v>
      </c>
      <c r="I43" s="375"/>
      <c r="J43" s="375">
        <v>0</v>
      </c>
      <c r="K43" s="375"/>
      <c r="L43" s="375">
        <v>145</v>
      </c>
      <c r="M43" s="375"/>
      <c r="N43" s="375">
        <v>0</v>
      </c>
      <c r="O43" s="375"/>
      <c r="P43" s="375">
        <v>0</v>
      </c>
      <c r="Q43" s="375"/>
      <c r="R43" s="375">
        <v>0</v>
      </c>
      <c r="S43" s="375"/>
      <c r="T43" s="375">
        <v>0</v>
      </c>
      <c r="U43" s="375"/>
      <c r="V43" s="375">
        <v>0</v>
      </c>
      <c r="W43" s="375"/>
      <c r="X43" s="684">
        <v>0</v>
      </c>
      <c r="Y43" s="684"/>
      <c r="Z43" s="684">
        <v>0</v>
      </c>
      <c r="AA43" s="684"/>
      <c r="AB43" s="684">
        <v>0</v>
      </c>
      <c r="AC43" s="684"/>
      <c r="AD43" s="684">
        <v>0</v>
      </c>
      <c r="AE43" s="684"/>
      <c r="AF43" s="684">
        <v>342</v>
      </c>
      <c r="AG43" s="685"/>
      <c r="AH43" s="685">
        <v>110</v>
      </c>
      <c r="AI43" s="375"/>
      <c r="AJ43" s="375">
        <v>0</v>
      </c>
      <c r="AK43" s="375"/>
      <c r="AL43" s="375">
        <v>0</v>
      </c>
      <c r="AM43" s="375"/>
      <c r="AN43" s="375">
        <v>0</v>
      </c>
      <c r="AO43" s="375"/>
      <c r="AP43" s="375">
        <v>0</v>
      </c>
      <c r="AQ43" s="375"/>
      <c r="AR43" s="375">
        <v>0</v>
      </c>
      <c r="AS43" s="375"/>
      <c r="AT43" s="375">
        <v>0</v>
      </c>
      <c r="AU43" s="406"/>
      <c r="AV43" s="532">
        <f>SUM(D43:AU43)</f>
        <v>597</v>
      </c>
      <c r="AW43" s="532"/>
      <c r="AX43" s="536">
        <f>AV43/AV59*100</f>
        <v>0.77831664580725901</v>
      </c>
      <c r="AY43" s="531"/>
      <c r="AZ43" s="25"/>
      <c r="BA43" s="25"/>
      <c r="BB43" s="222"/>
    </row>
    <row r="44" spans="2:54" s="3" customFormat="1" ht="30" customHeight="1" x14ac:dyDescent="0.2">
      <c r="B44" s="519"/>
      <c r="C44" s="549" t="s">
        <v>16</v>
      </c>
      <c r="D44" s="375">
        <v>0</v>
      </c>
      <c r="E44" s="681"/>
      <c r="F44" s="375">
        <v>0</v>
      </c>
      <c r="G44" s="375"/>
      <c r="H44" s="375">
        <v>0</v>
      </c>
      <c r="I44" s="375"/>
      <c r="J44" s="375">
        <v>0</v>
      </c>
      <c r="K44" s="371"/>
      <c r="L44" s="375">
        <v>8128</v>
      </c>
      <c r="M44" s="375"/>
      <c r="N44" s="375">
        <v>0</v>
      </c>
      <c r="O44" s="375"/>
      <c r="P44" s="375">
        <v>0</v>
      </c>
      <c r="Q44" s="375"/>
      <c r="R44" s="375">
        <v>0</v>
      </c>
      <c r="S44" s="375"/>
      <c r="T44" s="375">
        <v>0</v>
      </c>
      <c r="U44" s="375"/>
      <c r="V44" s="375">
        <v>0</v>
      </c>
      <c r="W44" s="375"/>
      <c r="X44" s="684">
        <v>0</v>
      </c>
      <c r="Y44" s="684"/>
      <c r="Z44" s="684">
        <v>0</v>
      </c>
      <c r="AA44" s="684"/>
      <c r="AB44" s="684">
        <v>0</v>
      </c>
      <c r="AC44" s="684"/>
      <c r="AD44" s="684">
        <v>0</v>
      </c>
      <c r="AE44" s="684"/>
      <c r="AF44" s="684">
        <v>2736</v>
      </c>
      <c r="AG44" s="685"/>
      <c r="AH44" s="685">
        <v>336880</v>
      </c>
      <c r="AI44" s="375"/>
      <c r="AJ44" s="375">
        <v>0</v>
      </c>
      <c r="AK44" s="375"/>
      <c r="AL44" s="375">
        <v>0</v>
      </c>
      <c r="AM44" s="375"/>
      <c r="AN44" s="375">
        <v>0</v>
      </c>
      <c r="AO44" s="375"/>
      <c r="AP44" s="375">
        <v>0</v>
      </c>
      <c r="AQ44" s="371"/>
      <c r="AR44" s="375">
        <v>0</v>
      </c>
      <c r="AS44" s="375"/>
      <c r="AT44" s="375">
        <v>0</v>
      </c>
      <c r="AU44" s="406"/>
      <c r="AV44" s="532">
        <f>SUM(D44:AU44)</f>
        <v>347744</v>
      </c>
      <c r="AW44" s="532"/>
      <c r="AX44" s="536">
        <f>AV44/AV60*100</f>
        <v>15.148837995465945</v>
      </c>
      <c r="AY44" s="531"/>
      <c r="AZ44" s="25"/>
      <c r="BA44" s="25"/>
      <c r="BB44" s="222"/>
    </row>
    <row r="45" spans="2:54" s="3" customFormat="1" ht="30" customHeight="1" x14ac:dyDescent="0.2">
      <c r="B45" s="519"/>
      <c r="C45" s="547" t="s">
        <v>34</v>
      </c>
      <c r="D45" s="551"/>
      <c r="E45" s="693"/>
      <c r="F45" s="551"/>
      <c r="G45" s="551"/>
      <c r="H45" s="551"/>
      <c r="I45" s="551"/>
      <c r="J45" s="551"/>
      <c r="K45" s="551"/>
      <c r="L45" s="551"/>
      <c r="M45" s="551"/>
      <c r="N45" s="551"/>
      <c r="O45" s="551"/>
      <c r="P45" s="551"/>
      <c r="Q45" s="551"/>
      <c r="R45" s="551"/>
      <c r="S45" s="551"/>
      <c r="T45" s="551"/>
      <c r="U45" s="551"/>
      <c r="V45" s="551"/>
      <c r="W45" s="551"/>
      <c r="X45" s="688"/>
      <c r="Y45" s="688"/>
      <c r="Z45" s="688"/>
      <c r="AA45" s="688"/>
      <c r="AB45" s="688"/>
      <c r="AC45" s="688"/>
      <c r="AD45" s="688"/>
      <c r="AE45" s="688"/>
      <c r="AF45" s="688"/>
      <c r="AG45" s="688"/>
      <c r="AH45" s="688"/>
      <c r="AI45" s="551"/>
      <c r="AJ45" s="551"/>
      <c r="AK45" s="551"/>
      <c r="AL45" s="551"/>
      <c r="AM45" s="551"/>
      <c r="AN45" s="551"/>
      <c r="AO45" s="551"/>
      <c r="AP45" s="551"/>
      <c r="AQ45" s="551"/>
      <c r="AR45" s="551"/>
      <c r="AS45" s="551"/>
      <c r="AT45" s="551"/>
      <c r="AU45" s="408"/>
      <c r="AV45" s="532"/>
      <c r="AW45" s="532"/>
      <c r="AX45" s="537"/>
      <c r="AY45" s="531"/>
      <c r="AZ45" s="13"/>
      <c r="BA45" s="13"/>
      <c r="BB45" s="13"/>
    </row>
    <row r="46" spans="2:54" s="3" customFormat="1" ht="30" customHeight="1" x14ac:dyDescent="0.2">
      <c r="B46" s="519"/>
      <c r="C46" s="549" t="s">
        <v>2</v>
      </c>
      <c r="D46" s="375">
        <v>0</v>
      </c>
      <c r="E46" s="681"/>
      <c r="F46" s="375">
        <v>0</v>
      </c>
      <c r="G46" s="375"/>
      <c r="H46" s="375">
        <v>0</v>
      </c>
      <c r="I46" s="375"/>
      <c r="J46" s="375">
        <v>0</v>
      </c>
      <c r="K46" s="375"/>
      <c r="L46" s="375">
        <v>1</v>
      </c>
      <c r="M46" s="375"/>
      <c r="N46" s="375">
        <v>0</v>
      </c>
      <c r="O46" s="375"/>
      <c r="P46" s="375">
        <v>0</v>
      </c>
      <c r="Q46" s="375"/>
      <c r="R46" s="375">
        <v>0</v>
      </c>
      <c r="S46" s="375"/>
      <c r="T46" s="375">
        <v>0</v>
      </c>
      <c r="U46" s="375"/>
      <c r="V46" s="375">
        <v>0</v>
      </c>
      <c r="W46" s="375"/>
      <c r="X46" s="684">
        <v>0</v>
      </c>
      <c r="Y46" s="684"/>
      <c r="Z46" s="684">
        <v>0</v>
      </c>
      <c r="AA46" s="684"/>
      <c r="AB46" s="684">
        <v>0</v>
      </c>
      <c r="AC46" s="684"/>
      <c r="AD46" s="684">
        <v>0</v>
      </c>
      <c r="AE46" s="684"/>
      <c r="AF46" s="684">
        <v>2</v>
      </c>
      <c r="AG46" s="685"/>
      <c r="AH46" s="685">
        <v>3</v>
      </c>
      <c r="AI46" s="375"/>
      <c r="AJ46" s="375">
        <v>0</v>
      </c>
      <c r="AK46" s="375"/>
      <c r="AL46" s="375">
        <v>0</v>
      </c>
      <c r="AM46" s="375"/>
      <c r="AN46" s="375">
        <v>0</v>
      </c>
      <c r="AO46" s="375"/>
      <c r="AP46" s="375">
        <v>0</v>
      </c>
      <c r="AQ46" s="375"/>
      <c r="AR46" s="375">
        <v>0</v>
      </c>
      <c r="AS46" s="375"/>
      <c r="AT46" s="375">
        <v>0</v>
      </c>
      <c r="AU46" s="406"/>
      <c r="AV46" s="532">
        <f>SUM(D46:AU46)</f>
        <v>6</v>
      </c>
      <c r="AW46" s="532"/>
      <c r="AX46" s="536">
        <f>AV46/AV58*100</f>
        <v>9.5238095238095237</v>
      </c>
      <c r="AY46" s="531"/>
      <c r="AZ46" s="25"/>
      <c r="BA46" s="25"/>
      <c r="BB46" s="222"/>
    </row>
    <row r="47" spans="2:54" s="3" customFormat="1" ht="30" customHeight="1" x14ac:dyDescent="0.2">
      <c r="B47" s="519"/>
      <c r="C47" s="549" t="s">
        <v>15</v>
      </c>
      <c r="D47" s="375">
        <v>0</v>
      </c>
      <c r="E47" s="681"/>
      <c r="F47" s="375">
        <v>0</v>
      </c>
      <c r="G47" s="375"/>
      <c r="H47" s="375">
        <v>0</v>
      </c>
      <c r="I47" s="375"/>
      <c r="J47" s="375">
        <v>0</v>
      </c>
      <c r="K47" s="375"/>
      <c r="L47" s="375">
        <v>25</v>
      </c>
      <c r="M47" s="375"/>
      <c r="N47" s="375">
        <v>0</v>
      </c>
      <c r="O47" s="375"/>
      <c r="P47" s="375">
        <v>0</v>
      </c>
      <c r="Q47" s="375"/>
      <c r="R47" s="375">
        <v>0</v>
      </c>
      <c r="S47" s="375"/>
      <c r="T47" s="375">
        <v>0</v>
      </c>
      <c r="U47" s="375"/>
      <c r="V47" s="375">
        <v>0</v>
      </c>
      <c r="W47" s="375"/>
      <c r="X47" s="684">
        <v>0</v>
      </c>
      <c r="Y47" s="684"/>
      <c r="Z47" s="684">
        <v>0</v>
      </c>
      <c r="AA47" s="684"/>
      <c r="AB47" s="684">
        <v>0</v>
      </c>
      <c r="AC47" s="684"/>
      <c r="AD47" s="684">
        <v>0</v>
      </c>
      <c r="AE47" s="684"/>
      <c r="AF47" s="684">
        <v>2125</v>
      </c>
      <c r="AG47" s="685"/>
      <c r="AH47" s="685">
        <v>8500</v>
      </c>
      <c r="AI47" s="375"/>
      <c r="AJ47" s="375">
        <v>0</v>
      </c>
      <c r="AK47" s="375"/>
      <c r="AL47" s="375">
        <v>0</v>
      </c>
      <c r="AM47" s="375"/>
      <c r="AN47" s="375">
        <v>0</v>
      </c>
      <c r="AO47" s="375"/>
      <c r="AP47" s="375">
        <v>0</v>
      </c>
      <c r="AQ47" s="375"/>
      <c r="AR47" s="375">
        <v>0</v>
      </c>
      <c r="AS47" s="375"/>
      <c r="AT47" s="375">
        <v>0</v>
      </c>
      <c r="AU47" s="406"/>
      <c r="AV47" s="532">
        <f>SUM(D47:AU47)</f>
        <v>10650</v>
      </c>
      <c r="AW47" s="532"/>
      <c r="AX47" s="536">
        <f>AV47/AV59*100</f>
        <v>13.884543178973718</v>
      </c>
      <c r="AY47" s="531"/>
      <c r="AZ47" s="25"/>
      <c r="BA47" s="25"/>
      <c r="BB47" s="222"/>
    </row>
    <row r="48" spans="2:54" s="3" customFormat="1" ht="30" customHeight="1" x14ac:dyDescent="0.2">
      <c r="B48" s="519"/>
      <c r="C48" s="549" t="s">
        <v>16</v>
      </c>
      <c r="D48" s="375">
        <v>0</v>
      </c>
      <c r="E48" s="681"/>
      <c r="F48" s="375">
        <v>0</v>
      </c>
      <c r="G48" s="375"/>
      <c r="H48" s="375">
        <v>0</v>
      </c>
      <c r="I48" s="375"/>
      <c r="J48" s="375">
        <v>0</v>
      </c>
      <c r="K48" s="371"/>
      <c r="L48" s="375">
        <v>19040</v>
      </c>
      <c r="M48" s="375"/>
      <c r="N48" s="375">
        <v>0</v>
      </c>
      <c r="O48" s="375"/>
      <c r="P48" s="375">
        <v>0</v>
      </c>
      <c r="Q48" s="375"/>
      <c r="R48" s="375">
        <v>0</v>
      </c>
      <c r="S48" s="375"/>
      <c r="T48" s="375">
        <v>0</v>
      </c>
      <c r="U48" s="375"/>
      <c r="V48" s="375">
        <v>0</v>
      </c>
      <c r="W48" s="375"/>
      <c r="X48" s="684">
        <v>0</v>
      </c>
      <c r="Y48" s="684"/>
      <c r="Z48" s="684">
        <v>0</v>
      </c>
      <c r="AA48" s="684"/>
      <c r="AB48" s="684">
        <v>0</v>
      </c>
      <c r="AC48" s="684"/>
      <c r="AD48" s="684">
        <v>0</v>
      </c>
      <c r="AE48" s="684"/>
      <c r="AF48" s="684">
        <v>34000</v>
      </c>
      <c r="AG48" s="685"/>
      <c r="AH48" s="685">
        <v>96000</v>
      </c>
      <c r="AI48" s="375"/>
      <c r="AJ48" s="375">
        <v>0</v>
      </c>
      <c r="AK48" s="375"/>
      <c r="AL48" s="375">
        <v>0</v>
      </c>
      <c r="AM48" s="375"/>
      <c r="AN48" s="375">
        <v>0</v>
      </c>
      <c r="AO48" s="375"/>
      <c r="AP48" s="375">
        <v>0</v>
      </c>
      <c r="AQ48" s="371"/>
      <c r="AR48" s="375">
        <v>0</v>
      </c>
      <c r="AS48" s="375"/>
      <c r="AT48" s="375">
        <v>0</v>
      </c>
      <c r="AU48" s="406"/>
      <c r="AV48" s="532">
        <f>SUM(D48:AU48)</f>
        <v>149040</v>
      </c>
      <c r="AW48" s="532"/>
      <c r="AX48" s="536">
        <f>AV48/AV60*100</f>
        <v>6.4926578599321463</v>
      </c>
      <c r="AY48" s="531"/>
      <c r="AZ48" s="25"/>
      <c r="BA48" s="25"/>
      <c r="BB48" s="222"/>
    </row>
    <row r="49" spans="2:56" s="3" customFormat="1" ht="30" customHeight="1" x14ac:dyDescent="0.2">
      <c r="B49" s="519"/>
      <c r="C49" s="547" t="s">
        <v>35</v>
      </c>
      <c r="D49" s="551"/>
      <c r="E49" s="693"/>
      <c r="F49" s="551"/>
      <c r="G49" s="551"/>
      <c r="H49" s="551"/>
      <c r="I49" s="551"/>
      <c r="J49" s="551"/>
      <c r="K49" s="551"/>
      <c r="L49" s="551"/>
      <c r="M49" s="551"/>
      <c r="N49" s="551"/>
      <c r="O49" s="551"/>
      <c r="P49" s="551"/>
      <c r="Q49" s="551"/>
      <c r="R49" s="551"/>
      <c r="S49" s="551"/>
      <c r="T49" s="551"/>
      <c r="U49" s="551"/>
      <c r="V49" s="551"/>
      <c r="W49" s="551"/>
      <c r="X49" s="688"/>
      <c r="Y49" s="688"/>
      <c r="Z49" s="688"/>
      <c r="AA49" s="688"/>
      <c r="AB49" s="688"/>
      <c r="AC49" s="688"/>
      <c r="AD49" s="688"/>
      <c r="AE49" s="688"/>
      <c r="AF49" s="688"/>
      <c r="AG49" s="688"/>
      <c r="AH49" s="688"/>
      <c r="AI49" s="551"/>
      <c r="AJ49" s="551"/>
      <c r="AK49" s="551"/>
      <c r="AL49" s="551"/>
      <c r="AM49" s="551"/>
      <c r="AN49" s="551"/>
      <c r="AO49" s="551"/>
      <c r="AP49" s="551"/>
      <c r="AQ49" s="551"/>
      <c r="AR49" s="551"/>
      <c r="AS49" s="551"/>
      <c r="AT49" s="551"/>
      <c r="AU49" s="408"/>
      <c r="AV49" s="532"/>
      <c r="AW49" s="532"/>
      <c r="AX49" s="537"/>
      <c r="AY49" s="531"/>
      <c r="AZ49" s="13"/>
      <c r="BA49" s="13"/>
      <c r="BB49" s="13"/>
    </row>
    <row r="50" spans="2:56" s="3" customFormat="1" ht="30" customHeight="1" x14ac:dyDescent="0.2">
      <c r="B50" s="519"/>
      <c r="C50" s="549" t="s">
        <v>2</v>
      </c>
      <c r="D50" s="375">
        <v>0</v>
      </c>
      <c r="E50" s="681"/>
      <c r="F50" s="375">
        <v>0</v>
      </c>
      <c r="G50" s="375"/>
      <c r="H50" s="375">
        <v>0</v>
      </c>
      <c r="I50" s="375"/>
      <c r="J50" s="375">
        <v>0</v>
      </c>
      <c r="K50" s="375"/>
      <c r="L50" s="375">
        <v>1</v>
      </c>
      <c r="M50" s="375"/>
      <c r="N50" s="375">
        <v>0</v>
      </c>
      <c r="O50" s="375"/>
      <c r="P50" s="375">
        <v>0</v>
      </c>
      <c r="Q50" s="375"/>
      <c r="R50" s="375">
        <v>0</v>
      </c>
      <c r="S50" s="375"/>
      <c r="T50" s="375">
        <v>0</v>
      </c>
      <c r="U50" s="375"/>
      <c r="V50" s="375">
        <v>2</v>
      </c>
      <c r="W50" s="375"/>
      <c r="X50" s="684">
        <v>1</v>
      </c>
      <c r="Y50" s="684"/>
      <c r="Z50" s="684">
        <v>0</v>
      </c>
      <c r="AA50" s="684"/>
      <c r="AB50" s="684">
        <v>0</v>
      </c>
      <c r="AC50" s="684"/>
      <c r="AD50" s="684">
        <v>3</v>
      </c>
      <c r="AE50" s="684"/>
      <c r="AF50" s="684">
        <v>0</v>
      </c>
      <c r="AG50" s="685"/>
      <c r="AH50" s="685">
        <v>4</v>
      </c>
      <c r="AI50" s="375"/>
      <c r="AJ50" s="375">
        <v>0</v>
      </c>
      <c r="AK50" s="375"/>
      <c r="AL50" s="375">
        <v>0</v>
      </c>
      <c r="AM50" s="375"/>
      <c r="AN50" s="375">
        <v>1</v>
      </c>
      <c r="AO50" s="375"/>
      <c r="AP50" s="375">
        <v>3</v>
      </c>
      <c r="AQ50" s="375"/>
      <c r="AR50" s="375">
        <v>0</v>
      </c>
      <c r="AS50" s="375"/>
      <c r="AT50" s="375">
        <v>0</v>
      </c>
      <c r="AU50" s="406"/>
      <c r="AV50" s="532">
        <f>SUM(D50:AU50)</f>
        <v>15</v>
      </c>
      <c r="AW50" s="532"/>
      <c r="AX50" s="536">
        <f>AV50/AV58*100</f>
        <v>23.809523809523807</v>
      </c>
      <c r="AY50" s="531"/>
      <c r="AZ50" s="25"/>
      <c r="BA50" s="25"/>
      <c r="BB50" s="222"/>
    </row>
    <row r="51" spans="2:56" s="3" customFormat="1" ht="30" customHeight="1" x14ac:dyDescent="0.2">
      <c r="B51" s="519"/>
      <c r="C51" s="549" t="s">
        <v>15</v>
      </c>
      <c r="D51" s="375">
        <v>0</v>
      </c>
      <c r="E51" s="681"/>
      <c r="F51" s="375">
        <v>0</v>
      </c>
      <c r="G51" s="375"/>
      <c r="H51" s="375">
        <v>0</v>
      </c>
      <c r="I51" s="375"/>
      <c r="J51" s="375">
        <v>0</v>
      </c>
      <c r="K51" s="375"/>
      <c r="L51" s="375">
        <v>25</v>
      </c>
      <c r="M51" s="375"/>
      <c r="N51" s="375">
        <v>0</v>
      </c>
      <c r="O51" s="375"/>
      <c r="P51" s="375">
        <v>0</v>
      </c>
      <c r="Q51" s="375"/>
      <c r="R51" s="375">
        <v>0</v>
      </c>
      <c r="S51" s="375"/>
      <c r="T51" s="375">
        <v>0</v>
      </c>
      <c r="U51" s="375"/>
      <c r="V51" s="375">
        <v>421</v>
      </c>
      <c r="W51" s="375"/>
      <c r="X51" s="684">
        <v>390</v>
      </c>
      <c r="Y51" s="684"/>
      <c r="Z51" s="684">
        <v>0</v>
      </c>
      <c r="AA51" s="684"/>
      <c r="AB51" s="684">
        <v>0</v>
      </c>
      <c r="AC51" s="684"/>
      <c r="AD51" s="684">
        <v>2720</v>
      </c>
      <c r="AE51" s="684"/>
      <c r="AF51" s="684">
        <v>0</v>
      </c>
      <c r="AG51" s="685"/>
      <c r="AH51" s="685">
        <v>14200</v>
      </c>
      <c r="AI51" s="375"/>
      <c r="AJ51" s="375">
        <v>0</v>
      </c>
      <c r="AK51" s="375"/>
      <c r="AL51" s="375">
        <v>0</v>
      </c>
      <c r="AM51" s="375"/>
      <c r="AN51" s="375">
        <v>10000</v>
      </c>
      <c r="AO51" s="375"/>
      <c r="AP51" s="375">
        <v>2694</v>
      </c>
      <c r="AQ51" s="375"/>
      <c r="AR51" s="375">
        <v>0</v>
      </c>
      <c r="AS51" s="375"/>
      <c r="AT51" s="375">
        <v>0</v>
      </c>
      <c r="AU51" s="406"/>
      <c r="AV51" s="532">
        <f>SUM(D51:AU51)</f>
        <v>30450</v>
      </c>
      <c r="AW51" s="532"/>
      <c r="AX51" s="536">
        <f>AV51/AV59*100</f>
        <v>39.698060075093863</v>
      </c>
      <c r="AY51" s="531"/>
      <c r="AZ51" s="25"/>
      <c r="BA51" s="25"/>
      <c r="BB51" s="222"/>
    </row>
    <row r="52" spans="2:56" s="3" customFormat="1" ht="30" customHeight="1" x14ac:dyDescent="0.2">
      <c r="B52" s="519"/>
      <c r="C52" s="549" t="s">
        <v>16</v>
      </c>
      <c r="D52" s="375">
        <v>0</v>
      </c>
      <c r="E52" s="681"/>
      <c r="F52" s="375">
        <v>0</v>
      </c>
      <c r="G52" s="375"/>
      <c r="H52" s="375">
        <v>0</v>
      </c>
      <c r="I52" s="375"/>
      <c r="J52" s="375">
        <v>0</v>
      </c>
      <c r="K52" s="371"/>
      <c r="L52" s="375">
        <v>22000</v>
      </c>
      <c r="M52" s="375"/>
      <c r="N52" s="375">
        <v>0</v>
      </c>
      <c r="O52" s="375"/>
      <c r="P52" s="375">
        <v>0</v>
      </c>
      <c r="Q52" s="375"/>
      <c r="R52" s="375">
        <v>0</v>
      </c>
      <c r="S52" s="375"/>
      <c r="T52" s="375">
        <v>0</v>
      </c>
      <c r="U52" s="375"/>
      <c r="V52" s="375">
        <v>4912</v>
      </c>
      <c r="W52" s="375"/>
      <c r="X52" s="684">
        <v>6240</v>
      </c>
      <c r="Y52" s="684"/>
      <c r="Z52" s="684">
        <v>0</v>
      </c>
      <c r="AA52" s="684"/>
      <c r="AB52" s="684">
        <v>0</v>
      </c>
      <c r="AC52" s="684"/>
      <c r="AD52" s="684">
        <v>21760</v>
      </c>
      <c r="AE52" s="684"/>
      <c r="AF52" s="684">
        <v>0</v>
      </c>
      <c r="AG52" s="685"/>
      <c r="AH52" s="685">
        <v>340800</v>
      </c>
      <c r="AI52" s="375"/>
      <c r="AJ52" s="375">
        <v>0</v>
      </c>
      <c r="AK52" s="375"/>
      <c r="AL52" s="375">
        <v>0</v>
      </c>
      <c r="AM52" s="375"/>
      <c r="AN52" s="375">
        <v>60000</v>
      </c>
      <c r="AO52" s="375"/>
      <c r="AP52" s="375">
        <v>16164</v>
      </c>
      <c r="AQ52" s="371"/>
      <c r="AR52" s="375">
        <v>0</v>
      </c>
      <c r="AS52" s="375"/>
      <c r="AT52" s="375">
        <v>0</v>
      </c>
      <c r="AU52" s="406"/>
      <c r="AV52" s="532">
        <f>SUM(D52:AU52)</f>
        <v>471876</v>
      </c>
      <c r="AW52" s="532"/>
      <c r="AX52" s="536">
        <f>AV52/AV60*100</f>
        <v>20.556423915145874</v>
      </c>
      <c r="AY52" s="531"/>
      <c r="AZ52" s="25"/>
      <c r="BA52" s="25"/>
      <c r="BB52" s="222"/>
    </row>
    <row r="53" spans="2:56" s="3" customFormat="1" ht="30" customHeight="1" x14ac:dyDescent="0.2">
      <c r="B53" s="519"/>
      <c r="C53" s="547" t="s">
        <v>146</v>
      </c>
      <c r="D53" s="551"/>
      <c r="E53" s="693"/>
      <c r="F53" s="551"/>
      <c r="G53" s="551"/>
      <c r="H53" s="551"/>
      <c r="I53" s="551"/>
      <c r="J53" s="551"/>
      <c r="K53" s="551"/>
      <c r="L53" s="551"/>
      <c r="M53" s="551"/>
      <c r="N53" s="551"/>
      <c r="O53" s="551"/>
      <c r="P53" s="551"/>
      <c r="Q53" s="551"/>
      <c r="R53" s="551"/>
      <c r="S53" s="551"/>
      <c r="T53" s="551"/>
      <c r="U53" s="551"/>
      <c r="V53" s="551"/>
      <c r="W53" s="551"/>
      <c r="X53" s="688"/>
      <c r="Y53" s="688"/>
      <c r="Z53" s="688"/>
      <c r="AA53" s="688"/>
      <c r="AB53" s="688"/>
      <c r="AC53" s="688"/>
      <c r="AD53" s="688"/>
      <c r="AE53" s="688"/>
      <c r="AF53" s="688"/>
      <c r="AG53" s="688"/>
      <c r="AH53" s="688"/>
      <c r="AI53" s="551"/>
      <c r="AJ53" s="551"/>
      <c r="AK53" s="551"/>
      <c r="AL53" s="551"/>
      <c r="AM53" s="551"/>
      <c r="AN53" s="551"/>
      <c r="AO53" s="551"/>
      <c r="AP53" s="551"/>
      <c r="AQ53" s="551"/>
      <c r="AR53" s="551"/>
      <c r="AS53" s="551"/>
      <c r="AT53" s="551"/>
      <c r="AU53" s="408"/>
      <c r="AV53" s="532"/>
      <c r="AW53" s="532"/>
      <c r="AX53" s="537"/>
      <c r="AY53" s="531"/>
      <c r="AZ53" s="13"/>
      <c r="BA53" s="13"/>
      <c r="BB53" s="13"/>
    </row>
    <row r="54" spans="2:56" s="3" customFormat="1" ht="30" customHeight="1" x14ac:dyDescent="0.2">
      <c r="B54" s="519"/>
      <c r="C54" s="549" t="s">
        <v>2</v>
      </c>
      <c r="D54" s="375">
        <v>0</v>
      </c>
      <c r="E54" s="681"/>
      <c r="F54" s="375">
        <v>0</v>
      </c>
      <c r="G54" s="375"/>
      <c r="H54" s="375">
        <v>2</v>
      </c>
      <c r="I54" s="375"/>
      <c r="J54" s="375">
        <v>0</v>
      </c>
      <c r="K54" s="375"/>
      <c r="L54" s="375">
        <v>1</v>
      </c>
      <c r="M54" s="375"/>
      <c r="N54" s="375">
        <v>0</v>
      </c>
      <c r="O54" s="375"/>
      <c r="P54" s="375">
        <v>0</v>
      </c>
      <c r="Q54" s="375"/>
      <c r="R54" s="375">
        <v>0</v>
      </c>
      <c r="S54" s="375"/>
      <c r="T54" s="375">
        <v>0</v>
      </c>
      <c r="U54" s="375"/>
      <c r="V54" s="375">
        <v>0</v>
      </c>
      <c r="W54" s="375"/>
      <c r="X54" s="684">
        <v>0</v>
      </c>
      <c r="Y54" s="684"/>
      <c r="Z54" s="684">
        <v>0</v>
      </c>
      <c r="AA54" s="684"/>
      <c r="AB54" s="684">
        <v>0</v>
      </c>
      <c r="AC54" s="684"/>
      <c r="AD54" s="684">
        <v>0</v>
      </c>
      <c r="AE54" s="684"/>
      <c r="AF54" s="684">
        <v>0</v>
      </c>
      <c r="AG54" s="685"/>
      <c r="AH54" s="685">
        <v>2</v>
      </c>
      <c r="AI54" s="375"/>
      <c r="AJ54" s="375">
        <v>0</v>
      </c>
      <c r="AK54" s="375"/>
      <c r="AL54" s="375">
        <v>0</v>
      </c>
      <c r="AM54" s="375"/>
      <c r="AN54" s="375">
        <v>0</v>
      </c>
      <c r="AO54" s="375"/>
      <c r="AP54" s="375">
        <v>0</v>
      </c>
      <c r="AQ54" s="375"/>
      <c r="AR54" s="375">
        <v>0</v>
      </c>
      <c r="AS54" s="375"/>
      <c r="AT54" s="375">
        <v>0</v>
      </c>
      <c r="AU54" s="406"/>
      <c r="AV54" s="532">
        <f>SUM(D54:AU54)</f>
        <v>5</v>
      </c>
      <c r="AW54" s="532"/>
      <c r="AX54" s="536">
        <f>AV54/AV58*100</f>
        <v>7.9365079365079358</v>
      </c>
      <c r="AY54" s="531"/>
      <c r="AZ54" s="25"/>
      <c r="BA54" s="25"/>
      <c r="BB54" s="222"/>
    </row>
    <row r="55" spans="2:56" s="3" customFormat="1" ht="30" customHeight="1" x14ac:dyDescent="0.2">
      <c r="B55" s="519"/>
      <c r="C55" s="549" t="s">
        <v>15</v>
      </c>
      <c r="D55" s="375">
        <v>0</v>
      </c>
      <c r="E55" s="681"/>
      <c r="F55" s="375">
        <v>0</v>
      </c>
      <c r="G55" s="375"/>
      <c r="H55" s="375">
        <v>210</v>
      </c>
      <c r="I55" s="375"/>
      <c r="J55" s="375">
        <v>0</v>
      </c>
      <c r="K55" s="375"/>
      <c r="L55" s="375">
        <v>62</v>
      </c>
      <c r="M55" s="375"/>
      <c r="N55" s="375">
        <v>0</v>
      </c>
      <c r="O55" s="375"/>
      <c r="P55" s="375">
        <v>0</v>
      </c>
      <c r="Q55" s="375"/>
      <c r="R55" s="375">
        <v>0</v>
      </c>
      <c r="S55" s="375"/>
      <c r="T55" s="375">
        <v>0</v>
      </c>
      <c r="U55" s="375"/>
      <c r="V55" s="375">
        <v>0</v>
      </c>
      <c r="W55" s="375"/>
      <c r="X55" s="684">
        <v>0</v>
      </c>
      <c r="Y55" s="684"/>
      <c r="Z55" s="684">
        <v>0</v>
      </c>
      <c r="AA55" s="684"/>
      <c r="AB55" s="684">
        <v>0</v>
      </c>
      <c r="AC55" s="684"/>
      <c r="AD55" s="684">
        <v>0</v>
      </c>
      <c r="AE55" s="684"/>
      <c r="AF55" s="684">
        <v>0</v>
      </c>
      <c r="AG55" s="685"/>
      <c r="AH55" s="685">
        <v>146</v>
      </c>
      <c r="AI55" s="375"/>
      <c r="AJ55" s="375">
        <v>0</v>
      </c>
      <c r="AK55" s="375"/>
      <c r="AL55" s="375">
        <v>0</v>
      </c>
      <c r="AM55" s="375"/>
      <c r="AN55" s="375">
        <v>0</v>
      </c>
      <c r="AO55" s="375"/>
      <c r="AP55" s="375">
        <v>0</v>
      </c>
      <c r="AQ55" s="375"/>
      <c r="AR55" s="375">
        <v>0</v>
      </c>
      <c r="AS55" s="375"/>
      <c r="AT55" s="375">
        <v>0</v>
      </c>
      <c r="AU55" s="406"/>
      <c r="AV55" s="532">
        <f>SUM(D55:AU55)</f>
        <v>418</v>
      </c>
      <c r="AW55" s="532"/>
      <c r="AX55" s="536">
        <f>AV55/AV59*100</f>
        <v>0.54495202336253645</v>
      </c>
      <c r="AY55" s="531"/>
      <c r="AZ55" s="25"/>
      <c r="BA55" s="25"/>
      <c r="BB55" s="222"/>
    </row>
    <row r="56" spans="2:56" s="3" customFormat="1" ht="30" customHeight="1" x14ac:dyDescent="0.2">
      <c r="B56" s="519"/>
      <c r="C56" s="549" t="s">
        <v>16</v>
      </c>
      <c r="D56" s="375">
        <v>0</v>
      </c>
      <c r="E56" s="681"/>
      <c r="F56" s="375">
        <v>0</v>
      </c>
      <c r="G56" s="375"/>
      <c r="H56" s="375">
        <v>27824</v>
      </c>
      <c r="I56" s="375"/>
      <c r="J56" s="375">
        <v>0</v>
      </c>
      <c r="K56" s="371"/>
      <c r="L56" s="375">
        <v>27632</v>
      </c>
      <c r="M56" s="375"/>
      <c r="N56" s="375">
        <v>0</v>
      </c>
      <c r="O56" s="375"/>
      <c r="P56" s="375">
        <v>0</v>
      </c>
      <c r="Q56" s="375"/>
      <c r="R56" s="375">
        <v>0</v>
      </c>
      <c r="S56" s="375"/>
      <c r="T56" s="375">
        <v>0</v>
      </c>
      <c r="U56" s="375"/>
      <c r="V56" s="375">
        <v>0</v>
      </c>
      <c r="W56" s="375"/>
      <c r="X56" s="684">
        <v>0</v>
      </c>
      <c r="Y56" s="684"/>
      <c r="Z56" s="684">
        <v>0</v>
      </c>
      <c r="AA56" s="684"/>
      <c r="AB56" s="684">
        <v>0</v>
      </c>
      <c r="AC56" s="684"/>
      <c r="AD56" s="684">
        <v>0</v>
      </c>
      <c r="AE56" s="684"/>
      <c r="AF56" s="684">
        <v>0</v>
      </c>
      <c r="AG56" s="685"/>
      <c r="AH56" s="685">
        <v>260024</v>
      </c>
      <c r="AI56" s="375"/>
      <c r="AJ56" s="375">
        <v>0</v>
      </c>
      <c r="AK56" s="375"/>
      <c r="AL56" s="375">
        <v>0</v>
      </c>
      <c r="AM56" s="375"/>
      <c r="AN56" s="375">
        <v>0</v>
      </c>
      <c r="AO56" s="375"/>
      <c r="AP56" s="375">
        <v>0</v>
      </c>
      <c r="AQ56" s="371"/>
      <c r="AR56" s="375">
        <v>0</v>
      </c>
      <c r="AS56" s="375"/>
      <c r="AT56" s="375">
        <v>0</v>
      </c>
      <c r="AU56" s="406"/>
      <c r="AV56" s="532">
        <f>SUM(D56:AU56)</f>
        <v>315480</v>
      </c>
      <c r="AW56" s="540"/>
      <c r="AX56" s="536">
        <f>AV56/AV60*100</f>
        <v>13.743315228471506</v>
      </c>
      <c r="AY56" s="531"/>
      <c r="AZ56" s="25"/>
      <c r="BA56" s="25"/>
      <c r="BB56" s="222"/>
    </row>
    <row r="57" spans="2:56" s="3" customFormat="1" ht="30" customHeight="1" x14ac:dyDescent="0.2">
      <c r="B57" s="528"/>
      <c r="C57" s="679" t="s">
        <v>6</v>
      </c>
      <c r="D57" s="529"/>
      <c r="E57" s="694"/>
      <c r="F57" s="529"/>
      <c r="G57" s="529"/>
      <c r="H57" s="529"/>
      <c r="I57" s="529"/>
      <c r="J57" s="529"/>
      <c r="K57" s="529"/>
      <c r="L57" s="529"/>
      <c r="M57" s="529"/>
      <c r="N57" s="529"/>
      <c r="O57" s="529"/>
      <c r="P57" s="529"/>
      <c r="Q57" s="529"/>
      <c r="R57" s="529"/>
      <c r="S57" s="529"/>
      <c r="T57" s="529"/>
      <c r="U57" s="529"/>
      <c r="V57" s="529"/>
      <c r="W57" s="529"/>
      <c r="X57" s="689"/>
      <c r="Y57" s="689"/>
      <c r="Z57" s="689"/>
      <c r="AA57" s="689"/>
      <c r="AB57" s="689"/>
      <c r="AC57" s="689"/>
      <c r="AD57" s="689"/>
      <c r="AE57" s="689"/>
      <c r="AF57" s="689"/>
      <c r="AG57" s="689"/>
      <c r="AH57" s="689"/>
      <c r="AI57" s="529"/>
      <c r="AJ57" s="529"/>
      <c r="AK57" s="529"/>
      <c r="AL57" s="529"/>
      <c r="AM57" s="529"/>
      <c r="AN57" s="529"/>
      <c r="AO57" s="529"/>
      <c r="AP57" s="529"/>
      <c r="AQ57" s="529"/>
      <c r="AR57" s="529"/>
      <c r="AS57" s="529"/>
      <c r="AT57" s="529"/>
      <c r="AU57" s="529"/>
      <c r="AV57" s="690"/>
      <c r="AW57" s="530"/>
      <c r="AX57" s="530"/>
      <c r="AY57" s="531"/>
      <c r="AZ57" s="13"/>
      <c r="BA57" s="25"/>
      <c r="BB57" s="13"/>
    </row>
    <row r="58" spans="2:56" s="3" customFormat="1" ht="30" customHeight="1" x14ac:dyDescent="0.2">
      <c r="B58" s="528"/>
      <c r="C58" s="692" t="s">
        <v>2</v>
      </c>
      <c r="D58" s="532">
        <v>0</v>
      </c>
      <c r="E58" s="695"/>
      <c r="F58" s="532">
        <v>0</v>
      </c>
      <c r="G58" s="532"/>
      <c r="H58" s="532">
        <v>4</v>
      </c>
      <c r="I58" s="532"/>
      <c r="J58" s="532">
        <v>3</v>
      </c>
      <c r="K58" s="532"/>
      <c r="L58" s="532">
        <v>6</v>
      </c>
      <c r="M58" s="532"/>
      <c r="N58" s="532">
        <v>0</v>
      </c>
      <c r="O58" s="532"/>
      <c r="P58" s="532">
        <v>1</v>
      </c>
      <c r="Q58" s="532"/>
      <c r="R58" s="532">
        <v>0</v>
      </c>
      <c r="S58" s="532"/>
      <c r="T58" s="532">
        <v>0</v>
      </c>
      <c r="U58" s="532"/>
      <c r="V58" s="532">
        <v>2</v>
      </c>
      <c r="W58" s="532"/>
      <c r="X58" s="658">
        <f>SUM(X10+X14+X18+X22+X26+X30+X34+X38+X42+X46+X50+X54)</f>
        <v>1</v>
      </c>
      <c r="Y58" s="658"/>
      <c r="Z58" s="658">
        <f>SUM(Z10+Z14+Z18+Z22+Z26+Z30+Z34+Z38+Z42+Z46+Z50+Z54)</f>
        <v>0</v>
      </c>
      <c r="AA58" s="658"/>
      <c r="AB58" s="658">
        <f>SUM(AB10+AB14+AB18+AB22+AB26+AB30+AB34+AB38+AB42+AB46+AB50+AB54)</f>
        <v>0</v>
      </c>
      <c r="AC58" s="658"/>
      <c r="AD58" s="658">
        <f>SUM(AD10+AD14+AD18+AD22+AD26+AD30+AD34+AD38+AD42+AD46+AD50+AD54)</f>
        <v>3</v>
      </c>
      <c r="AE58" s="680"/>
      <c r="AF58" s="658">
        <f>SUM(AF10+AF14+AF18+AF22+AF26+AF30+AF34+AF38+AF42+AF46+AF50+AF54)</f>
        <v>9</v>
      </c>
      <c r="AG58" s="658"/>
      <c r="AH58" s="658">
        <f>SUM(AH10+AH14+AH18+AH22+AH26+AH30+AH34+AH38+AH42+AH46+AH50+AH54)</f>
        <v>24</v>
      </c>
      <c r="AI58" s="532"/>
      <c r="AJ58" s="532">
        <f>SUM(AJ10+AJ14+AJ18+AJ22+AJ26+AJ30+AJ34+AJ38+AJ42+AJ46+AJ50+AJ54)</f>
        <v>0</v>
      </c>
      <c r="AK58" s="532"/>
      <c r="AL58" s="532">
        <f>SUM(AL10+AL14+AL18+AL22+AL26+AL30+AL34+AL38+AL42+AL46+AL50+AL54)</f>
        <v>1</v>
      </c>
      <c r="AM58" s="532"/>
      <c r="AN58" s="532">
        <f>SUM(AN10+AN14+AN18+AN22+AN26+AN30+AN34+AN38+AN42+AN46+AN50+AN54)</f>
        <v>1</v>
      </c>
      <c r="AO58" s="532"/>
      <c r="AP58" s="532">
        <f>SUM(AP10+AP14+AP18+AP22+AP26+AP30+AP34+AP38+AP42+AP46+AP50+AP54)</f>
        <v>7</v>
      </c>
      <c r="AQ58" s="532"/>
      <c r="AR58" s="532">
        <f>SUM(AR10+AR14+AR18+AR22+AR26+AR30+AR34+AR38+AR42+AR46+AR50+AR54)</f>
        <v>0</v>
      </c>
      <c r="AS58" s="532"/>
      <c r="AT58" s="532">
        <f>SUM(AT10+AT14+AT18+AT22+AT26+AT30+AT34+AT38+AT42+AT46+AT50+AT54)</f>
        <v>1</v>
      </c>
      <c r="AU58" s="532"/>
      <c r="AV58" s="691">
        <f>SUM(AV10+AV14+AV18+AV22+AV26+AV30+AV34+AV38+AV42+AV46+AV50+AV54)</f>
        <v>63</v>
      </c>
      <c r="AW58" s="532"/>
      <c r="AX58" s="532">
        <f>SUM(AX10+AX14+AX18+AX22+AX26+AX30+AX34+AX38+AX42+AX46+AX50+AX54)</f>
        <v>100</v>
      </c>
      <c r="AY58" s="531"/>
      <c r="AZ58" s="25"/>
      <c r="BA58" s="25"/>
      <c r="BB58" s="223"/>
    </row>
    <row r="59" spans="2:56" s="3" customFormat="1" ht="30" customHeight="1" x14ac:dyDescent="0.2">
      <c r="B59" s="528"/>
      <c r="C59" s="692" t="s">
        <v>15</v>
      </c>
      <c r="D59" s="532">
        <v>0</v>
      </c>
      <c r="E59" s="695"/>
      <c r="F59" s="532">
        <v>0</v>
      </c>
      <c r="G59" s="532"/>
      <c r="H59" s="532">
        <v>405</v>
      </c>
      <c r="I59" s="532"/>
      <c r="J59" s="532">
        <v>413</v>
      </c>
      <c r="K59" s="532"/>
      <c r="L59" s="532">
        <v>487</v>
      </c>
      <c r="M59" s="532"/>
      <c r="N59" s="532">
        <v>0</v>
      </c>
      <c r="O59" s="532"/>
      <c r="P59" s="532">
        <v>5000</v>
      </c>
      <c r="Q59" s="532"/>
      <c r="R59" s="532">
        <v>0</v>
      </c>
      <c r="S59" s="532"/>
      <c r="T59" s="532">
        <v>0</v>
      </c>
      <c r="U59" s="532"/>
      <c r="V59" s="532">
        <v>421</v>
      </c>
      <c r="W59" s="532"/>
      <c r="X59" s="658">
        <f>SUM(X11+X15+X19+X23+X27+X31+X35+X39+X43+X47+X51+X55)</f>
        <v>390</v>
      </c>
      <c r="Y59" s="658"/>
      <c r="Z59" s="658">
        <f>SUM(Z11+Z15+Z19+Z23+Z27+Z31+Z35+Z39+Z43+Z47+Z51+Z55)</f>
        <v>0</v>
      </c>
      <c r="AA59" s="658"/>
      <c r="AB59" s="658">
        <f>SUM(AB11+AB15+AB19+AB23+AB27+AB31+AB35+AB39+AB43+AB47+AB51+AB55)</f>
        <v>0</v>
      </c>
      <c r="AC59" s="658"/>
      <c r="AD59" s="658">
        <f>SUM(AD11+AD15+AD19+AD23+AD27+AD31+AD35+AD39+AD43+AD47+AD51+AD55)</f>
        <v>2720</v>
      </c>
      <c r="AE59" s="680"/>
      <c r="AF59" s="658">
        <f>SUM(AF11+AF15+AF19+AF23+AF27+AF31+AF35+AF39+AF43+AF47+AF51+AF55)</f>
        <v>5872</v>
      </c>
      <c r="AG59" s="658"/>
      <c r="AH59" s="658">
        <f>SUM(AH11+AH15+AH19+AH23+AH27+AH31+AH35+AH39+AH43+AH47+AH51+AH55)</f>
        <v>41306</v>
      </c>
      <c r="AI59" s="532"/>
      <c r="AJ59" s="532">
        <f t="shared" ref="AJ59:AJ60" si="0">SUM(AJ11+AJ15+AJ19+AJ23+AJ27+AJ31+AJ35+AJ39+AJ43+AJ47+AJ51+AJ55)</f>
        <v>0</v>
      </c>
      <c r="AK59" s="532"/>
      <c r="AL59" s="532">
        <f t="shared" ref="AL59:AL60" si="1">SUM(AL11+AL15+AL19+AL23+AL27+AL31+AL35+AL39+AL43+AL47+AL51+AL55)</f>
        <v>16</v>
      </c>
      <c r="AM59" s="532"/>
      <c r="AN59" s="532">
        <f t="shared" ref="AN59:AN60" si="2">SUM(AN11+AN15+AN19+AN23+AN27+AN31+AN35+AN39+AN43+AN47+AN51+AN55)</f>
        <v>10000</v>
      </c>
      <c r="AO59" s="532"/>
      <c r="AP59" s="532">
        <f t="shared" ref="AP59:AP60" si="3">SUM(AP11+AP15+AP19+AP23+AP27+AP31+AP35+AP39+AP43+AP47+AP51+AP55)</f>
        <v>9174</v>
      </c>
      <c r="AQ59" s="532"/>
      <c r="AR59" s="532">
        <f t="shared" ref="AR59:AR60" si="4">SUM(AR11+AR15+AR19+AR23+AR27+AR31+AR35+AR39+AR43+AR47+AR51+AR55)</f>
        <v>0</v>
      </c>
      <c r="AS59" s="532"/>
      <c r="AT59" s="532">
        <f t="shared" ref="AT59:AT60" si="5">SUM(AT11+AT15+AT19+AT23+AT27+AT31+AT35+AT39+AT43+AT47+AT51+AT55)</f>
        <v>500</v>
      </c>
      <c r="AU59" s="532"/>
      <c r="AV59" s="691">
        <f t="shared" ref="AV59:AV60" si="6">SUM(AV11+AV15+AV19+AV23+AV27+AV31+AV35+AV39+AV43+AV47+AV51+AV55)</f>
        <v>76704</v>
      </c>
      <c r="AW59" s="532"/>
      <c r="AX59" s="532">
        <f t="shared" ref="AX59:AX60" si="7">SUM(AX11+AX15+AX19+AX23+AX27+AX31+AX35+AX39+AX43+AX47+AX51+AX55)</f>
        <v>100</v>
      </c>
      <c r="AY59" s="531"/>
      <c r="AZ59" s="25"/>
      <c r="BA59" s="25"/>
      <c r="BB59" s="223"/>
    </row>
    <row r="60" spans="2:56" s="3" customFormat="1" ht="30" customHeight="1" x14ac:dyDescent="0.2">
      <c r="B60" s="528"/>
      <c r="C60" s="692" t="s">
        <v>16</v>
      </c>
      <c r="D60" s="532">
        <v>28144</v>
      </c>
      <c r="E60" s="683" t="s">
        <v>62</v>
      </c>
      <c r="F60" s="532">
        <v>0</v>
      </c>
      <c r="G60" s="532"/>
      <c r="H60" s="532">
        <v>43784</v>
      </c>
      <c r="I60" s="532"/>
      <c r="J60" s="532">
        <v>12880</v>
      </c>
      <c r="K60" s="532"/>
      <c r="L60" s="532">
        <v>80480</v>
      </c>
      <c r="M60" s="532"/>
      <c r="N60" s="532">
        <v>0</v>
      </c>
      <c r="O60" s="532"/>
      <c r="P60" s="532">
        <v>40000</v>
      </c>
      <c r="Q60" s="532"/>
      <c r="R60" s="532">
        <v>0</v>
      </c>
      <c r="S60" s="532"/>
      <c r="T60" s="532">
        <v>0</v>
      </c>
      <c r="U60" s="532"/>
      <c r="V60" s="532">
        <v>4912</v>
      </c>
      <c r="W60" s="532"/>
      <c r="X60" s="658">
        <f>SUM(X12+X16+X20+X24+X28+X32+X36+X40+X44+X48+X52+X56)</f>
        <v>6240</v>
      </c>
      <c r="Y60" s="658"/>
      <c r="Z60" s="658">
        <f>SUM(Z12+Z16+Z20+Z24+Z28+Z32+Z36+Z40+Z44+Z48+Z52+Z56)</f>
        <v>0</v>
      </c>
      <c r="AA60" s="658"/>
      <c r="AB60" s="658">
        <f>SUM(AB12+AB16+AB20+AB24+AB28+AB32+AB36+AB40+AB44+AB48+AB52+AB56)</f>
        <v>0</v>
      </c>
      <c r="AC60" s="658"/>
      <c r="AD60" s="658">
        <f>SUM(AD12+AD16+AD20+AD24+AD28+AD32+AD36+AD40+AD44+AD48+AD52+AD56)</f>
        <v>21760</v>
      </c>
      <c r="AE60" s="680"/>
      <c r="AF60" s="658">
        <f>SUM(AF12+AF16+AF20+AF24+AF28+AF32+AF36+AF40+AF44+AF48+AF52+AF56)</f>
        <v>328208</v>
      </c>
      <c r="AG60" s="658"/>
      <c r="AH60" s="658">
        <f>SUM(AH12+AH16+AH20+AH24+AH28+AH32+AH36+AH40+AH44+AH48+AH52+AH56)</f>
        <v>1622768</v>
      </c>
      <c r="AI60" s="532"/>
      <c r="AJ60" s="532">
        <f t="shared" si="0"/>
        <v>0</v>
      </c>
      <c r="AK60" s="532"/>
      <c r="AL60" s="532">
        <f t="shared" si="1"/>
        <v>256</v>
      </c>
      <c r="AM60" s="532"/>
      <c r="AN60" s="532">
        <f t="shared" si="2"/>
        <v>60000</v>
      </c>
      <c r="AO60" s="532"/>
      <c r="AP60" s="532">
        <f t="shared" si="3"/>
        <v>42084</v>
      </c>
      <c r="AQ60" s="532"/>
      <c r="AR60" s="532">
        <f t="shared" si="4"/>
        <v>0</v>
      </c>
      <c r="AS60" s="532"/>
      <c r="AT60" s="532">
        <f t="shared" si="5"/>
        <v>4000</v>
      </c>
      <c r="AU60" s="532"/>
      <c r="AV60" s="691">
        <f t="shared" si="6"/>
        <v>2295516</v>
      </c>
      <c r="AW60" s="532"/>
      <c r="AX60" s="532">
        <f t="shared" si="7"/>
        <v>100</v>
      </c>
      <c r="AY60" s="531"/>
      <c r="AZ60" s="25"/>
      <c r="BA60" s="25"/>
      <c r="BB60" s="223"/>
    </row>
    <row r="61" spans="2:56" s="1" customFormat="1" ht="29.25" customHeight="1" x14ac:dyDescent="0.2">
      <c r="B61" s="11" t="s">
        <v>350</v>
      </c>
      <c r="D61" s="697"/>
      <c r="E61" s="697"/>
      <c r="F61" s="697"/>
      <c r="G61" s="697"/>
      <c r="H61" s="589"/>
      <c r="I61" s="589"/>
      <c r="J61" s="589"/>
      <c r="K61" s="589"/>
      <c r="L61" s="589"/>
      <c r="M61" s="589"/>
      <c r="N61" s="589"/>
      <c r="O61" s="589"/>
      <c r="P61" s="589"/>
      <c r="Q61" s="589"/>
      <c r="R61" s="589"/>
      <c r="S61" s="589"/>
      <c r="T61" s="589"/>
      <c r="U61" s="589"/>
      <c r="V61" s="698"/>
      <c r="W61" s="590"/>
      <c r="X61" s="698"/>
      <c r="Y61" s="599"/>
      <c r="Z61" s="699"/>
      <c r="AA61" s="599"/>
      <c r="AB61" s="589"/>
      <c r="AC61" s="589"/>
      <c r="AD61" s="589"/>
      <c r="AE61" s="589"/>
      <c r="AF61" s="589"/>
      <c r="AG61" s="589"/>
      <c r="AH61" s="589"/>
      <c r="AI61" s="589"/>
      <c r="AJ61" s="589"/>
      <c r="AK61" s="589"/>
      <c r="AL61" s="589"/>
      <c r="AM61" s="589"/>
      <c r="AN61" s="589"/>
      <c r="AO61" s="589"/>
      <c r="AP61" s="589"/>
      <c r="AQ61" s="589"/>
      <c r="AR61" s="589"/>
      <c r="AS61" s="589"/>
      <c r="AT61" s="589"/>
      <c r="AU61" s="589"/>
      <c r="AV61" s="589"/>
      <c r="AW61" s="589"/>
      <c r="AX61" s="589"/>
      <c r="AY61" s="589"/>
      <c r="AZ61" s="589"/>
      <c r="BA61" s="589"/>
      <c r="BB61" s="589"/>
      <c r="BC61" s="589"/>
      <c r="BD61" s="589"/>
    </row>
    <row r="62" spans="2:56" s="1" customFormat="1" ht="24.6" customHeight="1" x14ac:dyDescent="0.25">
      <c r="B62" s="16" t="s">
        <v>351</v>
      </c>
      <c r="D62" s="700"/>
      <c r="E62" s="700"/>
      <c r="F62" s="700"/>
      <c r="G62" s="700"/>
      <c r="H62" s="701"/>
      <c r="I62" s="654"/>
      <c r="J62" s="654"/>
      <c r="K62" s="654"/>
      <c r="L62" s="654"/>
      <c r="M62" s="654"/>
      <c r="N62" s="654"/>
      <c r="O62" s="654"/>
      <c r="P62" s="654"/>
      <c r="Q62" s="654"/>
      <c r="R62" s="654"/>
      <c r="S62" s="654"/>
      <c r="T62" s="654"/>
      <c r="U62" s="654"/>
      <c r="V62" s="654"/>
      <c r="W62" s="702"/>
      <c r="X62" s="703"/>
      <c r="Y62" s="702"/>
      <c r="Z62" s="703"/>
      <c r="AA62" s="704"/>
      <c r="AB62" s="654"/>
      <c r="AC62" s="654"/>
      <c r="AD62" s="654"/>
      <c r="AE62" s="654"/>
      <c r="AF62" s="654"/>
      <c r="AG62" s="654"/>
      <c r="AH62" s="654"/>
      <c r="AI62" s="654"/>
      <c r="AJ62" s="654"/>
      <c r="AK62" s="654"/>
      <c r="AL62" s="654"/>
      <c r="AM62" s="654"/>
      <c r="AN62" s="654"/>
      <c r="AO62" s="654"/>
      <c r="AP62" s="654"/>
      <c r="AQ62" s="654"/>
      <c r="AR62" s="654"/>
      <c r="AS62" s="654"/>
      <c r="AT62" s="654"/>
      <c r="AU62" s="654"/>
      <c r="AV62" s="654"/>
      <c r="AW62" s="654"/>
      <c r="AX62" s="589"/>
      <c r="AY62" s="589"/>
      <c r="AZ62" s="589"/>
      <c r="BA62" s="589"/>
      <c r="BB62" s="589"/>
      <c r="BC62" s="589"/>
      <c r="BD62" s="589"/>
    </row>
    <row r="63" spans="2:56" s="1" customFormat="1" ht="24.6" customHeight="1" x14ac:dyDescent="0.2">
      <c r="B63" s="22" t="s">
        <v>352</v>
      </c>
      <c r="E63" s="23"/>
      <c r="F63" s="24"/>
      <c r="G63" s="23"/>
      <c r="H63" s="87"/>
      <c r="I63" s="87"/>
      <c r="J63" s="630"/>
      <c r="K63" s="87"/>
      <c r="L63" s="87"/>
      <c r="M63" s="87"/>
      <c r="N63" s="87"/>
      <c r="O63" s="87"/>
      <c r="P63" s="87"/>
      <c r="Q63" s="87"/>
      <c r="R63" s="87"/>
      <c r="S63" s="87"/>
      <c r="T63" s="87"/>
      <c r="U63" s="87"/>
      <c r="V63" s="87"/>
      <c r="W63" s="87"/>
      <c r="X63" s="87"/>
      <c r="Y63" s="87"/>
      <c r="Z63" s="87"/>
      <c r="AA63" s="87"/>
      <c r="AB63" s="87"/>
      <c r="AC63" s="87"/>
      <c r="AD63" s="87"/>
      <c r="AE63" s="87"/>
      <c r="AF63" s="630"/>
      <c r="AG63" s="87"/>
      <c r="AH63" s="87"/>
      <c r="AI63" s="87"/>
      <c r="AJ63" s="87"/>
      <c r="AK63" s="87"/>
      <c r="AL63" s="87"/>
      <c r="AM63" s="87"/>
      <c r="AN63" s="87"/>
      <c r="AO63" s="87"/>
      <c r="AP63" s="87"/>
      <c r="AQ63" s="87"/>
      <c r="AR63" s="87"/>
      <c r="AS63" s="87"/>
      <c r="AT63" s="87"/>
      <c r="AU63" s="87"/>
      <c r="AV63" s="87"/>
      <c r="AW63" s="87"/>
    </row>
    <row r="64" spans="2:56" s="26" customFormat="1" ht="25.15" customHeight="1" x14ac:dyDescent="0.2">
      <c r="B64" s="705" t="s">
        <v>353</v>
      </c>
      <c r="H64" s="88"/>
      <c r="I64" s="88"/>
      <c r="J64" s="630"/>
      <c r="K64" s="88"/>
      <c r="L64" s="88"/>
      <c r="M64" s="88"/>
      <c r="N64" s="88"/>
      <c r="O64" s="88"/>
      <c r="P64" s="88"/>
      <c r="Q64" s="88"/>
      <c r="R64" s="88"/>
      <c r="S64" s="88"/>
      <c r="T64" s="88"/>
      <c r="U64" s="88"/>
      <c r="V64" s="88"/>
      <c r="W64" s="88"/>
      <c r="X64" s="88"/>
      <c r="Y64" s="88"/>
      <c r="Z64" s="88"/>
      <c r="AA64" s="88"/>
      <c r="AB64" s="88"/>
      <c r="AC64" s="88"/>
      <c r="AD64" s="88"/>
      <c r="AE64" s="88"/>
      <c r="AF64" s="630"/>
      <c r="AG64" s="88"/>
      <c r="AH64" s="88"/>
      <c r="AI64" s="88"/>
      <c r="AJ64" s="88"/>
      <c r="AK64" s="88"/>
      <c r="AL64" s="88"/>
      <c r="AM64" s="88"/>
      <c r="AN64" s="88"/>
      <c r="AO64" s="88"/>
      <c r="AP64" s="88"/>
      <c r="AQ64" s="88"/>
      <c r="AR64" s="88"/>
      <c r="AS64" s="88"/>
      <c r="AT64" s="88"/>
      <c r="AU64" s="88"/>
      <c r="AV64" s="87"/>
      <c r="AW64" s="88"/>
    </row>
    <row r="65" spans="2:53" s="1" customFormat="1" ht="57" customHeight="1" x14ac:dyDescent="0.2">
      <c r="B65" s="911"/>
      <c r="C65" s="911"/>
      <c r="D65" s="911"/>
      <c r="E65" s="911"/>
      <c r="F65" s="911"/>
      <c r="G65" s="911"/>
      <c r="H65" s="911"/>
      <c r="I65" s="911"/>
      <c r="J65" s="911"/>
      <c r="K65" s="911"/>
      <c r="L65" s="911"/>
      <c r="M65" s="911"/>
      <c r="N65" s="911"/>
      <c r="O65" s="911"/>
      <c r="P65" s="911"/>
      <c r="Q65" s="911"/>
      <c r="R65" s="911"/>
      <c r="S65" s="911"/>
      <c r="BA65" s="67"/>
    </row>
    <row r="67" spans="2:53" ht="7.5" customHeight="1" x14ac:dyDescent="0.35"/>
  </sheetData>
  <mergeCells count="43">
    <mergeCell ref="B65:S65"/>
    <mergeCell ref="AV6:AY7"/>
    <mergeCell ref="T8:U8"/>
    <mergeCell ref="AX8:AY8"/>
    <mergeCell ref="AV8:AW8"/>
    <mergeCell ref="L7:O7"/>
    <mergeCell ref="P7:S7"/>
    <mergeCell ref="AR8:AS8"/>
    <mergeCell ref="X7:AA7"/>
    <mergeCell ref="X8:Y8"/>
    <mergeCell ref="Z8:AA8"/>
    <mergeCell ref="AF7:AI7"/>
    <mergeCell ref="AF8:AG8"/>
    <mergeCell ref="AH8:AI8"/>
    <mergeCell ref="AB7:AE7"/>
    <mergeCell ref="B6:C8"/>
    <mergeCell ref="B2:AY2"/>
    <mergeCell ref="B4:AY4"/>
    <mergeCell ref="B5:AY5"/>
    <mergeCell ref="D6:AU6"/>
    <mergeCell ref="R8:S8"/>
    <mergeCell ref="AP8:AQ8"/>
    <mergeCell ref="AT8:AU8"/>
    <mergeCell ref="AN8:AO8"/>
    <mergeCell ref="J8:K8"/>
    <mergeCell ref="D8:E8"/>
    <mergeCell ref="F8:G8"/>
    <mergeCell ref="B3:AU3"/>
    <mergeCell ref="AR7:AU7"/>
    <mergeCell ref="D7:G7"/>
    <mergeCell ref="H7:K7"/>
    <mergeCell ref="AN7:AQ7"/>
    <mergeCell ref="AJ7:AM7"/>
    <mergeCell ref="AJ8:AK8"/>
    <mergeCell ref="AL8:AM8"/>
    <mergeCell ref="P8:Q8"/>
    <mergeCell ref="H8:I8"/>
    <mergeCell ref="AD8:AE8"/>
    <mergeCell ref="T7:W7"/>
    <mergeCell ref="L8:M8"/>
    <mergeCell ref="N8:O8"/>
    <mergeCell ref="V8:W8"/>
    <mergeCell ref="AB8:AC8"/>
  </mergeCells>
  <printOptions horizontalCentered="1" verticalCentered="1"/>
  <pageMargins left="0" right="0" top="0" bottom="0" header="0" footer="0"/>
  <pageSetup paperSize="9" scale="17"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AX62"/>
  <sheetViews>
    <sheetView showGridLines="0" view="pageBreakPreview" zoomScale="55" zoomScaleNormal="88" zoomScaleSheetLayoutView="55" workbookViewId="0">
      <selection activeCell="AM3" sqref="AM3"/>
    </sheetView>
  </sheetViews>
  <sheetFormatPr baseColWidth="10" defaultColWidth="11.42578125" defaultRowHeight="12.75" x14ac:dyDescent="0.2"/>
  <cols>
    <col min="1" max="1" width="3.7109375" style="49" customWidth="1"/>
    <col min="2" max="2" width="19.42578125" style="49" customWidth="1"/>
    <col min="3" max="3" width="6.7109375" style="49" customWidth="1"/>
    <col min="4" max="4" width="2.7109375" style="49" customWidth="1"/>
    <col min="5" max="5" width="12.28515625" style="49" customWidth="1"/>
    <col min="6" max="6" width="2.7109375" style="49" customWidth="1"/>
    <col min="7" max="7" width="14" style="49" customWidth="1"/>
    <col min="8" max="8" width="2.7109375" style="49" customWidth="1"/>
    <col min="9" max="9" width="6.7109375" style="49" customWidth="1"/>
    <col min="10" max="10" width="2.7109375" style="49" customWidth="1"/>
    <col min="11" max="11" width="12.7109375" style="49" customWidth="1"/>
    <col min="12" max="12" width="2.7109375" style="49" customWidth="1"/>
    <col min="13" max="13" width="15.28515625" style="49" customWidth="1"/>
    <col min="14" max="14" width="2.7109375" style="49" customWidth="1"/>
    <col min="15" max="15" width="7.28515625" style="49" customWidth="1"/>
    <col min="16" max="16" width="2.7109375" style="49" customWidth="1"/>
    <col min="17" max="17" width="14.28515625" style="49" customWidth="1"/>
    <col min="18" max="18" width="2.7109375" style="49" customWidth="1"/>
    <col min="19" max="19" width="16.85546875" style="49" customWidth="1"/>
    <col min="20" max="20" width="2.7109375" style="49" customWidth="1"/>
    <col min="21" max="21" width="10.7109375" style="49" customWidth="1"/>
    <col min="22" max="22" width="2.7109375" style="49" customWidth="1"/>
    <col min="23" max="23" width="14.85546875" style="49" customWidth="1"/>
    <col min="24" max="24" width="2.7109375" style="49" customWidth="1"/>
    <col min="25" max="25" width="17.85546875" style="49" customWidth="1"/>
    <col min="26" max="26" width="2.7109375" style="49" customWidth="1"/>
    <col min="27" max="27" width="12.5703125" style="49" customWidth="1"/>
    <col min="28" max="28" width="2.7109375" style="49" customWidth="1"/>
    <col min="29" max="29" width="13.7109375" style="49" bestFit="1" customWidth="1"/>
    <col min="30" max="30" width="2.7109375" style="49" customWidth="1"/>
    <col min="31" max="31" width="16.5703125" style="49" customWidth="1"/>
    <col min="32" max="32" width="2.7109375" style="49" customWidth="1"/>
    <col min="33" max="33" width="12" style="49" customWidth="1"/>
    <col min="34" max="34" width="2.7109375" style="49" customWidth="1"/>
    <col min="35" max="35" width="13.42578125" style="49" customWidth="1"/>
    <col min="36" max="36" width="3.7109375" style="49" customWidth="1"/>
    <col min="37" max="37" width="18.140625" style="49" customWidth="1"/>
    <col min="38" max="38" width="3.7109375" style="49" customWidth="1"/>
    <col min="39" max="39" width="13.7109375" style="49" customWidth="1"/>
    <col min="40" max="40" width="3.7109375" style="49" customWidth="1"/>
    <col min="41" max="41" width="13.7109375" style="49" customWidth="1"/>
    <col min="42" max="42" width="3.7109375" style="49" customWidth="1"/>
    <col min="43" max="43" width="16.140625" style="49" customWidth="1"/>
    <col min="44" max="44" width="3.7109375" style="49" customWidth="1"/>
    <col min="45" max="45" width="13.7109375" style="49" bestFit="1" customWidth="1"/>
    <col min="46" max="46" width="3.7109375" style="49" customWidth="1"/>
    <col min="47" max="47" width="14" style="49" customWidth="1"/>
    <col min="48" max="48" width="3.7109375" style="49" customWidth="1"/>
    <col min="49" max="49" width="16.28515625" style="49" customWidth="1"/>
    <col min="50" max="50" width="5.7109375" style="49" customWidth="1"/>
    <col min="51" max="51" width="3.7109375" style="49" customWidth="1"/>
    <col min="52" max="16384" width="11.42578125" style="49"/>
  </cols>
  <sheetData>
    <row r="2" spans="2:50" ht="30" customHeight="1" x14ac:dyDescent="0.3">
      <c r="B2" s="1000" t="s">
        <v>171</v>
      </c>
      <c r="C2" s="1000"/>
      <c r="D2" s="1000"/>
      <c r="E2" s="1000"/>
      <c r="F2" s="1000"/>
      <c r="G2" s="1000"/>
      <c r="H2" s="1000"/>
      <c r="I2" s="1000"/>
      <c r="J2" s="1000"/>
      <c r="K2" s="1000"/>
      <c r="L2" s="1000"/>
      <c r="M2" s="1000"/>
      <c r="N2" s="1000"/>
      <c r="O2" s="1000"/>
      <c r="P2" s="1000"/>
      <c r="Q2" s="1000"/>
      <c r="R2" s="1000"/>
      <c r="S2" s="1000"/>
      <c r="T2" s="1000"/>
      <c r="U2" s="1000"/>
      <c r="V2" s="1000"/>
      <c r="W2" s="1000"/>
      <c r="X2" s="1000"/>
      <c r="Y2" s="1000"/>
      <c r="Z2" s="1000"/>
      <c r="AA2" s="1000"/>
      <c r="AB2" s="1000"/>
      <c r="AC2" s="1000"/>
      <c r="AD2" s="1000"/>
      <c r="AE2" s="1000"/>
      <c r="AF2" s="1000"/>
      <c r="AG2" s="1000"/>
      <c r="AH2" s="1000"/>
      <c r="AI2" s="1000"/>
      <c r="AJ2" s="1000"/>
      <c r="AK2" s="1000"/>
      <c r="AL2" s="1000"/>
      <c r="AM2" s="1000"/>
      <c r="AN2" s="1000"/>
      <c r="AO2" s="1000"/>
      <c r="AP2" s="1000"/>
      <c r="AQ2" s="1000"/>
      <c r="AR2" s="1000"/>
      <c r="AS2" s="1000"/>
      <c r="AT2" s="1000"/>
      <c r="AU2" s="1000"/>
      <c r="AV2" s="1000"/>
      <c r="AW2" s="1000"/>
      <c r="AX2" s="1000"/>
    </row>
    <row r="3" spans="2:50" ht="39.75" customHeight="1" x14ac:dyDescent="0.3">
      <c r="B3" s="224" t="s">
        <v>122</v>
      </c>
      <c r="C3" s="225"/>
      <c r="D3" s="225"/>
      <c r="E3" s="225"/>
      <c r="F3" s="225"/>
      <c r="G3" s="225"/>
      <c r="H3" s="225"/>
      <c r="I3" s="225"/>
      <c r="J3" s="225"/>
      <c r="K3" s="225"/>
      <c r="L3" s="225"/>
      <c r="M3" s="225"/>
      <c r="N3" s="225"/>
      <c r="O3" s="225"/>
      <c r="P3" s="225"/>
      <c r="Q3" s="225"/>
      <c r="R3" s="225"/>
      <c r="S3" s="226"/>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row>
    <row r="4" spans="2:50" ht="39.75" customHeight="1" x14ac:dyDescent="0.2">
      <c r="B4" s="1001" t="s">
        <v>356</v>
      </c>
      <c r="C4" s="1001"/>
      <c r="D4" s="1001"/>
      <c r="E4" s="1001"/>
      <c r="F4" s="1001"/>
      <c r="G4" s="1001"/>
      <c r="H4" s="1001"/>
      <c r="I4" s="1001"/>
      <c r="J4" s="1001"/>
      <c r="K4" s="1001"/>
      <c r="L4" s="1001"/>
      <c r="M4" s="1001"/>
      <c r="N4" s="1001"/>
      <c r="O4" s="1001"/>
      <c r="P4" s="1001"/>
      <c r="Q4" s="1001"/>
      <c r="R4" s="1001"/>
      <c r="S4" s="1001"/>
      <c r="T4" s="1001"/>
      <c r="U4" s="1001"/>
      <c r="V4" s="1001"/>
      <c r="W4" s="1001"/>
      <c r="X4" s="1001"/>
      <c r="Y4" s="1001"/>
      <c r="Z4" s="1001"/>
      <c r="AA4" s="1001"/>
      <c r="AB4" s="1001"/>
      <c r="AC4" s="1001"/>
      <c r="AD4" s="1001"/>
      <c r="AE4" s="1001"/>
      <c r="AF4" s="1001"/>
      <c r="AG4" s="1001"/>
      <c r="AH4" s="1001"/>
      <c r="AI4" s="1001"/>
      <c r="AJ4" s="1001"/>
      <c r="AK4" s="1001"/>
      <c r="AL4" s="1001"/>
      <c r="AM4" s="1001"/>
      <c r="AN4" s="1001"/>
      <c r="AO4" s="1001"/>
      <c r="AP4" s="1001"/>
      <c r="AQ4" s="1001"/>
      <c r="AR4" s="1001"/>
      <c r="AS4" s="1001"/>
      <c r="AT4" s="1001"/>
      <c r="AU4" s="1001"/>
      <c r="AV4" s="1001"/>
      <c r="AW4" s="1001"/>
      <c r="AX4" s="1001"/>
    </row>
    <row r="5" spans="2:50" ht="39.75" customHeight="1" thickBot="1" x14ac:dyDescent="0.25">
      <c r="B5" s="1001" t="s">
        <v>313</v>
      </c>
      <c r="C5" s="1001"/>
      <c r="D5" s="1001"/>
      <c r="E5" s="1001"/>
      <c r="F5" s="1001"/>
      <c r="G5" s="1001"/>
      <c r="H5" s="1001"/>
      <c r="I5" s="1001"/>
      <c r="J5" s="1001"/>
      <c r="K5" s="1001"/>
      <c r="L5" s="1001"/>
      <c r="M5" s="1001"/>
      <c r="N5" s="1001"/>
      <c r="O5" s="1001"/>
      <c r="P5" s="1001"/>
      <c r="Q5" s="1001"/>
      <c r="R5" s="1001"/>
      <c r="S5" s="1001"/>
      <c r="T5" s="1001"/>
      <c r="U5" s="1001"/>
      <c r="V5" s="1001"/>
      <c r="W5" s="1001"/>
      <c r="X5" s="1001"/>
      <c r="Y5" s="1001"/>
      <c r="Z5" s="1001"/>
      <c r="AA5" s="1001"/>
      <c r="AB5" s="1001"/>
      <c r="AC5" s="1001"/>
      <c r="AD5" s="1001"/>
      <c r="AE5" s="1001"/>
      <c r="AF5" s="1001"/>
      <c r="AG5" s="1001"/>
      <c r="AH5" s="1001"/>
      <c r="AI5" s="1001"/>
      <c r="AJ5" s="1001"/>
      <c r="AK5" s="1001"/>
      <c r="AL5" s="1001"/>
      <c r="AM5" s="1001"/>
      <c r="AN5" s="1001"/>
      <c r="AO5" s="1001"/>
      <c r="AP5" s="1001"/>
      <c r="AQ5" s="1001"/>
      <c r="AR5" s="1001"/>
      <c r="AS5" s="1001"/>
      <c r="AT5" s="1001"/>
      <c r="AU5" s="1001"/>
      <c r="AV5" s="1001"/>
      <c r="AW5" s="1001"/>
      <c r="AX5" s="1001"/>
    </row>
    <row r="6" spans="2:50" s="227" customFormat="1" ht="54" customHeight="1" thickBot="1" x14ac:dyDescent="0.25">
      <c r="B6" s="1004" t="s">
        <v>24</v>
      </c>
      <c r="C6" s="1007" t="s">
        <v>1</v>
      </c>
      <c r="D6" s="1008"/>
      <c r="E6" s="1008"/>
      <c r="F6" s="1008"/>
      <c r="G6" s="1008"/>
      <c r="H6" s="1008"/>
      <c r="I6" s="1008"/>
      <c r="J6" s="1008"/>
      <c r="K6" s="1008"/>
      <c r="L6" s="1008"/>
      <c r="M6" s="1008"/>
      <c r="N6" s="1008"/>
      <c r="O6" s="1008"/>
      <c r="P6" s="1008"/>
      <c r="Q6" s="1008"/>
      <c r="R6" s="1008"/>
      <c r="S6" s="1008"/>
      <c r="T6" s="1008"/>
      <c r="U6" s="1008"/>
      <c r="V6" s="1008"/>
      <c r="W6" s="1008"/>
      <c r="X6" s="1008"/>
      <c r="Y6" s="1008"/>
      <c r="Z6" s="1008"/>
      <c r="AA6" s="1008"/>
      <c r="AB6" s="1008"/>
      <c r="AC6" s="1008"/>
      <c r="AD6" s="1008"/>
      <c r="AE6" s="1008"/>
      <c r="AF6" s="1008"/>
      <c r="AG6" s="1008"/>
      <c r="AH6" s="1008"/>
      <c r="AI6" s="1008"/>
      <c r="AJ6" s="1008"/>
      <c r="AK6" s="1008"/>
      <c r="AL6" s="1008"/>
      <c r="AM6" s="1008"/>
      <c r="AN6" s="1008"/>
      <c r="AO6" s="1008"/>
      <c r="AP6" s="1008"/>
      <c r="AQ6" s="1008"/>
      <c r="AR6" s="1008"/>
      <c r="AS6" s="1008"/>
      <c r="AT6" s="1008"/>
      <c r="AU6" s="1008"/>
      <c r="AV6" s="1008"/>
      <c r="AW6" s="1008"/>
      <c r="AX6" s="1008"/>
    </row>
    <row r="7" spans="2:50" s="227" customFormat="1" ht="37.5" customHeight="1" thickBot="1" x14ac:dyDescent="0.25">
      <c r="B7" s="1004"/>
      <c r="C7" s="1006">
        <v>2010</v>
      </c>
      <c r="D7" s="995"/>
      <c r="E7" s="995"/>
      <c r="F7" s="995"/>
      <c r="G7" s="995"/>
      <c r="H7" s="995"/>
      <c r="I7" s="995">
        <v>2011</v>
      </c>
      <c r="J7" s="995"/>
      <c r="K7" s="995"/>
      <c r="L7" s="995"/>
      <c r="M7" s="995"/>
      <c r="N7" s="995"/>
      <c r="O7" s="995">
        <v>2012</v>
      </c>
      <c r="P7" s="995"/>
      <c r="Q7" s="995"/>
      <c r="R7" s="995"/>
      <c r="S7" s="995"/>
      <c r="T7" s="995"/>
      <c r="U7" s="995">
        <v>2013</v>
      </c>
      <c r="V7" s="995"/>
      <c r="W7" s="995"/>
      <c r="X7" s="995"/>
      <c r="Y7" s="995"/>
      <c r="Z7" s="995"/>
      <c r="AA7" s="995">
        <v>2014</v>
      </c>
      <c r="AB7" s="995"/>
      <c r="AC7" s="995"/>
      <c r="AD7" s="995"/>
      <c r="AE7" s="995"/>
      <c r="AF7" s="995"/>
      <c r="AG7" s="995">
        <v>2015</v>
      </c>
      <c r="AH7" s="995"/>
      <c r="AI7" s="995"/>
      <c r="AJ7" s="995"/>
      <c r="AK7" s="995"/>
      <c r="AL7" s="995"/>
      <c r="AM7" s="995">
        <v>2016</v>
      </c>
      <c r="AN7" s="995"/>
      <c r="AO7" s="995"/>
      <c r="AP7" s="995"/>
      <c r="AQ7" s="995"/>
      <c r="AR7" s="995"/>
      <c r="AS7" s="995">
        <v>2017</v>
      </c>
      <c r="AT7" s="995"/>
      <c r="AU7" s="995"/>
      <c r="AV7" s="995"/>
      <c r="AW7" s="995"/>
      <c r="AX7" s="995"/>
    </row>
    <row r="8" spans="2:50" s="67" customFormat="1" ht="30" customHeight="1" x14ac:dyDescent="0.2">
      <c r="B8" s="1004"/>
      <c r="C8" s="1002" t="s">
        <v>179</v>
      </c>
      <c r="D8" s="1002"/>
      <c r="E8" s="1002" t="s">
        <v>226</v>
      </c>
      <c r="F8" s="1002"/>
      <c r="G8" s="1002" t="s">
        <v>227</v>
      </c>
      <c r="H8" s="1003"/>
      <c r="I8" s="1005" t="s">
        <v>179</v>
      </c>
      <c r="J8" s="1002"/>
      <c r="K8" s="1002" t="s">
        <v>226</v>
      </c>
      <c r="L8" s="1002"/>
      <c r="M8" s="1002" t="s">
        <v>227</v>
      </c>
      <c r="N8" s="1003"/>
      <c r="O8" s="997" t="s">
        <v>179</v>
      </c>
      <c r="P8" s="997"/>
      <c r="Q8" s="997" t="s">
        <v>226</v>
      </c>
      <c r="R8" s="997"/>
      <c r="S8" s="997" t="s">
        <v>227</v>
      </c>
      <c r="T8" s="997"/>
      <c r="U8" s="997" t="s">
        <v>179</v>
      </c>
      <c r="V8" s="997"/>
      <c r="W8" s="997" t="s">
        <v>226</v>
      </c>
      <c r="X8" s="997"/>
      <c r="Y8" s="997" t="s">
        <v>227</v>
      </c>
      <c r="Z8" s="997"/>
      <c r="AA8" s="997" t="s">
        <v>179</v>
      </c>
      <c r="AB8" s="997"/>
      <c r="AC8" s="997" t="s">
        <v>226</v>
      </c>
      <c r="AD8" s="997"/>
      <c r="AE8" s="997" t="s">
        <v>227</v>
      </c>
      <c r="AF8" s="997"/>
      <c r="AG8" s="997" t="s">
        <v>179</v>
      </c>
      <c r="AH8" s="997"/>
      <c r="AI8" s="997" t="s">
        <v>226</v>
      </c>
      <c r="AJ8" s="997"/>
      <c r="AK8" s="997" t="s">
        <v>227</v>
      </c>
      <c r="AL8" s="997"/>
      <c r="AM8" s="997" t="s">
        <v>179</v>
      </c>
      <c r="AN8" s="997"/>
      <c r="AO8" s="997" t="s">
        <v>226</v>
      </c>
      <c r="AP8" s="997"/>
      <c r="AQ8" s="997" t="s">
        <v>227</v>
      </c>
      <c r="AR8" s="997"/>
      <c r="AS8" s="997" t="s">
        <v>179</v>
      </c>
      <c r="AT8" s="997"/>
      <c r="AU8" s="997" t="s">
        <v>226</v>
      </c>
      <c r="AV8" s="997"/>
      <c r="AW8" s="997" t="s">
        <v>227</v>
      </c>
      <c r="AX8" s="997"/>
    </row>
    <row r="9" spans="2:50" s="67" customFormat="1" ht="35.1" customHeight="1" x14ac:dyDescent="0.2">
      <c r="B9" s="542" t="s">
        <v>25</v>
      </c>
      <c r="C9" s="63">
        <v>3</v>
      </c>
      <c r="D9" s="63"/>
      <c r="E9" s="63">
        <v>244</v>
      </c>
      <c r="F9" s="63"/>
      <c r="G9" s="63">
        <v>3024</v>
      </c>
      <c r="H9" s="63"/>
      <c r="I9" s="63">
        <v>2</v>
      </c>
      <c r="J9" s="63"/>
      <c r="K9" s="63">
        <v>1798</v>
      </c>
      <c r="L9" s="63"/>
      <c r="M9" s="63">
        <v>42640</v>
      </c>
      <c r="N9" s="63"/>
      <c r="O9" s="63">
        <v>1</v>
      </c>
      <c r="P9" s="63"/>
      <c r="Q9" s="63">
        <v>204</v>
      </c>
      <c r="R9" s="63"/>
      <c r="S9" s="63">
        <v>7664</v>
      </c>
      <c r="T9" s="63"/>
      <c r="U9" s="63">
        <v>2</v>
      </c>
      <c r="V9" s="63"/>
      <c r="W9" s="63">
        <v>72</v>
      </c>
      <c r="X9" s="63"/>
      <c r="Y9" s="63">
        <v>1808</v>
      </c>
      <c r="Z9" s="63"/>
      <c r="AA9" s="63">
        <v>1</v>
      </c>
      <c r="AB9" s="63"/>
      <c r="AC9" s="63">
        <v>158</v>
      </c>
      <c r="AD9" s="63"/>
      <c r="AE9" s="63">
        <v>8848</v>
      </c>
      <c r="AF9" s="63"/>
      <c r="AG9" s="63">
        <v>2</v>
      </c>
      <c r="AH9" s="63"/>
      <c r="AI9" s="63">
        <v>2930</v>
      </c>
      <c r="AJ9" s="63"/>
      <c r="AK9" s="63">
        <v>48880</v>
      </c>
      <c r="AL9" s="63"/>
      <c r="AM9" s="63">
        <v>0</v>
      </c>
      <c r="AN9" s="63"/>
      <c r="AO9" s="63">
        <v>0</v>
      </c>
      <c r="AP9" s="63"/>
      <c r="AQ9" s="63">
        <v>8000</v>
      </c>
      <c r="AR9" s="72" t="s">
        <v>62</v>
      </c>
      <c r="AS9" s="63">
        <v>2</v>
      </c>
      <c r="AU9" s="63">
        <v>328</v>
      </c>
      <c r="AV9" s="63"/>
      <c r="AW9" s="63">
        <v>95208</v>
      </c>
      <c r="AX9" s="301"/>
    </row>
    <row r="10" spans="2:50" s="67" customFormat="1" ht="35.1" customHeight="1" x14ac:dyDescent="0.2">
      <c r="B10" s="542" t="s">
        <v>26</v>
      </c>
      <c r="C10" s="63">
        <v>2</v>
      </c>
      <c r="D10" s="63"/>
      <c r="E10" s="63">
        <v>33</v>
      </c>
      <c r="F10" s="63"/>
      <c r="G10" s="63">
        <v>528</v>
      </c>
      <c r="H10" s="63"/>
      <c r="I10" s="63">
        <v>2</v>
      </c>
      <c r="J10" s="63"/>
      <c r="K10" s="63">
        <v>37</v>
      </c>
      <c r="L10" s="63"/>
      <c r="M10" s="63">
        <v>1328</v>
      </c>
      <c r="N10" s="63"/>
      <c r="O10" s="63">
        <v>0</v>
      </c>
      <c r="P10" s="63"/>
      <c r="Q10" s="63">
        <v>0</v>
      </c>
      <c r="R10" s="63"/>
      <c r="S10" s="63">
        <v>0</v>
      </c>
      <c r="T10" s="63"/>
      <c r="U10" s="63">
        <v>1</v>
      </c>
      <c r="V10" s="63"/>
      <c r="W10" s="63">
        <v>273</v>
      </c>
      <c r="X10" s="63"/>
      <c r="Y10" s="63">
        <v>33720</v>
      </c>
      <c r="Z10" s="63"/>
      <c r="AA10" s="63">
        <v>2</v>
      </c>
      <c r="AB10" s="63"/>
      <c r="AC10" s="63">
        <v>178</v>
      </c>
      <c r="AD10" s="63"/>
      <c r="AE10" s="63">
        <v>3648</v>
      </c>
      <c r="AF10" s="63"/>
      <c r="AG10" s="63">
        <v>1</v>
      </c>
      <c r="AH10" s="63"/>
      <c r="AI10" s="63">
        <v>83</v>
      </c>
      <c r="AJ10" s="63"/>
      <c r="AK10" s="63">
        <v>7968</v>
      </c>
      <c r="AL10" s="63"/>
      <c r="AM10" s="63">
        <v>0</v>
      </c>
      <c r="AN10" s="63"/>
      <c r="AO10" s="63">
        <v>0</v>
      </c>
      <c r="AP10" s="63"/>
      <c r="AQ10" s="63">
        <v>0</v>
      </c>
      <c r="AR10" s="63"/>
      <c r="AS10" s="63">
        <v>1</v>
      </c>
      <c r="AU10" s="63">
        <v>77</v>
      </c>
      <c r="AV10" s="63"/>
      <c r="AW10" s="63">
        <v>11144</v>
      </c>
      <c r="AX10" s="410"/>
    </row>
    <row r="11" spans="2:50" s="67" customFormat="1" ht="35.1" customHeight="1" x14ac:dyDescent="0.2">
      <c r="B11" s="542" t="s">
        <v>27</v>
      </c>
      <c r="C11" s="63">
        <v>2</v>
      </c>
      <c r="D11" s="63"/>
      <c r="E11" s="63">
        <v>907</v>
      </c>
      <c r="F11" s="63"/>
      <c r="G11" s="63">
        <v>20056</v>
      </c>
      <c r="H11" s="63"/>
      <c r="I11" s="63">
        <v>3</v>
      </c>
      <c r="J11" s="63"/>
      <c r="K11" s="63">
        <v>1583</v>
      </c>
      <c r="L11" s="63"/>
      <c r="M11" s="63">
        <v>44528</v>
      </c>
      <c r="N11" s="63"/>
      <c r="O11" s="63">
        <v>2</v>
      </c>
      <c r="P11" s="63"/>
      <c r="Q11" s="63">
        <v>411</v>
      </c>
      <c r="R11" s="63"/>
      <c r="S11" s="63">
        <v>14080</v>
      </c>
      <c r="T11" s="63"/>
      <c r="U11" s="63">
        <v>2</v>
      </c>
      <c r="V11" s="63"/>
      <c r="W11" s="63">
        <v>152</v>
      </c>
      <c r="X11" s="63"/>
      <c r="Y11" s="63">
        <v>7184</v>
      </c>
      <c r="Z11" s="63"/>
      <c r="AA11" s="63">
        <v>0</v>
      </c>
      <c r="AB11" s="63"/>
      <c r="AC11" s="63">
        <v>0</v>
      </c>
      <c r="AD11" s="63"/>
      <c r="AE11" s="63">
        <v>0</v>
      </c>
      <c r="AF11" s="63"/>
      <c r="AG11" s="63">
        <v>0</v>
      </c>
      <c r="AH11" s="63"/>
      <c r="AI11" s="63">
        <v>0</v>
      </c>
      <c r="AJ11" s="63"/>
      <c r="AK11" s="63">
        <v>10624</v>
      </c>
      <c r="AL11" s="72" t="s">
        <v>62</v>
      </c>
      <c r="AM11" s="63">
        <v>5</v>
      </c>
      <c r="AN11" s="63"/>
      <c r="AO11" s="63">
        <v>1301</v>
      </c>
      <c r="AP11" s="63"/>
      <c r="AQ11" s="63">
        <v>19520</v>
      </c>
      <c r="AR11" s="72"/>
      <c r="AS11" s="63">
        <v>0</v>
      </c>
      <c r="AU11" s="63">
        <v>0</v>
      </c>
      <c r="AV11" s="63"/>
      <c r="AW11" s="63">
        <v>0</v>
      </c>
      <c r="AX11" s="301"/>
    </row>
    <row r="12" spans="2:50" s="67" customFormat="1" ht="35.1" customHeight="1" x14ac:dyDescent="0.2">
      <c r="B12" s="542" t="s">
        <v>28</v>
      </c>
      <c r="C12" s="739">
        <v>2</v>
      </c>
      <c r="D12" s="739"/>
      <c r="E12" s="63">
        <v>405</v>
      </c>
      <c r="F12" s="63"/>
      <c r="G12" s="63">
        <v>4320</v>
      </c>
      <c r="H12" s="63"/>
      <c r="I12" s="63">
        <v>3</v>
      </c>
      <c r="J12" s="63"/>
      <c r="K12" s="63">
        <v>3305</v>
      </c>
      <c r="L12" s="63"/>
      <c r="M12" s="63">
        <v>287640</v>
      </c>
      <c r="N12" s="63"/>
      <c r="O12" s="63">
        <v>3</v>
      </c>
      <c r="P12" s="63"/>
      <c r="Q12" s="63">
        <v>111</v>
      </c>
      <c r="R12" s="63"/>
      <c r="S12" s="63">
        <v>11984</v>
      </c>
      <c r="T12" s="63"/>
      <c r="U12" s="63">
        <v>2</v>
      </c>
      <c r="V12" s="63"/>
      <c r="W12" s="63">
        <v>988</v>
      </c>
      <c r="X12" s="63"/>
      <c r="Y12" s="63">
        <v>8736</v>
      </c>
      <c r="Z12" s="63"/>
      <c r="AA12" s="63">
        <v>3</v>
      </c>
      <c r="AB12" s="63"/>
      <c r="AC12" s="63">
        <v>891</v>
      </c>
      <c r="AD12" s="63"/>
      <c r="AE12" s="63">
        <v>14256</v>
      </c>
      <c r="AF12" s="63"/>
      <c r="AG12" s="63">
        <v>3</v>
      </c>
      <c r="AH12" s="63"/>
      <c r="AI12" s="63">
        <v>838</v>
      </c>
      <c r="AJ12" s="63"/>
      <c r="AK12" s="63">
        <v>18664</v>
      </c>
      <c r="AL12" s="63"/>
      <c r="AM12" s="63">
        <v>1</v>
      </c>
      <c r="AN12" s="63"/>
      <c r="AO12" s="63">
        <v>58</v>
      </c>
      <c r="AP12" s="63"/>
      <c r="AQ12" s="63">
        <v>928</v>
      </c>
      <c r="AR12" s="63"/>
      <c r="AS12" s="63">
        <v>3</v>
      </c>
      <c r="AU12" s="63">
        <v>1408</v>
      </c>
      <c r="AV12" s="63"/>
      <c r="AW12" s="63">
        <v>115808</v>
      </c>
      <c r="AX12" s="10"/>
    </row>
    <row r="13" spans="2:50" s="67" customFormat="1" ht="35.1" customHeight="1" x14ac:dyDescent="0.2">
      <c r="B13" s="542" t="s">
        <v>29</v>
      </c>
      <c r="C13" s="63">
        <v>4</v>
      </c>
      <c r="D13" s="63"/>
      <c r="E13" s="63">
        <v>1850</v>
      </c>
      <c r="F13" s="63"/>
      <c r="G13" s="63">
        <v>40144</v>
      </c>
      <c r="H13" s="63"/>
      <c r="I13" s="63">
        <v>2</v>
      </c>
      <c r="J13" s="63"/>
      <c r="K13" s="63">
        <v>404</v>
      </c>
      <c r="L13" s="63"/>
      <c r="M13" s="63">
        <v>25464</v>
      </c>
      <c r="N13" s="63"/>
      <c r="O13" s="63">
        <v>3</v>
      </c>
      <c r="P13" s="63"/>
      <c r="Q13" s="63">
        <v>313</v>
      </c>
      <c r="R13" s="63"/>
      <c r="S13" s="63">
        <v>2856</v>
      </c>
      <c r="T13" s="63"/>
      <c r="U13" s="63">
        <v>0</v>
      </c>
      <c r="V13" s="63"/>
      <c r="W13" s="63">
        <v>0</v>
      </c>
      <c r="X13" s="63"/>
      <c r="Y13" s="63">
        <v>14000</v>
      </c>
      <c r="Z13" s="72" t="s">
        <v>62</v>
      </c>
      <c r="AA13" s="63">
        <v>4</v>
      </c>
      <c r="AB13" s="63"/>
      <c r="AC13" s="63">
        <v>1168</v>
      </c>
      <c r="AD13" s="63"/>
      <c r="AE13" s="63">
        <v>75702</v>
      </c>
      <c r="AF13" s="63"/>
      <c r="AG13" s="63">
        <v>0</v>
      </c>
      <c r="AH13" s="63"/>
      <c r="AI13" s="63">
        <v>0</v>
      </c>
      <c r="AJ13" s="63"/>
      <c r="AK13" s="63">
        <v>0</v>
      </c>
      <c r="AL13" s="72"/>
      <c r="AM13" s="63">
        <v>1</v>
      </c>
      <c r="AN13" s="63"/>
      <c r="AO13" s="63">
        <v>230</v>
      </c>
      <c r="AP13" s="63"/>
      <c r="AQ13" s="63">
        <v>5520</v>
      </c>
      <c r="AR13" s="72"/>
      <c r="AS13" s="63">
        <v>1</v>
      </c>
      <c r="AU13" s="63">
        <v>89</v>
      </c>
      <c r="AV13" s="63"/>
      <c r="AW13" s="63">
        <v>1424</v>
      </c>
      <c r="AX13" s="10"/>
    </row>
    <row r="14" spans="2:50" s="67" customFormat="1" ht="35.1" customHeight="1" x14ac:dyDescent="0.2">
      <c r="B14" s="542" t="s">
        <v>30</v>
      </c>
      <c r="C14" s="388">
        <v>1</v>
      </c>
      <c r="D14" s="388"/>
      <c r="E14" s="63">
        <v>42</v>
      </c>
      <c r="F14" s="63"/>
      <c r="G14" s="63">
        <v>5040</v>
      </c>
      <c r="H14" s="63"/>
      <c r="I14" s="63">
        <v>1</v>
      </c>
      <c r="J14" s="63"/>
      <c r="K14" s="63">
        <v>43</v>
      </c>
      <c r="L14" s="63"/>
      <c r="M14" s="63">
        <v>6504</v>
      </c>
      <c r="N14" s="63"/>
      <c r="O14" s="63">
        <v>4</v>
      </c>
      <c r="P14" s="63"/>
      <c r="Q14" s="63">
        <v>541</v>
      </c>
      <c r="R14" s="63"/>
      <c r="S14" s="63">
        <v>7760</v>
      </c>
      <c r="T14" s="63"/>
      <c r="U14" s="63">
        <v>1</v>
      </c>
      <c r="V14" s="63"/>
      <c r="W14" s="63">
        <v>21</v>
      </c>
      <c r="X14" s="63"/>
      <c r="Y14" s="63">
        <v>336</v>
      </c>
      <c r="Z14" s="63"/>
      <c r="AA14" s="63">
        <v>2</v>
      </c>
      <c r="AB14" s="63"/>
      <c r="AC14" s="63">
        <v>577</v>
      </c>
      <c r="AD14" s="63"/>
      <c r="AE14" s="63">
        <v>52576</v>
      </c>
      <c r="AF14" s="63"/>
      <c r="AG14" s="63">
        <v>2</v>
      </c>
      <c r="AH14" s="63"/>
      <c r="AI14" s="63">
        <v>1020</v>
      </c>
      <c r="AJ14" s="63"/>
      <c r="AK14" s="63">
        <v>83520</v>
      </c>
      <c r="AL14" s="63"/>
      <c r="AM14" s="63">
        <v>1</v>
      </c>
      <c r="AN14" s="63"/>
      <c r="AO14" s="63">
        <v>171</v>
      </c>
      <c r="AP14" s="63"/>
      <c r="AQ14" s="63">
        <v>2736</v>
      </c>
      <c r="AR14" s="63"/>
      <c r="AS14" s="63">
        <v>3</v>
      </c>
      <c r="AU14" s="63">
        <v>245</v>
      </c>
      <c r="AV14" s="63"/>
      <c r="AW14" s="63">
        <v>1960</v>
      </c>
      <c r="AX14" s="10"/>
    </row>
    <row r="15" spans="2:50" s="67" customFormat="1" ht="35.1" customHeight="1" x14ac:dyDescent="0.2">
      <c r="B15" s="542" t="s">
        <v>164</v>
      </c>
      <c r="C15" s="388">
        <v>3</v>
      </c>
      <c r="D15" s="388"/>
      <c r="E15" s="63">
        <v>1680</v>
      </c>
      <c r="F15" s="63"/>
      <c r="G15" s="63">
        <v>27280</v>
      </c>
      <c r="H15" s="63"/>
      <c r="I15" s="739" t="s">
        <v>8</v>
      </c>
      <c r="J15" s="739"/>
      <c r="K15" s="739">
        <v>0</v>
      </c>
      <c r="L15" s="739"/>
      <c r="M15" s="63">
        <v>0</v>
      </c>
      <c r="N15" s="63"/>
      <c r="O15" s="63">
        <v>2</v>
      </c>
      <c r="P15" s="63"/>
      <c r="Q15" s="63">
        <v>305</v>
      </c>
      <c r="R15" s="63"/>
      <c r="S15" s="63">
        <v>31048</v>
      </c>
      <c r="T15" s="63"/>
      <c r="U15" s="63">
        <v>2</v>
      </c>
      <c r="V15" s="63"/>
      <c r="W15" s="63">
        <v>261</v>
      </c>
      <c r="X15" s="63"/>
      <c r="Y15" s="63">
        <v>18954</v>
      </c>
      <c r="Z15" s="63"/>
      <c r="AA15" s="63">
        <v>4</v>
      </c>
      <c r="AB15" s="63"/>
      <c r="AC15" s="63">
        <v>658</v>
      </c>
      <c r="AD15" s="63"/>
      <c r="AE15" s="63">
        <v>62066</v>
      </c>
      <c r="AF15" s="63"/>
      <c r="AG15" s="63">
        <v>3</v>
      </c>
      <c r="AH15" s="63"/>
      <c r="AI15" s="63">
        <v>162</v>
      </c>
      <c r="AJ15" s="63"/>
      <c r="AK15" s="63">
        <v>4496</v>
      </c>
      <c r="AL15" s="63"/>
      <c r="AM15" s="63">
        <v>0</v>
      </c>
      <c r="AN15" s="63"/>
      <c r="AO15" s="63">
        <v>0</v>
      </c>
      <c r="AP15" s="63"/>
      <c r="AQ15" s="63">
        <v>0</v>
      </c>
      <c r="AR15" s="63"/>
      <c r="AS15" s="63">
        <v>7</v>
      </c>
      <c r="AU15" s="63">
        <v>12257</v>
      </c>
      <c r="AV15" s="63"/>
      <c r="AW15" s="63">
        <v>412112</v>
      </c>
      <c r="AX15" s="10"/>
    </row>
    <row r="16" spans="2:50" s="67" customFormat="1" ht="35.1" customHeight="1" x14ac:dyDescent="0.2">
      <c r="B16" s="542" t="s">
        <v>32</v>
      </c>
      <c r="C16" s="739">
        <v>1</v>
      </c>
      <c r="D16" s="739"/>
      <c r="E16" s="63">
        <v>110</v>
      </c>
      <c r="F16" s="63"/>
      <c r="G16" s="63">
        <v>3520</v>
      </c>
      <c r="H16" s="63"/>
      <c r="I16" s="63">
        <v>3</v>
      </c>
      <c r="J16" s="63"/>
      <c r="K16" s="63">
        <v>274</v>
      </c>
      <c r="L16" s="63"/>
      <c r="M16" s="63">
        <v>14816</v>
      </c>
      <c r="N16" s="63"/>
      <c r="O16" s="63">
        <v>1</v>
      </c>
      <c r="P16" s="63"/>
      <c r="Q16" s="63">
        <v>623</v>
      </c>
      <c r="R16" s="63"/>
      <c r="S16" s="63">
        <v>98924</v>
      </c>
      <c r="T16" s="63"/>
      <c r="U16" s="63">
        <v>4</v>
      </c>
      <c r="V16" s="63"/>
      <c r="W16" s="63">
        <v>832</v>
      </c>
      <c r="X16" s="63"/>
      <c r="Y16" s="63">
        <v>19200</v>
      </c>
      <c r="Z16" s="63"/>
      <c r="AA16" s="63">
        <v>2</v>
      </c>
      <c r="AB16" s="63"/>
      <c r="AC16" s="63">
        <v>248</v>
      </c>
      <c r="AD16" s="63"/>
      <c r="AE16" s="63">
        <v>8480</v>
      </c>
      <c r="AF16" s="63"/>
      <c r="AG16" s="63">
        <v>0</v>
      </c>
      <c r="AH16" s="63"/>
      <c r="AI16" s="63">
        <v>0</v>
      </c>
      <c r="AJ16" s="63"/>
      <c r="AK16" s="63">
        <v>0</v>
      </c>
      <c r="AL16" s="63"/>
      <c r="AM16" s="63">
        <v>0</v>
      </c>
      <c r="AN16" s="63"/>
      <c r="AO16" s="63">
        <v>0</v>
      </c>
      <c r="AP16" s="63"/>
      <c r="AQ16" s="63">
        <v>0</v>
      </c>
      <c r="AR16" s="63"/>
      <c r="AS16" s="63">
        <v>2</v>
      </c>
      <c r="AU16" s="63">
        <v>8143</v>
      </c>
      <c r="AV16" s="63"/>
      <c r="AW16" s="63">
        <v>195238</v>
      </c>
      <c r="AX16" s="10"/>
    </row>
    <row r="17" spans="2:50" s="67" customFormat="1" ht="35.1" customHeight="1" x14ac:dyDescent="0.2">
      <c r="B17" s="542" t="s">
        <v>33</v>
      </c>
      <c r="C17" s="739">
        <v>2</v>
      </c>
      <c r="D17" s="739"/>
      <c r="E17" s="63">
        <v>507</v>
      </c>
      <c r="F17" s="63"/>
      <c r="G17" s="63">
        <v>5624</v>
      </c>
      <c r="H17" s="63"/>
      <c r="I17" s="63">
        <v>1</v>
      </c>
      <c r="J17" s="63"/>
      <c r="K17" s="63">
        <v>77</v>
      </c>
      <c r="L17" s="63"/>
      <c r="M17" s="63">
        <v>616</v>
      </c>
      <c r="N17" s="63"/>
      <c r="O17" s="63">
        <v>2</v>
      </c>
      <c r="P17" s="63"/>
      <c r="Q17" s="63">
        <v>125</v>
      </c>
      <c r="R17" s="63"/>
      <c r="S17" s="63">
        <v>28814</v>
      </c>
      <c r="T17" s="63"/>
      <c r="U17" s="63">
        <v>3</v>
      </c>
      <c r="V17" s="63"/>
      <c r="W17" s="63">
        <v>809</v>
      </c>
      <c r="X17" s="63"/>
      <c r="Y17" s="63">
        <v>33856</v>
      </c>
      <c r="Z17" s="63"/>
      <c r="AA17" s="63">
        <v>8</v>
      </c>
      <c r="AB17" s="63"/>
      <c r="AC17" s="63">
        <v>2551</v>
      </c>
      <c r="AD17" s="63"/>
      <c r="AE17" s="63">
        <v>164968</v>
      </c>
      <c r="AF17" s="63"/>
      <c r="AG17" s="63">
        <v>1</v>
      </c>
      <c r="AH17" s="63"/>
      <c r="AI17" s="63">
        <v>218</v>
      </c>
      <c r="AJ17" s="63"/>
      <c r="AK17" s="63">
        <v>1744</v>
      </c>
      <c r="AL17" s="63"/>
      <c r="AM17" s="63">
        <v>2</v>
      </c>
      <c r="AN17" s="63"/>
      <c r="AO17" s="63">
        <v>474</v>
      </c>
      <c r="AP17" s="63"/>
      <c r="AQ17" s="63">
        <v>7584</v>
      </c>
      <c r="AR17" s="63"/>
      <c r="AS17" s="63">
        <v>2</v>
      </c>
      <c r="AU17" s="63">
        <v>2463</v>
      </c>
      <c r="AV17" s="63"/>
      <c r="AW17" s="63">
        <v>124836</v>
      </c>
      <c r="AX17" s="10"/>
    </row>
    <row r="18" spans="2:50" s="67" customFormat="1" ht="35.1" customHeight="1" x14ac:dyDescent="0.2">
      <c r="B18" s="542" t="s">
        <v>34</v>
      </c>
      <c r="C18" s="388">
        <v>4</v>
      </c>
      <c r="D18" s="388"/>
      <c r="E18" s="63">
        <v>2250</v>
      </c>
      <c r="F18" s="63"/>
      <c r="G18" s="63">
        <v>39256</v>
      </c>
      <c r="H18" s="63"/>
      <c r="I18" s="63">
        <v>3</v>
      </c>
      <c r="J18" s="63"/>
      <c r="K18" s="63">
        <v>396</v>
      </c>
      <c r="L18" s="63"/>
      <c r="M18" s="63">
        <v>33800</v>
      </c>
      <c r="N18" s="63"/>
      <c r="O18" s="63">
        <v>2</v>
      </c>
      <c r="P18" s="63"/>
      <c r="Q18" s="63">
        <v>315</v>
      </c>
      <c r="R18" s="63"/>
      <c r="S18" s="63">
        <v>12960</v>
      </c>
      <c r="T18" s="63"/>
      <c r="U18" s="63">
        <v>2</v>
      </c>
      <c r="V18" s="63"/>
      <c r="W18" s="63">
        <v>160</v>
      </c>
      <c r="X18" s="63"/>
      <c r="Y18" s="63">
        <v>5760</v>
      </c>
      <c r="Z18" s="63"/>
      <c r="AA18" s="63">
        <v>8</v>
      </c>
      <c r="AB18" s="63"/>
      <c r="AC18" s="63">
        <v>1240</v>
      </c>
      <c r="AD18" s="63"/>
      <c r="AE18" s="63">
        <v>262336</v>
      </c>
      <c r="AF18" s="72"/>
      <c r="AG18" s="63">
        <v>3</v>
      </c>
      <c r="AH18" s="63"/>
      <c r="AI18" s="63">
        <v>226</v>
      </c>
      <c r="AJ18" s="63"/>
      <c r="AK18" s="63">
        <v>8224</v>
      </c>
      <c r="AM18" s="63">
        <v>1</v>
      </c>
      <c r="AN18" s="63"/>
      <c r="AO18" s="63">
        <v>2289</v>
      </c>
      <c r="AP18" s="63"/>
      <c r="AQ18" s="63">
        <v>20872</v>
      </c>
      <c r="AS18" s="63">
        <v>3</v>
      </c>
      <c r="AU18" s="63">
        <v>22054</v>
      </c>
      <c r="AV18" s="63"/>
      <c r="AW18" s="63">
        <v>1001324</v>
      </c>
      <c r="AX18" s="10"/>
    </row>
    <row r="19" spans="2:50" s="67" customFormat="1" ht="35.1" customHeight="1" x14ac:dyDescent="0.2">
      <c r="B19" s="542" t="s">
        <v>35</v>
      </c>
      <c r="C19" s="388">
        <v>2</v>
      </c>
      <c r="D19" s="388"/>
      <c r="E19" s="63">
        <v>119</v>
      </c>
      <c r="F19" s="63"/>
      <c r="G19" s="63">
        <v>4840</v>
      </c>
      <c r="H19" s="63"/>
      <c r="I19" s="63">
        <v>4</v>
      </c>
      <c r="J19" s="63"/>
      <c r="K19" s="63">
        <v>440</v>
      </c>
      <c r="L19" s="63"/>
      <c r="M19" s="63">
        <v>35872</v>
      </c>
      <c r="N19" s="63"/>
      <c r="O19" s="63">
        <v>7</v>
      </c>
      <c r="P19" s="63"/>
      <c r="Q19" s="63">
        <v>2685</v>
      </c>
      <c r="R19" s="63"/>
      <c r="S19" s="63">
        <v>77824</v>
      </c>
      <c r="T19" s="63"/>
      <c r="U19" s="63">
        <v>2</v>
      </c>
      <c r="V19" s="63"/>
      <c r="W19" s="63">
        <v>1010</v>
      </c>
      <c r="X19" s="63"/>
      <c r="Y19" s="63">
        <v>25840</v>
      </c>
      <c r="Z19" s="63"/>
      <c r="AA19" s="63">
        <v>2</v>
      </c>
      <c r="AB19" s="63"/>
      <c r="AC19" s="63">
        <v>235</v>
      </c>
      <c r="AD19" s="63"/>
      <c r="AE19" s="63">
        <v>97032</v>
      </c>
      <c r="AF19" s="72"/>
      <c r="AG19" s="63">
        <v>4</v>
      </c>
      <c r="AH19" s="63"/>
      <c r="AI19" s="63">
        <v>10127</v>
      </c>
      <c r="AJ19" s="63"/>
      <c r="AK19" s="63">
        <v>196392</v>
      </c>
      <c r="AM19" s="63">
        <v>3</v>
      </c>
      <c r="AN19" s="63"/>
      <c r="AO19" s="63">
        <v>3234</v>
      </c>
      <c r="AP19" s="63"/>
      <c r="AQ19" s="63">
        <v>326672</v>
      </c>
      <c r="AS19" s="63">
        <v>1</v>
      </c>
      <c r="AU19" s="63">
        <v>886</v>
      </c>
      <c r="AV19" s="63"/>
      <c r="AW19" s="63">
        <v>42528</v>
      </c>
      <c r="AX19" s="10"/>
    </row>
    <row r="20" spans="2:50" s="67" customFormat="1" ht="34.5" customHeight="1" x14ac:dyDescent="0.2">
      <c r="B20" s="542" t="s">
        <v>146</v>
      </c>
      <c r="C20" s="63">
        <v>3</v>
      </c>
      <c r="D20" s="63"/>
      <c r="E20" s="63">
        <v>452</v>
      </c>
      <c r="F20" s="63"/>
      <c r="G20" s="63">
        <v>13136</v>
      </c>
      <c r="H20" s="63"/>
      <c r="I20" s="63">
        <v>3</v>
      </c>
      <c r="J20" s="63"/>
      <c r="K20" s="63">
        <v>663</v>
      </c>
      <c r="L20" s="63"/>
      <c r="M20" s="63">
        <v>49976</v>
      </c>
      <c r="N20" s="63"/>
      <c r="O20" s="63">
        <v>3</v>
      </c>
      <c r="P20" s="63"/>
      <c r="Q20" s="63">
        <v>331</v>
      </c>
      <c r="R20" s="63"/>
      <c r="S20" s="388">
        <v>10344</v>
      </c>
      <c r="T20" s="388"/>
      <c r="U20" s="63">
        <v>3</v>
      </c>
      <c r="V20" s="63"/>
      <c r="W20" s="63">
        <v>1152</v>
      </c>
      <c r="X20" s="63"/>
      <c r="Y20" s="63">
        <v>27648</v>
      </c>
      <c r="Z20" s="388"/>
      <c r="AA20" s="63">
        <v>7</v>
      </c>
      <c r="AB20" s="63"/>
      <c r="AC20" s="63">
        <v>3067</v>
      </c>
      <c r="AD20" s="63"/>
      <c r="AE20" s="63">
        <v>78728</v>
      </c>
      <c r="AF20" s="63"/>
      <c r="AG20" s="63">
        <v>4</v>
      </c>
      <c r="AH20" s="63"/>
      <c r="AI20" s="63">
        <v>1232</v>
      </c>
      <c r="AJ20" s="63"/>
      <c r="AK20" s="63">
        <v>78232</v>
      </c>
      <c r="AL20" s="72"/>
      <c r="AM20" s="63">
        <v>3</v>
      </c>
      <c r="AN20" s="63"/>
      <c r="AO20" s="63">
        <v>461</v>
      </c>
      <c r="AP20" s="63"/>
      <c r="AQ20" s="63">
        <v>588688</v>
      </c>
      <c r="AR20" s="72"/>
      <c r="AS20" s="63">
        <v>0</v>
      </c>
      <c r="AU20" s="63">
        <v>0</v>
      </c>
      <c r="AV20" s="63"/>
      <c r="AW20" s="63">
        <v>21264</v>
      </c>
      <c r="AX20" s="411" t="s">
        <v>62</v>
      </c>
    </row>
    <row r="21" spans="2:50" s="67" customFormat="1" ht="8.25" customHeight="1" x14ac:dyDescent="0.2">
      <c r="B21" s="542"/>
      <c r="C21" s="63"/>
      <c r="D21" s="63"/>
      <c r="E21" s="63"/>
      <c r="F21" s="63"/>
      <c r="G21" s="63"/>
      <c r="H21" s="63"/>
      <c r="I21" s="63"/>
      <c r="J21" s="63"/>
      <c r="K21" s="63"/>
      <c r="L21" s="63"/>
      <c r="M21" s="63"/>
      <c r="N21" s="63"/>
      <c r="O21" s="63"/>
      <c r="P21" s="63"/>
      <c r="Q21" s="63"/>
      <c r="R21" s="63"/>
      <c r="S21" s="388"/>
      <c r="T21" s="388"/>
      <c r="V21" s="63"/>
      <c r="W21" s="63"/>
      <c r="X21" s="63"/>
      <c r="Y21" s="388"/>
      <c r="Z21" s="388"/>
      <c r="AC21" s="63"/>
      <c r="AD21" s="63"/>
      <c r="AE21" s="388"/>
      <c r="AF21" s="388"/>
      <c r="AI21" s="63"/>
      <c r="AJ21" s="63"/>
      <c r="AK21" s="388"/>
      <c r="AL21" s="63"/>
      <c r="AO21" s="63"/>
      <c r="AP21" s="63"/>
      <c r="AQ21" s="63"/>
      <c r="AR21" s="63"/>
      <c r="AU21" s="63"/>
      <c r="AV21" s="63"/>
      <c r="AW21" s="63"/>
      <c r="AX21" s="10"/>
    </row>
    <row r="22" spans="2:50" s="228" customFormat="1" ht="44.25" customHeight="1" x14ac:dyDescent="0.2">
      <c r="B22" s="541" t="s">
        <v>6</v>
      </c>
      <c r="C22" s="429">
        <f>SUM(C9:C20)</f>
        <v>29</v>
      </c>
      <c r="D22" s="429"/>
      <c r="E22" s="429">
        <f>SUM(E9:E20)</f>
        <v>8599</v>
      </c>
      <c r="F22" s="429"/>
      <c r="G22" s="429">
        <f>SUM(G9:G20)</f>
        <v>166768</v>
      </c>
      <c r="H22" s="429"/>
      <c r="I22" s="429">
        <f>SUM(I9:I20)</f>
        <v>27</v>
      </c>
      <c r="J22" s="429"/>
      <c r="K22" s="429">
        <f>SUM(K9:K20)</f>
        <v>9020</v>
      </c>
      <c r="L22" s="429"/>
      <c r="M22" s="429">
        <f>SUM(M9:M20)</f>
        <v>543184</v>
      </c>
      <c r="N22" s="429"/>
      <c r="O22" s="429">
        <f>SUM(O9:O20)</f>
        <v>30</v>
      </c>
      <c r="P22" s="429"/>
      <c r="Q22" s="429">
        <f>SUM(Q9:Q20)</f>
        <v>5964</v>
      </c>
      <c r="R22" s="429"/>
      <c r="S22" s="429">
        <f>SUM(S9:S20)</f>
        <v>304258</v>
      </c>
      <c r="T22" s="429"/>
      <c r="U22" s="429">
        <f>SUM(U9:U21)</f>
        <v>24</v>
      </c>
      <c r="V22" s="429"/>
      <c r="W22" s="429">
        <f>SUM(W9:W21)</f>
        <v>5730</v>
      </c>
      <c r="X22" s="429"/>
      <c r="Y22" s="429">
        <f>SUM(Y9:Y20)</f>
        <v>197042</v>
      </c>
      <c r="Z22" s="429"/>
      <c r="AA22" s="429">
        <f>SUM(AA9:AA21)</f>
        <v>43</v>
      </c>
      <c r="AB22" s="429"/>
      <c r="AC22" s="429">
        <f>SUM(AC9:AC21)</f>
        <v>10971</v>
      </c>
      <c r="AD22" s="429"/>
      <c r="AE22" s="429">
        <f>SUM(AE9:AE21)</f>
        <v>828640</v>
      </c>
      <c r="AF22" s="429"/>
      <c r="AG22" s="429">
        <f>SUM(AG9:AG21)</f>
        <v>23</v>
      </c>
      <c r="AH22" s="429"/>
      <c r="AI22" s="429">
        <f>SUM(AI9:AI21)</f>
        <v>16836</v>
      </c>
      <c r="AJ22" s="429"/>
      <c r="AK22" s="429">
        <f>SUM(AK9:AK21)</f>
        <v>458744</v>
      </c>
      <c r="AL22" s="429"/>
      <c r="AM22" s="429">
        <f>SUM(AM9:AM21)</f>
        <v>17</v>
      </c>
      <c r="AN22" s="429"/>
      <c r="AO22" s="429">
        <f>SUM(AO9:AO21)</f>
        <v>8218</v>
      </c>
      <c r="AP22" s="429"/>
      <c r="AQ22" s="429">
        <f>SUM(AQ9:AQ20)</f>
        <v>980520</v>
      </c>
      <c r="AR22" s="429"/>
      <c r="AS22" s="429">
        <f>SUM(AS9:AS21)</f>
        <v>25</v>
      </c>
      <c r="AT22" s="429"/>
      <c r="AU22" s="429">
        <f>SUM(AU9:AU21)</f>
        <v>47950</v>
      </c>
      <c r="AV22" s="429"/>
      <c r="AW22" s="429">
        <f>SUM(AW9:AW20)</f>
        <v>2022846</v>
      </c>
      <c r="AX22" s="525"/>
    </row>
    <row r="23" spans="2:50" s="230" customFormat="1" ht="44.25" customHeight="1" x14ac:dyDescent="0.2">
      <c r="B23" s="409"/>
      <c r="C23" s="229"/>
      <c r="D23" s="229"/>
      <c r="E23" s="229"/>
      <c r="F23" s="229"/>
      <c r="G23" s="229"/>
      <c r="H23" s="229"/>
      <c r="I23" s="229"/>
      <c r="J23" s="229"/>
      <c r="K23" s="229"/>
      <c r="L23" s="229"/>
      <c r="M23" s="229"/>
      <c r="N23" s="229"/>
      <c r="O23" s="229"/>
      <c r="P23" s="229"/>
      <c r="Q23" s="229"/>
      <c r="R23" s="229"/>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row>
    <row r="24" spans="2:50" s="227" customFormat="1" ht="54" customHeight="1" x14ac:dyDescent="0.2">
      <c r="B24" s="992" t="s">
        <v>24</v>
      </c>
      <c r="C24" s="998" t="s">
        <v>1</v>
      </c>
      <c r="D24" s="999"/>
      <c r="E24" s="999"/>
      <c r="F24" s="999"/>
      <c r="G24" s="999"/>
      <c r="H24" s="999"/>
      <c r="I24" s="999"/>
      <c r="J24" s="999"/>
      <c r="K24" s="999"/>
      <c r="L24" s="999"/>
      <c r="M24" s="999"/>
      <c r="N24" s="999"/>
      <c r="O24" s="999"/>
      <c r="P24" s="999"/>
      <c r="Q24" s="999"/>
      <c r="R24" s="999"/>
      <c r="S24" s="999"/>
      <c r="T24" s="999"/>
      <c r="U24" s="999"/>
      <c r="V24" s="999"/>
      <c r="W24" s="999"/>
      <c r="X24" s="999"/>
      <c r="Y24" s="999"/>
      <c r="Z24" s="999"/>
      <c r="AA24" s="999"/>
      <c r="AB24" s="999"/>
      <c r="AC24" s="999"/>
      <c r="AD24" s="999"/>
      <c r="AE24" s="999"/>
      <c r="AF24" s="999"/>
      <c r="AG24" s="999"/>
      <c r="AH24" s="999"/>
      <c r="AI24" s="999"/>
      <c r="AJ24" s="999"/>
      <c r="AK24" s="999"/>
      <c r="AL24" s="999"/>
      <c r="AM24" s="999"/>
      <c r="AN24" s="999"/>
      <c r="AO24" s="999"/>
      <c r="AP24" s="999"/>
      <c r="AQ24" s="999"/>
      <c r="AR24" s="999"/>
      <c r="AS24" s="231"/>
      <c r="AT24" s="231"/>
      <c r="AU24" s="231"/>
      <c r="AV24" s="231"/>
      <c r="AW24" s="231"/>
      <c r="AX24" s="231"/>
    </row>
    <row r="25" spans="2:50" s="227" customFormat="1" ht="32.25" customHeight="1" x14ac:dyDescent="0.2">
      <c r="B25" s="992"/>
      <c r="C25" s="878">
        <v>2018</v>
      </c>
      <c r="D25" s="878"/>
      <c r="E25" s="878"/>
      <c r="F25" s="878"/>
      <c r="G25" s="878"/>
      <c r="H25" s="878"/>
      <c r="I25" s="878">
        <v>2019</v>
      </c>
      <c r="J25" s="878"/>
      <c r="K25" s="878"/>
      <c r="L25" s="878"/>
      <c r="M25" s="878"/>
      <c r="N25" s="878"/>
      <c r="O25" s="878">
        <v>2020</v>
      </c>
      <c r="P25" s="878"/>
      <c r="Q25" s="878"/>
      <c r="R25" s="878"/>
      <c r="S25" s="878"/>
      <c r="T25" s="878"/>
      <c r="U25" s="878">
        <v>2021</v>
      </c>
      <c r="V25" s="878"/>
      <c r="W25" s="878"/>
      <c r="X25" s="878"/>
      <c r="Y25" s="878"/>
      <c r="Z25" s="878"/>
      <c r="AA25" s="878">
        <v>2022</v>
      </c>
      <c r="AB25" s="878"/>
      <c r="AC25" s="878"/>
      <c r="AD25" s="878"/>
      <c r="AE25" s="878"/>
      <c r="AF25" s="878"/>
      <c r="AG25" s="878">
        <v>2023</v>
      </c>
      <c r="AH25" s="878"/>
      <c r="AI25" s="878"/>
      <c r="AJ25" s="878"/>
      <c r="AK25" s="878"/>
      <c r="AL25" s="996"/>
      <c r="AM25" s="878">
        <v>2024</v>
      </c>
      <c r="AN25" s="878"/>
      <c r="AO25" s="878"/>
      <c r="AP25" s="878"/>
      <c r="AQ25" s="878"/>
      <c r="AR25" s="878"/>
      <c r="AS25" s="140"/>
      <c r="AT25" s="140"/>
      <c r="AU25" s="140"/>
      <c r="AV25" s="140"/>
      <c r="AW25" s="140"/>
      <c r="AX25" s="140"/>
    </row>
    <row r="26" spans="2:50" s="67" customFormat="1" ht="30" customHeight="1" x14ac:dyDescent="0.2">
      <c r="B26" s="992"/>
      <c r="C26" s="989" t="s">
        <v>179</v>
      </c>
      <c r="D26" s="990"/>
      <c r="E26" s="990" t="s">
        <v>226</v>
      </c>
      <c r="F26" s="990"/>
      <c r="G26" s="990" t="s">
        <v>227</v>
      </c>
      <c r="H26" s="991"/>
      <c r="I26" s="989" t="s">
        <v>179</v>
      </c>
      <c r="J26" s="990"/>
      <c r="K26" s="990" t="s">
        <v>226</v>
      </c>
      <c r="L26" s="990"/>
      <c r="M26" s="990" t="s">
        <v>227</v>
      </c>
      <c r="N26" s="991"/>
      <c r="O26" s="989" t="s">
        <v>179</v>
      </c>
      <c r="P26" s="990"/>
      <c r="Q26" s="990" t="s">
        <v>226</v>
      </c>
      <c r="R26" s="990"/>
      <c r="S26" s="990" t="s">
        <v>227</v>
      </c>
      <c r="T26" s="991"/>
      <c r="U26" s="989" t="s">
        <v>179</v>
      </c>
      <c r="V26" s="990"/>
      <c r="W26" s="990" t="s">
        <v>226</v>
      </c>
      <c r="X26" s="990"/>
      <c r="Y26" s="990" t="s">
        <v>227</v>
      </c>
      <c r="Z26" s="991"/>
      <c r="AA26" s="989" t="s">
        <v>179</v>
      </c>
      <c r="AB26" s="990"/>
      <c r="AC26" s="990" t="s">
        <v>226</v>
      </c>
      <c r="AD26" s="990"/>
      <c r="AE26" s="990" t="s">
        <v>227</v>
      </c>
      <c r="AF26" s="991"/>
      <c r="AG26" s="989" t="s">
        <v>179</v>
      </c>
      <c r="AH26" s="990"/>
      <c r="AI26" s="990" t="s">
        <v>226</v>
      </c>
      <c r="AJ26" s="990"/>
      <c r="AK26" s="990" t="s">
        <v>227</v>
      </c>
      <c r="AL26" s="991"/>
      <c r="AM26" s="989" t="s">
        <v>179</v>
      </c>
      <c r="AN26" s="990"/>
      <c r="AO26" s="990" t="s">
        <v>226</v>
      </c>
      <c r="AP26" s="990"/>
      <c r="AQ26" s="990" t="s">
        <v>227</v>
      </c>
      <c r="AR26" s="991"/>
      <c r="AS26" s="994"/>
      <c r="AT26" s="994"/>
      <c r="AU26" s="994"/>
      <c r="AV26" s="994"/>
      <c r="AW26" s="994"/>
      <c r="AX26" s="994"/>
    </row>
    <row r="27" spans="2:50" s="67" customFormat="1" ht="35.1" customHeight="1" x14ac:dyDescent="0.2">
      <c r="B27" s="542" t="s">
        <v>25</v>
      </c>
      <c r="C27" s="63">
        <v>0</v>
      </c>
      <c r="D27" s="63"/>
      <c r="E27" s="63">
        <v>0</v>
      </c>
      <c r="F27" s="63"/>
      <c r="G27" s="63">
        <v>0</v>
      </c>
      <c r="H27" s="63"/>
      <c r="I27" s="63">
        <v>0</v>
      </c>
      <c r="J27" s="63"/>
      <c r="K27" s="63">
        <v>0</v>
      </c>
      <c r="L27" s="63"/>
      <c r="M27" s="63">
        <v>0</v>
      </c>
      <c r="N27" s="63"/>
      <c r="O27" s="63">
        <v>3</v>
      </c>
      <c r="P27" s="63"/>
      <c r="Q27" s="63">
        <v>22473</v>
      </c>
      <c r="R27" s="63"/>
      <c r="S27" s="63">
        <v>351792</v>
      </c>
      <c r="T27" s="63"/>
      <c r="U27" s="63">
        <v>1</v>
      </c>
      <c r="V27" s="63"/>
      <c r="W27" s="63">
        <v>148</v>
      </c>
      <c r="X27" s="63"/>
      <c r="Y27" s="63">
        <v>8288</v>
      </c>
      <c r="Z27" s="63"/>
      <c r="AA27" s="63">
        <v>1</v>
      </c>
      <c r="AB27" s="63"/>
      <c r="AC27" s="63">
        <v>1600</v>
      </c>
      <c r="AD27" s="63"/>
      <c r="AE27" s="63">
        <v>172800</v>
      </c>
      <c r="AF27" s="63"/>
      <c r="AG27" s="63">
        <v>1</v>
      </c>
      <c r="AH27" s="740"/>
      <c r="AI27" s="63">
        <v>23</v>
      </c>
      <c r="AJ27" s="740"/>
      <c r="AK27" s="63">
        <v>2944</v>
      </c>
      <c r="AL27" s="740"/>
      <c r="AM27" s="603">
        <v>1</v>
      </c>
      <c r="AN27" s="740"/>
      <c r="AO27" s="603">
        <v>256</v>
      </c>
      <c r="AP27" s="740"/>
      <c r="AQ27" s="603">
        <v>6144</v>
      </c>
      <c r="AR27" s="232"/>
      <c r="AS27" s="199"/>
      <c r="AT27" s="35"/>
      <c r="AU27" s="199"/>
      <c r="AV27" s="199"/>
      <c r="AW27" s="199"/>
      <c r="AX27" s="232"/>
    </row>
    <row r="28" spans="2:50" s="67" customFormat="1" ht="34.5" customHeight="1" x14ac:dyDescent="0.2">
      <c r="B28" s="542" t="s">
        <v>26</v>
      </c>
      <c r="C28" s="63">
        <v>5</v>
      </c>
      <c r="D28" s="63"/>
      <c r="E28" s="63">
        <v>3098</v>
      </c>
      <c r="F28" s="63"/>
      <c r="G28" s="63">
        <v>35252</v>
      </c>
      <c r="H28" s="63"/>
      <c r="I28" s="63">
        <v>0</v>
      </c>
      <c r="J28" s="63"/>
      <c r="K28" s="63">
        <v>0</v>
      </c>
      <c r="L28" s="63"/>
      <c r="M28" s="63">
        <v>0</v>
      </c>
      <c r="N28" s="63"/>
      <c r="O28" s="63">
        <v>2</v>
      </c>
      <c r="P28" s="63"/>
      <c r="Q28" s="63">
        <v>1270</v>
      </c>
      <c r="R28" s="63"/>
      <c r="S28" s="63">
        <v>20320</v>
      </c>
      <c r="T28" s="63"/>
      <c r="U28" s="63">
        <v>0</v>
      </c>
      <c r="V28" s="63"/>
      <c r="W28" s="63">
        <v>0</v>
      </c>
      <c r="X28" s="63"/>
      <c r="Y28" s="63">
        <v>0</v>
      </c>
      <c r="Z28" s="63"/>
      <c r="AA28" s="63">
        <v>0</v>
      </c>
      <c r="AB28" s="63"/>
      <c r="AC28" s="63">
        <v>0</v>
      </c>
      <c r="AD28" s="63"/>
      <c r="AE28" s="63">
        <v>230400</v>
      </c>
      <c r="AF28" s="63"/>
      <c r="AG28" s="741">
        <v>0</v>
      </c>
      <c r="AH28" s="63"/>
      <c r="AI28" s="63">
        <v>0</v>
      </c>
      <c r="AJ28" s="63"/>
      <c r="AK28" s="63">
        <v>4416</v>
      </c>
      <c r="AL28" s="72" t="s">
        <v>62</v>
      </c>
      <c r="AM28" s="603">
        <v>2</v>
      </c>
      <c r="AN28" s="63"/>
      <c r="AO28" s="603">
        <v>5200</v>
      </c>
      <c r="AP28" s="63"/>
      <c r="AQ28" s="603">
        <v>43200</v>
      </c>
      <c r="AR28" s="199"/>
      <c r="AS28" s="199"/>
      <c r="AT28" s="35"/>
      <c r="AU28" s="199"/>
      <c r="AV28" s="199"/>
      <c r="AW28" s="199"/>
      <c r="AX28" s="233"/>
    </row>
    <row r="29" spans="2:50" s="67" customFormat="1" ht="35.1" customHeight="1" x14ac:dyDescent="0.2">
      <c r="B29" s="542" t="s">
        <v>27</v>
      </c>
      <c r="C29" s="63">
        <v>3</v>
      </c>
      <c r="D29" s="63"/>
      <c r="E29" s="63">
        <v>977</v>
      </c>
      <c r="F29" s="63"/>
      <c r="G29" s="63">
        <v>20024</v>
      </c>
      <c r="H29" s="63"/>
      <c r="I29" s="63">
        <v>1</v>
      </c>
      <c r="J29" s="63"/>
      <c r="K29" s="63">
        <v>200</v>
      </c>
      <c r="L29" s="63"/>
      <c r="M29" s="63">
        <v>1600</v>
      </c>
      <c r="N29" s="63"/>
      <c r="O29" s="63">
        <v>2</v>
      </c>
      <c r="P29" s="63"/>
      <c r="Q29" s="63">
        <v>3271</v>
      </c>
      <c r="R29" s="63"/>
      <c r="S29" s="63">
        <v>26168</v>
      </c>
      <c r="T29" s="63"/>
      <c r="U29" s="63">
        <v>2</v>
      </c>
      <c r="V29" s="63"/>
      <c r="W29" s="63">
        <v>95276</v>
      </c>
      <c r="X29" s="63"/>
      <c r="Y29" s="63">
        <v>766624</v>
      </c>
      <c r="Z29" s="63"/>
      <c r="AA29" s="63">
        <v>1</v>
      </c>
      <c r="AB29" s="63"/>
      <c r="AC29" s="63">
        <v>39</v>
      </c>
      <c r="AD29" s="63"/>
      <c r="AE29" s="63">
        <v>126048</v>
      </c>
      <c r="AF29" s="63"/>
      <c r="AG29" s="63">
        <v>1</v>
      </c>
      <c r="AH29" s="63"/>
      <c r="AI29" s="63">
        <v>23</v>
      </c>
      <c r="AJ29" s="63"/>
      <c r="AK29" s="63">
        <f>2392+2208</f>
        <v>4600</v>
      </c>
      <c r="AL29" s="63"/>
      <c r="AM29" s="603">
        <v>1</v>
      </c>
      <c r="AN29" s="63"/>
      <c r="AO29" s="603">
        <v>157</v>
      </c>
      <c r="AP29" s="63"/>
      <c r="AQ29" s="603">
        <v>1256</v>
      </c>
      <c r="AR29" s="232"/>
      <c r="AS29" s="199"/>
      <c r="AT29" s="35"/>
      <c r="AU29" s="199"/>
      <c r="AV29" s="199"/>
      <c r="AW29" s="199"/>
      <c r="AX29" s="232"/>
    </row>
    <row r="30" spans="2:50" s="67" customFormat="1" ht="35.1" customHeight="1" x14ac:dyDescent="0.2">
      <c r="B30" s="542" t="s">
        <v>28</v>
      </c>
      <c r="C30" s="739">
        <v>3</v>
      </c>
      <c r="D30" s="739"/>
      <c r="E30" s="63">
        <v>421</v>
      </c>
      <c r="F30" s="63"/>
      <c r="G30" s="63">
        <v>11992</v>
      </c>
      <c r="H30" s="63"/>
      <c r="I30" s="63">
        <v>0</v>
      </c>
      <c r="J30" s="63"/>
      <c r="K30" s="63">
        <v>0</v>
      </c>
      <c r="L30" s="63"/>
      <c r="M30" s="63">
        <v>0</v>
      </c>
      <c r="N30" s="63"/>
      <c r="O30" s="63">
        <v>0</v>
      </c>
      <c r="P30" s="63"/>
      <c r="Q30" s="63">
        <v>0</v>
      </c>
      <c r="R30" s="63"/>
      <c r="S30" s="63">
        <v>0</v>
      </c>
      <c r="T30" s="63"/>
      <c r="U30" s="63">
        <v>2</v>
      </c>
      <c r="V30" s="63"/>
      <c r="W30" s="63">
        <v>95115</v>
      </c>
      <c r="X30" s="63"/>
      <c r="Y30" s="63">
        <v>1521840</v>
      </c>
      <c r="Z30" s="63"/>
      <c r="AA30" s="63">
        <v>4</v>
      </c>
      <c r="AB30" s="63"/>
      <c r="AC30" s="63">
        <v>2684</v>
      </c>
      <c r="AD30" s="63"/>
      <c r="AE30" s="63">
        <v>110416</v>
      </c>
      <c r="AF30" s="63"/>
      <c r="AG30" s="63">
        <v>3</v>
      </c>
      <c r="AH30" s="63"/>
      <c r="AI30" s="63">
        <v>2018</v>
      </c>
      <c r="AJ30" s="63"/>
      <c r="AK30" s="63">
        <v>70832</v>
      </c>
      <c r="AL30" s="63"/>
      <c r="AM30" s="603">
        <v>1</v>
      </c>
      <c r="AN30" s="63"/>
      <c r="AO30" s="603">
        <v>230</v>
      </c>
      <c r="AP30" s="63"/>
      <c r="AQ30" s="603">
        <v>3680</v>
      </c>
      <c r="AR30" s="199"/>
      <c r="AS30" s="199"/>
      <c r="AT30" s="35"/>
      <c r="AU30" s="199"/>
      <c r="AV30" s="199"/>
      <c r="AW30" s="199"/>
      <c r="AX30" s="199"/>
    </row>
    <row r="31" spans="2:50" s="67" customFormat="1" ht="35.1" customHeight="1" x14ac:dyDescent="0.2">
      <c r="B31" s="542" t="s">
        <v>29</v>
      </c>
      <c r="C31" s="63">
        <v>5</v>
      </c>
      <c r="D31" s="63"/>
      <c r="E31" s="63">
        <v>667</v>
      </c>
      <c r="F31" s="63"/>
      <c r="G31" s="63">
        <v>37344</v>
      </c>
      <c r="H31" s="63"/>
      <c r="I31" s="63">
        <v>1</v>
      </c>
      <c r="J31" s="63"/>
      <c r="K31" s="63">
        <v>4000</v>
      </c>
      <c r="L31" s="63"/>
      <c r="M31" s="63">
        <v>64000</v>
      </c>
      <c r="N31" s="63"/>
      <c r="O31" s="63">
        <v>0</v>
      </c>
      <c r="P31" s="63"/>
      <c r="Q31" s="63">
        <v>0</v>
      </c>
      <c r="R31" s="63"/>
      <c r="S31" s="63">
        <v>0</v>
      </c>
      <c r="T31" s="63"/>
      <c r="U31" s="63">
        <v>2</v>
      </c>
      <c r="V31" s="63"/>
      <c r="W31" s="63">
        <v>689</v>
      </c>
      <c r="X31" s="63"/>
      <c r="Y31" s="63">
        <v>7912</v>
      </c>
      <c r="Z31" s="63"/>
      <c r="AA31" s="63">
        <v>2</v>
      </c>
      <c r="AB31" s="63"/>
      <c r="AC31" s="63">
        <v>117</v>
      </c>
      <c r="AD31" s="63"/>
      <c r="AE31" s="63">
        <v>238232</v>
      </c>
      <c r="AF31" s="63"/>
      <c r="AG31" s="63">
        <v>4</v>
      </c>
      <c r="AH31" s="63"/>
      <c r="AI31" s="63">
        <v>28167</v>
      </c>
      <c r="AJ31" s="63"/>
      <c r="AK31" s="63">
        <v>226672</v>
      </c>
      <c r="AL31" s="63"/>
      <c r="AM31" s="603">
        <v>5</v>
      </c>
      <c r="AN31" s="63"/>
      <c r="AO31" s="603">
        <v>6580</v>
      </c>
      <c r="AP31" s="63"/>
      <c r="AQ31" s="603">
        <v>26320</v>
      </c>
      <c r="AR31" s="232"/>
      <c r="AS31" s="199"/>
      <c r="AT31" s="35"/>
      <c r="AU31" s="199"/>
      <c r="AV31" s="199"/>
      <c r="AW31" s="199"/>
      <c r="AX31" s="199"/>
    </row>
    <row r="32" spans="2:50" s="67" customFormat="1" ht="35.1" customHeight="1" x14ac:dyDescent="0.2">
      <c r="B32" s="542" t="s">
        <v>30</v>
      </c>
      <c r="C32" s="388">
        <v>1</v>
      </c>
      <c r="D32" s="388"/>
      <c r="E32" s="63">
        <v>149</v>
      </c>
      <c r="F32" s="63"/>
      <c r="G32" s="63">
        <v>25384</v>
      </c>
      <c r="H32" s="63"/>
      <c r="I32" s="63">
        <v>3</v>
      </c>
      <c r="J32" s="63"/>
      <c r="K32" s="63">
        <v>48541</v>
      </c>
      <c r="L32" s="63"/>
      <c r="M32" s="63">
        <v>292328</v>
      </c>
      <c r="N32" s="63"/>
      <c r="O32" s="63">
        <v>0</v>
      </c>
      <c r="P32" s="63"/>
      <c r="Q32" s="63">
        <v>0</v>
      </c>
      <c r="R32" s="63"/>
      <c r="S32" s="63">
        <v>0</v>
      </c>
      <c r="T32" s="63"/>
      <c r="U32" s="63">
        <v>0</v>
      </c>
      <c r="V32" s="63"/>
      <c r="W32" s="63">
        <v>0</v>
      </c>
      <c r="X32" s="63"/>
      <c r="Y32" s="63">
        <v>0</v>
      </c>
      <c r="Z32" s="63"/>
      <c r="AA32" s="63">
        <v>1</v>
      </c>
      <c r="AB32" s="63"/>
      <c r="AC32" s="63">
        <v>118</v>
      </c>
      <c r="AD32" s="63"/>
      <c r="AE32" s="63">
        <v>21576</v>
      </c>
      <c r="AF32" s="63"/>
      <c r="AG32" s="63">
        <v>2</v>
      </c>
      <c r="AH32" s="63"/>
      <c r="AI32" s="63">
        <v>840</v>
      </c>
      <c r="AJ32" s="63"/>
      <c r="AK32" s="63">
        <v>71840</v>
      </c>
      <c r="AL32" s="63"/>
      <c r="AM32" s="603">
        <v>1</v>
      </c>
      <c r="AN32" s="63"/>
      <c r="AO32" s="603">
        <v>1517</v>
      </c>
      <c r="AP32" s="63"/>
      <c r="AQ32" s="603">
        <v>60680</v>
      </c>
      <c r="AR32" s="199"/>
      <c r="AS32" s="199"/>
      <c r="AT32" s="35"/>
      <c r="AU32" s="199"/>
      <c r="AV32" s="199"/>
      <c r="AW32" s="199"/>
      <c r="AX32" s="199"/>
    </row>
    <row r="33" spans="2:50" s="67" customFormat="1" ht="35.1" customHeight="1" x14ac:dyDescent="0.2">
      <c r="B33" s="542" t="s">
        <v>164</v>
      </c>
      <c r="C33" s="388">
        <v>1</v>
      </c>
      <c r="D33" s="388"/>
      <c r="E33" s="63">
        <v>507</v>
      </c>
      <c r="F33" s="63"/>
      <c r="G33" s="63">
        <v>3042</v>
      </c>
      <c r="H33" s="63"/>
      <c r="I33" s="63">
        <v>4</v>
      </c>
      <c r="J33" s="63"/>
      <c r="K33" s="63">
        <v>9752</v>
      </c>
      <c r="L33" s="63"/>
      <c r="M33" s="63">
        <v>160984</v>
      </c>
      <c r="N33" s="63"/>
      <c r="O33" s="63">
        <v>0</v>
      </c>
      <c r="P33" s="63"/>
      <c r="Q33" s="63">
        <v>0</v>
      </c>
      <c r="R33" s="63"/>
      <c r="S33" s="63">
        <v>0</v>
      </c>
      <c r="T33" s="63"/>
      <c r="U33" s="63">
        <v>0</v>
      </c>
      <c r="V33" s="63"/>
      <c r="W33" s="63">
        <v>0</v>
      </c>
      <c r="X33" s="63"/>
      <c r="Y33" s="63">
        <v>0</v>
      </c>
      <c r="Z33" s="63"/>
      <c r="AA33" s="63">
        <v>1</v>
      </c>
      <c r="AB33" s="63"/>
      <c r="AC33" s="63">
        <v>680</v>
      </c>
      <c r="AD33" s="63"/>
      <c r="AE33" s="63">
        <v>12560</v>
      </c>
      <c r="AF33" s="63"/>
      <c r="AG33" s="63">
        <v>5</v>
      </c>
      <c r="AH33" s="63"/>
      <c r="AI33" s="63">
        <v>5737</v>
      </c>
      <c r="AJ33" s="63"/>
      <c r="AK33" s="63">
        <v>290888</v>
      </c>
      <c r="AL33" s="63"/>
      <c r="AM33" s="603">
        <v>3</v>
      </c>
      <c r="AN33" s="63"/>
      <c r="AO33" s="603">
        <v>1105</v>
      </c>
      <c r="AP33" s="63"/>
      <c r="AQ33" s="603">
        <v>54088</v>
      </c>
      <c r="AR33" s="199"/>
      <c r="AS33" s="199"/>
      <c r="AT33" s="35"/>
      <c r="AU33" s="199"/>
      <c r="AV33" s="199"/>
      <c r="AW33" s="199"/>
      <c r="AX33" s="199"/>
    </row>
    <row r="34" spans="2:50" s="67" customFormat="1" ht="35.1" customHeight="1" x14ac:dyDescent="0.2">
      <c r="B34" s="542" t="s">
        <v>32</v>
      </c>
      <c r="C34" s="739">
        <v>3</v>
      </c>
      <c r="D34" s="739"/>
      <c r="E34" s="63">
        <v>2678</v>
      </c>
      <c r="F34" s="63"/>
      <c r="G34" s="63">
        <v>16068</v>
      </c>
      <c r="H34" s="63"/>
      <c r="I34" s="993" t="s">
        <v>241</v>
      </c>
      <c r="J34" s="993"/>
      <c r="K34" s="993"/>
      <c r="L34" s="63"/>
      <c r="M34" s="63">
        <v>0</v>
      </c>
      <c r="N34" s="63"/>
      <c r="O34" s="63">
        <v>0</v>
      </c>
      <c r="P34" s="63"/>
      <c r="Q34" s="63">
        <v>0</v>
      </c>
      <c r="R34" s="63"/>
      <c r="S34" s="63">
        <v>0</v>
      </c>
      <c r="T34" s="63"/>
      <c r="U34" s="63">
        <v>1</v>
      </c>
      <c r="V34" s="63"/>
      <c r="W34" s="63">
        <v>650</v>
      </c>
      <c r="X34" s="63"/>
      <c r="Y34" s="63">
        <v>31200</v>
      </c>
      <c r="Z34" s="63"/>
      <c r="AA34" s="63">
        <v>5</v>
      </c>
      <c r="AB34" s="63"/>
      <c r="AC34" s="63">
        <v>9993</v>
      </c>
      <c r="AD34" s="63"/>
      <c r="AE34" s="63">
        <v>541600</v>
      </c>
      <c r="AF34" s="63"/>
      <c r="AG34" s="63">
        <v>3</v>
      </c>
      <c r="AH34" s="63"/>
      <c r="AI34" s="63">
        <v>10774</v>
      </c>
      <c r="AJ34" s="63"/>
      <c r="AK34" s="63">
        <v>98144</v>
      </c>
      <c r="AL34" s="63"/>
      <c r="AM34" s="603">
        <v>8</v>
      </c>
      <c r="AN34" s="63"/>
      <c r="AO34" s="603">
        <v>18746</v>
      </c>
      <c r="AP34" s="63"/>
      <c r="AQ34" s="603">
        <v>760240</v>
      </c>
      <c r="AR34" s="199"/>
      <c r="AS34" s="199"/>
      <c r="AT34" s="35"/>
      <c r="AU34" s="199"/>
      <c r="AV34" s="199"/>
      <c r="AW34" s="199"/>
      <c r="AX34" s="199"/>
    </row>
    <row r="35" spans="2:50" s="67" customFormat="1" ht="35.1" customHeight="1" x14ac:dyDescent="0.2">
      <c r="B35" s="542" t="s">
        <v>33</v>
      </c>
      <c r="C35" s="739">
        <v>2</v>
      </c>
      <c r="D35" s="739"/>
      <c r="E35" s="63">
        <v>109</v>
      </c>
      <c r="F35" s="63"/>
      <c r="G35" s="63">
        <v>872</v>
      </c>
      <c r="H35" s="63"/>
      <c r="I35" s="63">
        <v>5</v>
      </c>
      <c r="J35" s="63"/>
      <c r="K35" s="63">
        <v>4370</v>
      </c>
      <c r="L35" s="63"/>
      <c r="M35" s="63">
        <v>119536</v>
      </c>
      <c r="N35" s="63"/>
      <c r="O35" s="63">
        <v>1</v>
      </c>
      <c r="P35" s="63"/>
      <c r="Q35" s="63">
        <v>599</v>
      </c>
      <c r="R35" s="63"/>
      <c r="S35" s="63">
        <v>4792</v>
      </c>
      <c r="T35" s="63"/>
      <c r="U35" s="63">
        <v>1</v>
      </c>
      <c r="V35" s="63"/>
      <c r="W35" s="63">
        <v>75</v>
      </c>
      <c r="X35" s="63"/>
      <c r="Y35" s="63">
        <v>93600</v>
      </c>
      <c r="Z35" s="63"/>
      <c r="AA35" s="63">
        <v>1</v>
      </c>
      <c r="AB35" s="63"/>
      <c r="AC35" s="63">
        <v>1133</v>
      </c>
      <c r="AD35" s="63"/>
      <c r="AE35" s="63">
        <v>95944</v>
      </c>
      <c r="AF35" s="63"/>
      <c r="AG35" s="63">
        <v>7</v>
      </c>
      <c r="AH35" s="63"/>
      <c r="AI35" s="63">
        <v>19504</v>
      </c>
      <c r="AJ35" s="63"/>
      <c r="AK35" s="63">
        <v>393432</v>
      </c>
      <c r="AL35" s="63"/>
      <c r="AM35" s="603">
        <v>1</v>
      </c>
      <c r="AN35" s="63"/>
      <c r="AO35" s="603">
        <v>80</v>
      </c>
      <c r="AP35" s="63"/>
      <c r="AQ35" s="603">
        <v>337920</v>
      </c>
      <c r="AR35" s="199"/>
      <c r="AS35" s="199"/>
      <c r="AT35" s="35"/>
      <c r="AU35" s="199"/>
      <c r="AV35" s="199"/>
      <c r="AW35" s="199"/>
      <c r="AX35" s="199"/>
    </row>
    <row r="36" spans="2:50" s="67" customFormat="1" ht="35.1" customHeight="1" x14ac:dyDescent="0.2">
      <c r="B36" s="542" t="s">
        <v>34</v>
      </c>
      <c r="C36" s="388">
        <v>1</v>
      </c>
      <c r="D36" s="388"/>
      <c r="E36" s="63">
        <v>98</v>
      </c>
      <c r="F36" s="63"/>
      <c r="G36" s="63">
        <v>784</v>
      </c>
      <c r="H36" s="63"/>
      <c r="I36" s="63">
        <v>4</v>
      </c>
      <c r="J36" s="63"/>
      <c r="K36" s="63">
        <v>13945</v>
      </c>
      <c r="L36" s="63"/>
      <c r="M36" s="63">
        <v>240240</v>
      </c>
      <c r="N36" s="63"/>
      <c r="O36" s="63">
        <v>1</v>
      </c>
      <c r="P36" s="63"/>
      <c r="Q36" s="63">
        <v>95000</v>
      </c>
      <c r="R36" s="63"/>
      <c r="S36" s="63">
        <v>3044792</v>
      </c>
      <c r="T36" s="63"/>
      <c r="U36" s="63">
        <v>3</v>
      </c>
      <c r="V36" s="63"/>
      <c r="W36" s="63">
        <v>898</v>
      </c>
      <c r="X36" s="63"/>
      <c r="Y36" s="63">
        <v>19064</v>
      </c>
      <c r="Z36" s="63"/>
      <c r="AA36" s="63">
        <v>2</v>
      </c>
      <c r="AB36" s="63"/>
      <c r="AC36" s="63">
        <v>5080</v>
      </c>
      <c r="AD36" s="63"/>
      <c r="AE36" s="63">
        <v>60960</v>
      </c>
      <c r="AF36" s="63"/>
      <c r="AG36" s="63">
        <v>5</v>
      </c>
      <c r="AH36" s="63"/>
      <c r="AI36" s="63">
        <v>3776</v>
      </c>
      <c r="AJ36" s="63"/>
      <c r="AK36" s="63">
        <v>60440</v>
      </c>
      <c r="AL36" s="63"/>
      <c r="AM36" s="603">
        <v>4</v>
      </c>
      <c r="AN36" s="63"/>
      <c r="AO36" s="603">
        <v>8525</v>
      </c>
      <c r="AP36" s="63"/>
      <c r="AQ36" s="603">
        <v>115040</v>
      </c>
      <c r="AR36" s="35"/>
      <c r="AS36" s="199"/>
      <c r="AT36" s="35"/>
      <c r="AU36" s="199"/>
      <c r="AV36" s="199"/>
      <c r="AW36" s="199"/>
      <c r="AX36" s="199"/>
    </row>
    <row r="37" spans="2:50" s="67" customFormat="1" ht="35.1" customHeight="1" x14ac:dyDescent="0.2">
      <c r="B37" s="542" t="s">
        <v>35</v>
      </c>
      <c r="C37" s="388">
        <v>1</v>
      </c>
      <c r="D37" s="388"/>
      <c r="E37" s="63">
        <v>220</v>
      </c>
      <c r="F37" s="63"/>
      <c r="G37" s="63">
        <v>17600</v>
      </c>
      <c r="H37" s="63"/>
      <c r="I37" s="63">
        <v>7</v>
      </c>
      <c r="J37" s="63"/>
      <c r="K37" s="63">
        <v>8857</v>
      </c>
      <c r="L37" s="63"/>
      <c r="M37" s="63">
        <v>374680</v>
      </c>
      <c r="N37" s="63"/>
      <c r="O37" s="993" t="s">
        <v>241</v>
      </c>
      <c r="P37" s="993"/>
      <c r="Q37" s="993"/>
      <c r="R37" s="63"/>
      <c r="S37" s="63">
        <v>0</v>
      </c>
      <c r="T37" s="63"/>
      <c r="U37" s="63">
        <v>3</v>
      </c>
      <c r="V37" s="63"/>
      <c r="W37" s="63">
        <v>4944</v>
      </c>
      <c r="X37" s="63"/>
      <c r="Y37" s="63">
        <v>105232</v>
      </c>
      <c r="Z37" s="63"/>
      <c r="AA37" s="63">
        <v>6</v>
      </c>
      <c r="AB37" s="63"/>
      <c r="AC37" s="63">
        <v>2166</v>
      </c>
      <c r="AD37" s="63"/>
      <c r="AE37" s="63">
        <v>93776</v>
      </c>
      <c r="AF37" s="63"/>
      <c r="AG37" s="63">
        <v>4</v>
      </c>
      <c r="AH37" s="63"/>
      <c r="AI37" s="63">
        <v>1889</v>
      </c>
      <c r="AJ37" s="63"/>
      <c r="AK37" s="63">
        <v>61920</v>
      </c>
      <c r="AL37" s="63"/>
      <c r="AM37" s="603">
        <v>13</v>
      </c>
      <c r="AN37" s="63"/>
      <c r="AO37" s="603">
        <v>30029</v>
      </c>
      <c r="AP37" s="63"/>
      <c r="AQ37" s="603">
        <v>466964</v>
      </c>
      <c r="AR37" s="35"/>
      <c r="AS37" s="199"/>
      <c r="AT37" s="35"/>
      <c r="AU37" s="199"/>
      <c r="AV37" s="199"/>
      <c r="AW37" s="199"/>
      <c r="AX37" s="199"/>
    </row>
    <row r="38" spans="2:50" s="67" customFormat="1" ht="35.1" customHeight="1" x14ac:dyDescent="0.2">
      <c r="B38" s="542" t="s">
        <v>146</v>
      </c>
      <c r="C38" s="63">
        <v>0</v>
      </c>
      <c r="D38" s="63"/>
      <c r="E38" s="63">
        <v>0</v>
      </c>
      <c r="F38" s="63"/>
      <c r="G38" s="63">
        <v>8800</v>
      </c>
      <c r="H38" s="72" t="s">
        <v>62</v>
      </c>
      <c r="I38" s="63">
        <v>2</v>
      </c>
      <c r="J38" s="63"/>
      <c r="K38" s="63">
        <v>650</v>
      </c>
      <c r="L38" s="63"/>
      <c r="M38" s="63">
        <v>8800</v>
      </c>
      <c r="N38" s="72"/>
      <c r="O38" s="63">
        <v>3</v>
      </c>
      <c r="P38" s="63"/>
      <c r="Q38" s="63">
        <v>932</v>
      </c>
      <c r="R38" s="63"/>
      <c r="S38" s="63">
        <v>9312</v>
      </c>
      <c r="T38" s="72"/>
      <c r="U38" s="63">
        <v>3</v>
      </c>
      <c r="V38" s="63"/>
      <c r="W38" s="63">
        <v>5538</v>
      </c>
      <c r="X38" s="63"/>
      <c r="Y38" s="63">
        <v>40528</v>
      </c>
      <c r="Z38" s="72"/>
      <c r="AA38" s="63">
        <v>2</v>
      </c>
      <c r="AB38" s="63"/>
      <c r="AC38" s="63">
        <v>672</v>
      </c>
      <c r="AD38" s="63"/>
      <c r="AE38" s="63">
        <v>54584</v>
      </c>
      <c r="AF38" s="72"/>
      <c r="AG38" s="63">
        <v>3</v>
      </c>
      <c r="AI38" s="63">
        <v>1569</v>
      </c>
      <c r="AK38" s="63">
        <v>25544</v>
      </c>
      <c r="AM38" s="603">
        <v>2</v>
      </c>
      <c r="AO38" s="603">
        <v>130</v>
      </c>
      <c r="AQ38" s="603">
        <v>282488</v>
      </c>
      <c r="AR38" s="232"/>
      <c r="AS38" s="199"/>
      <c r="AT38" s="35"/>
      <c r="AU38" s="199"/>
      <c r="AV38" s="199"/>
      <c r="AW38" s="199"/>
      <c r="AX38" s="234"/>
    </row>
    <row r="39" spans="2:50" s="67" customFormat="1" ht="8.25" customHeight="1" x14ac:dyDescent="0.2">
      <c r="B39" s="542"/>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742"/>
      <c r="AH39" s="742"/>
      <c r="AI39" s="742"/>
      <c r="AJ39" s="742"/>
      <c r="AK39" s="742"/>
      <c r="AL39" s="742"/>
      <c r="AM39" s="742"/>
      <c r="AN39" s="742"/>
      <c r="AO39" s="742"/>
      <c r="AP39" s="742"/>
      <c r="AQ39" s="742"/>
      <c r="AR39" s="199"/>
      <c r="AS39" s="35"/>
      <c r="AT39" s="35"/>
      <c r="AU39" s="199"/>
      <c r="AV39" s="199"/>
      <c r="AW39" s="199"/>
      <c r="AX39" s="199"/>
    </row>
    <row r="40" spans="2:50" s="228" customFormat="1" ht="44.25" customHeight="1" x14ac:dyDescent="0.2">
      <c r="B40" s="541" t="s">
        <v>6</v>
      </c>
      <c r="C40" s="429">
        <f>SUM(C27:C38)</f>
        <v>25</v>
      </c>
      <c r="D40" s="429"/>
      <c r="E40" s="429">
        <f>SUM(E27:E38)</f>
        <v>8924</v>
      </c>
      <c r="F40" s="429"/>
      <c r="G40" s="429">
        <f>SUM(G27:G38)</f>
        <v>177162</v>
      </c>
      <c r="H40" s="429"/>
      <c r="I40" s="429">
        <f>SUM(I27:I38)</f>
        <v>27</v>
      </c>
      <c r="J40" s="429"/>
      <c r="K40" s="429">
        <f>SUM(K27:K38)</f>
        <v>90315</v>
      </c>
      <c r="L40" s="429"/>
      <c r="M40" s="429">
        <f>SUM(M27:M38)</f>
        <v>1262168</v>
      </c>
      <c r="N40" s="429"/>
      <c r="O40" s="429">
        <f>SUM(O27:O38)</f>
        <v>12</v>
      </c>
      <c r="P40" s="429"/>
      <c r="Q40" s="429">
        <f>SUM(Q27:Q38)</f>
        <v>123545</v>
      </c>
      <c r="R40" s="429"/>
      <c r="S40" s="429">
        <f>SUM(S27:S38)</f>
        <v>3457176</v>
      </c>
      <c r="T40" s="429"/>
      <c r="U40" s="429">
        <f>SUM(U27:U38)</f>
        <v>18</v>
      </c>
      <c r="V40" s="429"/>
      <c r="W40" s="429">
        <f>SUM(W27:W38)</f>
        <v>203333</v>
      </c>
      <c r="X40" s="429"/>
      <c r="Y40" s="429">
        <f>SUM(Y27:Y38)</f>
        <v>2594288</v>
      </c>
      <c r="Z40" s="429"/>
      <c r="AA40" s="429">
        <f>SUM(AA27:AA38)</f>
        <v>26</v>
      </c>
      <c r="AB40" s="429"/>
      <c r="AC40" s="429">
        <f>SUM(AC27:AC38)</f>
        <v>24282</v>
      </c>
      <c r="AD40" s="429"/>
      <c r="AE40" s="429">
        <f>SUM(AE27:AE38)</f>
        <v>1758896</v>
      </c>
      <c r="AF40" s="429"/>
      <c r="AG40" s="429">
        <f>SUM(AG27:AG38)</f>
        <v>38</v>
      </c>
      <c r="AH40" s="429"/>
      <c r="AI40" s="429">
        <f>SUM(AI27:AI38)</f>
        <v>74320</v>
      </c>
      <c r="AJ40" s="429"/>
      <c r="AK40" s="429">
        <f>SUM(AK27:AK38)</f>
        <v>1311672</v>
      </c>
      <c r="AL40" s="429"/>
      <c r="AM40" s="429">
        <f>SUM(AM27:AM38)</f>
        <v>42</v>
      </c>
      <c r="AN40" s="429"/>
      <c r="AO40" s="429">
        <f>SUM(AO27:AO38)</f>
        <v>72555</v>
      </c>
      <c r="AP40" s="429"/>
      <c r="AQ40" s="429">
        <f>SUM(AQ27:AQ38)</f>
        <v>2158020</v>
      </c>
      <c r="AR40" s="229"/>
      <c r="AS40" s="229"/>
      <c r="AT40" s="229"/>
      <c r="AU40" s="229"/>
      <c r="AV40" s="229"/>
      <c r="AW40" s="229"/>
      <c r="AX40" s="229"/>
    </row>
    <row r="41" spans="2:50" s="1" customFormat="1" ht="45" customHeight="1" x14ac:dyDescent="0.2">
      <c r="B41" s="11" t="s">
        <v>245</v>
      </c>
      <c r="C41" s="12"/>
      <c r="D41" s="12"/>
      <c r="E41" s="12"/>
      <c r="F41" s="12"/>
      <c r="G41" s="13"/>
      <c r="H41" s="12"/>
      <c r="I41" s="12"/>
      <c r="Y41" s="14"/>
      <c r="Z41" s="10"/>
      <c r="AA41" s="14"/>
      <c r="AB41" s="15"/>
      <c r="AC41" s="14"/>
      <c r="AD41" s="15"/>
    </row>
    <row r="42" spans="2:50" s="1" customFormat="1" ht="30" customHeight="1" x14ac:dyDescent="0.2">
      <c r="B42" s="16" t="s">
        <v>296</v>
      </c>
      <c r="C42" s="17"/>
      <c r="D42" s="17"/>
      <c r="E42" s="17"/>
      <c r="F42" s="17"/>
      <c r="G42" s="17"/>
      <c r="H42" s="18"/>
      <c r="I42" s="18"/>
      <c r="J42" s="18"/>
      <c r="K42" s="18"/>
      <c r="Z42" s="19"/>
      <c r="AA42" s="20"/>
      <c r="AB42" s="19"/>
      <c r="AC42" s="20"/>
      <c r="AD42" s="21"/>
    </row>
    <row r="43" spans="2:50" s="1" customFormat="1" ht="30" customHeight="1" x14ac:dyDescent="0.2">
      <c r="B43" s="22" t="s">
        <v>279</v>
      </c>
      <c r="D43" s="23"/>
      <c r="E43" s="24"/>
      <c r="F43" s="23"/>
      <c r="G43" s="25"/>
      <c r="H43" s="26"/>
      <c r="I43" s="27"/>
      <c r="J43" s="27"/>
    </row>
    <row r="44" spans="2:50" ht="33" customHeight="1" x14ac:dyDescent="0.2">
      <c r="B44" s="988" t="s">
        <v>291</v>
      </c>
      <c r="C44" s="988"/>
      <c r="D44" s="988"/>
      <c r="E44" s="988"/>
      <c r="F44" s="988"/>
      <c r="G44" s="988"/>
      <c r="H44" s="988"/>
      <c r="I44" s="988"/>
      <c r="J44" s="988"/>
      <c r="K44" s="988"/>
      <c r="L44" s="988"/>
      <c r="M44" s="988"/>
      <c r="N44" s="988"/>
      <c r="O44" s="988"/>
      <c r="P44" s="988"/>
      <c r="Q44" s="988"/>
      <c r="R44" s="988"/>
      <c r="S44" s="988"/>
      <c r="T44" s="988"/>
      <c r="U44" s="988"/>
      <c r="V44" s="988"/>
      <c r="W44" s="988"/>
      <c r="X44" s="235"/>
      <c r="Z44" s="97"/>
      <c r="AA44" s="97"/>
      <c r="AB44" s="97"/>
      <c r="AC44" s="97"/>
      <c r="AD44" s="97"/>
      <c r="AE44" s="97"/>
      <c r="AF44" s="97"/>
      <c r="AG44" s="97"/>
      <c r="AH44" s="97"/>
      <c r="AI44" s="97"/>
      <c r="AJ44" s="97"/>
      <c r="AK44" s="97"/>
      <c r="AL44" s="97"/>
      <c r="AM44" s="97"/>
      <c r="AN44" s="97"/>
      <c r="AO44" s="97"/>
      <c r="AP44" s="97"/>
      <c r="AQ44" s="97"/>
      <c r="AR44" s="97"/>
      <c r="AS44" s="97"/>
      <c r="AT44" s="97"/>
      <c r="AU44" s="97"/>
      <c r="AV44" s="97"/>
    </row>
    <row r="45" spans="2:50" ht="21" customHeight="1" x14ac:dyDescent="0.2">
      <c r="B45" s="236" t="s">
        <v>246</v>
      </c>
    </row>
    <row r="46" spans="2:50" ht="21" customHeight="1" x14ac:dyDescent="0.2">
      <c r="B46" s="236" t="s">
        <v>247</v>
      </c>
    </row>
    <row r="47" spans="2:50" ht="21" customHeight="1" x14ac:dyDescent="0.2">
      <c r="B47" s="236" t="s">
        <v>248</v>
      </c>
    </row>
    <row r="48" spans="2:50" ht="58.9" customHeight="1" x14ac:dyDescent="0.2">
      <c r="B48" s="1009" t="s">
        <v>306</v>
      </c>
      <c r="C48" s="1009"/>
      <c r="D48" s="1009"/>
      <c r="E48" s="1009"/>
      <c r="F48" s="1009"/>
      <c r="G48" s="1009"/>
      <c r="H48" s="1009"/>
      <c r="I48" s="1009"/>
      <c r="J48" s="1009"/>
      <c r="K48" s="1009"/>
      <c r="L48" s="1009"/>
      <c r="M48" s="1009"/>
      <c r="N48" s="1009"/>
      <c r="O48" s="1009"/>
      <c r="P48" s="1009"/>
      <c r="Q48" s="1009"/>
      <c r="R48" s="1009"/>
      <c r="S48" s="1009"/>
      <c r="T48" s="1009"/>
      <c r="U48" s="1009"/>
      <c r="V48" s="1009"/>
      <c r="W48" s="1009"/>
      <c r="X48" s="1009"/>
      <c r="Y48" s="1009"/>
      <c r="Z48" s="1009"/>
      <c r="AA48" s="1009"/>
      <c r="AB48" s="1009"/>
      <c r="AC48" s="1009"/>
      <c r="AD48" s="157"/>
      <c r="AE48" s="157"/>
      <c r="AF48" s="157"/>
      <c r="AG48" s="157"/>
      <c r="AH48" s="157"/>
      <c r="AI48" s="157"/>
      <c r="AJ48" s="157"/>
      <c r="AK48" s="157"/>
      <c r="AL48" s="157"/>
      <c r="AM48" s="157"/>
      <c r="AN48" s="157"/>
      <c r="AO48" s="157"/>
      <c r="AP48" s="157"/>
      <c r="AQ48" s="157"/>
      <c r="AR48" s="157"/>
      <c r="AS48" s="157"/>
    </row>
    <row r="59" spans="2:48" ht="33" customHeight="1" x14ac:dyDescent="0.2">
      <c r="B59" s="988" t="s">
        <v>292</v>
      </c>
      <c r="C59" s="988"/>
      <c r="D59" s="988"/>
      <c r="E59" s="988"/>
      <c r="F59" s="988"/>
      <c r="G59" s="988"/>
      <c r="H59" s="988"/>
      <c r="I59" s="988"/>
      <c r="J59" s="988"/>
      <c r="K59" s="988"/>
      <c r="L59" s="988"/>
      <c r="M59" s="988"/>
      <c r="N59" s="988"/>
      <c r="O59" s="988"/>
      <c r="P59" s="988"/>
      <c r="Q59" s="988"/>
      <c r="R59" s="988"/>
      <c r="S59" s="988"/>
      <c r="T59" s="988"/>
      <c r="U59" s="988"/>
      <c r="V59" s="988"/>
      <c r="W59" s="988"/>
      <c r="X59" s="235"/>
      <c r="Z59" s="97"/>
      <c r="AA59" s="97"/>
      <c r="AB59" s="97"/>
      <c r="AC59" s="97"/>
      <c r="AD59" s="97"/>
      <c r="AE59" s="97"/>
      <c r="AF59" s="97"/>
      <c r="AG59" s="97"/>
      <c r="AH59" s="97"/>
      <c r="AI59" s="97"/>
      <c r="AJ59" s="97"/>
      <c r="AK59" s="97"/>
      <c r="AL59" s="97"/>
      <c r="AM59" s="97"/>
      <c r="AN59" s="97"/>
      <c r="AO59" s="97"/>
      <c r="AP59" s="97"/>
      <c r="AQ59" s="97"/>
      <c r="AR59" s="97"/>
      <c r="AS59" s="97"/>
      <c r="AT59" s="97"/>
      <c r="AU59" s="97"/>
      <c r="AV59" s="97"/>
    </row>
    <row r="60" spans="2:48" ht="21" customHeight="1" x14ac:dyDescent="0.2">
      <c r="B60" s="236" t="s">
        <v>230</v>
      </c>
    </row>
    <row r="61" spans="2:48" ht="21" customHeight="1" x14ac:dyDescent="0.2">
      <c r="B61" s="236" t="s">
        <v>228</v>
      </c>
    </row>
    <row r="62" spans="2:48" ht="21" customHeight="1" x14ac:dyDescent="0.2">
      <c r="B62" s="236" t="s">
        <v>229</v>
      </c>
    </row>
  </sheetData>
  <mergeCells count="75">
    <mergeCell ref="B59:W59"/>
    <mergeCell ref="B6:B8"/>
    <mergeCell ref="C8:D8"/>
    <mergeCell ref="I8:J8"/>
    <mergeCell ref="O8:P8"/>
    <mergeCell ref="E8:F8"/>
    <mergeCell ref="K8:L8"/>
    <mergeCell ref="U8:V8"/>
    <mergeCell ref="C7:H7"/>
    <mergeCell ref="C6:AX6"/>
    <mergeCell ref="I7:N7"/>
    <mergeCell ref="O7:T7"/>
    <mergeCell ref="AC8:AD8"/>
    <mergeCell ref="O37:Q37"/>
    <mergeCell ref="B48:AC48"/>
    <mergeCell ref="M8:N8"/>
    <mergeCell ref="B2:AX2"/>
    <mergeCell ref="B4:AX4"/>
    <mergeCell ref="B5:AX5"/>
    <mergeCell ref="AA8:AB8"/>
    <mergeCell ref="Q8:R8"/>
    <mergeCell ref="W8:X8"/>
    <mergeCell ref="AE8:AF8"/>
    <mergeCell ref="AO8:AP8"/>
    <mergeCell ref="AU8:AV8"/>
    <mergeCell ref="G8:H8"/>
    <mergeCell ref="Y8:Z8"/>
    <mergeCell ref="AM8:AN8"/>
    <mergeCell ref="AS8:AT8"/>
    <mergeCell ref="U7:Z7"/>
    <mergeCell ref="AA7:AF7"/>
    <mergeCell ref="AW8:AX8"/>
    <mergeCell ref="AM7:AR7"/>
    <mergeCell ref="AG7:AL7"/>
    <mergeCell ref="AS26:AT26"/>
    <mergeCell ref="AC26:AD26"/>
    <mergeCell ref="AE26:AF26"/>
    <mergeCell ref="AG26:AH26"/>
    <mergeCell ref="AG25:AL25"/>
    <mergeCell ref="AM25:AR25"/>
    <mergeCell ref="AK8:AL8"/>
    <mergeCell ref="AQ8:AR8"/>
    <mergeCell ref="AI8:AJ8"/>
    <mergeCell ref="AS7:AX7"/>
    <mergeCell ref="AG8:AH8"/>
    <mergeCell ref="C24:AR24"/>
    <mergeCell ref="Q26:R26"/>
    <mergeCell ref="S8:T8"/>
    <mergeCell ref="U26:V26"/>
    <mergeCell ref="W26:X26"/>
    <mergeCell ref="Y26:Z26"/>
    <mergeCell ref="AU26:AV26"/>
    <mergeCell ref="AA25:AF25"/>
    <mergeCell ref="AW26:AX26"/>
    <mergeCell ref="AI26:AJ26"/>
    <mergeCell ref="AK26:AL26"/>
    <mergeCell ref="AM26:AN26"/>
    <mergeCell ref="AO26:AP26"/>
    <mergeCell ref="AQ26:AR26"/>
    <mergeCell ref="B44:W44"/>
    <mergeCell ref="AA26:AB26"/>
    <mergeCell ref="M26:N26"/>
    <mergeCell ref="B24:B26"/>
    <mergeCell ref="C25:H25"/>
    <mergeCell ref="I25:N25"/>
    <mergeCell ref="O25:T25"/>
    <mergeCell ref="U25:Z25"/>
    <mergeCell ref="C26:D26"/>
    <mergeCell ref="E26:F26"/>
    <mergeCell ref="G26:H26"/>
    <mergeCell ref="I26:J26"/>
    <mergeCell ref="K26:L26"/>
    <mergeCell ref="I34:K34"/>
    <mergeCell ref="O26:P26"/>
    <mergeCell ref="S26:T26"/>
  </mergeCells>
  <printOptions horizontalCentered="1" verticalCentered="1"/>
  <pageMargins left="0" right="0" top="0" bottom="0" header="0" footer="0"/>
  <pageSetup paperSize="9" scale="28" orientation="landscape" r:id="rId1"/>
  <ignoredErrors>
    <ignoredError sqref="C22:D22 I22:J22 O22:P22 U22:V22 AA22:AB22 AG22:AH22 AS22:AT22 AM22:AN22 AU22:AV22 AW22:AX22" formulaRange="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AS37"/>
  <sheetViews>
    <sheetView showGridLines="0" view="pageBreakPreview" zoomScale="85" zoomScaleNormal="100" zoomScaleSheetLayoutView="85" workbookViewId="0">
      <selection activeCell="V6" sqref="V6"/>
    </sheetView>
  </sheetViews>
  <sheetFormatPr baseColWidth="10" defaultColWidth="11.5703125" defaultRowHeight="12.75" x14ac:dyDescent="0.2"/>
  <cols>
    <col min="1" max="1" width="11.5703125" style="49"/>
    <col min="2" max="2" width="10.7109375" style="49" customWidth="1"/>
    <col min="3" max="3" width="8.7109375" style="49" customWidth="1"/>
    <col min="4" max="4" width="4.7109375" style="49" customWidth="1"/>
    <col min="5" max="5" width="10.7109375" style="49" customWidth="1"/>
    <col min="6" max="6" width="4.7109375" style="49" customWidth="1"/>
    <col min="7" max="7" width="8.7109375" style="49" customWidth="1"/>
    <col min="8" max="8" width="4.7109375" style="49" customWidth="1"/>
    <col min="9" max="9" width="10.7109375" style="49" customWidth="1"/>
    <col min="10" max="10" width="4.7109375" style="49" customWidth="1"/>
    <col min="11" max="11" width="12.7109375" style="49" customWidth="1"/>
    <col min="12" max="12" width="4.7109375" style="49" customWidth="1"/>
    <col min="13" max="13" width="12.7109375" style="49" customWidth="1"/>
    <col min="14" max="14" width="4.7109375" style="49" customWidth="1"/>
    <col min="15" max="15" width="8.7109375" style="49" customWidth="1"/>
    <col min="16" max="16" width="4.7109375" style="49" customWidth="1"/>
    <col min="17" max="17" width="15.7109375" style="49" customWidth="1"/>
    <col min="18" max="18" width="4.7109375" style="49" customWidth="1"/>
    <col min="19" max="19" width="15.7109375" style="49" customWidth="1"/>
    <col min="20" max="20" width="4.7109375" style="49" customWidth="1"/>
    <col min="21" max="16384" width="11.5703125" style="49"/>
  </cols>
  <sheetData>
    <row r="1" spans="2:27" ht="15.75" x14ac:dyDescent="0.2">
      <c r="B1" s="803" t="s">
        <v>169</v>
      </c>
      <c r="C1" s="803"/>
      <c r="D1" s="803"/>
      <c r="E1" s="803"/>
      <c r="F1" s="803"/>
      <c r="G1" s="803"/>
      <c r="H1" s="803"/>
      <c r="I1" s="803"/>
      <c r="J1" s="803"/>
      <c r="K1" s="803"/>
      <c r="L1" s="803"/>
      <c r="M1" s="803"/>
      <c r="N1" s="803"/>
      <c r="O1" s="803"/>
      <c r="P1" s="803"/>
      <c r="Q1" s="803"/>
      <c r="R1" s="803"/>
      <c r="S1" s="803"/>
      <c r="T1" s="803"/>
      <c r="U1" s="1"/>
      <c r="V1" s="1"/>
      <c r="W1" s="1"/>
      <c r="X1" s="1"/>
      <c r="Y1" s="1"/>
      <c r="Z1" s="1"/>
      <c r="AA1" s="1"/>
    </row>
    <row r="2" spans="2:27" ht="25.15" customHeight="1" x14ac:dyDescent="0.2">
      <c r="B2" s="805" t="s">
        <v>145</v>
      </c>
      <c r="C2" s="805"/>
      <c r="D2" s="805"/>
      <c r="E2" s="805"/>
      <c r="F2" s="805"/>
      <c r="G2" s="805"/>
      <c r="H2" s="805"/>
      <c r="I2" s="805"/>
      <c r="J2" s="805"/>
      <c r="K2" s="805"/>
      <c r="L2" s="805"/>
      <c r="M2" s="805"/>
      <c r="N2" s="805"/>
      <c r="O2" s="805"/>
      <c r="P2" s="805"/>
      <c r="Q2" s="805"/>
      <c r="R2" s="805"/>
      <c r="S2" s="805"/>
      <c r="T2" s="1"/>
      <c r="U2" s="1"/>
      <c r="V2" s="1"/>
      <c r="W2" s="1"/>
      <c r="X2" s="1"/>
      <c r="Y2" s="1"/>
      <c r="Z2" s="1"/>
      <c r="AA2" s="1"/>
    </row>
    <row r="3" spans="2:27" ht="33" customHeight="1" x14ac:dyDescent="0.2">
      <c r="B3" s="804" t="s">
        <v>154</v>
      </c>
      <c r="C3" s="804"/>
      <c r="D3" s="804"/>
      <c r="E3" s="804"/>
      <c r="F3" s="804"/>
      <c r="G3" s="804"/>
      <c r="H3" s="804"/>
      <c r="I3" s="804"/>
      <c r="J3" s="804"/>
      <c r="K3" s="804"/>
      <c r="L3" s="804"/>
      <c r="M3" s="804"/>
      <c r="N3" s="804"/>
      <c r="O3" s="804"/>
      <c r="P3" s="804"/>
      <c r="Q3" s="804"/>
      <c r="R3" s="804"/>
      <c r="S3" s="804"/>
      <c r="T3" s="804"/>
      <c r="U3" s="1"/>
      <c r="V3" s="973"/>
      <c r="W3" s="973"/>
      <c r="X3" s="973"/>
      <c r="Y3" s="973"/>
      <c r="Z3" s="973"/>
      <c r="AA3" s="1"/>
    </row>
    <row r="4" spans="2:27" ht="25.15" customHeight="1" thickBot="1" x14ac:dyDescent="0.25">
      <c r="B4" s="803" t="s">
        <v>312</v>
      </c>
      <c r="C4" s="803"/>
      <c r="D4" s="803"/>
      <c r="E4" s="803"/>
      <c r="F4" s="803"/>
      <c r="G4" s="803"/>
      <c r="H4" s="803"/>
      <c r="I4" s="803"/>
      <c r="J4" s="803"/>
      <c r="K4" s="803"/>
      <c r="L4" s="803"/>
      <c r="M4" s="803"/>
      <c r="N4" s="803"/>
      <c r="O4" s="803"/>
      <c r="P4" s="803"/>
      <c r="Q4" s="803"/>
      <c r="R4" s="803"/>
      <c r="S4" s="803"/>
      <c r="T4" s="803"/>
      <c r="U4" s="29"/>
      <c r="V4" s="217"/>
      <c r="W4" s="217"/>
      <c r="X4" s="29"/>
      <c r="Y4" s="218"/>
      <c r="Z4" s="217"/>
      <c r="AA4" s="1"/>
    </row>
    <row r="5" spans="2:27" ht="41.25" customHeight="1" thickBot="1" x14ac:dyDescent="0.25">
      <c r="B5" s="1011" t="s">
        <v>1</v>
      </c>
      <c r="C5" s="1011" t="s">
        <v>2</v>
      </c>
      <c r="D5" s="1011"/>
      <c r="E5" s="1011"/>
      <c r="F5" s="1011"/>
      <c r="G5" s="1013" t="s">
        <v>11</v>
      </c>
      <c r="H5" s="1013"/>
      <c r="I5" s="1013"/>
      <c r="J5" s="1013"/>
      <c r="K5" s="1013" t="s">
        <v>12</v>
      </c>
      <c r="L5" s="1013"/>
      <c r="M5" s="1013"/>
      <c r="N5" s="1013"/>
      <c r="O5" s="1011" t="s">
        <v>157</v>
      </c>
      <c r="P5" s="1011"/>
      <c r="Q5" s="1011"/>
      <c r="R5" s="1011"/>
      <c r="S5" s="1011"/>
      <c r="T5" s="1011"/>
      <c r="U5" s="1"/>
      <c r="V5" s="81"/>
      <c r="W5" s="81"/>
      <c r="X5" s="1"/>
      <c r="Y5" s="81"/>
      <c r="Z5" s="81"/>
      <c r="AA5" s="1"/>
    </row>
    <row r="6" spans="2:27" ht="35.25" customHeight="1" x14ac:dyDescent="0.2">
      <c r="B6" s="1012"/>
      <c r="C6" s="1010" t="s">
        <v>155</v>
      </c>
      <c r="D6" s="1010"/>
      <c r="E6" s="1010" t="s">
        <v>156</v>
      </c>
      <c r="F6" s="1010"/>
      <c r="G6" s="1010" t="s">
        <v>155</v>
      </c>
      <c r="H6" s="1010"/>
      <c r="I6" s="1010" t="s">
        <v>156</v>
      </c>
      <c r="J6" s="1010"/>
      <c r="K6" s="1010" t="s">
        <v>155</v>
      </c>
      <c r="L6" s="1010"/>
      <c r="M6" s="1010" t="s">
        <v>156</v>
      </c>
      <c r="N6" s="1010"/>
      <c r="O6" s="1010" t="s">
        <v>2</v>
      </c>
      <c r="P6" s="1010"/>
      <c r="Q6" s="1010" t="s">
        <v>15</v>
      </c>
      <c r="R6" s="1010"/>
      <c r="S6" s="1010" t="s">
        <v>12</v>
      </c>
      <c r="T6" s="1010"/>
      <c r="U6" s="1"/>
      <c r="V6" s="81"/>
      <c r="W6" s="81"/>
      <c r="X6" s="1"/>
      <c r="Y6" s="81"/>
      <c r="Z6" s="81"/>
      <c r="AA6" s="1"/>
    </row>
    <row r="7" spans="2:27" x14ac:dyDescent="0.2">
      <c r="B7" s="448"/>
      <c r="C7" s="401"/>
      <c r="D7" s="401"/>
      <c r="E7" s="401"/>
      <c r="F7" s="401"/>
      <c r="G7" s="401"/>
      <c r="H7" s="401"/>
      <c r="I7" s="401"/>
      <c r="J7" s="401"/>
      <c r="K7" s="401"/>
      <c r="L7" s="401"/>
      <c r="M7" s="401"/>
      <c r="N7" s="401"/>
      <c r="O7" s="543"/>
      <c r="P7" s="543"/>
      <c r="Q7" s="543"/>
      <c r="R7" s="543"/>
      <c r="S7" s="544"/>
      <c r="T7" s="482"/>
      <c r="U7" s="1"/>
      <c r="V7" s="81"/>
      <c r="W7" s="81"/>
      <c r="X7" s="1"/>
      <c r="Y7" s="81"/>
      <c r="Z7" s="81"/>
      <c r="AA7" s="1"/>
    </row>
    <row r="8" spans="2:27" ht="20.100000000000001" customHeight="1" x14ac:dyDescent="0.2">
      <c r="B8" s="414">
        <v>2000</v>
      </c>
      <c r="C8" s="84">
        <v>6</v>
      </c>
      <c r="D8" s="84"/>
      <c r="E8" s="84">
        <v>3</v>
      </c>
      <c r="F8" s="84"/>
      <c r="G8" s="84">
        <v>872</v>
      </c>
      <c r="H8" s="84"/>
      <c r="I8" s="84">
        <v>451</v>
      </c>
      <c r="J8" s="84"/>
      <c r="K8" s="84">
        <v>14968</v>
      </c>
      <c r="L8" s="84"/>
      <c r="M8" s="84">
        <v>3608</v>
      </c>
      <c r="N8" s="84"/>
      <c r="O8" s="497">
        <f>SUM(C8:F8)</f>
        <v>9</v>
      </c>
      <c r="P8" s="497"/>
      <c r="Q8" s="497">
        <f>SUM(G8:J8)</f>
        <v>1323</v>
      </c>
      <c r="R8" s="497"/>
      <c r="S8" s="497">
        <f>SUM(K8:N8)</f>
        <v>18576</v>
      </c>
      <c r="T8" s="490"/>
      <c r="U8" s="1"/>
      <c r="V8" s="81"/>
      <c r="W8" s="81"/>
      <c r="X8" s="1"/>
      <c r="Y8" s="81"/>
      <c r="Z8" s="81"/>
      <c r="AA8" s="1"/>
    </row>
    <row r="9" spans="2:27" ht="20.100000000000001" customHeight="1" x14ac:dyDescent="0.2">
      <c r="B9" s="414">
        <v>2001</v>
      </c>
      <c r="C9" s="84">
        <v>15</v>
      </c>
      <c r="D9" s="84"/>
      <c r="E9" s="84">
        <v>0</v>
      </c>
      <c r="F9" s="84"/>
      <c r="G9" s="84">
        <v>2121</v>
      </c>
      <c r="H9" s="84"/>
      <c r="I9" s="84">
        <v>0</v>
      </c>
      <c r="J9" s="84"/>
      <c r="K9" s="84">
        <v>70008</v>
      </c>
      <c r="L9" s="84"/>
      <c r="M9" s="84">
        <v>0</v>
      </c>
      <c r="N9" s="84"/>
      <c r="O9" s="497">
        <f t="shared" ref="O9:O28" si="0">SUM(C9:F9)</f>
        <v>15</v>
      </c>
      <c r="P9" s="497"/>
      <c r="Q9" s="497">
        <f t="shared" ref="Q9:Q28" si="1">SUM(G9:J9)</f>
        <v>2121</v>
      </c>
      <c r="R9" s="497"/>
      <c r="S9" s="497">
        <f t="shared" ref="S9:S31" si="2">SUM(K9:N9)</f>
        <v>70008</v>
      </c>
      <c r="T9" s="490"/>
      <c r="U9" s="1"/>
      <c r="V9" s="81"/>
      <c r="W9" s="81"/>
      <c r="X9" s="1"/>
      <c r="Y9" s="81"/>
      <c r="Z9" s="81"/>
      <c r="AA9" s="1"/>
    </row>
    <row r="10" spans="2:27" ht="20.100000000000001" customHeight="1" x14ac:dyDescent="0.2">
      <c r="B10" s="414">
        <v>2002</v>
      </c>
      <c r="C10" s="285">
        <v>19</v>
      </c>
      <c r="D10" s="285"/>
      <c r="E10" s="84">
        <v>1</v>
      </c>
      <c r="F10" s="84"/>
      <c r="G10" s="285">
        <v>7422</v>
      </c>
      <c r="H10" s="285"/>
      <c r="I10" s="84">
        <v>290</v>
      </c>
      <c r="J10" s="84"/>
      <c r="K10" s="84">
        <v>374448</v>
      </c>
      <c r="L10" s="84"/>
      <c r="M10" s="84">
        <v>2320</v>
      </c>
      <c r="N10" s="84"/>
      <c r="O10" s="497">
        <f t="shared" si="0"/>
        <v>20</v>
      </c>
      <c r="P10" s="497"/>
      <c r="Q10" s="497">
        <f t="shared" si="1"/>
        <v>7712</v>
      </c>
      <c r="R10" s="497"/>
      <c r="S10" s="497">
        <f t="shared" si="2"/>
        <v>376768</v>
      </c>
      <c r="T10" s="490"/>
      <c r="U10" s="1"/>
      <c r="V10" s="81"/>
      <c r="W10" s="1"/>
      <c r="X10" s="1"/>
      <c r="Y10" s="81"/>
      <c r="Z10" s="81"/>
      <c r="AA10" s="1"/>
    </row>
    <row r="11" spans="2:27" ht="20.100000000000001" customHeight="1" x14ac:dyDescent="0.2">
      <c r="B11" s="414">
        <v>2003</v>
      </c>
      <c r="C11" s="285">
        <v>4</v>
      </c>
      <c r="D11" s="285"/>
      <c r="E11" s="84">
        <v>0</v>
      </c>
      <c r="F11" s="84"/>
      <c r="G11" s="285">
        <v>1554</v>
      </c>
      <c r="H11" s="285"/>
      <c r="I11" s="84">
        <v>0</v>
      </c>
      <c r="J11" s="84"/>
      <c r="K11" s="285">
        <v>43200</v>
      </c>
      <c r="L11" s="285"/>
      <c r="M11" s="84">
        <v>0</v>
      </c>
      <c r="N11" s="84"/>
      <c r="O11" s="497">
        <f t="shared" si="0"/>
        <v>4</v>
      </c>
      <c r="P11" s="497"/>
      <c r="Q11" s="497">
        <f t="shared" si="1"/>
        <v>1554</v>
      </c>
      <c r="R11" s="497"/>
      <c r="S11" s="497">
        <f t="shared" si="2"/>
        <v>43200</v>
      </c>
      <c r="T11" s="490"/>
      <c r="U11" s="1"/>
      <c r="V11" s="81"/>
      <c r="W11" s="81"/>
      <c r="X11" s="1"/>
      <c r="Y11" s="81"/>
      <c r="Z11" s="81"/>
      <c r="AA11" s="1"/>
    </row>
    <row r="12" spans="2:27" ht="20.100000000000001" customHeight="1" x14ac:dyDescent="0.2">
      <c r="B12" s="414">
        <v>2004</v>
      </c>
      <c r="C12" s="84">
        <v>20</v>
      </c>
      <c r="D12" s="84"/>
      <c r="E12" s="84">
        <v>1</v>
      </c>
      <c r="F12" s="84"/>
      <c r="G12" s="285">
        <v>8936</v>
      </c>
      <c r="H12" s="285"/>
      <c r="I12" s="84">
        <v>84</v>
      </c>
      <c r="J12" s="84"/>
      <c r="K12" s="285">
        <v>178512</v>
      </c>
      <c r="L12" s="285"/>
      <c r="M12" s="84">
        <v>672</v>
      </c>
      <c r="N12" s="84"/>
      <c r="O12" s="497">
        <f t="shared" si="0"/>
        <v>21</v>
      </c>
      <c r="P12" s="497"/>
      <c r="Q12" s="497">
        <f t="shared" si="1"/>
        <v>9020</v>
      </c>
      <c r="R12" s="497"/>
      <c r="S12" s="497">
        <f t="shared" si="2"/>
        <v>179184</v>
      </c>
      <c r="T12" s="490"/>
      <c r="U12" s="1"/>
      <c r="V12" s="81"/>
      <c r="W12" s="81"/>
      <c r="X12" s="1"/>
      <c r="Y12" s="81"/>
      <c r="Z12" s="81"/>
      <c r="AA12" s="1"/>
    </row>
    <row r="13" spans="2:27" ht="20.100000000000001" customHeight="1" x14ac:dyDescent="0.2">
      <c r="B13" s="414">
        <v>2005</v>
      </c>
      <c r="C13" s="84">
        <v>8</v>
      </c>
      <c r="D13" s="84"/>
      <c r="E13" s="84">
        <v>4</v>
      </c>
      <c r="F13" s="84"/>
      <c r="G13" s="285">
        <v>3118</v>
      </c>
      <c r="H13" s="285"/>
      <c r="I13" s="84">
        <v>357</v>
      </c>
      <c r="J13" s="84"/>
      <c r="K13" s="285">
        <v>115952</v>
      </c>
      <c r="L13" s="285"/>
      <c r="M13" s="84">
        <v>2856</v>
      </c>
      <c r="N13" s="84"/>
      <c r="O13" s="497">
        <f t="shared" si="0"/>
        <v>12</v>
      </c>
      <c r="P13" s="497"/>
      <c r="Q13" s="497">
        <f t="shared" si="1"/>
        <v>3475</v>
      </c>
      <c r="R13" s="497"/>
      <c r="S13" s="497">
        <f t="shared" si="2"/>
        <v>118808</v>
      </c>
      <c r="T13" s="490"/>
      <c r="U13" s="1"/>
      <c r="V13" s="81"/>
      <c r="W13" s="81"/>
      <c r="X13" s="1"/>
      <c r="Y13" s="81"/>
      <c r="Z13" s="1"/>
      <c r="AA13" s="1"/>
    </row>
    <row r="14" spans="2:27" ht="20.100000000000001" customHeight="1" x14ac:dyDescent="0.2">
      <c r="B14" s="414">
        <v>2006</v>
      </c>
      <c r="C14" s="84">
        <v>8</v>
      </c>
      <c r="D14" s="84"/>
      <c r="E14" s="84">
        <v>2</v>
      </c>
      <c r="F14" s="84"/>
      <c r="G14" s="285">
        <v>2617</v>
      </c>
      <c r="H14" s="285"/>
      <c r="I14" s="84">
        <v>224</v>
      </c>
      <c r="J14" s="84"/>
      <c r="K14" s="285">
        <v>79056</v>
      </c>
      <c r="L14" s="285"/>
      <c r="M14" s="84">
        <v>3576</v>
      </c>
      <c r="N14" s="84"/>
      <c r="O14" s="497">
        <f t="shared" si="0"/>
        <v>10</v>
      </c>
      <c r="P14" s="497"/>
      <c r="Q14" s="497">
        <f t="shared" si="1"/>
        <v>2841</v>
      </c>
      <c r="R14" s="497"/>
      <c r="S14" s="497">
        <f t="shared" si="2"/>
        <v>82632</v>
      </c>
      <c r="T14" s="490"/>
      <c r="U14" s="1"/>
      <c r="V14" s="81"/>
      <c r="W14" s="81"/>
      <c r="X14" s="1"/>
      <c r="Y14" s="81"/>
      <c r="Z14" s="1"/>
      <c r="AA14" s="1"/>
    </row>
    <row r="15" spans="2:27" ht="20.100000000000001" customHeight="1" x14ac:dyDescent="0.2">
      <c r="B15" s="414">
        <v>2007</v>
      </c>
      <c r="C15" s="84">
        <v>29</v>
      </c>
      <c r="D15" s="84"/>
      <c r="E15" s="84">
        <v>0</v>
      </c>
      <c r="F15" s="84"/>
      <c r="G15" s="285">
        <v>41676</v>
      </c>
      <c r="H15" s="285"/>
      <c r="I15" s="84">
        <v>0</v>
      </c>
      <c r="J15" s="84"/>
      <c r="K15" s="285">
        <v>2057232</v>
      </c>
      <c r="L15" s="285"/>
      <c r="M15" s="84">
        <v>0</v>
      </c>
      <c r="N15" s="84"/>
      <c r="O15" s="497">
        <f t="shared" si="0"/>
        <v>29</v>
      </c>
      <c r="P15" s="497"/>
      <c r="Q15" s="497">
        <f t="shared" si="1"/>
        <v>41676</v>
      </c>
      <c r="R15" s="497"/>
      <c r="S15" s="497">
        <f t="shared" si="2"/>
        <v>2057232</v>
      </c>
      <c r="T15" s="490"/>
      <c r="U15" s="1"/>
      <c r="V15" s="81"/>
      <c r="W15" s="81"/>
      <c r="X15" s="1"/>
      <c r="Y15" s="81"/>
      <c r="Z15" s="1"/>
      <c r="AA15" s="1"/>
    </row>
    <row r="16" spans="2:27" ht="20.100000000000001" customHeight="1" x14ac:dyDescent="0.2">
      <c r="B16" s="414">
        <v>2008</v>
      </c>
      <c r="C16" s="84">
        <v>38</v>
      </c>
      <c r="D16" s="84"/>
      <c r="E16" s="84">
        <v>1</v>
      </c>
      <c r="F16" s="84"/>
      <c r="G16" s="285">
        <v>27862</v>
      </c>
      <c r="H16" s="285"/>
      <c r="I16" s="84">
        <v>274</v>
      </c>
      <c r="J16" s="84"/>
      <c r="K16" s="285">
        <v>1416232</v>
      </c>
      <c r="L16" s="285"/>
      <c r="M16" s="84">
        <v>2192</v>
      </c>
      <c r="N16" s="84"/>
      <c r="O16" s="497">
        <f t="shared" si="0"/>
        <v>39</v>
      </c>
      <c r="P16" s="497"/>
      <c r="Q16" s="497">
        <f t="shared" si="1"/>
        <v>28136</v>
      </c>
      <c r="R16" s="497"/>
      <c r="S16" s="497">
        <f t="shared" si="2"/>
        <v>1418424</v>
      </c>
      <c r="T16" s="490"/>
      <c r="U16" s="1"/>
      <c r="V16" s="81"/>
      <c r="W16" s="81"/>
      <c r="X16" s="1"/>
      <c r="Y16" s="81"/>
      <c r="Z16" s="1"/>
      <c r="AA16" s="1"/>
    </row>
    <row r="17" spans="2:27" ht="20.100000000000001" customHeight="1" x14ac:dyDescent="0.2">
      <c r="B17" s="414">
        <v>2009</v>
      </c>
      <c r="C17" s="84">
        <v>32</v>
      </c>
      <c r="D17" s="84"/>
      <c r="E17" s="84">
        <v>1</v>
      </c>
      <c r="F17" s="84"/>
      <c r="G17" s="285">
        <v>20484</v>
      </c>
      <c r="H17" s="285"/>
      <c r="I17" s="84">
        <v>93</v>
      </c>
      <c r="J17" s="84"/>
      <c r="K17" s="285">
        <v>1033360</v>
      </c>
      <c r="L17" s="285"/>
      <c r="M17" s="84">
        <v>1480</v>
      </c>
      <c r="N17" s="84"/>
      <c r="O17" s="497">
        <f t="shared" si="0"/>
        <v>33</v>
      </c>
      <c r="P17" s="497"/>
      <c r="Q17" s="497">
        <f t="shared" si="1"/>
        <v>20577</v>
      </c>
      <c r="R17" s="497"/>
      <c r="S17" s="497">
        <f t="shared" si="2"/>
        <v>1034840</v>
      </c>
      <c r="T17" s="490"/>
      <c r="U17" s="1"/>
      <c r="V17" s="81"/>
      <c r="W17" s="81"/>
      <c r="X17" s="1"/>
      <c r="Y17" s="81"/>
      <c r="Z17" s="1"/>
      <c r="AA17" s="1"/>
    </row>
    <row r="18" spans="2:27" ht="20.100000000000001" customHeight="1" x14ac:dyDescent="0.2">
      <c r="B18" s="414">
        <v>2010</v>
      </c>
      <c r="C18" s="84">
        <v>33</v>
      </c>
      <c r="D18" s="84"/>
      <c r="E18" s="84">
        <v>3</v>
      </c>
      <c r="F18" s="84"/>
      <c r="G18" s="285">
        <v>16063</v>
      </c>
      <c r="H18" s="285"/>
      <c r="I18" s="84">
        <v>314</v>
      </c>
      <c r="J18" s="84"/>
      <c r="K18" s="285">
        <v>586908</v>
      </c>
      <c r="L18" s="285"/>
      <c r="M18" s="84">
        <v>26632</v>
      </c>
      <c r="N18" s="84"/>
      <c r="O18" s="497">
        <f t="shared" si="0"/>
        <v>36</v>
      </c>
      <c r="P18" s="497"/>
      <c r="Q18" s="497">
        <f t="shared" si="1"/>
        <v>16377</v>
      </c>
      <c r="R18" s="497"/>
      <c r="S18" s="497">
        <f t="shared" si="2"/>
        <v>613540</v>
      </c>
      <c r="T18" s="490"/>
      <c r="U18" s="1"/>
      <c r="V18" s="81"/>
      <c r="W18" s="81"/>
      <c r="X18" s="1"/>
      <c r="Y18" s="81"/>
      <c r="Z18" s="1"/>
      <c r="AA18" s="1"/>
    </row>
    <row r="19" spans="2:27" ht="20.100000000000001" customHeight="1" x14ac:dyDescent="0.2">
      <c r="B19" s="414">
        <v>2011</v>
      </c>
      <c r="C19" s="84">
        <v>30</v>
      </c>
      <c r="D19" s="84"/>
      <c r="E19" s="84">
        <v>0</v>
      </c>
      <c r="F19" s="84"/>
      <c r="G19" s="285">
        <v>14416</v>
      </c>
      <c r="H19" s="285"/>
      <c r="I19" s="84">
        <v>0</v>
      </c>
      <c r="J19" s="84"/>
      <c r="K19" s="84">
        <v>1308808</v>
      </c>
      <c r="L19" s="285"/>
      <c r="M19" s="84">
        <v>0</v>
      </c>
      <c r="N19" s="84"/>
      <c r="O19" s="497">
        <f t="shared" si="0"/>
        <v>30</v>
      </c>
      <c r="P19" s="497"/>
      <c r="Q19" s="497">
        <f t="shared" si="1"/>
        <v>14416</v>
      </c>
      <c r="R19" s="497"/>
      <c r="S19" s="497">
        <f t="shared" si="2"/>
        <v>1308808</v>
      </c>
      <c r="T19" s="490"/>
      <c r="U19" s="1"/>
      <c r="V19" s="81"/>
      <c r="W19" s="81"/>
      <c r="X19" s="1"/>
      <c r="Y19" s="81"/>
      <c r="Z19" s="1"/>
      <c r="AA19" s="1"/>
    </row>
    <row r="20" spans="2:27" ht="20.100000000000001" customHeight="1" x14ac:dyDescent="0.2">
      <c r="B20" s="414">
        <v>2012</v>
      </c>
      <c r="C20" s="84">
        <v>30</v>
      </c>
      <c r="D20" s="84"/>
      <c r="E20" s="84">
        <v>0</v>
      </c>
      <c r="F20" s="84"/>
      <c r="G20" s="285">
        <v>9049</v>
      </c>
      <c r="H20" s="285"/>
      <c r="I20" s="84">
        <v>0</v>
      </c>
      <c r="J20" s="84"/>
      <c r="K20" s="84">
        <v>1034080</v>
      </c>
      <c r="L20" s="285"/>
      <c r="M20" s="84">
        <v>0</v>
      </c>
      <c r="N20" s="84"/>
      <c r="O20" s="497">
        <f t="shared" si="0"/>
        <v>30</v>
      </c>
      <c r="P20" s="497"/>
      <c r="Q20" s="497">
        <f t="shared" si="1"/>
        <v>9049</v>
      </c>
      <c r="R20" s="497"/>
      <c r="S20" s="497">
        <f t="shared" si="2"/>
        <v>1034080</v>
      </c>
      <c r="T20" s="490"/>
      <c r="U20" s="1"/>
      <c r="V20" s="81"/>
      <c r="W20" s="81"/>
      <c r="X20" s="1"/>
      <c r="Y20" s="81"/>
      <c r="Z20" s="1"/>
      <c r="AA20" s="1"/>
    </row>
    <row r="21" spans="2:27" ht="20.100000000000001" customHeight="1" x14ac:dyDescent="0.2">
      <c r="B21" s="414">
        <v>2013</v>
      </c>
      <c r="C21" s="84">
        <v>31</v>
      </c>
      <c r="D21" s="84"/>
      <c r="E21" s="84">
        <v>2</v>
      </c>
      <c r="F21" s="84"/>
      <c r="G21" s="285">
        <v>11906</v>
      </c>
      <c r="H21" s="285"/>
      <c r="I21" s="84">
        <v>238</v>
      </c>
      <c r="J21" s="84"/>
      <c r="K21" s="84">
        <v>1050186</v>
      </c>
      <c r="L21" s="285"/>
      <c r="M21" s="84">
        <v>6888</v>
      </c>
      <c r="N21" s="84"/>
      <c r="O21" s="497">
        <f t="shared" si="0"/>
        <v>33</v>
      </c>
      <c r="P21" s="497">
        <v>0</v>
      </c>
      <c r="Q21" s="497">
        <f t="shared" si="1"/>
        <v>12144</v>
      </c>
      <c r="R21" s="497"/>
      <c r="S21" s="497">
        <f t="shared" si="2"/>
        <v>1057074</v>
      </c>
      <c r="T21" s="490"/>
      <c r="U21" s="1"/>
      <c r="V21" s="81"/>
      <c r="W21" s="81"/>
      <c r="X21" s="1"/>
      <c r="Y21" s="81"/>
      <c r="Z21" s="1"/>
      <c r="AA21" s="1"/>
    </row>
    <row r="22" spans="2:27" ht="20.100000000000001" customHeight="1" x14ac:dyDescent="0.2">
      <c r="B22" s="414">
        <v>2014</v>
      </c>
      <c r="C22" s="84">
        <v>30</v>
      </c>
      <c r="D22" s="84"/>
      <c r="E22" s="84">
        <v>2</v>
      </c>
      <c r="F22" s="84"/>
      <c r="G22" s="285">
        <v>14549</v>
      </c>
      <c r="H22" s="285"/>
      <c r="I22" s="84">
        <v>199</v>
      </c>
      <c r="J22" s="84"/>
      <c r="K22" s="84">
        <v>1165360</v>
      </c>
      <c r="L22" s="285"/>
      <c r="M22" s="84">
        <v>4704</v>
      </c>
      <c r="N22" s="84"/>
      <c r="O22" s="497">
        <f t="shared" si="0"/>
        <v>32</v>
      </c>
      <c r="P22" s="497"/>
      <c r="Q22" s="497">
        <f t="shared" si="1"/>
        <v>14748</v>
      </c>
      <c r="R22" s="497"/>
      <c r="S22" s="497">
        <f t="shared" si="2"/>
        <v>1170064</v>
      </c>
      <c r="T22" s="490"/>
      <c r="U22" s="1"/>
      <c r="V22" s="81"/>
      <c r="W22" s="81"/>
      <c r="X22" s="1"/>
      <c r="Y22" s="81"/>
      <c r="Z22" s="1"/>
      <c r="AA22" s="1"/>
    </row>
    <row r="23" spans="2:27" ht="20.100000000000001" customHeight="1" x14ac:dyDescent="0.2">
      <c r="B23" s="414">
        <v>2015</v>
      </c>
      <c r="C23" s="84">
        <v>10</v>
      </c>
      <c r="D23" s="84"/>
      <c r="E23" s="84">
        <v>1</v>
      </c>
      <c r="F23" s="84"/>
      <c r="G23" s="285">
        <v>10447</v>
      </c>
      <c r="H23" s="285"/>
      <c r="I23" s="84">
        <v>726</v>
      </c>
      <c r="J23" s="84"/>
      <c r="K23" s="84">
        <v>1171104</v>
      </c>
      <c r="L23" s="285"/>
      <c r="M23" s="84">
        <v>5808</v>
      </c>
      <c r="N23" s="84"/>
      <c r="O23" s="497">
        <f t="shared" si="0"/>
        <v>11</v>
      </c>
      <c r="P23" s="497"/>
      <c r="Q23" s="497">
        <f t="shared" si="1"/>
        <v>11173</v>
      </c>
      <c r="R23" s="497"/>
      <c r="S23" s="497">
        <f t="shared" si="2"/>
        <v>1176912</v>
      </c>
      <c r="T23" s="490"/>
      <c r="U23" s="1"/>
      <c r="V23" s="81"/>
      <c r="W23" s="81"/>
      <c r="X23" s="1"/>
      <c r="Y23" s="81"/>
      <c r="Z23" s="1"/>
      <c r="AA23" s="1"/>
    </row>
    <row r="24" spans="2:27" ht="20.100000000000001" customHeight="1" x14ac:dyDescent="0.2">
      <c r="B24" s="414">
        <v>2016</v>
      </c>
      <c r="C24" s="84">
        <v>14</v>
      </c>
      <c r="D24" s="84"/>
      <c r="E24" s="84">
        <v>0</v>
      </c>
      <c r="F24" s="84"/>
      <c r="G24" s="285">
        <v>5565</v>
      </c>
      <c r="H24" s="285"/>
      <c r="I24" s="84">
        <v>0</v>
      </c>
      <c r="J24" s="84"/>
      <c r="K24" s="84">
        <v>544312</v>
      </c>
      <c r="L24" s="285"/>
      <c r="M24" s="84">
        <v>0</v>
      </c>
      <c r="N24" s="84"/>
      <c r="O24" s="497">
        <f t="shared" si="0"/>
        <v>14</v>
      </c>
      <c r="P24" s="497"/>
      <c r="Q24" s="497">
        <f t="shared" si="1"/>
        <v>5565</v>
      </c>
      <c r="R24" s="497"/>
      <c r="S24" s="497">
        <f t="shared" si="2"/>
        <v>544312</v>
      </c>
      <c r="T24" s="490"/>
      <c r="U24" s="1"/>
      <c r="V24" s="81"/>
      <c r="W24" s="81"/>
      <c r="X24" s="1"/>
      <c r="Y24" s="81"/>
      <c r="Z24" s="1"/>
      <c r="AA24" s="1"/>
    </row>
    <row r="25" spans="2:27" ht="19.5" customHeight="1" x14ac:dyDescent="0.2">
      <c r="B25" s="414">
        <v>2017</v>
      </c>
      <c r="C25" s="84">
        <v>14</v>
      </c>
      <c r="D25" s="84"/>
      <c r="E25" s="84">
        <v>0</v>
      </c>
      <c r="F25" s="84"/>
      <c r="G25" s="285">
        <v>8643</v>
      </c>
      <c r="H25" s="285"/>
      <c r="I25" s="84">
        <v>0</v>
      </c>
      <c r="J25" s="84"/>
      <c r="K25" s="84">
        <v>991464</v>
      </c>
      <c r="L25" s="285"/>
      <c r="M25" s="84">
        <v>0</v>
      </c>
      <c r="N25" s="84"/>
      <c r="O25" s="497">
        <f>SUM(C25:F25)</f>
        <v>14</v>
      </c>
      <c r="P25" s="497"/>
      <c r="Q25" s="497">
        <f>SUM(G25:J25)</f>
        <v>8643</v>
      </c>
      <c r="R25" s="497"/>
      <c r="S25" s="497">
        <f>SUM(K25:N25)</f>
        <v>991464</v>
      </c>
      <c r="T25" s="490"/>
      <c r="U25" s="1"/>
      <c r="V25" s="81"/>
      <c r="W25" s="81"/>
      <c r="X25" s="1"/>
      <c r="Y25" s="81"/>
      <c r="Z25" s="1"/>
      <c r="AA25" s="1"/>
    </row>
    <row r="26" spans="2:27" ht="19.5" customHeight="1" x14ac:dyDescent="0.2">
      <c r="B26" s="414">
        <v>2018</v>
      </c>
      <c r="C26" s="84">
        <v>14</v>
      </c>
      <c r="D26" s="84"/>
      <c r="E26" s="84">
        <v>0</v>
      </c>
      <c r="F26" s="84"/>
      <c r="G26" s="285">
        <v>4531</v>
      </c>
      <c r="H26" s="285"/>
      <c r="I26" s="84">
        <v>0</v>
      </c>
      <c r="J26" s="84"/>
      <c r="K26" s="84">
        <v>425512</v>
      </c>
      <c r="L26" s="285"/>
      <c r="M26" s="84">
        <v>0</v>
      </c>
      <c r="N26" s="84"/>
      <c r="O26" s="497">
        <f t="shared" si="0"/>
        <v>14</v>
      </c>
      <c r="P26" s="497"/>
      <c r="Q26" s="497">
        <f t="shared" si="1"/>
        <v>4531</v>
      </c>
      <c r="R26" s="497"/>
      <c r="S26" s="497">
        <f t="shared" si="2"/>
        <v>425512</v>
      </c>
      <c r="T26" s="490"/>
      <c r="U26" s="1"/>
      <c r="V26" s="81"/>
      <c r="W26" s="81"/>
      <c r="X26" s="1"/>
      <c r="Y26" s="81"/>
      <c r="Z26" s="1"/>
      <c r="AA26" s="1"/>
    </row>
    <row r="27" spans="2:27" ht="19.5" customHeight="1" x14ac:dyDescent="0.2">
      <c r="B27" s="414">
        <v>2019</v>
      </c>
      <c r="C27" s="84">
        <v>18</v>
      </c>
      <c r="D27" s="84"/>
      <c r="E27" s="84">
        <v>0</v>
      </c>
      <c r="F27" s="84"/>
      <c r="G27" s="285">
        <v>12403</v>
      </c>
      <c r="H27" s="285"/>
      <c r="I27" s="84">
        <v>0</v>
      </c>
      <c r="J27" s="84"/>
      <c r="K27" s="84">
        <v>823176</v>
      </c>
      <c r="L27" s="285"/>
      <c r="M27" s="84">
        <v>0</v>
      </c>
      <c r="N27" s="84"/>
      <c r="O27" s="497">
        <f t="shared" si="0"/>
        <v>18</v>
      </c>
      <c r="P27" s="497"/>
      <c r="Q27" s="497">
        <f t="shared" si="1"/>
        <v>12403</v>
      </c>
      <c r="R27" s="497"/>
      <c r="S27" s="497">
        <f t="shared" ref="S27:S28" si="3">SUM(K27:N27)</f>
        <v>823176</v>
      </c>
      <c r="T27" s="490"/>
      <c r="U27" s="1"/>
      <c r="V27" s="81"/>
      <c r="W27" s="81"/>
      <c r="X27" s="1"/>
      <c r="Y27" s="81"/>
      <c r="Z27" s="1"/>
      <c r="AA27" s="1"/>
    </row>
    <row r="28" spans="2:27" ht="19.5" customHeight="1" x14ac:dyDescent="0.2">
      <c r="B28" s="414">
        <v>2020</v>
      </c>
      <c r="C28" s="84">
        <v>6</v>
      </c>
      <c r="D28" s="84"/>
      <c r="E28" s="84">
        <v>0</v>
      </c>
      <c r="F28" s="84"/>
      <c r="G28" s="285">
        <v>1563</v>
      </c>
      <c r="H28" s="285"/>
      <c r="I28" s="84">
        <v>0</v>
      </c>
      <c r="J28" s="84"/>
      <c r="K28" s="84">
        <v>63472</v>
      </c>
      <c r="L28" s="285"/>
      <c r="M28" s="84">
        <v>0</v>
      </c>
      <c r="N28" s="84"/>
      <c r="O28" s="497">
        <f t="shared" si="0"/>
        <v>6</v>
      </c>
      <c r="P28" s="497"/>
      <c r="Q28" s="497">
        <f t="shared" si="1"/>
        <v>1563</v>
      </c>
      <c r="R28" s="497"/>
      <c r="S28" s="497">
        <f t="shared" si="3"/>
        <v>63472</v>
      </c>
      <c r="T28" s="490"/>
      <c r="U28" s="1"/>
      <c r="V28" s="81"/>
      <c r="W28" s="81"/>
      <c r="X28" s="1"/>
      <c r="Y28" s="81"/>
      <c r="Z28" s="1"/>
      <c r="AA28" s="1"/>
    </row>
    <row r="29" spans="2:27" ht="19.5" customHeight="1" x14ac:dyDescent="0.2">
      <c r="B29" s="414">
        <v>2021</v>
      </c>
      <c r="C29" s="84">
        <v>15</v>
      </c>
      <c r="D29" s="84"/>
      <c r="E29" s="84">
        <v>0</v>
      </c>
      <c r="F29" s="84"/>
      <c r="G29" s="285">
        <v>5268</v>
      </c>
      <c r="H29" s="285"/>
      <c r="I29" s="84">
        <v>0</v>
      </c>
      <c r="J29" s="84"/>
      <c r="K29" s="84">
        <v>403056</v>
      </c>
      <c r="L29" s="285"/>
      <c r="M29" s="84">
        <v>0</v>
      </c>
      <c r="N29" s="84"/>
      <c r="O29" s="497">
        <f t="shared" ref="O29:O31" si="4">SUM(C29:F29)</f>
        <v>15</v>
      </c>
      <c r="P29" s="497"/>
      <c r="Q29" s="497">
        <f t="shared" ref="Q29:Q31" si="5">SUM(G29:J29)</f>
        <v>5268</v>
      </c>
      <c r="R29" s="497"/>
      <c r="S29" s="497">
        <f t="shared" si="2"/>
        <v>403056</v>
      </c>
      <c r="T29" s="490"/>
      <c r="U29" s="1"/>
      <c r="V29" s="81"/>
      <c r="W29" s="81"/>
      <c r="X29" s="1"/>
      <c r="Y29" s="81"/>
      <c r="Z29" s="1"/>
      <c r="AA29" s="1"/>
    </row>
    <row r="30" spans="2:27" ht="19.5" customHeight="1" x14ac:dyDescent="0.2">
      <c r="B30" s="414">
        <v>2022</v>
      </c>
      <c r="C30" s="84">
        <v>7</v>
      </c>
      <c r="D30" s="84"/>
      <c r="E30" s="84">
        <v>0</v>
      </c>
      <c r="F30" s="84"/>
      <c r="G30" s="285">
        <v>2802</v>
      </c>
      <c r="H30" s="285"/>
      <c r="I30" s="84">
        <v>0</v>
      </c>
      <c r="J30" s="84"/>
      <c r="K30" s="84">
        <v>255952</v>
      </c>
      <c r="L30" s="285"/>
      <c r="M30" s="84">
        <v>0</v>
      </c>
      <c r="N30" s="84"/>
      <c r="O30" s="497">
        <f t="shared" si="4"/>
        <v>7</v>
      </c>
      <c r="P30" s="497"/>
      <c r="Q30" s="497">
        <f t="shared" si="5"/>
        <v>2802</v>
      </c>
      <c r="R30" s="497"/>
      <c r="S30" s="497">
        <f t="shared" si="2"/>
        <v>255952</v>
      </c>
      <c r="T30" s="490"/>
      <c r="U30" s="1"/>
      <c r="V30" s="81"/>
      <c r="W30" s="81"/>
      <c r="X30" s="1"/>
      <c r="Y30" s="81"/>
      <c r="Z30" s="1"/>
      <c r="AA30" s="1"/>
    </row>
    <row r="31" spans="2:27" ht="19.5" customHeight="1" x14ac:dyDescent="0.2">
      <c r="B31" s="414">
        <v>2023</v>
      </c>
      <c r="C31" s="84">
        <v>10</v>
      </c>
      <c r="D31" s="84"/>
      <c r="E31" s="84">
        <v>0</v>
      </c>
      <c r="F31" s="84"/>
      <c r="G31" s="285">
        <v>2965</v>
      </c>
      <c r="H31" s="285"/>
      <c r="I31" s="84">
        <v>0</v>
      </c>
      <c r="J31" s="84"/>
      <c r="K31" s="84">
        <v>134777</v>
      </c>
      <c r="L31" s="285"/>
      <c r="M31" s="84">
        <v>0</v>
      </c>
      <c r="N31" s="84"/>
      <c r="O31" s="497">
        <f t="shared" si="4"/>
        <v>10</v>
      </c>
      <c r="P31" s="497"/>
      <c r="Q31" s="497">
        <f t="shared" si="5"/>
        <v>2965</v>
      </c>
      <c r="R31" s="497"/>
      <c r="S31" s="497">
        <f t="shared" si="2"/>
        <v>134777</v>
      </c>
      <c r="T31" s="490"/>
      <c r="U31" s="1"/>
      <c r="V31" s="81"/>
      <c r="W31" s="81"/>
      <c r="X31" s="1"/>
      <c r="Y31" s="81"/>
      <c r="Z31" s="1"/>
      <c r="AA31" s="1"/>
    </row>
    <row r="32" spans="2:27" ht="19.5" customHeight="1" x14ac:dyDescent="0.2">
      <c r="B32" s="414">
        <v>2024</v>
      </c>
      <c r="C32" s="84">
        <v>7</v>
      </c>
      <c r="D32" s="84"/>
      <c r="E32" s="84">
        <v>0</v>
      </c>
      <c r="F32" s="84"/>
      <c r="G32" s="285">
        <v>818</v>
      </c>
      <c r="H32" s="285"/>
      <c r="I32" s="84">
        <v>0</v>
      </c>
      <c r="J32" s="84"/>
      <c r="K32" s="84">
        <v>56664</v>
      </c>
      <c r="L32" s="285"/>
      <c r="M32" s="84">
        <v>0</v>
      </c>
      <c r="N32" s="84"/>
      <c r="O32" s="497">
        <f t="shared" ref="O32" si="6">SUM(C32:F32)</f>
        <v>7</v>
      </c>
      <c r="P32" s="497"/>
      <c r="Q32" s="497">
        <f t="shared" ref="Q32" si="7">SUM(G32:J32)</f>
        <v>818</v>
      </c>
      <c r="R32" s="497"/>
      <c r="S32" s="497">
        <f t="shared" ref="S32" si="8">SUM(K32:N32)</f>
        <v>56664</v>
      </c>
      <c r="T32" s="490"/>
      <c r="U32" s="1"/>
      <c r="V32" s="81"/>
      <c r="W32" s="81"/>
      <c r="X32" s="1"/>
      <c r="Y32" s="81"/>
      <c r="Z32" s="1"/>
      <c r="AA32" s="1"/>
    </row>
    <row r="33" spans="2:45" ht="13.5" customHeight="1" x14ac:dyDescent="0.2">
      <c r="B33" s="414"/>
      <c r="C33" s="314"/>
      <c r="D33" s="314"/>
      <c r="E33" s="314"/>
      <c r="F33" s="314"/>
      <c r="G33" s="316"/>
      <c r="H33" s="316"/>
      <c r="I33" s="314"/>
      <c r="J33" s="314"/>
      <c r="K33" s="316"/>
      <c r="L33" s="316"/>
      <c r="M33" s="314"/>
      <c r="N33" s="314"/>
      <c r="O33" s="466"/>
      <c r="P33" s="466"/>
      <c r="Q33" s="466"/>
      <c r="R33" s="466"/>
      <c r="S33" s="466"/>
      <c r="T33" s="490"/>
      <c r="U33" s="1"/>
      <c r="V33" s="81"/>
      <c r="W33" s="81"/>
      <c r="X33" s="1"/>
      <c r="Y33" s="81"/>
      <c r="Z33" s="1"/>
      <c r="AA33" s="1"/>
    </row>
    <row r="34" spans="2:45" s="1" customFormat="1" ht="24.6" customHeight="1" x14ac:dyDescent="0.2">
      <c r="B34" s="11" t="s">
        <v>245</v>
      </c>
      <c r="C34" s="12"/>
      <c r="D34" s="12"/>
      <c r="E34" s="12"/>
      <c r="F34" s="12"/>
      <c r="G34" s="13"/>
      <c r="H34" s="12"/>
      <c r="I34" s="12"/>
      <c r="Y34" s="14"/>
      <c r="Z34" s="10"/>
      <c r="AA34" s="14"/>
      <c r="AB34" s="15"/>
      <c r="AC34" s="14"/>
      <c r="AD34" s="15"/>
    </row>
    <row r="35" spans="2:45" s="1" customFormat="1" ht="24.6" customHeight="1" x14ac:dyDescent="0.2">
      <c r="B35" s="16" t="s">
        <v>296</v>
      </c>
      <c r="C35" s="17"/>
      <c r="D35" s="17"/>
      <c r="E35" s="17"/>
      <c r="F35" s="17"/>
      <c r="G35" s="17"/>
      <c r="H35" s="18"/>
      <c r="I35" s="18"/>
      <c r="J35" s="18"/>
      <c r="K35" s="18"/>
      <c r="Z35" s="19"/>
      <c r="AA35" s="20"/>
      <c r="AB35" s="19"/>
      <c r="AC35" s="20"/>
      <c r="AD35" s="21"/>
    </row>
    <row r="36" spans="2:45" s="1" customFormat="1" ht="24.6" customHeight="1" x14ac:dyDescent="0.2">
      <c r="B36" s="22" t="s">
        <v>279</v>
      </c>
      <c r="D36" s="23"/>
      <c r="E36" s="24"/>
      <c r="F36" s="23"/>
      <c r="G36" s="25"/>
      <c r="H36" s="26"/>
      <c r="I36" s="27"/>
      <c r="J36" s="27"/>
    </row>
    <row r="37" spans="2:45" ht="24.6" customHeight="1" x14ac:dyDescent="0.2">
      <c r="B37" s="810" t="s">
        <v>243</v>
      </c>
      <c r="C37" s="810"/>
      <c r="D37" s="810"/>
      <c r="E37" s="810"/>
      <c r="F37" s="810"/>
      <c r="G37" s="810"/>
      <c r="H37" s="810"/>
      <c r="I37" s="810"/>
      <c r="J37" s="810"/>
      <c r="K37" s="810"/>
      <c r="L37" s="810"/>
      <c r="M37" s="810"/>
      <c r="N37" s="810"/>
      <c r="O37" s="810"/>
      <c r="P37" s="810"/>
      <c r="Q37" s="810"/>
      <c r="R37" s="810"/>
      <c r="S37" s="810"/>
      <c r="T37" s="810"/>
      <c r="U37" s="157"/>
      <c r="V37" s="157"/>
      <c r="W37" s="157"/>
      <c r="X37" s="157"/>
      <c r="Y37" s="157"/>
      <c r="Z37" s="157"/>
      <c r="AA37" s="157"/>
      <c r="AB37" s="157"/>
      <c r="AC37" s="157"/>
      <c r="AD37" s="157"/>
      <c r="AE37" s="157"/>
      <c r="AF37" s="157"/>
      <c r="AG37" s="157"/>
      <c r="AH37" s="157"/>
      <c r="AI37" s="157"/>
      <c r="AJ37" s="157"/>
      <c r="AK37" s="157"/>
      <c r="AL37" s="157"/>
      <c r="AM37" s="157"/>
      <c r="AN37" s="157"/>
      <c r="AO37" s="157"/>
      <c r="AP37" s="157"/>
      <c r="AQ37" s="157"/>
      <c r="AR37" s="157"/>
      <c r="AS37" s="157"/>
    </row>
  </sheetData>
  <mergeCells count="20">
    <mergeCell ref="O6:P6"/>
    <mergeCell ref="Q6:R6"/>
    <mergeCell ref="S6:T6"/>
    <mergeCell ref="C6:D6"/>
    <mergeCell ref="B37:T37"/>
    <mergeCell ref="E6:F6"/>
    <mergeCell ref="M6:N6"/>
    <mergeCell ref="G6:H6"/>
    <mergeCell ref="I6:J6"/>
    <mergeCell ref="B5:B6"/>
    <mergeCell ref="C5:F5"/>
    <mergeCell ref="G5:J5"/>
    <mergeCell ref="K6:L6"/>
    <mergeCell ref="K5:N5"/>
    <mergeCell ref="O5:T5"/>
    <mergeCell ref="B2:S2"/>
    <mergeCell ref="V3:Z3"/>
    <mergeCell ref="B1:T1"/>
    <mergeCell ref="B3:T3"/>
    <mergeCell ref="B4:T4"/>
  </mergeCells>
  <printOptions horizontalCentered="1" verticalCentered="1"/>
  <pageMargins left="0" right="0" top="0" bottom="0" header="0" footer="0"/>
  <pageSetup paperSize="9" scale="63" orientation="landscape" r:id="rId1"/>
  <ignoredErrors>
    <ignoredError sqref="R26 Q8:R24 O8:O24 O25:Q27 O29:Q29 O28:Q28 O30:S30 O32:Q32 O31:Q3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C1:M57"/>
  <sheetViews>
    <sheetView showGridLines="0" zoomScaleNormal="100" zoomScaleSheetLayoutView="93" workbookViewId="0">
      <selection activeCell="N20" sqref="N20"/>
    </sheetView>
  </sheetViews>
  <sheetFormatPr baseColWidth="10" defaultColWidth="11.5703125" defaultRowHeight="12.75" x14ac:dyDescent="0.2"/>
  <cols>
    <col min="1" max="1" width="11.5703125" style="6"/>
    <col min="2" max="2" width="3.42578125" style="6" customWidth="1"/>
    <col min="3" max="4" width="16.42578125" style="6" customWidth="1"/>
    <col min="5" max="5" width="18" style="6" customWidth="1"/>
    <col min="6" max="6" width="6.28515625" style="6" customWidth="1"/>
    <col min="7" max="10" width="12.5703125" style="6" customWidth="1"/>
    <col min="11" max="11" width="10.7109375" style="6" customWidth="1"/>
    <col min="12" max="16384" width="11.5703125" style="6"/>
  </cols>
  <sheetData>
    <row r="1" spans="3:11" ht="38.25" customHeight="1" x14ac:dyDescent="0.2">
      <c r="C1" s="5"/>
      <c r="D1" s="4"/>
      <c r="E1" s="4"/>
      <c r="F1" s="4"/>
      <c r="H1" s="7"/>
      <c r="I1" s="7"/>
      <c r="J1" s="7"/>
      <c r="K1" s="7"/>
    </row>
    <row r="2" spans="3:11" ht="6" customHeight="1" x14ac:dyDescent="0.2">
      <c r="C2" s="4"/>
      <c r="D2" s="4"/>
      <c r="E2" s="4"/>
      <c r="F2" s="4"/>
      <c r="H2" s="7"/>
      <c r="I2" s="7"/>
      <c r="J2" s="7"/>
      <c r="K2" s="7"/>
    </row>
    <row r="3" spans="3:11" ht="37.5" customHeight="1" x14ac:dyDescent="0.2">
      <c r="H3" s="7"/>
      <c r="I3" s="7"/>
      <c r="J3" s="7"/>
      <c r="K3" s="7"/>
    </row>
    <row r="4" spans="3:11" ht="6" customHeight="1" x14ac:dyDescent="0.2">
      <c r="H4" s="7"/>
      <c r="I4" s="7"/>
      <c r="J4" s="7"/>
      <c r="K4" s="7"/>
    </row>
    <row r="5" spans="3:11" ht="36" customHeight="1" x14ac:dyDescent="0.2">
      <c r="H5" s="7"/>
      <c r="I5" s="7"/>
      <c r="J5" s="7"/>
      <c r="K5" s="7"/>
    </row>
    <row r="6" spans="3:11" ht="9.75" customHeight="1" x14ac:dyDescent="0.2">
      <c r="H6" s="7"/>
      <c r="I6" s="7"/>
      <c r="J6" s="7"/>
      <c r="K6" s="7"/>
    </row>
    <row r="7" spans="3:11" ht="18.75" customHeight="1" x14ac:dyDescent="0.2">
      <c r="H7" s="7"/>
      <c r="I7" s="7"/>
      <c r="J7" s="7"/>
      <c r="K7" s="7"/>
    </row>
    <row r="8" spans="3:11" ht="20.25" customHeight="1" x14ac:dyDescent="0.2">
      <c r="H8" s="7"/>
      <c r="I8" s="7"/>
      <c r="J8" s="7"/>
      <c r="K8" s="7"/>
    </row>
    <row r="9" spans="3:11" ht="21.75" customHeight="1" x14ac:dyDescent="0.2">
      <c r="H9" s="7"/>
      <c r="I9" s="7"/>
      <c r="J9" s="7"/>
      <c r="K9" s="7"/>
    </row>
    <row r="10" spans="3:11" ht="18.75" customHeight="1" x14ac:dyDescent="0.2">
      <c r="H10" s="7"/>
      <c r="I10" s="7"/>
      <c r="J10" s="7"/>
      <c r="K10" s="7"/>
    </row>
    <row r="11" spans="3:11" ht="15" customHeight="1" x14ac:dyDescent="0.2">
      <c r="H11" s="7"/>
      <c r="I11" s="7"/>
      <c r="J11" s="7"/>
      <c r="K11" s="7"/>
    </row>
    <row r="12" spans="3:11" x14ac:dyDescent="0.2">
      <c r="H12" s="7"/>
      <c r="I12" s="7"/>
      <c r="J12" s="7"/>
      <c r="K12" s="7"/>
    </row>
    <row r="13" spans="3:11" x14ac:dyDescent="0.2">
      <c r="H13" s="7"/>
      <c r="I13" s="7"/>
      <c r="J13" s="7"/>
      <c r="K13" s="7"/>
    </row>
    <row r="14" spans="3:11" x14ac:dyDescent="0.2">
      <c r="H14" s="7"/>
      <c r="I14" s="7"/>
      <c r="J14" s="7"/>
      <c r="K14" s="7"/>
    </row>
    <row r="15" spans="3:11" x14ac:dyDescent="0.2">
      <c r="H15" s="7"/>
      <c r="I15" s="7"/>
      <c r="J15" s="7"/>
      <c r="K15" s="7"/>
    </row>
    <row r="16" spans="3:11" x14ac:dyDescent="0.2">
      <c r="H16" s="7"/>
      <c r="I16" s="7"/>
      <c r="J16" s="7"/>
      <c r="K16" s="7"/>
    </row>
    <row r="17" spans="8:13" x14ac:dyDescent="0.2">
      <c r="H17" s="7"/>
      <c r="I17" s="7"/>
      <c r="J17" s="7"/>
      <c r="K17" s="7"/>
    </row>
    <row r="18" spans="8:13" x14ac:dyDescent="0.2">
      <c r="H18" s="7"/>
      <c r="I18" s="7"/>
      <c r="J18" s="7"/>
      <c r="K18" s="7"/>
    </row>
    <row r="19" spans="8:13" x14ac:dyDescent="0.2">
      <c r="H19" s="7"/>
      <c r="I19" s="7"/>
      <c r="J19" s="7"/>
      <c r="K19" s="7"/>
    </row>
    <row r="20" spans="8:13" x14ac:dyDescent="0.2">
      <c r="H20" s="7"/>
      <c r="I20" s="7"/>
      <c r="J20" s="7"/>
      <c r="K20" s="7"/>
    </row>
    <row r="21" spans="8:13" x14ac:dyDescent="0.2">
      <c r="H21" s="7"/>
      <c r="I21" s="7"/>
      <c r="J21" s="7"/>
      <c r="K21" s="7"/>
    </row>
    <row r="22" spans="8:13" x14ac:dyDescent="0.2">
      <c r="H22" s="7"/>
      <c r="I22" s="7"/>
      <c r="J22" s="7"/>
      <c r="K22" s="7"/>
    </row>
    <row r="23" spans="8:13" x14ac:dyDescent="0.2">
      <c r="H23" s="7"/>
      <c r="I23" s="7"/>
      <c r="J23" s="7"/>
      <c r="K23" s="7"/>
    </row>
    <row r="24" spans="8:13" x14ac:dyDescent="0.2">
      <c r="H24" s="7"/>
      <c r="I24" s="7"/>
      <c r="J24" s="7"/>
      <c r="K24" s="7"/>
      <c r="M24" s="7"/>
    </row>
    <row r="25" spans="8:13" x14ac:dyDescent="0.2">
      <c r="H25" s="7"/>
      <c r="I25" s="7"/>
      <c r="J25" s="7"/>
      <c r="K25" s="7"/>
    </row>
    <row r="26" spans="8:13" x14ac:dyDescent="0.2">
      <c r="H26" s="7"/>
      <c r="I26" s="7"/>
      <c r="J26" s="7"/>
      <c r="K26" s="7"/>
    </row>
    <row r="27" spans="8:13" x14ac:dyDescent="0.2">
      <c r="H27" s="7"/>
      <c r="I27" s="7"/>
      <c r="J27" s="7"/>
      <c r="K27" s="7"/>
    </row>
    <row r="28" spans="8:13" x14ac:dyDescent="0.2">
      <c r="H28" s="7"/>
      <c r="I28" s="7"/>
      <c r="J28" s="7"/>
      <c r="K28" s="7"/>
    </row>
    <row r="29" spans="8:13" x14ac:dyDescent="0.2">
      <c r="H29" s="7"/>
      <c r="I29" s="7"/>
      <c r="J29" s="7"/>
      <c r="K29" s="7"/>
    </row>
    <row r="30" spans="8:13" x14ac:dyDescent="0.2">
      <c r="H30" s="7"/>
      <c r="I30" s="7"/>
      <c r="J30" s="7"/>
      <c r="K30" s="7"/>
    </row>
    <row r="31" spans="8:13" x14ac:dyDescent="0.2">
      <c r="H31" s="7"/>
      <c r="I31" s="7"/>
      <c r="J31" s="7"/>
      <c r="K31" s="7"/>
    </row>
    <row r="32" spans="8:13" x14ac:dyDescent="0.2">
      <c r="H32" s="7"/>
      <c r="I32" s="7"/>
      <c r="J32" s="7"/>
      <c r="K32" s="7"/>
    </row>
    <row r="33" spans="3:11" x14ac:dyDescent="0.2">
      <c r="H33" s="7"/>
      <c r="I33" s="7"/>
      <c r="J33" s="7"/>
      <c r="K33" s="7"/>
    </row>
    <row r="34" spans="3:11" x14ac:dyDescent="0.2">
      <c r="H34" s="7"/>
      <c r="I34" s="7"/>
      <c r="J34" s="7"/>
      <c r="K34" s="7"/>
    </row>
    <row r="35" spans="3:11" x14ac:dyDescent="0.2">
      <c r="H35" s="7"/>
      <c r="I35" s="7"/>
      <c r="J35" s="7"/>
      <c r="K35" s="7"/>
    </row>
    <row r="36" spans="3:11" x14ac:dyDescent="0.2">
      <c r="H36" s="7"/>
      <c r="I36" s="7"/>
      <c r="J36" s="7"/>
      <c r="K36" s="7"/>
    </row>
    <row r="37" spans="3:11" x14ac:dyDescent="0.2">
      <c r="H37" s="7"/>
      <c r="I37" s="7"/>
      <c r="J37" s="7"/>
      <c r="K37" s="7"/>
    </row>
    <row r="38" spans="3:11" x14ac:dyDescent="0.2">
      <c r="H38" s="7"/>
      <c r="I38" s="7"/>
      <c r="J38" s="7"/>
      <c r="K38" s="7"/>
    </row>
    <row r="39" spans="3:11" x14ac:dyDescent="0.2">
      <c r="H39" s="7"/>
      <c r="I39" s="7"/>
      <c r="J39" s="7"/>
      <c r="K39" s="7"/>
    </row>
    <row r="40" spans="3:11" x14ac:dyDescent="0.2">
      <c r="H40" s="7"/>
      <c r="I40" s="7"/>
      <c r="J40" s="7"/>
      <c r="K40" s="7"/>
    </row>
    <row r="41" spans="3:11" x14ac:dyDescent="0.2">
      <c r="H41" s="7"/>
      <c r="I41" s="7"/>
      <c r="J41" s="7"/>
      <c r="K41" s="7"/>
    </row>
    <row r="42" spans="3:11" x14ac:dyDescent="0.2">
      <c r="H42" s="7"/>
      <c r="I42" s="7"/>
      <c r="J42" s="7"/>
      <c r="K42" s="7"/>
    </row>
    <row r="43" spans="3:11" x14ac:dyDescent="0.2">
      <c r="H43" s="7"/>
      <c r="I43" s="7"/>
      <c r="J43" s="7"/>
      <c r="K43" s="7"/>
    </row>
    <row r="44" spans="3:11" x14ac:dyDescent="0.2">
      <c r="H44" s="7"/>
      <c r="I44" s="7"/>
      <c r="J44" s="7"/>
      <c r="K44" s="7"/>
    </row>
    <row r="45" spans="3:11" ht="11.25" customHeight="1" x14ac:dyDescent="0.2">
      <c r="H45" s="7"/>
      <c r="I45" s="7"/>
      <c r="J45" s="7"/>
      <c r="K45" s="7"/>
    </row>
    <row r="46" spans="3:11" x14ac:dyDescent="0.2">
      <c r="G46" s="5" t="s">
        <v>214</v>
      </c>
      <c r="H46" s="7"/>
      <c r="I46" s="7"/>
      <c r="J46" s="7"/>
      <c r="K46" s="7"/>
    </row>
    <row r="47" spans="3:11" x14ac:dyDescent="0.2">
      <c r="H47" s="7"/>
      <c r="I47" s="7"/>
      <c r="J47" s="7"/>
      <c r="K47" s="7"/>
    </row>
    <row r="48" spans="3:11" x14ac:dyDescent="0.2">
      <c r="C48" s="5"/>
      <c r="H48" s="7"/>
      <c r="I48" s="7"/>
      <c r="J48" s="7"/>
      <c r="K48" s="7"/>
    </row>
    <row r="49" spans="8:11" x14ac:dyDescent="0.2">
      <c r="H49" s="7"/>
      <c r="I49" s="7"/>
      <c r="J49" s="7"/>
      <c r="K49" s="7"/>
    </row>
    <row r="50" spans="8:11" x14ac:dyDescent="0.2">
      <c r="H50" s="7"/>
      <c r="I50" s="7"/>
      <c r="J50" s="7"/>
      <c r="K50" s="7"/>
    </row>
    <row r="51" spans="8:11" x14ac:dyDescent="0.2">
      <c r="H51" s="7"/>
      <c r="I51" s="7"/>
      <c r="J51" s="7"/>
      <c r="K51" s="7"/>
    </row>
    <row r="52" spans="8:11" x14ac:dyDescent="0.2">
      <c r="H52" s="7"/>
      <c r="I52" s="7"/>
      <c r="J52" s="7"/>
      <c r="K52" s="7"/>
    </row>
    <row r="53" spans="8:11" x14ac:dyDescent="0.2">
      <c r="H53" s="7"/>
      <c r="I53" s="7"/>
      <c r="J53" s="7"/>
      <c r="K53" s="7"/>
    </row>
    <row r="54" spans="8:11" x14ac:dyDescent="0.2">
      <c r="H54" s="7"/>
      <c r="I54" s="7"/>
      <c r="J54" s="7"/>
      <c r="K54" s="7"/>
    </row>
    <row r="55" spans="8:11" x14ac:dyDescent="0.2">
      <c r="H55" s="7"/>
      <c r="I55" s="7"/>
      <c r="J55" s="7"/>
      <c r="K55" s="7"/>
    </row>
    <row r="56" spans="8:11" x14ac:dyDescent="0.2">
      <c r="H56" s="7"/>
      <c r="I56" s="7"/>
      <c r="J56" s="7"/>
      <c r="K56" s="7"/>
    </row>
    <row r="57" spans="8:11" x14ac:dyDescent="0.2">
      <c r="H57" s="7"/>
      <c r="I57" s="7"/>
      <c r="J57" s="7"/>
      <c r="K57" s="7"/>
    </row>
  </sheetData>
  <printOptions horizontalCentered="1" verticalCentered="1"/>
  <pageMargins left="0" right="0" top="0" bottom="0" header="0" footer="0"/>
  <pageSetup paperSize="9" scale="8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1:M58"/>
  <sheetViews>
    <sheetView showGridLines="0" view="pageBreakPreview" zoomScaleNormal="100" zoomScaleSheetLayoutView="100" workbookViewId="0">
      <selection activeCell="M51" sqref="M51"/>
    </sheetView>
  </sheetViews>
  <sheetFormatPr baseColWidth="10" defaultColWidth="11.5703125" defaultRowHeight="12.75" x14ac:dyDescent="0.2"/>
  <cols>
    <col min="1" max="1" width="11.5703125" style="6"/>
    <col min="2" max="2" width="3.42578125" style="6" customWidth="1"/>
    <col min="3" max="3" width="13.7109375" style="6" customWidth="1"/>
    <col min="4" max="4" width="15" style="6" customWidth="1"/>
    <col min="5" max="5" width="25.42578125" style="6" customWidth="1"/>
    <col min="6" max="6" width="14.7109375" style="6" customWidth="1"/>
    <col min="7" max="7" width="9.28515625" style="6" customWidth="1"/>
    <col min="8" max="8" width="16.42578125" style="6" customWidth="1"/>
    <col min="9" max="9" width="16" style="6" customWidth="1"/>
    <col min="10" max="10" width="14.42578125" style="6" customWidth="1"/>
    <col min="11" max="11" width="11.42578125" style="6" customWidth="1"/>
    <col min="12" max="16384" width="11.5703125" style="6"/>
  </cols>
  <sheetData>
    <row r="1" spans="8:11" ht="5.25" customHeight="1" x14ac:dyDescent="0.2"/>
    <row r="2" spans="8:11" ht="6" customHeight="1" x14ac:dyDescent="0.2">
      <c r="H2" s="7"/>
      <c r="I2" s="7"/>
      <c r="J2" s="7"/>
      <c r="K2" s="7"/>
    </row>
    <row r="3" spans="8:11" ht="37.5" customHeight="1" x14ac:dyDescent="0.2">
      <c r="H3" s="7"/>
      <c r="I3" s="7"/>
      <c r="J3" s="7"/>
      <c r="K3" s="7"/>
    </row>
    <row r="4" spans="8:11" ht="6" customHeight="1" x14ac:dyDescent="0.2">
      <c r="H4" s="7"/>
      <c r="I4" s="7"/>
      <c r="J4" s="7"/>
      <c r="K4" s="7"/>
    </row>
    <row r="5" spans="8:11" ht="36" customHeight="1" x14ac:dyDescent="0.2">
      <c r="H5" s="7"/>
      <c r="I5" s="7"/>
      <c r="J5" s="7"/>
      <c r="K5" s="7"/>
    </row>
    <row r="6" spans="8:11" ht="9.75" customHeight="1" x14ac:dyDescent="0.2">
      <c r="H6" s="7"/>
      <c r="I6" s="7"/>
      <c r="J6" s="7"/>
      <c r="K6" s="7"/>
    </row>
    <row r="7" spans="8:11" ht="18.75" customHeight="1" x14ac:dyDescent="0.2">
      <c r="H7" s="7"/>
      <c r="I7" s="7"/>
      <c r="J7" s="7"/>
      <c r="K7" s="7"/>
    </row>
    <row r="8" spans="8:11" ht="20.25" customHeight="1" x14ac:dyDescent="0.2">
      <c r="H8" s="7"/>
      <c r="I8" s="7"/>
      <c r="J8" s="7"/>
      <c r="K8" s="7"/>
    </row>
    <row r="9" spans="8:11" ht="21.75" customHeight="1" x14ac:dyDescent="0.2">
      <c r="H9" s="7"/>
      <c r="I9" s="7"/>
      <c r="J9" s="7"/>
      <c r="K9" s="7"/>
    </row>
    <row r="10" spans="8:11" ht="18.75" customHeight="1" x14ac:dyDescent="0.2">
      <c r="H10" s="7"/>
      <c r="I10" s="7"/>
      <c r="J10" s="7"/>
      <c r="K10" s="7"/>
    </row>
    <row r="11" spans="8:11" ht="15" customHeight="1" x14ac:dyDescent="0.2">
      <c r="H11" s="7"/>
      <c r="I11" s="7"/>
      <c r="J11" s="7"/>
      <c r="K11" s="7"/>
    </row>
    <row r="12" spans="8:11" x14ac:dyDescent="0.2">
      <c r="H12" s="7"/>
      <c r="I12" s="7"/>
      <c r="J12" s="7"/>
      <c r="K12" s="7"/>
    </row>
    <row r="13" spans="8:11" x14ac:dyDescent="0.2">
      <c r="H13" s="7"/>
      <c r="I13" s="7"/>
      <c r="J13" s="7"/>
      <c r="K13" s="7"/>
    </row>
    <row r="14" spans="8:11" x14ac:dyDescent="0.2">
      <c r="H14" s="7"/>
      <c r="I14" s="7"/>
      <c r="J14" s="7"/>
      <c r="K14" s="7"/>
    </row>
    <row r="15" spans="8:11" x14ac:dyDescent="0.2">
      <c r="H15" s="7"/>
      <c r="I15" s="7"/>
      <c r="J15" s="7"/>
      <c r="K15" s="7"/>
    </row>
    <row r="16" spans="8:11" x14ac:dyDescent="0.2">
      <c r="H16" s="7"/>
      <c r="I16" s="7"/>
      <c r="J16" s="7"/>
      <c r="K16" s="7"/>
    </row>
    <row r="17" spans="8:13" x14ac:dyDescent="0.2">
      <c r="H17" s="7"/>
      <c r="I17" s="7"/>
      <c r="J17" s="7"/>
      <c r="K17" s="7"/>
    </row>
    <row r="18" spans="8:13" x14ac:dyDescent="0.2">
      <c r="H18" s="7"/>
      <c r="I18" s="7"/>
      <c r="J18" s="7"/>
      <c r="K18" s="7"/>
    </row>
    <row r="19" spans="8:13" x14ac:dyDescent="0.2">
      <c r="H19" s="7"/>
      <c r="I19" s="7"/>
      <c r="J19" s="7"/>
      <c r="K19" s="7"/>
    </row>
    <row r="20" spans="8:13" x14ac:dyDescent="0.2">
      <c r="H20" s="7"/>
      <c r="I20" s="7"/>
      <c r="J20" s="7"/>
      <c r="K20" s="7"/>
    </row>
    <row r="21" spans="8:13" x14ac:dyDescent="0.2">
      <c r="H21" s="7"/>
      <c r="I21" s="7"/>
      <c r="J21" s="7"/>
      <c r="K21" s="7"/>
    </row>
    <row r="22" spans="8:13" x14ac:dyDescent="0.2">
      <c r="H22" s="7"/>
      <c r="I22" s="7"/>
      <c r="J22" s="7"/>
      <c r="K22" s="7"/>
    </row>
    <row r="23" spans="8:13" x14ac:dyDescent="0.2">
      <c r="H23" s="7"/>
      <c r="I23" s="7"/>
      <c r="J23" s="7"/>
      <c r="K23" s="7"/>
    </row>
    <row r="24" spans="8:13" x14ac:dyDescent="0.2">
      <c r="H24" s="7"/>
      <c r="I24" s="7"/>
      <c r="J24" s="7"/>
      <c r="K24" s="7"/>
      <c r="M24" s="7"/>
    </row>
    <row r="25" spans="8:13" x14ac:dyDescent="0.2">
      <c r="H25" s="7"/>
      <c r="I25" s="7"/>
      <c r="J25" s="7"/>
      <c r="K25" s="7"/>
    </row>
    <row r="26" spans="8:13" x14ac:dyDescent="0.2">
      <c r="H26" s="7"/>
      <c r="I26" s="7"/>
      <c r="J26" s="7"/>
      <c r="K26" s="7"/>
    </row>
    <row r="27" spans="8:13" x14ac:dyDescent="0.2">
      <c r="H27" s="7"/>
      <c r="I27" s="7"/>
      <c r="J27" s="7"/>
      <c r="K27" s="7"/>
    </row>
    <row r="28" spans="8:13" x14ac:dyDescent="0.2">
      <c r="H28" s="7"/>
      <c r="I28" s="7"/>
      <c r="J28" s="7"/>
      <c r="K28" s="7"/>
    </row>
    <row r="29" spans="8:13" x14ac:dyDescent="0.2">
      <c r="H29" s="7"/>
      <c r="I29" s="7"/>
      <c r="J29" s="7"/>
      <c r="K29" s="7"/>
    </row>
    <row r="30" spans="8:13" x14ac:dyDescent="0.2">
      <c r="H30" s="7"/>
      <c r="I30" s="7"/>
      <c r="J30" s="7"/>
      <c r="K30" s="7"/>
    </row>
    <row r="31" spans="8:13" x14ac:dyDescent="0.2">
      <c r="H31" s="7"/>
      <c r="I31" s="7"/>
      <c r="J31" s="7"/>
      <c r="K31" s="7"/>
    </row>
    <row r="32" spans="8:13" x14ac:dyDescent="0.2">
      <c r="H32" s="7"/>
      <c r="I32" s="7"/>
      <c r="J32" s="7"/>
      <c r="K32" s="7"/>
    </row>
    <row r="33" spans="8:11" x14ac:dyDescent="0.2">
      <c r="H33" s="7"/>
      <c r="I33" s="7"/>
      <c r="J33" s="7"/>
      <c r="K33" s="7"/>
    </row>
    <row r="34" spans="8:11" x14ac:dyDescent="0.2">
      <c r="H34" s="7"/>
      <c r="I34" s="7"/>
      <c r="J34" s="7"/>
      <c r="K34" s="7"/>
    </row>
    <row r="35" spans="8:11" x14ac:dyDescent="0.2">
      <c r="H35" s="7"/>
      <c r="I35" s="7"/>
      <c r="J35" s="7"/>
      <c r="K35" s="7"/>
    </row>
    <row r="36" spans="8:11" x14ac:dyDescent="0.2">
      <c r="H36" s="7"/>
      <c r="I36" s="7"/>
      <c r="J36" s="7"/>
      <c r="K36" s="7"/>
    </row>
    <row r="37" spans="8:11" x14ac:dyDescent="0.2">
      <c r="H37" s="7"/>
      <c r="I37" s="7"/>
      <c r="J37" s="7"/>
      <c r="K37" s="7"/>
    </row>
    <row r="38" spans="8:11" x14ac:dyDescent="0.2">
      <c r="H38" s="7"/>
      <c r="I38" s="7"/>
      <c r="J38" s="7"/>
      <c r="K38" s="7"/>
    </row>
    <row r="39" spans="8:11" x14ac:dyDescent="0.2">
      <c r="H39" s="7"/>
      <c r="I39" s="7"/>
      <c r="J39" s="7"/>
      <c r="K39" s="7"/>
    </row>
    <row r="40" spans="8:11" x14ac:dyDescent="0.2">
      <c r="H40" s="7"/>
      <c r="I40" s="7"/>
      <c r="J40" s="7"/>
      <c r="K40" s="7"/>
    </row>
    <row r="41" spans="8:11" x14ac:dyDescent="0.2">
      <c r="H41" s="7"/>
      <c r="I41" s="7"/>
      <c r="J41" s="7"/>
      <c r="K41" s="7"/>
    </row>
    <row r="42" spans="8:11" x14ac:dyDescent="0.2">
      <c r="H42" s="7"/>
      <c r="I42" s="7"/>
      <c r="J42" s="7"/>
      <c r="K42" s="7"/>
    </row>
    <row r="43" spans="8:11" x14ac:dyDescent="0.2">
      <c r="H43" s="7"/>
      <c r="I43" s="7"/>
      <c r="J43" s="7"/>
      <c r="K43" s="7"/>
    </row>
    <row r="44" spans="8:11" x14ac:dyDescent="0.2">
      <c r="H44" s="7"/>
      <c r="I44" s="7"/>
      <c r="J44" s="7"/>
      <c r="K44" s="7"/>
    </row>
    <row r="45" spans="8:11" ht="11.25" customHeight="1" x14ac:dyDescent="0.2">
      <c r="H45" s="7"/>
      <c r="I45" s="7"/>
      <c r="J45" s="7"/>
      <c r="K45" s="7"/>
    </row>
    <row r="46" spans="8:11" x14ac:dyDescent="0.2">
      <c r="H46" s="7"/>
      <c r="I46" s="7"/>
      <c r="J46" s="7"/>
      <c r="K46" s="7"/>
    </row>
    <row r="47" spans="8:11" x14ac:dyDescent="0.2">
      <c r="H47" s="7"/>
      <c r="I47" s="7"/>
      <c r="J47" s="7"/>
      <c r="K47" s="7"/>
    </row>
    <row r="48" spans="8:11" x14ac:dyDescent="0.2">
      <c r="H48" s="7"/>
      <c r="I48" s="7"/>
      <c r="J48" s="7"/>
      <c r="K48" s="7"/>
    </row>
    <row r="49" spans="3:11" x14ac:dyDescent="0.2">
      <c r="H49" s="7"/>
      <c r="I49" s="7"/>
      <c r="J49" s="7"/>
      <c r="K49" s="7"/>
    </row>
    <row r="50" spans="3:11" x14ac:dyDescent="0.2">
      <c r="C50" s="717" t="s">
        <v>215</v>
      </c>
      <c r="H50" s="7"/>
      <c r="I50" s="7"/>
      <c r="J50" s="7"/>
      <c r="K50" s="7"/>
    </row>
    <row r="51" spans="3:11" x14ac:dyDescent="0.2">
      <c r="H51" s="7"/>
      <c r="I51" s="7"/>
      <c r="J51" s="7"/>
      <c r="K51" s="7"/>
    </row>
    <row r="52" spans="3:11" x14ac:dyDescent="0.2">
      <c r="H52" s="7"/>
      <c r="I52" s="7"/>
      <c r="J52" s="7"/>
      <c r="K52" s="7"/>
    </row>
    <row r="53" spans="3:11" x14ac:dyDescent="0.2">
      <c r="H53" s="7"/>
      <c r="I53" s="7"/>
      <c r="J53" s="7"/>
      <c r="K53" s="7"/>
    </row>
    <row r="54" spans="3:11" x14ac:dyDescent="0.2">
      <c r="H54" s="7"/>
      <c r="I54" s="7"/>
      <c r="J54" s="7"/>
      <c r="K54" s="7"/>
    </row>
    <row r="55" spans="3:11" x14ac:dyDescent="0.2">
      <c r="H55" s="7"/>
      <c r="I55" s="7"/>
      <c r="J55" s="7"/>
      <c r="K55" s="7"/>
    </row>
    <row r="56" spans="3:11" x14ac:dyDescent="0.2">
      <c r="H56" s="7"/>
      <c r="I56" s="7"/>
      <c r="J56" s="7"/>
      <c r="K56" s="7"/>
    </row>
    <row r="57" spans="3:11" x14ac:dyDescent="0.2">
      <c r="H57" s="7"/>
      <c r="I57" s="7"/>
      <c r="J57" s="7"/>
      <c r="K57" s="7"/>
    </row>
    <row r="58" spans="3:11" ht="21" customHeight="1" x14ac:dyDescent="0.2"/>
  </sheetData>
  <printOptions horizontalCentered="1" verticalCentered="1"/>
  <pageMargins left="0" right="0" top="0" bottom="0" header="0" footer="0"/>
  <pageSetup paperSize="9" scale="7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1:P81"/>
  <sheetViews>
    <sheetView showGridLines="0" view="pageBreakPreview" zoomScale="85" zoomScaleNormal="55" zoomScaleSheetLayoutView="85" workbookViewId="0">
      <selection activeCell="L22" sqref="L22"/>
    </sheetView>
  </sheetViews>
  <sheetFormatPr baseColWidth="10" defaultColWidth="11.5703125" defaultRowHeight="12.75" x14ac:dyDescent="0.2"/>
  <cols>
    <col min="1" max="1" width="11.5703125" style="6"/>
    <col min="2" max="2" width="3.42578125" style="6" customWidth="1"/>
    <col min="3" max="3" width="24.7109375" style="6" customWidth="1"/>
    <col min="4" max="4" width="19.5703125" style="6" customWidth="1"/>
    <col min="5" max="5" width="19" style="6" customWidth="1"/>
    <col min="6" max="6" width="6.28515625" style="6" customWidth="1"/>
    <col min="7" max="9" width="12.5703125" style="6" customWidth="1"/>
    <col min="10" max="10" width="19.28515625" style="6" customWidth="1"/>
    <col min="11" max="11" width="10.7109375" style="6" customWidth="1"/>
    <col min="12" max="16384" width="11.5703125" style="6"/>
  </cols>
  <sheetData>
    <row r="1" spans="3:16" ht="38.25" customHeight="1" x14ac:dyDescent="0.2">
      <c r="C1" s="5"/>
      <c r="D1" s="4"/>
      <c r="E1" s="4"/>
      <c r="F1" s="4"/>
      <c r="H1" s="7"/>
      <c r="I1" s="7"/>
      <c r="J1" s="7"/>
      <c r="K1" s="7"/>
    </row>
    <row r="2" spans="3:16" ht="6" customHeight="1" x14ac:dyDescent="0.2">
      <c r="C2" s="4"/>
      <c r="D2" s="4"/>
      <c r="E2" s="4"/>
      <c r="F2" s="4"/>
      <c r="H2" s="7"/>
      <c r="I2" s="7"/>
      <c r="J2" s="7"/>
      <c r="K2" s="7"/>
    </row>
    <row r="3" spans="3:16" ht="37.5" customHeight="1" x14ac:dyDescent="0.2">
      <c r="H3" s="7"/>
      <c r="I3" s="7"/>
      <c r="J3" s="7"/>
      <c r="K3" s="7"/>
    </row>
    <row r="4" spans="3:16" ht="6" customHeight="1" x14ac:dyDescent="0.2">
      <c r="H4" s="7"/>
      <c r="I4" s="7"/>
      <c r="J4" s="7"/>
      <c r="K4" s="7"/>
    </row>
    <row r="5" spans="3:16" ht="36" customHeight="1" x14ac:dyDescent="0.2">
      <c r="H5" s="7"/>
      <c r="I5" s="7"/>
      <c r="J5" s="7"/>
      <c r="K5" s="7"/>
    </row>
    <row r="6" spans="3:16" ht="9.75" customHeight="1" x14ac:dyDescent="0.2">
      <c r="H6" s="7"/>
      <c r="I6" s="7"/>
      <c r="J6" s="7"/>
      <c r="K6" s="7"/>
    </row>
    <row r="7" spans="3:16" ht="18.75" customHeight="1" x14ac:dyDescent="0.2">
      <c r="H7" s="7"/>
      <c r="I7" s="7"/>
      <c r="J7" s="7"/>
      <c r="K7" s="7"/>
    </row>
    <row r="8" spans="3:16" ht="20.25" customHeight="1" x14ac:dyDescent="0.2">
      <c r="H8" s="7"/>
      <c r="I8" s="7"/>
      <c r="J8" s="7"/>
      <c r="K8" s="7"/>
    </row>
    <row r="9" spans="3:16" ht="16.5" customHeight="1" x14ac:dyDescent="0.2">
      <c r="H9" s="7"/>
      <c r="I9" s="7"/>
      <c r="J9" s="7"/>
      <c r="K9" s="7"/>
      <c r="P9" s="8"/>
    </row>
    <row r="10" spans="3:16" ht="7.5" customHeight="1" x14ac:dyDescent="0.2">
      <c r="H10" s="7"/>
      <c r="I10" s="7"/>
      <c r="J10" s="7"/>
      <c r="K10" s="7"/>
    </row>
    <row r="11" spans="3:16" x14ac:dyDescent="0.2">
      <c r="H11" s="7"/>
      <c r="I11" s="7"/>
      <c r="J11" s="7"/>
      <c r="K11" s="7"/>
    </row>
    <row r="12" spans="3:16" x14ac:dyDescent="0.2">
      <c r="H12" s="7"/>
      <c r="I12" s="7"/>
      <c r="J12" s="7"/>
      <c r="K12" s="7"/>
      <c r="P12" s="8"/>
    </row>
    <row r="13" spans="3:16" x14ac:dyDescent="0.2">
      <c r="H13" s="7"/>
      <c r="I13" s="7"/>
      <c r="J13" s="7"/>
      <c r="K13" s="7"/>
    </row>
    <row r="14" spans="3:16" x14ac:dyDescent="0.2">
      <c r="H14" s="7"/>
      <c r="I14" s="7"/>
      <c r="J14" s="7"/>
      <c r="K14" s="7"/>
    </row>
    <row r="15" spans="3:16" x14ac:dyDescent="0.2">
      <c r="H15" s="7"/>
      <c r="I15" s="7"/>
      <c r="J15" s="7"/>
      <c r="K15" s="7"/>
    </row>
    <row r="16" spans="3:16" x14ac:dyDescent="0.2">
      <c r="H16" s="7"/>
      <c r="I16" s="7"/>
      <c r="J16" s="7"/>
      <c r="K16" s="7"/>
    </row>
    <row r="17" spans="8:16" x14ac:dyDescent="0.2">
      <c r="H17" s="7"/>
      <c r="I17" s="7"/>
      <c r="J17" s="7"/>
      <c r="K17" s="7"/>
    </row>
    <row r="18" spans="8:16" x14ac:dyDescent="0.2">
      <c r="H18" s="7"/>
      <c r="I18" s="7"/>
      <c r="J18" s="7"/>
      <c r="K18" s="7"/>
    </row>
    <row r="19" spans="8:16" x14ac:dyDescent="0.2">
      <c r="H19" s="7"/>
      <c r="I19" s="7"/>
      <c r="J19" s="7"/>
      <c r="K19" s="7"/>
      <c r="P19" s="8"/>
    </row>
    <row r="20" spans="8:16" x14ac:dyDescent="0.2">
      <c r="H20" s="7"/>
      <c r="I20" s="7"/>
      <c r="J20" s="7"/>
      <c r="K20" s="7"/>
      <c r="P20" s="8"/>
    </row>
    <row r="21" spans="8:16" x14ac:dyDescent="0.2">
      <c r="H21" s="7"/>
      <c r="I21" s="7"/>
      <c r="J21" s="7"/>
      <c r="K21" s="7"/>
      <c r="M21" s="7"/>
    </row>
    <row r="22" spans="8:16" x14ac:dyDescent="0.2">
      <c r="H22" s="7"/>
      <c r="I22" s="7"/>
      <c r="J22" s="7"/>
      <c r="K22" s="7"/>
    </row>
    <row r="23" spans="8:16" x14ac:dyDescent="0.2">
      <c r="H23" s="7"/>
      <c r="I23" s="7"/>
      <c r="J23" s="7"/>
      <c r="K23" s="7"/>
    </row>
    <row r="24" spans="8:16" x14ac:dyDescent="0.2">
      <c r="H24" s="7"/>
      <c r="I24" s="7"/>
      <c r="J24" s="7"/>
      <c r="K24" s="7"/>
    </row>
    <row r="25" spans="8:16" x14ac:dyDescent="0.2">
      <c r="H25" s="7"/>
      <c r="I25" s="7"/>
      <c r="J25" s="7"/>
      <c r="K25" s="7"/>
    </row>
    <row r="26" spans="8:16" x14ac:dyDescent="0.2">
      <c r="H26" s="7"/>
      <c r="I26" s="7"/>
      <c r="J26" s="7"/>
      <c r="K26" s="7"/>
    </row>
    <row r="27" spans="8:16" x14ac:dyDescent="0.2">
      <c r="H27" s="7"/>
      <c r="I27" s="7"/>
      <c r="J27" s="7"/>
      <c r="K27" s="7"/>
    </row>
    <row r="28" spans="8:16" x14ac:dyDescent="0.2">
      <c r="H28" s="7"/>
      <c r="I28" s="7"/>
      <c r="J28" s="7"/>
      <c r="K28" s="7"/>
    </row>
    <row r="29" spans="8:16" x14ac:dyDescent="0.2">
      <c r="H29" s="7"/>
      <c r="I29" s="7"/>
      <c r="J29" s="7"/>
      <c r="K29" s="7"/>
    </row>
    <row r="30" spans="8:16" x14ac:dyDescent="0.2">
      <c r="H30" s="7"/>
      <c r="I30" s="7"/>
      <c r="J30" s="7"/>
      <c r="K30" s="7"/>
    </row>
    <row r="31" spans="8:16" x14ac:dyDescent="0.2">
      <c r="H31" s="7"/>
      <c r="I31" s="7"/>
      <c r="J31" s="7"/>
      <c r="K31" s="7"/>
    </row>
    <row r="32" spans="8:16" x14ac:dyDescent="0.2">
      <c r="H32" s="7"/>
      <c r="I32" s="7"/>
      <c r="J32" s="7"/>
      <c r="K32" s="7"/>
    </row>
    <row r="33" spans="8:11" x14ac:dyDescent="0.2">
      <c r="H33" s="7"/>
      <c r="I33" s="7"/>
      <c r="J33" s="7"/>
      <c r="K33" s="7"/>
    </row>
    <row r="34" spans="8:11" x14ac:dyDescent="0.2">
      <c r="H34" s="7"/>
      <c r="I34" s="7"/>
      <c r="J34" s="7"/>
      <c r="K34" s="7"/>
    </row>
    <row r="35" spans="8:11" x14ac:dyDescent="0.2">
      <c r="H35" s="7"/>
      <c r="I35" s="7"/>
      <c r="J35" s="7"/>
      <c r="K35" s="7"/>
    </row>
    <row r="36" spans="8:11" x14ac:dyDescent="0.2">
      <c r="H36" s="7"/>
      <c r="I36" s="7"/>
      <c r="J36" s="7"/>
      <c r="K36" s="7"/>
    </row>
    <row r="37" spans="8:11" x14ac:dyDescent="0.2">
      <c r="H37" s="7"/>
      <c r="I37" s="7"/>
      <c r="J37" s="7"/>
      <c r="K37" s="7"/>
    </row>
    <row r="38" spans="8:11" x14ac:dyDescent="0.2">
      <c r="H38" s="7"/>
      <c r="I38" s="7"/>
      <c r="J38" s="7"/>
      <c r="K38" s="7"/>
    </row>
    <row r="39" spans="8:11" x14ac:dyDescent="0.2">
      <c r="H39" s="7"/>
      <c r="I39" s="7"/>
      <c r="J39" s="7"/>
      <c r="K39" s="7"/>
    </row>
    <row r="40" spans="8:11" x14ac:dyDescent="0.2">
      <c r="H40" s="7"/>
      <c r="I40" s="7"/>
      <c r="J40" s="7"/>
      <c r="K40" s="7"/>
    </row>
    <row r="41" spans="8:11" x14ac:dyDescent="0.2">
      <c r="H41" s="7"/>
      <c r="I41" s="7"/>
      <c r="J41" s="7"/>
      <c r="K41" s="7"/>
    </row>
    <row r="42" spans="8:11" x14ac:dyDescent="0.2">
      <c r="H42" s="7"/>
      <c r="I42" s="7"/>
      <c r="J42" s="7"/>
      <c r="K42" s="7"/>
    </row>
    <row r="43" spans="8:11" x14ac:dyDescent="0.2">
      <c r="H43" s="7"/>
      <c r="I43" s="7"/>
      <c r="J43" s="7"/>
      <c r="K43" s="7"/>
    </row>
    <row r="44" spans="8:11" x14ac:dyDescent="0.2">
      <c r="H44" s="7"/>
      <c r="I44" s="7"/>
      <c r="J44" s="7"/>
      <c r="K44" s="7"/>
    </row>
    <row r="45" spans="8:11" x14ac:dyDescent="0.2">
      <c r="H45" s="7"/>
      <c r="I45" s="7"/>
      <c r="J45" s="7"/>
      <c r="K45" s="7"/>
    </row>
    <row r="46" spans="8:11" x14ac:dyDescent="0.2">
      <c r="H46" s="7"/>
      <c r="I46" s="7"/>
      <c r="J46" s="7"/>
      <c r="K46" s="7"/>
    </row>
    <row r="47" spans="8:11" x14ac:dyDescent="0.2">
      <c r="H47" s="7"/>
      <c r="I47" s="7"/>
      <c r="J47" s="7"/>
      <c r="K47" s="7"/>
    </row>
    <row r="48" spans="8:11" x14ac:dyDescent="0.2">
      <c r="H48" s="7"/>
      <c r="I48" s="7"/>
      <c r="J48" s="7"/>
      <c r="K48" s="7"/>
    </row>
    <row r="49" spans="3:11" x14ac:dyDescent="0.2">
      <c r="H49" s="7"/>
      <c r="I49" s="7"/>
      <c r="J49" s="7"/>
      <c r="K49" s="7"/>
    </row>
    <row r="50" spans="3:11" ht="11.25" customHeight="1" x14ac:dyDescent="0.2">
      <c r="H50" s="7"/>
      <c r="I50" s="7"/>
      <c r="J50" s="7"/>
      <c r="K50" s="7"/>
    </row>
    <row r="51" spans="3:11" x14ac:dyDescent="0.2">
      <c r="H51" s="7"/>
      <c r="I51" s="7"/>
      <c r="J51" s="7"/>
      <c r="K51" s="7"/>
    </row>
    <row r="52" spans="3:11" x14ac:dyDescent="0.2">
      <c r="H52" s="7"/>
      <c r="I52" s="7"/>
      <c r="J52" s="7"/>
      <c r="K52" s="7"/>
    </row>
    <row r="53" spans="3:11" x14ac:dyDescent="0.2">
      <c r="C53" s="5"/>
      <c r="H53" s="7"/>
      <c r="I53" s="7"/>
      <c r="J53" s="7"/>
      <c r="K53" s="7"/>
    </row>
    <row r="54" spans="3:11" x14ac:dyDescent="0.2">
      <c r="H54" s="7"/>
      <c r="I54" s="7"/>
      <c r="J54" s="7"/>
      <c r="K54" s="7"/>
    </row>
    <row r="55" spans="3:11" x14ac:dyDescent="0.2">
      <c r="H55" s="7"/>
      <c r="I55" s="7"/>
      <c r="J55" s="7"/>
      <c r="K55" s="7"/>
    </row>
    <row r="56" spans="3:11" x14ac:dyDescent="0.2">
      <c r="H56" s="7"/>
      <c r="I56" s="7"/>
      <c r="J56" s="7"/>
      <c r="K56" s="7"/>
    </row>
    <row r="57" spans="3:11" x14ac:dyDescent="0.2">
      <c r="H57" s="7"/>
      <c r="I57" s="7"/>
      <c r="J57" s="7"/>
      <c r="K57" s="7"/>
    </row>
    <row r="58" spans="3:11" x14ac:dyDescent="0.2">
      <c r="G58" s="5"/>
      <c r="H58" s="7"/>
      <c r="I58" s="7"/>
      <c r="J58" s="7"/>
      <c r="K58" s="7"/>
    </row>
    <row r="59" spans="3:11" x14ac:dyDescent="0.2">
      <c r="H59" s="7"/>
      <c r="I59" s="7"/>
      <c r="J59" s="7"/>
      <c r="K59" s="7"/>
    </row>
    <row r="60" spans="3:11" x14ac:dyDescent="0.2">
      <c r="H60" s="7"/>
      <c r="I60" s="7"/>
      <c r="J60" s="7"/>
      <c r="K60" s="7"/>
    </row>
    <row r="61" spans="3:11" x14ac:dyDescent="0.2">
      <c r="H61" s="7"/>
      <c r="I61" s="7"/>
      <c r="J61" s="7"/>
      <c r="K61" s="7"/>
    </row>
    <row r="62" spans="3:11" x14ac:dyDescent="0.2">
      <c r="H62" s="7"/>
      <c r="I62" s="7"/>
      <c r="J62" s="7"/>
      <c r="K62" s="7"/>
    </row>
    <row r="81" spans="6:6" x14ac:dyDescent="0.2">
      <c r="F81" s="5" t="s">
        <v>217</v>
      </c>
    </row>
  </sheetData>
  <printOptions horizontalCentered="1" verticalCentered="1"/>
  <pageMargins left="0" right="0" top="0" bottom="0" header="0" footer="0"/>
  <pageSetup paperSize="9" scale="6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1:M59"/>
  <sheetViews>
    <sheetView showGridLines="0" zoomScaleNormal="100" zoomScaleSheetLayoutView="93" workbookViewId="0">
      <selection activeCell="L35" sqref="L35"/>
    </sheetView>
  </sheetViews>
  <sheetFormatPr baseColWidth="10" defaultColWidth="11.5703125" defaultRowHeight="12.75" x14ac:dyDescent="0.2"/>
  <cols>
    <col min="1" max="1" width="11.5703125" style="6"/>
    <col min="2" max="2" width="3.42578125" style="6" customWidth="1"/>
    <col min="3" max="3" width="13.7109375" style="6" customWidth="1"/>
    <col min="4" max="4" width="15" style="6" customWidth="1"/>
    <col min="5" max="5" width="25.42578125" style="6" customWidth="1"/>
    <col min="6" max="6" width="14.7109375" style="6" customWidth="1"/>
    <col min="7" max="7" width="7.28515625" style="6" customWidth="1"/>
    <col min="8" max="8" width="16.5703125" style="6" customWidth="1"/>
    <col min="9" max="9" width="16.7109375" style="6" customWidth="1"/>
    <col min="10" max="10" width="14" style="6" customWidth="1"/>
    <col min="11" max="11" width="11.42578125" style="6" customWidth="1"/>
    <col min="12" max="16384" width="11.5703125" style="6"/>
  </cols>
  <sheetData>
    <row r="1" spans="3:11" ht="5.25" customHeight="1" x14ac:dyDescent="0.2"/>
    <row r="2" spans="3:11" ht="38.25" customHeight="1" x14ac:dyDescent="0.2">
      <c r="C2" s="4"/>
      <c r="D2" s="4"/>
      <c r="E2" s="4"/>
      <c r="F2" s="4"/>
      <c r="H2" s="7"/>
      <c r="I2" s="7"/>
      <c r="J2" s="7"/>
      <c r="K2" s="7"/>
    </row>
    <row r="3" spans="3:11" ht="6" customHeight="1" x14ac:dyDescent="0.2">
      <c r="H3" s="7"/>
      <c r="I3" s="7"/>
      <c r="J3" s="7"/>
      <c r="K3" s="7"/>
    </row>
    <row r="4" spans="3:11" ht="37.5" customHeight="1" x14ac:dyDescent="0.2">
      <c r="H4" s="7"/>
      <c r="I4" s="7"/>
      <c r="J4" s="7"/>
      <c r="K4" s="7"/>
    </row>
    <row r="5" spans="3:11" ht="6" customHeight="1" x14ac:dyDescent="0.2">
      <c r="H5" s="7"/>
      <c r="I5" s="7"/>
      <c r="J5" s="7"/>
      <c r="K5" s="7"/>
    </row>
    <row r="6" spans="3:11" ht="36" customHeight="1" x14ac:dyDescent="0.2">
      <c r="H6" s="7"/>
      <c r="I6" s="7"/>
      <c r="J6" s="7"/>
      <c r="K6" s="7"/>
    </row>
    <row r="7" spans="3:11" ht="9.75" customHeight="1" x14ac:dyDescent="0.2">
      <c r="H7" s="7"/>
      <c r="I7" s="7"/>
      <c r="J7" s="7"/>
      <c r="K7" s="7"/>
    </row>
    <row r="8" spans="3:11" ht="18.75" customHeight="1" x14ac:dyDescent="0.2">
      <c r="H8" s="7"/>
      <c r="I8" s="7"/>
      <c r="J8" s="7"/>
      <c r="K8" s="7"/>
    </row>
    <row r="9" spans="3:11" ht="20.25" customHeight="1" x14ac:dyDescent="0.2">
      <c r="H9" s="7"/>
      <c r="I9" s="7"/>
      <c r="J9" s="7"/>
      <c r="K9" s="7"/>
    </row>
    <row r="10" spans="3:11" ht="21.75" customHeight="1" x14ac:dyDescent="0.2">
      <c r="H10" s="7"/>
      <c r="I10" s="7"/>
      <c r="J10" s="7"/>
      <c r="K10" s="7"/>
    </row>
    <row r="11" spans="3:11" ht="18.75" customHeight="1" x14ac:dyDescent="0.2">
      <c r="H11" s="7"/>
      <c r="I11" s="7"/>
      <c r="J11" s="7"/>
      <c r="K11" s="7"/>
    </row>
    <row r="12" spans="3:11" ht="15" customHeight="1" x14ac:dyDescent="0.2">
      <c r="H12" s="7"/>
      <c r="I12" s="7"/>
      <c r="J12" s="7"/>
      <c r="K12" s="7"/>
    </row>
    <row r="13" spans="3:11" x14ac:dyDescent="0.2">
      <c r="H13" s="7"/>
      <c r="I13" s="7"/>
      <c r="J13" s="7"/>
      <c r="K13" s="7"/>
    </row>
    <row r="14" spans="3:11" x14ac:dyDescent="0.2">
      <c r="H14" s="7"/>
      <c r="I14" s="7"/>
      <c r="J14" s="7"/>
      <c r="K14" s="7"/>
    </row>
    <row r="15" spans="3:11" x14ac:dyDescent="0.2">
      <c r="H15" s="7"/>
      <c r="I15" s="7"/>
      <c r="J15" s="7"/>
      <c r="K15" s="7"/>
    </row>
    <row r="16" spans="3:11" x14ac:dyDescent="0.2">
      <c r="H16" s="7"/>
      <c r="I16" s="7"/>
      <c r="J16" s="7"/>
      <c r="K16" s="7"/>
    </row>
    <row r="17" spans="8:13" x14ac:dyDescent="0.2">
      <c r="H17" s="7"/>
      <c r="I17" s="7"/>
      <c r="J17" s="7"/>
      <c r="K17" s="7"/>
    </row>
    <row r="18" spans="8:13" x14ac:dyDescent="0.2">
      <c r="H18" s="7"/>
      <c r="I18" s="7"/>
      <c r="J18" s="7"/>
      <c r="K18" s="7"/>
    </row>
    <row r="19" spans="8:13" x14ac:dyDescent="0.2">
      <c r="H19" s="7"/>
      <c r="I19" s="7"/>
      <c r="J19" s="7"/>
      <c r="K19" s="7"/>
    </row>
    <row r="20" spans="8:13" x14ac:dyDescent="0.2">
      <c r="H20" s="7"/>
      <c r="I20" s="7"/>
      <c r="J20" s="7"/>
      <c r="K20" s="7"/>
    </row>
    <row r="21" spans="8:13" x14ac:dyDescent="0.2">
      <c r="H21" s="7"/>
      <c r="I21" s="7"/>
      <c r="J21" s="7"/>
      <c r="K21" s="7"/>
    </row>
    <row r="22" spans="8:13" x14ac:dyDescent="0.2">
      <c r="H22" s="7"/>
      <c r="I22" s="7"/>
      <c r="J22" s="7"/>
      <c r="K22" s="7"/>
    </row>
    <row r="23" spans="8:13" x14ac:dyDescent="0.2">
      <c r="H23" s="7"/>
      <c r="I23" s="7"/>
      <c r="J23" s="7"/>
      <c r="K23" s="7"/>
    </row>
    <row r="24" spans="8:13" x14ac:dyDescent="0.2">
      <c r="H24" s="7"/>
      <c r="I24" s="7"/>
      <c r="J24" s="7"/>
      <c r="K24" s="7"/>
    </row>
    <row r="25" spans="8:13" x14ac:dyDescent="0.2">
      <c r="H25" s="7"/>
      <c r="I25" s="7"/>
      <c r="J25" s="7"/>
      <c r="K25" s="7"/>
      <c r="M25" s="7"/>
    </row>
    <row r="26" spans="8:13" x14ac:dyDescent="0.2">
      <c r="H26" s="7"/>
      <c r="I26" s="7"/>
      <c r="J26" s="7"/>
      <c r="K26" s="7"/>
    </row>
    <row r="27" spans="8:13" x14ac:dyDescent="0.2">
      <c r="H27" s="7"/>
      <c r="I27" s="7"/>
      <c r="J27" s="7"/>
      <c r="K27" s="7"/>
    </row>
    <row r="28" spans="8:13" x14ac:dyDescent="0.2">
      <c r="H28" s="7"/>
      <c r="I28" s="7"/>
      <c r="J28" s="7"/>
      <c r="K28" s="7"/>
    </row>
    <row r="29" spans="8:13" x14ac:dyDescent="0.2">
      <c r="H29" s="7"/>
      <c r="I29" s="7"/>
      <c r="J29" s="7"/>
      <c r="K29" s="7"/>
    </row>
    <row r="30" spans="8:13" x14ac:dyDescent="0.2">
      <c r="H30" s="7"/>
      <c r="I30" s="7"/>
      <c r="J30" s="7"/>
      <c r="K30" s="7"/>
    </row>
    <row r="31" spans="8:13" x14ac:dyDescent="0.2">
      <c r="H31" s="7"/>
      <c r="I31" s="7"/>
      <c r="J31" s="7"/>
      <c r="K31" s="7"/>
    </row>
    <row r="32" spans="8:13" x14ac:dyDescent="0.2">
      <c r="H32" s="7"/>
      <c r="I32" s="7"/>
      <c r="J32" s="7"/>
      <c r="K32" s="7"/>
    </row>
    <row r="33" spans="8:11" x14ac:dyDescent="0.2">
      <c r="H33" s="7"/>
      <c r="I33" s="7"/>
      <c r="J33" s="7"/>
      <c r="K33" s="7"/>
    </row>
    <row r="34" spans="8:11" x14ac:dyDescent="0.2">
      <c r="H34" s="7"/>
      <c r="I34" s="7"/>
      <c r="J34" s="7"/>
      <c r="K34" s="7"/>
    </row>
    <row r="35" spans="8:11" x14ac:dyDescent="0.2">
      <c r="H35" s="7"/>
      <c r="I35" s="7"/>
      <c r="J35" s="7"/>
      <c r="K35" s="7"/>
    </row>
    <row r="36" spans="8:11" x14ac:dyDescent="0.2">
      <c r="H36" s="7"/>
      <c r="I36" s="7"/>
      <c r="J36" s="7"/>
      <c r="K36" s="7"/>
    </row>
    <row r="37" spans="8:11" x14ac:dyDescent="0.2">
      <c r="H37" s="7"/>
      <c r="I37" s="7"/>
      <c r="J37" s="7"/>
      <c r="K37" s="7"/>
    </row>
    <row r="38" spans="8:11" x14ac:dyDescent="0.2">
      <c r="H38" s="7"/>
      <c r="I38" s="7"/>
      <c r="J38" s="7"/>
      <c r="K38" s="7"/>
    </row>
    <row r="39" spans="8:11" x14ac:dyDescent="0.2">
      <c r="H39" s="7"/>
      <c r="I39" s="7"/>
      <c r="J39" s="7"/>
      <c r="K39" s="7"/>
    </row>
    <row r="40" spans="8:11" x14ac:dyDescent="0.2">
      <c r="H40" s="7"/>
      <c r="I40" s="7"/>
      <c r="J40" s="7"/>
      <c r="K40" s="7"/>
    </row>
    <row r="41" spans="8:11" x14ac:dyDescent="0.2">
      <c r="H41" s="7"/>
      <c r="I41" s="7"/>
      <c r="J41" s="7"/>
      <c r="K41" s="7"/>
    </row>
    <row r="42" spans="8:11" x14ac:dyDescent="0.2">
      <c r="H42" s="7"/>
      <c r="I42" s="7"/>
      <c r="J42" s="7"/>
      <c r="K42" s="7"/>
    </row>
    <row r="43" spans="8:11" x14ac:dyDescent="0.2">
      <c r="H43" s="7"/>
      <c r="I43" s="7"/>
      <c r="J43" s="7"/>
      <c r="K43" s="7"/>
    </row>
    <row r="44" spans="8:11" x14ac:dyDescent="0.2">
      <c r="H44" s="7"/>
      <c r="I44" s="7"/>
      <c r="J44" s="7"/>
      <c r="K44" s="7"/>
    </row>
    <row r="45" spans="8:11" x14ac:dyDescent="0.2">
      <c r="H45" s="7"/>
      <c r="I45" s="7"/>
      <c r="J45" s="7"/>
      <c r="K45" s="7"/>
    </row>
    <row r="46" spans="8:11" ht="11.25" customHeight="1" x14ac:dyDescent="0.2">
      <c r="H46" s="7"/>
      <c r="I46" s="7"/>
      <c r="J46" s="7"/>
      <c r="K46" s="7"/>
    </row>
    <row r="47" spans="8:11" x14ac:dyDescent="0.2">
      <c r="H47" s="7"/>
      <c r="I47" s="7"/>
      <c r="J47" s="7"/>
      <c r="K47" s="7"/>
    </row>
    <row r="48" spans="8:11" x14ac:dyDescent="0.2">
      <c r="H48" s="7"/>
      <c r="I48" s="7"/>
      <c r="J48" s="7"/>
      <c r="K48" s="7"/>
    </row>
    <row r="49" spans="3:11" x14ac:dyDescent="0.2">
      <c r="H49" s="7"/>
      <c r="I49" s="7"/>
      <c r="J49" s="7"/>
      <c r="K49" s="7"/>
    </row>
    <row r="50" spans="3:11" x14ac:dyDescent="0.2">
      <c r="H50" s="7"/>
      <c r="I50" s="7"/>
      <c r="J50" s="7"/>
      <c r="K50" s="7"/>
    </row>
    <row r="51" spans="3:11" x14ac:dyDescent="0.2">
      <c r="H51" s="7"/>
      <c r="I51" s="7"/>
      <c r="J51" s="7"/>
      <c r="K51" s="7"/>
    </row>
    <row r="52" spans="3:11" x14ac:dyDescent="0.2">
      <c r="H52" s="7"/>
      <c r="I52" s="7"/>
      <c r="J52" s="7"/>
      <c r="K52" s="7"/>
    </row>
    <row r="53" spans="3:11" x14ac:dyDescent="0.2">
      <c r="H53" s="7"/>
      <c r="I53" s="7"/>
      <c r="J53" s="7"/>
      <c r="K53" s="7"/>
    </row>
    <row r="54" spans="3:11" x14ac:dyDescent="0.2">
      <c r="C54" s="5" t="s">
        <v>216</v>
      </c>
      <c r="H54" s="7"/>
      <c r="I54" s="7"/>
      <c r="J54" s="7"/>
      <c r="K54" s="7"/>
    </row>
    <row r="55" spans="3:11" x14ac:dyDescent="0.2">
      <c r="H55" s="7"/>
      <c r="I55" s="7"/>
      <c r="J55" s="7"/>
      <c r="K55" s="7"/>
    </row>
    <row r="56" spans="3:11" x14ac:dyDescent="0.2">
      <c r="H56" s="7"/>
      <c r="I56" s="7"/>
      <c r="J56" s="7"/>
      <c r="K56" s="7"/>
    </row>
    <row r="57" spans="3:11" x14ac:dyDescent="0.2">
      <c r="H57" s="7"/>
      <c r="I57" s="7"/>
      <c r="J57" s="7"/>
      <c r="K57" s="7"/>
    </row>
    <row r="58" spans="3:11" x14ac:dyDescent="0.2">
      <c r="H58" s="7"/>
      <c r="I58" s="7"/>
      <c r="J58" s="7"/>
      <c r="K58" s="7"/>
    </row>
    <row r="59" spans="3:11" ht="21" customHeight="1" x14ac:dyDescent="0.2"/>
  </sheetData>
  <printOptions horizontalCentered="1" verticalCentered="1"/>
  <pageMargins left="0" right="0" top="0" bottom="0" header="0" footer="0"/>
  <pageSetup paperSize="9" scale="7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C1:M80"/>
  <sheetViews>
    <sheetView showGridLines="0" topLeftCell="B25" zoomScaleNormal="100" zoomScaleSheetLayoutView="93" workbookViewId="0">
      <selection activeCell="L62" sqref="L62"/>
    </sheetView>
  </sheetViews>
  <sheetFormatPr baseColWidth="10" defaultColWidth="11.5703125" defaultRowHeight="12.75" x14ac:dyDescent="0.2"/>
  <cols>
    <col min="1" max="1" width="11.5703125" style="6"/>
    <col min="2" max="2" width="3.42578125" style="6" customWidth="1"/>
    <col min="3" max="3" width="25.28515625" style="6" customWidth="1"/>
    <col min="4" max="4" width="19.5703125" style="6" customWidth="1"/>
    <col min="5" max="5" width="19" style="6" customWidth="1"/>
    <col min="6" max="6" width="6.28515625" style="6" customWidth="1"/>
    <col min="7" max="9" width="12.5703125" style="6" customWidth="1"/>
    <col min="10" max="10" width="19.28515625" style="6" customWidth="1"/>
    <col min="11" max="11" width="14" style="6" customWidth="1"/>
    <col min="12" max="16384" width="11.5703125" style="6"/>
  </cols>
  <sheetData>
    <row r="1" spans="3:11" ht="30" customHeight="1" x14ac:dyDescent="0.2">
      <c r="C1" s="5"/>
      <c r="D1" s="4"/>
      <c r="E1" s="4"/>
      <c r="F1" s="4"/>
      <c r="H1" s="7"/>
      <c r="I1" s="7"/>
      <c r="J1" s="7"/>
      <c r="K1" s="7"/>
    </row>
    <row r="2" spans="3:11" ht="6" customHeight="1" x14ac:dyDescent="0.2">
      <c r="C2" s="4"/>
      <c r="D2" s="4"/>
      <c r="E2" s="4"/>
      <c r="F2" s="4"/>
      <c r="H2" s="7"/>
      <c r="I2" s="7"/>
      <c r="J2" s="7"/>
      <c r="K2" s="7"/>
    </row>
    <row r="3" spans="3:11" ht="27.75" customHeight="1" x14ac:dyDescent="0.2">
      <c r="H3" s="7"/>
      <c r="I3" s="7"/>
      <c r="J3" s="7"/>
      <c r="K3" s="7"/>
    </row>
    <row r="4" spans="3:11" ht="6" customHeight="1" x14ac:dyDescent="0.2">
      <c r="H4" s="7"/>
      <c r="I4" s="7"/>
      <c r="J4" s="7"/>
      <c r="K4" s="7"/>
    </row>
    <row r="5" spans="3:11" ht="21" customHeight="1" x14ac:dyDescent="0.2">
      <c r="H5" s="7"/>
      <c r="I5" s="7"/>
      <c r="J5" s="7"/>
      <c r="K5" s="7"/>
    </row>
    <row r="6" spans="3:11" ht="7.5" customHeight="1" x14ac:dyDescent="0.2">
      <c r="H6" s="7"/>
      <c r="I6" s="7"/>
      <c r="J6" s="7"/>
      <c r="K6" s="7"/>
    </row>
    <row r="7" spans="3:11" ht="12" customHeight="1" x14ac:dyDescent="0.2">
      <c r="H7" s="7"/>
      <c r="I7" s="7"/>
      <c r="J7" s="7"/>
      <c r="K7" s="7"/>
    </row>
    <row r="8" spans="3:11" ht="12" customHeight="1" x14ac:dyDescent="0.2">
      <c r="H8" s="7"/>
      <c r="I8" s="7"/>
      <c r="J8" s="7"/>
      <c r="K8" s="7"/>
    </row>
    <row r="9" spans="3:11" ht="12" customHeight="1" x14ac:dyDescent="0.2">
      <c r="H9" s="7"/>
      <c r="I9" s="7"/>
      <c r="J9" s="7"/>
      <c r="K9" s="7"/>
    </row>
    <row r="10" spans="3:11" ht="12" customHeight="1" x14ac:dyDescent="0.2">
      <c r="H10" s="7"/>
      <c r="I10" s="7"/>
      <c r="J10" s="7"/>
      <c r="K10" s="7"/>
    </row>
    <row r="11" spans="3:11" ht="12" customHeight="1" x14ac:dyDescent="0.2">
      <c r="H11" s="7"/>
      <c r="I11" s="7"/>
      <c r="J11" s="7"/>
      <c r="K11" s="7"/>
    </row>
    <row r="12" spans="3:11" ht="12" customHeight="1" x14ac:dyDescent="0.2">
      <c r="H12" s="7"/>
      <c r="I12" s="7"/>
      <c r="J12" s="7"/>
      <c r="K12" s="7"/>
    </row>
    <row r="13" spans="3:11" ht="12" customHeight="1" x14ac:dyDescent="0.2">
      <c r="H13" s="7"/>
      <c r="I13" s="7"/>
      <c r="J13" s="7"/>
      <c r="K13" s="7"/>
    </row>
    <row r="14" spans="3:11" ht="12" customHeight="1" x14ac:dyDescent="0.2">
      <c r="H14" s="7"/>
      <c r="I14" s="7"/>
      <c r="J14" s="7"/>
      <c r="K14" s="7"/>
    </row>
    <row r="15" spans="3:11" ht="12" customHeight="1" x14ac:dyDescent="0.2">
      <c r="H15" s="7"/>
      <c r="I15" s="7"/>
      <c r="J15" s="7"/>
      <c r="K15" s="7"/>
    </row>
    <row r="16" spans="3:11" ht="12" customHeight="1" x14ac:dyDescent="0.2">
      <c r="H16" s="7"/>
      <c r="I16" s="7"/>
      <c r="J16" s="7"/>
      <c r="K16" s="7"/>
    </row>
    <row r="17" spans="8:13" ht="12" customHeight="1" x14ac:dyDescent="0.2">
      <c r="H17" s="7"/>
      <c r="I17" s="7"/>
      <c r="J17" s="7"/>
      <c r="K17" s="7"/>
    </row>
    <row r="18" spans="8:13" ht="12" customHeight="1" x14ac:dyDescent="0.2">
      <c r="H18" s="7"/>
      <c r="I18" s="7"/>
      <c r="J18" s="7"/>
      <c r="K18" s="7"/>
    </row>
    <row r="19" spans="8:13" ht="12" customHeight="1" x14ac:dyDescent="0.2">
      <c r="H19" s="7"/>
      <c r="I19" s="7"/>
      <c r="J19" s="7"/>
      <c r="K19" s="7"/>
    </row>
    <row r="20" spans="8:13" ht="12" customHeight="1" x14ac:dyDescent="0.2">
      <c r="H20" s="7"/>
      <c r="I20" s="7"/>
      <c r="J20" s="7"/>
      <c r="K20" s="7"/>
    </row>
    <row r="21" spans="8:13" ht="9.75" customHeight="1" x14ac:dyDescent="0.2">
      <c r="H21" s="7"/>
      <c r="I21" s="7"/>
      <c r="J21" s="7"/>
      <c r="K21" s="7"/>
    </row>
    <row r="22" spans="8:13" ht="12" customHeight="1" x14ac:dyDescent="0.2">
      <c r="H22" s="7"/>
      <c r="I22" s="7"/>
      <c r="J22" s="7"/>
      <c r="K22" s="7"/>
    </row>
    <row r="23" spans="8:13" ht="12" customHeight="1" x14ac:dyDescent="0.2">
      <c r="H23" s="7"/>
      <c r="I23" s="7"/>
      <c r="J23" s="7"/>
      <c r="K23" s="7"/>
    </row>
    <row r="24" spans="8:13" ht="12" customHeight="1" x14ac:dyDescent="0.2">
      <c r="H24" s="7"/>
      <c r="I24" s="7"/>
      <c r="J24" s="7"/>
      <c r="K24" s="7"/>
      <c r="M24" s="7"/>
    </row>
    <row r="25" spans="8:13" ht="12" customHeight="1" x14ac:dyDescent="0.2">
      <c r="H25" s="7"/>
      <c r="I25" s="7"/>
      <c r="J25" s="7"/>
      <c r="K25" s="7"/>
    </row>
    <row r="26" spans="8:13" ht="12" customHeight="1" x14ac:dyDescent="0.2">
      <c r="H26" s="7"/>
      <c r="I26" s="7"/>
      <c r="J26" s="7"/>
      <c r="K26" s="7"/>
    </row>
    <row r="27" spans="8:13" ht="12" customHeight="1" x14ac:dyDescent="0.2">
      <c r="H27" s="7"/>
      <c r="I27" s="7"/>
      <c r="J27" s="7"/>
      <c r="K27" s="7"/>
    </row>
    <row r="28" spans="8:13" ht="12" customHeight="1" x14ac:dyDescent="0.2">
      <c r="H28" s="7"/>
      <c r="I28" s="7"/>
      <c r="J28" s="7"/>
      <c r="K28" s="7"/>
    </row>
    <row r="29" spans="8:13" ht="12" customHeight="1" x14ac:dyDescent="0.2">
      <c r="H29" s="7"/>
      <c r="I29" s="7"/>
      <c r="J29" s="7"/>
      <c r="K29" s="7"/>
    </row>
    <row r="30" spans="8:13" ht="12" customHeight="1" x14ac:dyDescent="0.2">
      <c r="H30" s="7"/>
      <c r="I30" s="7"/>
      <c r="J30" s="7"/>
      <c r="K30" s="7"/>
    </row>
    <row r="31" spans="8:13" ht="12" customHeight="1" x14ac:dyDescent="0.2">
      <c r="H31" s="7"/>
      <c r="I31" s="7"/>
      <c r="J31" s="7"/>
      <c r="K31" s="7"/>
    </row>
    <row r="32" spans="8:13" ht="12" customHeight="1" x14ac:dyDescent="0.2">
      <c r="H32" s="7"/>
      <c r="I32" s="7"/>
      <c r="J32" s="7"/>
      <c r="K32" s="7"/>
    </row>
    <row r="33" spans="8:11" ht="12" customHeight="1" x14ac:dyDescent="0.2">
      <c r="H33" s="7"/>
      <c r="I33" s="7"/>
      <c r="J33" s="7"/>
      <c r="K33" s="7"/>
    </row>
    <row r="34" spans="8:11" ht="12" customHeight="1" x14ac:dyDescent="0.2">
      <c r="H34" s="7"/>
      <c r="I34" s="7"/>
      <c r="J34" s="7"/>
      <c r="K34" s="7"/>
    </row>
    <row r="35" spans="8:11" ht="12" customHeight="1" x14ac:dyDescent="0.2">
      <c r="H35" s="7"/>
      <c r="I35" s="7"/>
      <c r="J35" s="7"/>
      <c r="K35" s="7"/>
    </row>
    <row r="36" spans="8:11" ht="12" customHeight="1" x14ac:dyDescent="0.2">
      <c r="H36" s="7"/>
      <c r="I36" s="7"/>
      <c r="J36" s="7"/>
      <c r="K36" s="7"/>
    </row>
    <row r="37" spans="8:11" ht="12" customHeight="1" x14ac:dyDescent="0.2">
      <c r="H37" s="7"/>
      <c r="I37" s="7"/>
      <c r="J37" s="7"/>
      <c r="K37" s="7"/>
    </row>
    <row r="38" spans="8:11" ht="12" customHeight="1" x14ac:dyDescent="0.2">
      <c r="H38" s="7"/>
      <c r="I38" s="7"/>
      <c r="J38" s="7"/>
      <c r="K38" s="7"/>
    </row>
    <row r="39" spans="8:11" ht="12" customHeight="1" x14ac:dyDescent="0.2">
      <c r="H39" s="7"/>
      <c r="I39" s="7"/>
      <c r="J39" s="7"/>
      <c r="K39" s="7"/>
    </row>
    <row r="40" spans="8:11" ht="12" customHeight="1" x14ac:dyDescent="0.2">
      <c r="H40" s="7"/>
      <c r="I40" s="7"/>
      <c r="J40" s="7"/>
      <c r="K40" s="7"/>
    </row>
    <row r="41" spans="8:11" ht="12" customHeight="1" x14ac:dyDescent="0.2">
      <c r="H41" s="7"/>
      <c r="I41" s="7"/>
      <c r="J41" s="7"/>
      <c r="K41" s="7"/>
    </row>
    <row r="42" spans="8:11" ht="8.25" customHeight="1" x14ac:dyDescent="0.2">
      <c r="H42" s="7"/>
      <c r="I42" s="7"/>
      <c r="J42" s="7"/>
      <c r="K42" s="7"/>
    </row>
    <row r="43" spans="8:11" ht="11.25" customHeight="1" x14ac:dyDescent="0.2">
      <c r="H43" s="7"/>
      <c r="I43" s="7"/>
      <c r="J43" s="7"/>
      <c r="K43" s="7"/>
    </row>
    <row r="44" spans="8:11" ht="7.5" customHeight="1" x14ac:dyDescent="0.2">
      <c r="H44" s="7"/>
      <c r="I44" s="7"/>
      <c r="J44" s="7"/>
      <c r="K44" s="7"/>
    </row>
    <row r="45" spans="8:11" ht="5.25" customHeight="1" x14ac:dyDescent="0.2">
      <c r="H45" s="7"/>
      <c r="I45" s="7"/>
      <c r="J45" s="7"/>
      <c r="K45" s="7"/>
    </row>
    <row r="46" spans="8:11" ht="12" customHeight="1" x14ac:dyDescent="0.2">
      <c r="H46" s="7"/>
      <c r="I46" s="7"/>
      <c r="J46" s="7"/>
      <c r="K46" s="7"/>
    </row>
    <row r="47" spans="8:11" ht="8.25" customHeight="1" x14ac:dyDescent="0.2">
      <c r="H47" s="7"/>
      <c r="I47" s="7"/>
      <c r="J47" s="7"/>
      <c r="K47" s="7"/>
    </row>
    <row r="48" spans="8:11" ht="7.5" customHeight="1" x14ac:dyDescent="0.2">
      <c r="H48" s="7"/>
      <c r="I48" s="7"/>
      <c r="J48" s="7"/>
      <c r="K48" s="7"/>
    </row>
    <row r="49" spans="3:11" ht="12" customHeight="1" x14ac:dyDescent="0.2">
      <c r="H49" s="7"/>
      <c r="I49" s="7"/>
      <c r="J49" s="7"/>
      <c r="K49" s="7"/>
    </row>
    <row r="50" spans="3:11" ht="12" customHeight="1" x14ac:dyDescent="0.2">
      <c r="H50" s="7"/>
      <c r="I50" s="7"/>
      <c r="J50" s="7"/>
      <c r="K50" s="7"/>
    </row>
    <row r="51" spans="3:11" ht="12" customHeight="1" x14ac:dyDescent="0.2">
      <c r="H51" s="7"/>
      <c r="I51" s="7"/>
      <c r="J51" s="7"/>
      <c r="K51" s="7"/>
    </row>
    <row r="52" spans="3:11" ht="12" customHeight="1" x14ac:dyDescent="0.2">
      <c r="H52" s="7"/>
      <c r="I52" s="7"/>
      <c r="J52" s="7"/>
      <c r="K52" s="7"/>
    </row>
    <row r="53" spans="3:11" ht="12" customHeight="1" x14ac:dyDescent="0.2">
      <c r="H53" s="7"/>
      <c r="I53" s="7"/>
      <c r="J53" s="7"/>
      <c r="K53" s="7"/>
    </row>
    <row r="54" spans="3:11" ht="12" customHeight="1" x14ac:dyDescent="0.2">
      <c r="H54" s="7"/>
      <c r="I54" s="7"/>
      <c r="J54" s="7"/>
      <c r="K54" s="7"/>
    </row>
    <row r="55" spans="3:11" ht="12" customHeight="1" x14ac:dyDescent="0.2">
      <c r="H55" s="7"/>
      <c r="I55" s="7"/>
      <c r="J55" s="7"/>
      <c r="K55" s="7"/>
    </row>
    <row r="56" spans="3:11" ht="12" customHeight="1" x14ac:dyDescent="0.2">
      <c r="C56" s="5"/>
      <c r="H56" s="7"/>
      <c r="I56" s="7"/>
      <c r="J56" s="7"/>
      <c r="K56" s="7"/>
    </row>
    <row r="57" spans="3:11" ht="12" customHeight="1" x14ac:dyDescent="0.2">
      <c r="G57" s="5" t="s">
        <v>218</v>
      </c>
      <c r="H57" s="7"/>
      <c r="I57" s="7"/>
      <c r="J57" s="7"/>
      <c r="K57" s="7"/>
    </row>
    <row r="58" spans="3:11" ht="12" customHeight="1" x14ac:dyDescent="0.2">
      <c r="H58" s="7"/>
      <c r="I58" s="7"/>
      <c r="J58" s="7"/>
      <c r="K58" s="7"/>
    </row>
    <row r="59" spans="3:11" ht="12" customHeight="1" x14ac:dyDescent="0.2">
      <c r="H59" s="7"/>
      <c r="I59" s="7"/>
      <c r="J59" s="7"/>
      <c r="K59" s="7"/>
    </row>
    <row r="60" spans="3:11" ht="12" customHeight="1" x14ac:dyDescent="0.2">
      <c r="H60" s="7"/>
      <c r="I60" s="7"/>
      <c r="J60" s="7"/>
      <c r="K60" s="7"/>
    </row>
    <row r="61" spans="3:11" ht="12" customHeight="1" x14ac:dyDescent="0.2">
      <c r="H61" s="7"/>
      <c r="I61" s="7"/>
      <c r="J61" s="7"/>
      <c r="K61" s="7"/>
    </row>
    <row r="62" spans="3:11" ht="12" customHeight="1" x14ac:dyDescent="0.2">
      <c r="H62" s="7"/>
      <c r="I62" s="7"/>
      <c r="J62" s="7"/>
      <c r="K62" s="7"/>
    </row>
    <row r="63" spans="3:11" ht="12" customHeight="1" x14ac:dyDescent="0.2">
      <c r="H63" s="7"/>
      <c r="I63" s="7"/>
      <c r="J63" s="7"/>
      <c r="K63" s="7"/>
    </row>
    <row r="64" spans="3:11" ht="12" customHeight="1" x14ac:dyDescent="0.2">
      <c r="H64" s="7"/>
      <c r="I64" s="7"/>
      <c r="J64" s="7"/>
      <c r="K64" s="7"/>
    </row>
    <row r="65" spans="7:11" ht="12" customHeight="1" x14ac:dyDescent="0.2">
      <c r="H65" s="7"/>
      <c r="I65" s="7"/>
      <c r="J65" s="7"/>
      <c r="K65" s="7"/>
    </row>
    <row r="66" spans="7:11" ht="6" customHeight="1" x14ac:dyDescent="0.2"/>
    <row r="67" spans="7:11" ht="12" customHeight="1" x14ac:dyDescent="0.2">
      <c r="G67" s="5" t="s">
        <v>231</v>
      </c>
    </row>
    <row r="68" spans="7:11" ht="8.25" customHeight="1" x14ac:dyDescent="0.2"/>
    <row r="69" spans="7:11" ht="12" customHeight="1" x14ac:dyDescent="0.2"/>
    <row r="70" spans="7:11" ht="12" customHeight="1" x14ac:dyDescent="0.2"/>
    <row r="71" spans="7:11" ht="12" customHeight="1" x14ac:dyDescent="0.2"/>
    <row r="72" spans="7:11" ht="12" customHeight="1" x14ac:dyDescent="0.2"/>
    <row r="73" spans="7:11" ht="12" customHeight="1" x14ac:dyDescent="0.2"/>
    <row r="74" spans="7:11" ht="12" customHeight="1" x14ac:dyDescent="0.2"/>
    <row r="75" spans="7:11" ht="12" customHeight="1" x14ac:dyDescent="0.2"/>
    <row r="76" spans="7:11" ht="12" customHeight="1" x14ac:dyDescent="0.2"/>
    <row r="77" spans="7:11" ht="12" customHeight="1" x14ac:dyDescent="0.2"/>
    <row r="78" spans="7:11" ht="7.5" customHeight="1" x14ac:dyDescent="0.2"/>
    <row r="79" spans="7:11" ht="8.25" customHeight="1" x14ac:dyDescent="0.2"/>
    <row r="80" spans="7:11" ht="4.5" customHeight="1" x14ac:dyDescent="0.2"/>
  </sheetData>
  <printOptions horizontalCentered="1" verticalCentered="1"/>
  <pageMargins left="0" right="0" top="0" bottom="0" header="0" footer="0"/>
  <pageSetup paperSize="9" scale="7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M57"/>
  <sheetViews>
    <sheetView topLeftCell="A31" zoomScaleNormal="100" workbookViewId="0">
      <selection activeCell="N39" sqref="N39"/>
    </sheetView>
  </sheetViews>
  <sheetFormatPr baseColWidth="10" defaultColWidth="11.5703125" defaultRowHeight="12.75" x14ac:dyDescent="0.2"/>
  <cols>
    <col min="1" max="1" width="2.42578125" style="6" customWidth="1"/>
    <col min="2" max="5" width="11.5703125" style="6"/>
    <col min="6" max="7" width="12.28515625" style="6" customWidth="1"/>
    <col min="8" max="8" width="11.5703125" style="6"/>
    <col min="9" max="9" width="12.42578125" style="6" customWidth="1"/>
    <col min="10" max="16384" width="11.5703125" style="6"/>
  </cols>
  <sheetData>
    <row r="1" spans="2:13" x14ac:dyDescent="0.2">
      <c r="B1" s="4"/>
      <c r="C1" s="4"/>
      <c r="D1" s="4"/>
      <c r="E1" s="4"/>
      <c r="G1" s="7"/>
      <c r="H1" s="7"/>
      <c r="I1" s="7"/>
      <c r="J1" s="7"/>
    </row>
    <row r="2" spans="2:13" x14ac:dyDescent="0.2">
      <c r="G2" s="7"/>
      <c r="H2" s="7"/>
      <c r="I2" s="7"/>
      <c r="J2" s="7"/>
    </row>
    <row r="3" spans="2:13" x14ac:dyDescent="0.2">
      <c r="G3" s="7"/>
      <c r="H3" s="7"/>
      <c r="I3" s="7"/>
      <c r="J3" s="7"/>
    </row>
    <row r="4" spans="2:13" x14ac:dyDescent="0.2">
      <c r="G4" s="7"/>
      <c r="H4" s="7"/>
      <c r="I4" s="7"/>
      <c r="J4" s="7"/>
    </row>
    <row r="5" spans="2:13" x14ac:dyDescent="0.2">
      <c r="G5" s="7"/>
      <c r="H5" s="7"/>
      <c r="I5" s="7"/>
      <c r="J5" s="7"/>
      <c r="M5" s="8"/>
    </row>
    <row r="6" spans="2:13" x14ac:dyDescent="0.2">
      <c r="G6" s="7"/>
      <c r="H6" s="7"/>
      <c r="I6" s="7"/>
      <c r="J6" s="7"/>
      <c r="M6" s="8"/>
    </row>
    <row r="7" spans="2:13" x14ac:dyDescent="0.2">
      <c r="G7" s="7"/>
      <c r="H7" s="7"/>
      <c r="I7" s="7"/>
      <c r="J7" s="7"/>
      <c r="M7" s="9"/>
    </row>
    <row r="8" spans="2:13" x14ac:dyDescent="0.2">
      <c r="G8" s="7"/>
      <c r="H8" s="7"/>
      <c r="I8" s="7"/>
      <c r="J8" s="7"/>
      <c r="M8" s="9"/>
    </row>
    <row r="9" spans="2:13" x14ac:dyDescent="0.2">
      <c r="G9" s="7"/>
      <c r="H9" s="7"/>
      <c r="I9" s="7"/>
      <c r="J9" s="7"/>
      <c r="M9" s="9"/>
    </row>
    <row r="10" spans="2:13" x14ac:dyDescent="0.2">
      <c r="G10" s="7"/>
      <c r="H10" s="7"/>
      <c r="I10" s="7"/>
      <c r="J10" s="7"/>
      <c r="M10" s="8"/>
    </row>
    <row r="11" spans="2:13" x14ac:dyDescent="0.2">
      <c r="G11" s="7"/>
      <c r="H11" s="7"/>
      <c r="I11" s="7"/>
      <c r="J11" s="7"/>
      <c r="M11" s="8"/>
    </row>
    <row r="12" spans="2:13" x14ac:dyDescent="0.2">
      <c r="G12" s="7"/>
      <c r="H12" s="7"/>
      <c r="I12" s="7"/>
      <c r="J12" s="7"/>
      <c r="M12" s="9"/>
    </row>
    <row r="13" spans="2:13" x14ac:dyDescent="0.2">
      <c r="G13" s="7"/>
      <c r="H13" s="7"/>
      <c r="I13" s="7"/>
      <c r="J13" s="7"/>
      <c r="M13" s="8"/>
    </row>
    <row r="14" spans="2:13" x14ac:dyDescent="0.2">
      <c r="G14" s="7"/>
      <c r="H14" s="7"/>
      <c r="I14" s="7"/>
      <c r="J14" s="7"/>
      <c r="M14" s="8"/>
    </row>
    <row r="15" spans="2:13" x14ac:dyDescent="0.2">
      <c r="G15" s="7"/>
      <c r="H15" s="7"/>
      <c r="I15" s="7"/>
      <c r="J15" s="7"/>
    </row>
    <row r="16" spans="2:13" x14ac:dyDescent="0.2">
      <c r="G16" s="7"/>
      <c r="H16" s="7"/>
      <c r="I16" s="7"/>
      <c r="J16" s="7"/>
    </row>
    <row r="17" spans="7:10" x14ac:dyDescent="0.2">
      <c r="G17" s="7"/>
      <c r="H17" s="7"/>
      <c r="I17" s="7"/>
      <c r="J17" s="7"/>
    </row>
    <row r="18" spans="7:10" x14ac:dyDescent="0.2">
      <c r="G18" s="7"/>
      <c r="H18" s="7"/>
      <c r="I18" s="7"/>
      <c r="J18" s="7"/>
    </row>
    <row r="19" spans="7:10" x14ac:dyDescent="0.2">
      <c r="G19" s="7"/>
      <c r="H19" s="7"/>
      <c r="I19" s="7"/>
      <c r="J19" s="7"/>
    </row>
    <row r="20" spans="7:10" x14ac:dyDescent="0.2">
      <c r="G20" s="7"/>
      <c r="H20" s="7"/>
      <c r="I20" s="7"/>
      <c r="J20" s="7"/>
    </row>
    <row r="21" spans="7:10" x14ac:dyDescent="0.2">
      <c r="G21" s="7"/>
      <c r="H21" s="7"/>
      <c r="I21" s="7"/>
      <c r="J21" s="7"/>
    </row>
    <row r="22" spans="7:10" x14ac:dyDescent="0.2">
      <c r="G22" s="7"/>
      <c r="H22" s="7"/>
      <c r="I22" s="7"/>
      <c r="J22" s="7"/>
    </row>
    <row r="23" spans="7:10" x14ac:dyDescent="0.2">
      <c r="G23" s="7"/>
      <c r="H23" s="7"/>
      <c r="I23" s="7"/>
      <c r="J23" s="7"/>
    </row>
    <row r="24" spans="7:10" x14ac:dyDescent="0.2">
      <c r="G24" s="7"/>
      <c r="H24" s="7"/>
      <c r="I24" s="7"/>
      <c r="J24" s="7"/>
    </row>
    <row r="25" spans="7:10" x14ac:dyDescent="0.2">
      <c r="G25" s="7"/>
      <c r="H25" s="7"/>
      <c r="I25" s="7"/>
      <c r="J25" s="7"/>
    </row>
    <row r="26" spans="7:10" x14ac:dyDescent="0.2">
      <c r="G26" s="7"/>
      <c r="H26" s="7"/>
      <c r="I26" s="7"/>
      <c r="J26" s="7"/>
    </row>
    <row r="27" spans="7:10" x14ac:dyDescent="0.2">
      <c r="G27" s="7"/>
      <c r="H27" s="7"/>
      <c r="I27" s="7"/>
      <c r="J27" s="7"/>
    </row>
    <row r="28" spans="7:10" x14ac:dyDescent="0.2">
      <c r="G28" s="7"/>
      <c r="H28" s="7"/>
      <c r="I28" s="7"/>
      <c r="J28" s="7"/>
    </row>
    <row r="29" spans="7:10" x14ac:dyDescent="0.2">
      <c r="G29" s="7"/>
      <c r="H29" s="7"/>
      <c r="I29" s="7"/>
      <c r="J29" s="7"/>
    </row>
    <row r="30" spans="7:10" x14ac:dyDescent="0.2">
      <c r="G30" s="7"/>
      <c r="H30" s="7"/>
      <c r="I30" s="7"/>
      <c r="J30" s="7"/>
    </row>
    <row r="31" spans="7:10" x14ac:dyDescent="0.2">
      <c r="G31" s="7"/>
      <c r="H31" s="7"/>
      <c r="I31" s="7"/>
      <c r="J31" s="7"/>
    </row>
    <row r="32" spans="7:10" x14ac:dyDescent="0.2">
      <c r="G32" s="7"/>
      <c r="H32" s="7"/>
      <c r="I32" s="7"/>
      <c r="J32" s="7"/>
    </row>
    <row r="33" spans="7:10" x14ac:dyDescent="0.2">
      <c r="G33" s="7"/>
      <c r="H33" s="7"/>
      <c r="I33" s="7"/>
      <c r="J33" s="7"/>
    </row>
    <row r="34" spans="7:10" x14ac:dyDescent="0.2">
      <c r="G34" s="7"/>
      <c r="H34" s="7"/>
      <c r="I34" s="7"/>
      <c r="J34" s="7"/>
    </row>
    <row r="35" spans="7:10" x14ac:dyDescent="0.2">
      <c r="G35" s="7"/>
      <c r="H35" s="7"/>
      <c r="I35" s="7"/>
      <c r="J35" s="7"/>
    </row>
    <row r="36" spans="7:10" x14ac:dyDescent="0.2">
      <c r="G36" s="7"/>
      <c r="H36" s="7"/>
      <c r="I36" s="7"/>
      <c r="J36" s="7"/>
    </row>
    <row r="37" spans="7:10" x14ac:dyDescent="0.2">
      <c r="G37" s="7"/>
      <c r="H37" s="7"/>
      <c r="I37" s="7"/>
      <c r="J37" s="7"/>
    </row>
    <row r="38" spans="7:10" x14ac:dyDescent="0.2">
      <c r="G38" s="7"/>
      <c r="H38" s="7"/>
      <c r="I38" s="7"/>
      <c r="J38" s="7"/>
    </row>
    <row r="39" spans="7:10" x14ac:dyDescent="0.2">
      <c r="G39" s="7"/>
      <c r="H39" s="7"/>
      <c r="I39" s="7"/>
      <c r="J39" s="7"/>
    </row>
    <row r="40" spans="7:10" x14ac:dyDescent="0.2">
      <c r="G40" s="7"/>
      <c r="H40" s="7"/>
      <c r="I40" s="7"/>
      <c r="J40" s="7"/>
    </row>
    <row r="41" spans="7:10" x14ac:dyDescent="0.2">
      <c r="G41" s="7"/>
      <c r="H41" s="7"/>
      <c r="I41" s="7"/>
      <c r="J41" s="7"/>
    </row>
    <row r="42" spans="7:10" x14ac:dyDescent="0.2">
      <c r="G42" s="7"/>
      <c r="H42" s="7"/>
      <c r="I42" s="7"/>
      <c r="J42" s="7"/>
    </row>
    <row r="43" spans="7:10" x14ac:dyDescent="0.2">
      <c r="G43" s="7"/>
      <c r="H43" s="7"/>
      <c r="I43" s="7"/>
      <c r="J43" s="7"/>
    </row>
    <row r="44" spans="7:10" x14ac:dyDescent="0.2">
      <c r="G44" s="7"/>
      <c r="H44" s="7"/>
      <c r="I44" s="7"/>
      <c r="J44" s="7"/>
    </row>
    <row r="45" spans="7:10" x14ac:dyDescent="0.2">
      <c r="G45" s="7"/>
      <c r="H45" s="7"/>
      <c r="I45" s="7"/>
      <c r="J45" s="7"/>
    </row>
    <row r="46" spans="7:10" x14ac:dyDescent="0.2">
      <c r="G46" s="7"/>
      <c r="H46" s="7"/>
      <c r="I46" s="7"/>
      <c r="J46" s="7"/>
    </row>
    <row r="47" spans="7:10" x14ac:dyDescent="0.2">
      <c r="G47" s="7"/>
      <c r="H47" s="7"/>
      <c r="I47" s="7"/>
      <c r="J47" s="7"/>
    </row>
    <row r="48" spans="7:10" x14ac:dyDescent="0.2">
      <c r="G48" s="7"/>
      <c r="H48" s="7"/>
      <c r="I48" s="7"/>
      <c r="J48" s="7"/>
    </row>
    <row r="49" spans="2:10" x14ac:dyDescent="0.2">
      <c r="G49" s="7"/>
      <c r="H49" s="7"/>
      <c r="I49" s="7"/>
      <c r="J49" s="7"/>
    </row>
    <row r="50" spans="2:10" x14ac:dyDescent="0.2">
      <c r="G50" s="7"/>
      <c r="H50" s="7"/>
      <c r="I50" s="7"/>
      <c r="J50" s="7"/>
    </row>
    <row r="51" spans="2:10" x14ac:dyDescent="0.2">
      <c r="G51" s="7"/>
      <c r="H51" s="7"/>
      <c r="I51" s="7"/>
      <c r="J51" s="7"/>
    </row>
    <row r="52" spans="2:10" x14ac:dyDescent="0.2">
      <c r="G52" s="7"/>
      <c r="H52" s="7"/>
      <c r="I52" s="7"/>
      <c r="J52" s="7"/>
    </row>
    <row r="53" spans="2:10" x14ac:dyDescent="0.2">
      <c r="G53" s="7"/>
      <c r="H53" s="7"/>
      <c r="I53" s="7"/>
      <c r="J53" s="7"/>
    </row>
    <row r="54" spans="2:10" x14ac:dyDescent="0.2">
      <c r="G54" s="7"/>
      <c r="H54" s="7"/>
      <c r="I54" s="7"/>
      <c r="J54" s="7"/>
    </row>
    <row r="55" spans="2:10" x14ac:dyDescent="0.2">
      <c r="G55" s="7"/>
      <c r="H55" s="7"/>
      <c r="I55" s="7"/>
      <c r="J55" s="7"/>
    </row>
    <row r="56" spans="2:10" x14ac:dyDescent="0.2">
      <c r="G56" s="7"/>
      <c r="H56" s="7"/>
      <c r="I56" s="7"/>
      <c r="J56" s="7"/>
    </row>
    <row r="57" spans="2:10" x14ac:dyDescent="0.2">
      <c r="B57" s="5" t="s">
        <v>232</v>
      </c>
      <c r="G57" s="7"/>
      <c r="H57" s="7"/>
      <c r="I57" s="7"/>
      <c r="J57" s="7"/>
    </row>
  </sheetData>
  <printOptions horizontalCentered="1" verticalCentered="1"/>
  <pageMargins left="0" right="0" top="0" bottom="0" header="0" footer="0"/>
  <pageSetup paperSize="9" scale="8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35</vt:i4>
      </vt:variant>
      <vt:variant>
        <vt:lpstr>Rangos con nombre</vt:lpstr>
      </vt:variant>
      <vt:variant>
        <vt:i4>34</vt:i4>
      </vt:variant>
    </vt:vector>
  </HeadingPairs>
  <TitlesOfParts>
    <vt:vector size="69" baseType="lpstr">
      <vt:lpstr>página 1</vt:lpstr>
      <vt:lpstr>página 2</vt:lpstr>
      <vt:lpstr>página 3</vt:lpstr>
      <vt:lpstr>página 4</vt:lpstr>
      <vt:lpstr>página 5</vt:lpstr>
      <vt:lpstr>página 6</vt:lpstr>
      <vt:lpstr>página 7</vt:lpstr>
      <vt:lpstr>página 8</vt:lpstr>
      <vt:lpstr>página 9</vt:lpstr>
      <vt:lpstr>Anexo 01</vt:lpstr>
      <vt:lpstr>Anexo 02</vt:lpstr>
      <vt:lpstr>Anexo 03</vt:lpstr>
      <vt:lpstr>Anexo 04-05</vt:lpstr>
      <vt:lpstr>Anexo 06</vt:lpstr>
      <vt:lpstr>Anexo 07-08</vt:lpstr>
      <vt:lpstr>Anexo 09</vt:lpstr>
      <vt:lpstr>Anexo 10</vt:lpstr>
      <vt:lpstr>Anexo 11</vt:lpstr>
      <vt:lpstr>Anexo 12</vt:lpstr>
      <vt:lpstr>ANEXO13</vt:lpstr>
      <vt:lpstr>Anexo 14</vt:lpstr>
      <vt:lpstr>Anexo15</vt:lpstr>
      <vt:lpstr>Anexo 16</vt:lpstr>
      <vt:lpstr>Anexo 17</vt:lpstr>
      <vt:lpstr>Anexo 18</vt:lpstr>
      <vt:lpstr>Anexo 19</vt:lpstr>
      <vt:lpstr>Anexo 20</vt:lpstr>
      <vt:lpstr>Anexo 21</vt:lpstr>
      <vt:lpstr>Anexo 22</vt:lpstr>
      <vt:lpstr>Anexo 23</vt:lpstr>
      <vt:lpstr>Anexo 24</vt:lpstr>
      <vt:lpstr>Anexo 25</vt:lpstr>
      <vt:lpstr>Anexo 26</vt:lpstr>
      <vt:lpstr>Anexo 27</vt:lpstr>
      <vt:lpstr>Anexo 28 -HUELGA MINERA 2000-24</vt:lpstr>
      <vt:lpstr>'Anexo 01'!Área_de_impresión</vt:lpstr>
      <vt:lpstr>'Anexo 02'!Área_de_impresión</vt:lpstr>
      <vt:lpstr>'Anexo 03'!Área_de_impresión</vt:lpstr>
      <vt:lpstr>'Anexo 04-05'!Área_de_impresión</vt:lpstr>
      <vt:lpstr>'Anexo 06'!Área_de_impresión</vt:lpstr>
      <vt:lpstr>'Anexo 07-08'!Área_de_impresión</vt:lpstr>
      <vt:lpstr>'Anexo 09'!Área_de_impresión</vt:lpstr>
      <vt:lpstr>'Anexo 10'!Área_de_impresión</vt:lpstr>
      <vt:lpstr>'Anexo 11'!Área_de_impresión</vt:lpstr>
      <vt:lpstr>'Anexo 12'!Área_de_impresión</vt:lpstr>
      <vt:lpstr>'Anexo 14'!Área_de_impresión</vt:lpstr>
      <vt:lpstr>'Anexo 16'!Área_de_impresión</vt:lpstr>
      <vt:lpstr>'Anexo 17'!Área_de_impresión</vt:lpstr>
      <vt:lpstr>'Anexo 18'!Área_de_impresión</vt:lpstr>
      <vt:lpstr>'Anexo 19'!Área_de_impresión</vt:lpstr>
      <vt:lpstr>'Anexo 20'!Área_de_impresión</vt:lpstr>
      <vt:lpstr>'Anexo 21'!Área_de_impresión</vt:lpstr>
      <vt:lpstr>'Anexo 22'!Área_de_impresión</vt:lpstr>
      <vt:lpstr>'Anexo 23'!Área_de_impresión</vt:lpstr>
      <vt:lpstr>'Anexo 24'!Área_de_impresión</vt:lpstr>
      <vt:lpstr>'Anexo 25'!Área_de_impresión</vt:lpstr>
      <vt:lpstr>'Anexo 26'!Área_de_impresión</vt:lpstr>
      <vt:lpstr>'Anexo 27'!Área_de_impresión</vt:lpstr>
      <vt:lpstr>'Anexo 28 -HUELGA MINERA 2000-24'!Área_de_impresión</vt:lpstr>
      <vt:lpstr>ANEXO13!Área_de_impresión</vt:lpstr>
      <vt:lpstr>Anexo15!Área_de_impresión</vt:lpstr>
      <vt:lpstr>'página 1'!Área_de_impresión</vt:lpstr>
      <vt:lpstr>'página 2'!Área_de_impresión</vt:lpstr>
      <vt:lpstr>'página 3'!Área_de_impresión</vt:lpstr>
      <vt:lpstr>'página 4'!Área_de_impresión</vt:lpstr>
      <vt:lpstr>'página 5'!Área_de_impresión</vt:lpstr>
      <vt:lpstr>'página 6'!Área_de_impresión</vt:lpstr>
      <vt:lpstr>'página 7'!Área_de_impresión</vt:lpstr>
      <vt:lpstr>'página 8'!Área_de_impresión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huelgas</dc:title>
  <dc:creator>Guillermo Moreno A.</dc:creator>
  <cp:lastModifiedBy>Marlene Echegaray Escate</cp:lastModifiedBy>
  <cp:lastPrinted>2025-02-24T20:56:24Z</cp:lastPrinted>
  <dcterms:created xsi:type="dcterms:W3CDTF">1996-12-06T00:24:03Z</dcterms:created>
  <dcterms:modified xsi:type="dcterms:W3CDTF">2025-02-26T14:29:34Z</dcterms:modified>
</cp:coreProperties>
</file>