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Z:\Data\2025\02.M.Operaciones\02. Reporte de Eventos Diarios\05 Mayo\"/>
    </mc:Choice>
  </mc:AlternateContent>
  <xr:revisionPtr revIDLastSave="0" documentId="13_ncr:1_{AF2083CB-4A4F-4FE7-B29B-7297DBDA548E}"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Resumen!$F$14:$K$41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<sst xmlns="http://schemas.openxmlformats.org/spreadsheetml/2006/main" count="1584" uniqueCount="885">
  <si>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</si>
  <si>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</si>
  <si>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</si>
  <si>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</si>
  <si>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</si>
  <si>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</si>
  <si>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</si>
  <si>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</si>
  <si>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</si>
  <si>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</si>
  <si>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</si>
  <si>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</si>
  <si>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</si>
  <si>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</si>
  <si>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</si>
  <si>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</si>
  <si>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</si>
  <si>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</si>
  <si>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</si>
  <si>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</si>
  <si>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</si>
  <si>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</si>
  <si>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</si>
  <si>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</si>
  <si>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</si>
  <si>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</si>
  <si>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</si>
  <si>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</si>
  <si>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</si>
  <si>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</si>
  <si>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</si>
  <si>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</si>
  <si>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</si>
  <si>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</si>
  <si>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</si>
  <si>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</si>
  <si>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</si>
  <si>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</si>
  <si>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</si>
  <si>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</si>
  <si>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</si>
  <si>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</si>
  <si>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</si>
  <si>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</si>
  <si>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</si>
  <si>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</si>
  <si>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</si>
  <si>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</si>
  <si>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</si>
  <si>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</si>
  <si>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</si>
  <si>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</si>
  <si>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</si>
  <si>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</si>
  <si>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</si>
  <si>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</si>
  <si>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</si>
  <si>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</si>
  <si>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</si>
  <si>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</si>
  <si>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</si>
  <si>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</si>
  <si>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</si>
  <si>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</si>
  <si>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</si>
  <si>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</si>
  <si>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</si>
  <si>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</si>
  <si>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</si>
  <si>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</si>
  <si>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</si>
  <si>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</si>
  <si>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</si>
  <si>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</si>
  <si>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</si>
  <si>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</si>
  <si>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</si>
  <si>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</si>
  <si>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</si>
  <si>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</si>
  <si>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</si>
  <si>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</si>
  <si>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</si>
  <si>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</si>
  <si>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</si>
  <si>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</si>
  <si>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</si>
  <si>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</si>
  <si>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</si>
  <si>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</si>
  <si>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</si>
  <si>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</si>
  <si>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</si>
  <si>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</si>
  <si>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</si>
  <si>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</si>
  <si>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Casmiche</t>
  </si>
  <si>
    <t>PE-10A</t>
  </si>
  <si>
    <t>15.03.19</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</si>
  <si>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</si>
  <si>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</si>
  <si>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</si>
  <si>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</si>
  <si>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r>
      <rPr>
        <b/>
        <sz val="10"/>
        <rFont val="Arial"/>
        <family val="2"/>
      </rPr>
      <t>IIRSA NORTE</t>
    </r>
    <r>
      <rPr>
        <sz val="10"/>
        <rFont val="Arial"/>
        <family val="2"/>
      </rPr>
      <t xml:space="preserve">
Comunicación vía correo:
Centro de Control de Operaciones
Correo: cco.norte@iirsanorte.com.pe
</t>
    </r>
  </si>
  <si>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</si>
  <si>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</si>
  <si>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</si>
  <si>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</si>
  <si>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</si>
  <si>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</si>
  <si>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</si>
  <si>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</si>
  <si>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</si>
  <si>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</si>
  <si>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</si>
  <si>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</si>
  <si>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</si>
  <si>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</si>
  <si>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Áncash
</t>
    </r>
    <r>
      <rPr>
        <sz val="10"/>
        <color theme="1"/>
        <rFont val="Arial"/>
        <family val="2"/>
      </rPr>
      <t>Santa / Chimbote</t>
    </r>
  </si>
  <si>
    <r>
      <t xml:space="preserve">Cajamarca
</t>
    </r>
    <r>
      <rPr>
        <sz val="10"/>
        <color theme="1"/>
        <rFont val="Arial"/>
        <family val="2"/>
      </rPr>
      <t>Chota / Cochabamba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</si>
  <si>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</si>
  <si>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</si>
  <si>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</si>
  <si>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</si>
  <si>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</si>
  <si>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</si>
  <si>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</si>
  <si>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</si>
  <si>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</si>
  <si>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</si>
  <si>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r>
      <t xml:space="preserve">Cajamarca
</t>
    </r>
    <r>
      <rPr>
        <sz val="10"/>
        <color theme="1"/>
        <rFont val="Arial"/>
        <family val="2"/>
      </rPr>
      <t>Cutervo / Pimpingos</t>
    </r>
  </si>
  <si>
    <t>Maquinaria de PVN
01 Excavadora</t>
  </si>
  <si>
    <r>
      <t xml:space="preserve">Cajamarca
</t>
    </r>
    <r>
      <rPr>
        <sz val="10"/>
        <color theme="1"/>
        <rFont val="Arial"/>
        <family val="2"/>
      </rPr>
      <t>Cutervo / Cutervo</t>
    </r>
  </si>
  <si>
    <r>
      <t xml:space="preserve">Amazonas
</t>
    </r>
    <r>
      <rPr>
        <sz val="10"/>
        <color theme="1"/>
        <rFont val="Arial"/>
        <family val="2"/>
      </rPr>
      <t>Bagua / Imaza</t>
    </r>
  </si>
  <si>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</si>
  <si>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</si>
  <si>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</si>
  <si>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</si>
  <si>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r>
      <t xml:space="preserve">Piura
</t>
    </r>
    <r>
      <rPr>
        <sz val="10"/>
        <color theme="1"/>
        <rFont val="Arial"/>
        <family val="2"/>
      </rPr>
      <t>Huancabamba / Huarmaca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</si>
  <si>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</si>
  <si>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</si>
  <si>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</si>
  <si>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</si>
  <si>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</si>
  <si>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</si>
  <si>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</si>
  <si>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</si>
  <si>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</si>
  <si>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</si>
  <si>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</si>
  <si>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</si>
  <si>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</si>
  <si>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</si>
  <si>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</si>
  <si>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</si>
  <si>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</si>
  <si>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</si>
  <si>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</si>
  <si>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</si>
  <si>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</si>
  <si>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</si>
  <si>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</si>
  <si>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</si>
  <si>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</si>
  <si>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</si>
  <si>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</si>
  <si>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CORPAC 
Comunicación vía correo:
Operador COE
Correo: coe-callao@corpac.gob.pe
</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</si>
  <si>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</si>
  <si>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</si>
  <si>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</si>
  <si>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</si>
  <si>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</si>
  <si>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</si>
  <si>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</si>
  <si>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</si>
  <si>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</si>
  <si>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</si>
  <si>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</si>
  <si>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</si>
  <si>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</si>
  <si>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</si>
  <si>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</si>
  <si>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</si>
  <si>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t xml:space="preserve">Maquinaria de PVN </t>
  </si>
  <si>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</si>
  <si>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</si>
  <si>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</si>
  <si>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</si>
  <si>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</si>
  <si>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</si>
  <si>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</si>
  <si>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</si>
  <si>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</si>
  <si>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</si>
  <si>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</si>
  <si>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</si>
  <si>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</si>
  <si>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</si>
  <si>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</si>
  <si>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</si>
  <si>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</si>
  <si>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</si>
  <si>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</si>
  <si>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</si>
  <si>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</si>
  <si>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</si>
  <si>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</si>
  <si>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</si>
  <si>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</si>
  <si>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</si>
  <si>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</si>
  <si>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</si>
  <si>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</si>
  <si>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</si>
  <si>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</si>
  <si>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</si>
  <si>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t>Río Moche Bajo</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</si>
  <si>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</si>
  <si>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</si>
  <si>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</si>
  <si>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</si>
  <si>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</si>
  <si>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</si>
  <si>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</si>
  <si>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</si>
  <si>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</si>
  <si>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</si>
  <si>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</si>
  <si>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</si>
  <si>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</si>
  <si>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</si>
  <si>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</si>
  <si>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</si>
  <si>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</si>
  <si>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</si>
  <si>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</si>
  <si>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</si>
  <si>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</si>
  <si>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</si>
  <si>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</si>
  <si>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1287+700 (Local Km 268+700)</t>
    </r>
  </si>
  <si>
    <r>
      <t>Amazonas</t>
    </r>
    <r>
      <rPr>
        <sz val="10"/>
        <color theme="1"/>
        <rFont val="Arial"/>
        <family val="2"/>
      </rPr>
      <t xml:space="preserve"> 
Utcubamba / Jamalca</t>
    </r>
  </si>
  <si>
    <t>Maquinaria IIRSA NORTE
01 Excavadora</t>
  </si>
  <si>
    <t>VIALES-003303</t>
  </si>
  <si>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1287+600 (Local Km 268+600)</t>
    </r>
  </si>
  <si>
    <t>VIALES-003304</t>
  </si>
  <si>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</si>
  <si>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</si>
  <si>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</si>
  <si>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</si>
  <si>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</si>
  <si>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</si>
  <si>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</si>
  <si>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</si>
  <si>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</si>
  <si>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</si>
  <si>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</si>
  <si>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</si>
  <si>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</si>
  <si>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</si>
  <si>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</si>
  <si>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VIALES-003330</t>
  </si>
  <si>
    <r>
      <t xml:space="preserve">Red Vial Nacional: PE-5N, 
Tramo: </t>
    </r>
    <r>
      <rPr>
        <sz val="10"/>
        <rFont val="Arial"/>
        <family val="2"/>
      </rPr>
      <t>Naranjitos - El Tingo</t>
    </r>
    <r>
      <rPr>
        <b/>
        <sz val="10"/>
        <rFont val="Arial"/>
        <family val="2"/>
      </rPr>
      <t>,
Sector:</t>
    </r>
    <r>
      <rPr>
        <sz val="10"/>
        <rFont val="Arial"/>
        <family val="2"/>
      </rPr>
      <t xml:space="preserve"> Km 1288+100 (Local Km 269+100)</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</si>
  <si>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</si>
  <si>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</si>
  <si>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</si>
  <si>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</si>
  <si>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</si>
  <si>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</si>
  <si>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</si>
  <si>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</si>
  <si>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</si>
  <si>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</si>
  <si>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t>VIALES-003370</t>
  </si>
  <si>
    <r>
      <rPr>
        <b/>
        <sz val="10"/>
        <color theme="1"/>
        <rFont val="Arial"/>
        <family val="2"/>
      </rPr>
      <t>Lima</t>
    </r>
    <r>
      <rPr>
        <sz val="10"/>
        <color theme="1"/>
        <rFont val="Arial"/>
        <family val="2"/>
      </rPr>
      <t xml:space="preserve">
Cajatambo / Copa</t>
    </r>
  </si>
  <si>
    <r>
      <t xml:space="preserve">Red Vial Nacional: PE-16A,
Tramo: </t>
    </r>
    <r>
      <rPr>
        <sz val="10"/>
        <color theme="1"/>
        <rFont val="Arial"/>
        <family val="2"/>
      </rPr>
      <t>Pamplona - Cajatambo,</t>
    </r>
    <r>
      <rPr>
        <b/>
        <sz val="10"/>
        <color theme="1"/>
        <rFont val="Arial"/>
        <family val="2"/>
      </rPr>
      <t xml:space="preserve">
Sector: </t>
    </r>
    <r>
      <rPr>
        <sz val="10"/>
        <color theme="1"/>
        <rFont val="Arial"/>
        <family val="2"/>
      </rPr>
      <t>Huancapon Km 90+540 - Km 90+740</t>
    </r>
  </si>
  <si>
    <t>Maquinaria de Consorcio Vial Pamplona Cajatambo
01 Retroexcavdora
01 Excavadora
01 Camión volquete
01 Cargador frontal</t>
  </si>
  <si>
    <r>
      <t xml:space="preserve">Huánuco
</t>
    </r>
    <r>
      <rPr>
        <sz val="10"/>
        <color theme="1"/>
        <rFont val="Arial"/>
        <family val="2"/>
      </rPr>
      <t>Puerto Inca / Yuyapichis</t>
    </r>
  </si>
  <si>
    <r>
      <t xml:space="preserve">La Libertad
</t>
    </r>
    <r>
      <rPr>
        <sz val="10"/>
        <color theme="1"/>
        <rFont val="Arial"/>
        <family val="2"/>
      </rPr>
      <t>Sánchez Carrión / Chugay</t>
    </r>
  </si>
  <si>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37+640 - Km 37+900</t>
    </r>
  </si>
  <si>
    <t>VIALES-003428</t>
  </si>
  <si>
    <t>VIALES-003442</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</si>
  <si>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</si>
  <si>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</si>
  <si>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</si>
  <si>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 xml:space="preserve">Maquinaria del Contratista Conservador Consorcio Calemar
01 Cargador frontal
</t>
  </si>
  <si>
    <r>
      <t xml:space="preserve">Red Vial Nacional: PE-3SF, 
Tramo: </t>
    </r>
    <r>
      <rPr>
        <sz val="10"/>
        <rFont val="Arial"/>
        <family val="2"/>
      </rPr>
      <t xml:space="preserve">Cotabambas - Tambobamba,
</t>
    </r>
    <r>
      <rPr>
        <b/>
        <sz val="10"/>
        <rFont val="Arial"/>
        <family val="2"/>
      </rPr>
      <t>Sector:</t>
    </r>
    <r>
      <rPr>
        <sz val="10"/>
        <rFont val="Arial"/>
        <family val="2"/>
      </rPr>
      <t xml:space="preserve"> Huarccoy Km 326+600 - Km 326+650</t>
    </r>
  </si>
  <si>
    <t>VIALES-003477</t>
  </si>
  <si>
    <t>Maquinaria de la Concesionaria CONVIAL SIERRA NORTE
01 Retroxcavadora
01 Excavadora
04 Camión volquete</t>
  </si>
  <si>
    <t>VIALES-003483</t>
  </si>
  <si>
    <r>
      <t>Red Vial Nacional: PE-10C, 
Tramo:</t>
    </r>
    <r>
      <rPr>
        <sz val="10"/>
        <rFont val="Arial"/>
        <family val="2"/>
      </rPr>
      <t xml:space="preserve"> Puente Pallar - Puente Chagual,
</t>
    </r>
    <r>
      <rPr>
        <b/>
        <sz val="10"/>
        <rFont val="Arial"/>
        <family val="2"/>
      </rPr>
      <t xml:space="preserve">Sector: </t>
    </r>
    <r>
      <rPr>
        <sz val="10"/>
        <rFont val="Arial"/>
        <family val="2"/>
      </rPr>
      <t>Chugay Km 20+000 - Km 22+600</t>
    </r>
  </si>
  <si>
    <r>
      <rPr>
        <b/>
        <sz val="10"/>
        <color theme="1"/>
        <rFont val="Arial"/>
        <family val="2"/>
      </rPr>
      <t>Apurímac</t>
    </r>
    <r>
      <rPr>
        <sz val="10"/>
        <color theme="1"/>
        <rFont val="Arial"/>
        <family val="2"/>
      </rPr>
      <t xml:space="preserve">
Cotabambas / Coyllurqui</t>
    </r>
  </si>
  <si>
    <r>
      <t xml:space="preserve">Cusco
</t>
    </r>
    <r>
      <rPr>
        <sz val="10"/>
        <color theme="1"/>
        <rFont val="Arial"/>
        <family val="2"/>
      </rPr>
      <t>Cotabambas</t>
    </r>
    <r>
      <rPr>
        <b/>
        <sz val="10"/>
        <color theme="1"/>
        <rFont val="Arial"/>
        <family val="2"/>
      </rPr>
      <t xml:space="preserve"> </t>
    </r>
    <r>
      <rPr>
        <sz val="10"/>
        <color theme="1"/>
        <rFont val="Arial"/>
        <family val="2"/>
      </rPr>
      <t>/ Cotabambas</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</si>
  <si>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</si>
  <si>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</si>
  <si>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</si>
  <si>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</si>
  <si>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</si>
  <si>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</si>
  <si>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</si>
  <si>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</si>
  <si>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</si>
  <si>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</si>
  <si>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</si>
  <si>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</si>
  <si>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</si>
  <si>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</si>
  <si>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</si>
  <si>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</si>
  <si>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</si>
  <si>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</si>
  <si>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</si>
  <si>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</si>
  <si>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</si>
  <si>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</si>
  <si>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Puno
</t>
    </r>
    <r>
      <rPr>
        <sz val="10"/>
        <color theme="1"/>
        <rFont val="Arial"/>
        <family val="2"/>
      </rPr>
      <t>Chucuito / Pisacoma</t>
    </r>
  </si>
  <si>
    <r>
      <t xml:space="preserve">Red Vial Nacional: PE-36E,
Tramo: </t>
    </r>
    <r>
      <rPr>
        <sz val="10"/>
        <rFont val="Arial"/>
        <family val="2"/>
      </rPr>
      <t>Pizacoma - Capazo,</t>
    </r>
    <r>
      <rPr>
        <b/>
        <sz val="10"/>
        <rFont val="Arial"/>
        <family val="2"/>
      </rPr>
      <t xml:space="preserve">
Sector: </t>
    </r>
    <r>
      <rPr>
        <sz val="10"/>
        <rFont val="Arial"/>
        <family val="2"/>
      </rPr>
      <t>Pizacoma Km 60+540 - Km 60+545</t>
    </r>
  </si>
  <si>
    <t>VIALES-003576</t>
  </si>
  <si>
    <r>
      <t xml:space="preserve">Ica
</t>
    </r>
    <r>
      <rPr>
        <sz val="10"/>
        <color theme="1"/>
        <rFont val="Arial"/>
        <family val="2"/>
      </rPr>
      <t>Ica / Santiago</t>
    </r>
  </si>
  <si>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153+800 - Km 153+835</t>
    </r>
  </si>
  <si>
    <r>
      <t xml:space="preserve">Amazonas
</t>
    </r>
    <r>
      <rPr>
        <sz val="10"/>
        <color theme="1"/>
        <rFont val="Arial"/>
        <family val="2"/>
      </rPr>
      <t>Luya / Ocalli</t>
    </r>
  </si>
  <si>
    <t>VIALES-003593</t>
  </si>
  <si>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153+900 - Km 153+930</t>
    </r>
  </si>
  <si>
    <t>VIALES-003594</t>
  </si>
  <si>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</si>
  <si>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</si>
  <si>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</si>
  <si>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</si>
  <si>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</si>
  <si>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r>
      <t>Red Vial Nacional: PE-08B, 
Tramo:</t>
    </r>
    <r>
      <rPr>
        <sz val="10"/>
        <rFont val="Arial"/>
        <family val="2"/>
      </rPr>
      <t xml:space="preserve"> La Encañada - Celendín,
</t>
    </r>
    <r>
      <rPr>
        <b/>
        <sz val="10"/>
        <rFont val="Arial"/>
        <family val="2"/>
      </rPr>
      <t>Sector:</t>
    </r>
    <r>
      <rPr>
        <sz val="10"/>
        <rFont val="Arial"/>
        <family val="2"/>
      </rPr>
      <t xml:space="preserve"> Quilimbash Km 85+500 - Km 85+600</t>
    </r>
  </si>
  <si>
    <t>Maquinaria de PVN
01 Retroexcavadora
01 Tractor neumático</t>
  </si>
  <si>
    <r>
      <rPr>
        <b/>
        <sz val="10"/>
        <rFont val="Arial"/>
        <family val="2"/>
      </rPr>
      <t>PVN</t>
    </r>
    <r>
      <rPr>
        <sz val="10"/>
        <rFont val="Arial"/>
        <family val="2"/>
      </rPr>
      <t xml:space="preserve">
Administración directa
Jefatura zonal Amazonas
Jose Carlos Torres Coronado - Jefe zonal
Correo: jtorres@pvn.gob.pe</t>
    </r>
  </si>
  <si>
    <t>Maquinaria de PVN
01 Excavadora
01 Camión volquete
01 Cargador frontal
01 Retroexcavadora</t>
  </si>
  <si>
    <r>
      <t xml:space="preserve">Cajamarca
</t>
    </r>
    <r>
      <rPr>
        <sz val="10"/>
        <color theme="1"/>
        <rFont val="Arial"/>
        <family val="2"/>
      </rPr>
      <t>Chota / Lajas</t>
    </r>
  </si>
  <si>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</si>
  <si>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</si>
  <si>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VIALES-003620</t>
  </si>
  <si>
    <r>
      <t xml:space="preserve">Áncash
</t>
    </r>
    <r>
      <rPr>
        <sz val="10"/>
        <color theme="1"/>
        <rFont val="Arial"/>
        <family val="2"/>
      </rPr>
      <t>Bolognesi / Cajacay</t>
    </r>
  </si>
  <si>
    <t>Áncash</t>
  </si>
  <si>
    <t>28.03.25</t>
  </si>
  <si>
    <r>
      <t xml:space="preserve">Red Vial Nacional: PE-16,
Tramo: </t>
    </r>
    <r>
      <rPr>
        <sz val="10"/>
        <rFont val="Arial"/>
        <family val="2"/>
      </rPr>
      <t>Pativilca - Conococha,</t>
    </r>
    <r>
      <rPr>
        <b/>
        <sz val="10"/>
        <rFont val="Arial"/>
        <family val="2"/>
      </rPr>
      <t xml:space="preserve">
Sector:</t>
    </r>
    <r>
      <rPr>
        <sz val="10"/>
        <rFont val="Arial"/>
        <family val="2"/>
      </rPr>
      <t xml:space="preserve"> Cajacay Km 94+800 - Km 95+100</t>
    </r>
  </si>
  <si>
    <t>VIALES-003651</t>
  </si>
  <si>
    <t>VIALES-003652</t>
  </si>
  <si>
    <t>VIALES-003653</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</si>
  <si>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</si>
  <si>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</si>
  <si>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t xml:space="preserve">Junín
</t>
    </r>
    <r>
      <rPr>
        <sz val="10"/>
        <color theme="1"/>
        <rFont val="Arial"/>
        <family val="2"/>
      </rPr>
      <t>Huancayo / Huancán</t>
    </r>
  </si>
  <si>
    <t>Junín</t>
  </si>
  <si>
    <t>La Punta</t>
  </si>
  <si>
    <t>PE-3SC</t>
  </si>
  <si>
    <t>29.03.25</t>
  </si>
  <si>
    <r>
      <rPr>
        <b/>
        <sz val="10"/>
        <rFont val="Arial"/>
        <family val="2"/>
      </rPr>
      <t xml:space="preserve">PVN
</t>
    </r>
    <r>
      <rPr>
        <sz val="10"/>
        <rFont val="Arial"/>
        <family val="2"/>
      </rPr>
      <t>Administración directa
Jefatura zonal Junín - Pasco 
Ronald Blanco Gonzales - Jefe zonal Correo:rblanco@pvn.gob.pe</t>
    </r>
  </si>
  <si>
    <r>
      <t xml:space="preserve">Huancavelica
</t>
    </r>
    <r>
      <rPr>
        <sz val="10"/>
        <color theme="1"/>
        <rFont val="Arial"/>
        <family val="2"/>
      </rPr>
      <t>Huaytará / Pilpichaca</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</si>
  <si>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</si>
  <si>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</si>
  <si>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</si>
  <si>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</si>
  <si>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r>
      <t xml:space="preserve">Cajamarca
</t>
    </r>
    <r>
      <rPr>
        <sz val="10"/>
        <color theme="1"/>
        <rFont val="Arial"/>
        <family val="2"/>
      </rPr>
      <t>Celendín / José Gálvez</t>
    </r>
  </si>
  <si>
    <r>
      <t xml:space="preserve">La Libertad
</t>
    </r>
    <r>
      <rPr>
        <sz val="10"/>
        <color theme="1"/>
        <rFont val="Arial"/>
        <family val="2"/>
      </rPr>
      <t>Sánchez Carrión / Huamachuco</t>
    </r>
  </si>
  <si>
    <r>
      <t>Red Vial Nacional: PE-10B, 
Tramo:</t>
    </r>
    <r>
      <rPr>
        <sz val="10"/>
        <rFont val="Arial"/>
        <family val="2"/>
      </rPr>
      <t xml:space="preserve"> Puente Pallar -Fundo Convento,
</t>
    </r>
    <r>
      <rPr>
        <b/>
        <sz val="10"/>
        <rFont val="Arial"/>
        <family val="2"/>
      </rPr>
      <t>Sector:</t>
    </r>
    <r>
      <rPr>
        <sz val="10"/>
        <rFont val="Arial"/>
        <family val="2"/>
      </rPr>
      <t xml:space="preserve"> El Pallar Km 19+480 - Km 19+560</t>
    </r>
  </si>
  <si>
    <t>VIALES-003690</t>
  </si>
  <si>
    <t>VIALES-003699</t>
  </si>
  <si>
    <r>
      <t xml:space="preserve">Cajamarca
</t>
    </r>
    <r>
      <rPr>
        <sz val="10"/>
        <color theme="1"/>
        <rFont val="Arial"/>
        <family val="2"/>
      </rPr>
      <t>Jaén / San Felipe</t>
    </r>
  </si>
  <si>
    <r>
      <t xml:space="preserve">Red Vial Nacional: PE-3N, 
Tramo: </t>
    </r>
    <r>
      <rPr>
        <sz val="10"/>
        <rFont val="Arial"/>
        <family val="2"/>
      </rPr>
      <t>Dv. Olmos - Corral Quemado</t>
    </r>
    <r>
      <rPr>
        <b/>
        <sz val="10"/>
        <rFont val="Arial"/>
        <family val="2"/>
      </rPr>
      <t>,
Sector:</t>
    </r>
    <r>
      <rPr>
        <sz val="10"/>
        <rFont val="Arial"/>
        <family val="2"/>
      </rPr>
      <t xml:space="preserve"> Km 1625+850 (Local Km 66+850)</t>
    </r>
  </si>
  <si>
    <t>AEROPUERTO-0032</t>
  </si>
  <si>
    <t>Maquinaria de PVN
01 Motoniveladora</t>
  </si>
  <si>
    <t>Maquinaria IIRSA NORTE
01 Cargador frontal</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</si>
  <si>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</si>
  <si>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</si>
  <si>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</si>
  <si>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t xml:space="preserve">Piura
</t>
    </r>
    <r>
      <rPr>
        <sz val="10"/>
        <color theme="1"/>
        <rFont val="Arial"/>
        <family val="2"/>
      </rPr>
      <t>Sullana / Lancones</t>
    </r>
  </si>
  <si>
    <r>
      <rPr>
        <b/>
        <sz val="10"/>
        <rFont val="Arial"/>
        <family val="2"/>
      </rPr>
      <t>IIRSA NORTE</t>
    </r>
    <r>
      <rPr>
        <sz val="10"/>
        <rFont val="Arial"/>
        <family val="2"/>
      </rPr>
      <t xml:space="preserve">
Comunicación vía correo:
Centro de Control de Operaciones
Correo: cco.norte@iirsanorte.com.pe</t>
    </r>
  </si>
  <si>
    <t>VIALES-003727</t>
  </si>
  <si>
    <r>
      <t xml:space="preserve">Red Vial Nacional: PE-1NN,
Tramo: </t>
    </r>
    <r>
      <rPr>
        <sz val="10"/>
        <rFont val="Arial"/>
        <family val="2"/>
      </rPr>
      <t>Sullana - El Alamor,</t>
    </r>
    <r>
      <rPr>
        <b/>
        <sz val="10"/>
        <rFont val="Arial"/>
        <family val="2"/>
      </rPr>
      <t xml:space="preserve">
Sector:</t>
    </r>
    <r>
      <rPr>
        <sz val="10"/>
        <rFont val="Arial"/>
        <family val="2"/>
      </rPr>
      <t xml:space="preserve"> El Alamor Km 60+050 - Km 60+150</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</si>
  <si>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</si>
  <si>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</si>
  <si>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</si>
  <si>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</si>
  <si>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</si>
  <si>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</si>
  <si>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t>VIALES-003765</t>
  </si>
  <si>
    <r>
      <t xml:space="preserve">Tacna
</t>
    </r>
    <r>
      <rPr>
        <sz val="10"/>
        <color theme="1"/>
        <rFont val="Arial"/>
        <family val="2"/>
      </rPr>
      <t>Tarata / Tarata</t>
    </r>
  </si>
  <si>
    <r>
      <t xml:space="preserve">Amazonas
</t>
    </r>
    <r>
      <rPr>
        <sz val="10"/>
        <color theme="1"/>
        <rFont val="Arial"/>
        <family val="2"/>
      </rPr>
      <t>Chachapoyas / Leimebamba</t>
    </r>
  </si>
  <si>
    <t>Maquinaria del Conservador Consorcio Sierra Centro</t>
  </si>
  <si>
    <t>VIALES-003770</t>
  </si>
  <si>
    <r>
      <t xml:space="preserve">Red Vial Nacional: PE-08B,
Tramo: </t>
    </r>
    <r>
      <rPr>
        <sz val="10"/>
        <rFont val="Arial"/>
        <family val="2"/>
      </rPr>
      <t>Abra Barro Negro - DV. Leymebamba,</t>
    </r>
    <r>
      <rPr>
        <b/>
        <sz val="10"/>
        <rFont val="Arial"/>
        <family val="2"/>
      </rPr>
      <t xml:space="preserve">
Sector:</t>
    </r>
    <r>
      <rPr>
        <sz val="10"/>
        <rFont val="Arial"/>
        <family val="2"/>
      </rPr>
      <t xml:space="preserve"> Ishpingo Km 240+000 - Km 244+000</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</si>
  <si>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</si>
  <si>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</si>
  <si>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</si>
  <si>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</si>
  <si>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Cupicucho Km 84+570 - Km 84+630</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</si>
  <si>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</si>
  <si>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</si>
  <si>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</si>
  <si>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</si>
  <si>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</si>
  <si>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</si>
  <si>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</si>
  <si>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</si>
  <si>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</si>
  <si>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r>
      <t xml:space="preserve">Red Vial Nacional: PE-3N, 
Tramo: </t>
    </r>
    <r>
      <rPr>
        <sz val="10"/>
        <rFont val="Arial"/>
        <family val="2"/>
      </rPr>
      <t>Dv. Olmos - Corral Quemado</t>
    </r>
    <r>
      <rPr>
        <b/>
        <sz val="10"/>
        <rFont val="Arial"/>
        <family val="2"/>
      </rPr>
      <t>,
Sector:</t>
    </r>
    <r>
      <rPr>
        <sz val="10"/>
        <rFont val="Arial"/>
        <family val="2"/>
      </rPr>
      <t xml:space="preserve"> Km 1621+340 (Local Km 70+340)</t>
    </r>
  </si>
  <si>
    <t>VIALES-003779</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</si>
  <si>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</si>
  <si>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</si>
  <si>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</si>
  <si>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</si>
  <si>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</si>
  <si>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</si>
  <si>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</si>
  <si>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Ayacucho
</t>
    </r>
    <r>
      <rPr>
        <sz val="10"/>
        <color theme="1"/>
        <rFont val="Arial"/>
        <family val="2"/>
      </rPr>
      <t>Huamanga / Ayacucho</t>
    </r>
  </si>
  <si>
    <r>
      <t xml:space="preserve">Red Vial Nacional: PE-28A,
Tramo: </t>
    </r>
    <r>
      <rPr>
        <sz val="10"/>
        <rFont val="Arial"/>
        <family val="2"/>
      </rPr>
      <t>Rancha - Huascahura</t>
    </r>
    <r>
      <rPr>
        <b/>
        <sz val="10"/>
        <rFont val="Arial"/>
        <family val="2"/>
      </rPr>
      <t xml:space="preserve">,
Sector: </t>
    </r>
    <r>
      <rPr>
        <sz val="10"/>
        <rFont val="Arial"/>
        <family val="2"/>
      </rPr>
      <t>Rancha Km 321+000 - Km 323+000</t>
    </r>
  </si>
  <si>
    <t>VIALES-003792</t>
  </si>
  <si>
    <t>Maquinaria del Contratista Conservador Consorcio Sierra Centro
01 Cargador frontal
01 Retroexcavadora  
02 Camión volquete</t>
  </si>
  <si>
    <t>VIALES-003803</t>
  </si>
  <si>
    <t>VIALES-003812</t>
  </si>
  <si>
    <r>
      <t xml:space="preserve">Red Vial Nacional: PE-28A,
Tramo: </t>
    </r>
    <r>
      <rPr>
        <sz val="10"/>
        <rFont val="Arial"/>
        <family val="2"/>
      </rPr>
      <t xml:space="preserve">Rumichaca - Pampano,
</t>
    </r>
    <r>
      <rPr>
        <b/>
        <sz val="10"/>
        <rFont val="Arial"/>
        <family val="2"/>
      </rPr>
      <t xml:space="preserve">Sector: </t>
    </r>
    <r>
      <rPr>
        <sz val="10"/>
        <rFont val="Arial"/>
        <family val="2"/>
      </rPr>
      <t>Chaupi Km 170+100 - Km 175+500</t>
    </r>
  </si>
  <si>
    <r>
      <t xml:space="preserve">BITEL:
</t>
    </r>
    <r>
      <rPr>
        <sz val="10"/>
        <color theme="1"/>
        <rFont val="Arial"/>
        <family val="2"/>
      </rPr>
      <t>Telefonía móvil Internet móvil</t>
    </r>
  </si>
  <si>
    <t>Maquinaria del Contratista Construcción y Administración S.A. (Casa Constructores)</t>
  </si>
  <si>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</si>
  <si>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</si>
  <si>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</si>
  <si>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</si>
  <si>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</si>
  <si>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Red Vial Nacional: PE-5S,
Tramo: </t>
    </r>
    <r>
      <rPr>
        <sz val="10"/>
        <rFont val="Arial"/>
        <family val="2"/>
      </rPr>
      <t>Mazamari - Puerto Ocopa ,</t>
    </r>
    <r>
      <rPr>
        <b/>
        <sz val="10"/>
        <rFont val="Arial"/>
        <family val="2"/>
      </rPr>
      <t xml:space="preserve">
Sector:</t>
    </r>
    <r>
      <rPr>
        <sz val="10"/>
        <rFont val="Arial"/>
        <family val="2"/>
      </rPr>
      <t xml:space="preserve"> Sonomoro Km 148+000 - Km 186+500</t>
    </r>
  </si>
  <si>
    <r>
      <t xml:space="preserve">Junín
</t>
    </r>
    <r>
      <rPr>
        <sz val="10"/>
        <color theme="1"/>
        <rFont val="Arial"/>
        <family val="2"/>
      </rPr>
      <t>Satipo / Mazamari</t>
    </r>
  </si>
  <si>
    <t>VIALES-003834</t>
  </si>
  <si>
    <r>
      <t xml:space="preserve">Red Vial Nacional: PE-12,
Tramo: </t>
    </r>
    <r>
      <rPr>
        <sz val="10"/>
        <rFont val="Arial"/>
        <family val="2"/>
      </rPr>
      <t>Santa-Chuquicara,</t>
    </r>
    <r>
      <rPr>
        <b/>
        <sz val="10"/>
        <rFont val="Arial"/>
        <family val="2"/>
      </rPr>
      <t xml:space="preserve">
Sector:</t>
    </r>
    <r>
      <rPr>
        <sz val="10"/>
        <rFont val="Arial"/>
        <family val="2"/>
      </rPr>
      <t xml:space="preserve"> Bocatoma Chinecas Km 59+300 - Km 60+250</t>
    </r>
  </si>
  <si>
    <t>VIALES-003836</t>
  </si>
  <si>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</si>
  <si>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</si>
  <si>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</si>
  <si>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</si>
  <si>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</si>
  <si>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</si>
  <si>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</si>
  <si>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</si>
  <si>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</si>
  <si>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</si>
  <si>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</si>
  <si>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</si>
  <si>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r>
      <t xml:space="preserve">Áncash
</t>
    </r>
    <r>
      <rPr>
        <sz val="10"/>
        <color theme="1"/>
        <rFont val="Arial"/>
        <family val="2"/>
      </rPr>
      <t>Pallasca / Huandoval</t>
    </r>
  </si>
  <si>
    <r>
      <t xml:space="preserve">Red Vial Nacional: PE-3N,
Tramo: </t>
    </r>
    <r>
      <rPr>
        <sz val="10"/>
        <rFont val="Arial"/>
        <family val="2"/>
      </rPr>
      <t>Tauca - Pallasca,</t>
    </r>
    <r>
      <rPr>
        <b/>
        <sz val="10"/>
        <rFont val="Arial"/>
        <family val="2"/>
      </rPr>
      <t xml:space="preserve">
Sector:</t>
    </r>
    <r>
      <rPr>
        <sz val="10"/>
        <rFont val="Arial"/>
        <family val="2"/>
      </rPr>
      <t xml:space="preserve"> Quebrada Huambisha Km 862+900 - Km 862+928</t>
    </r>
  </si>
  <si>
    <t>VIALES-003847</t>
  </si>
  <si>
    <t>15.04.25</t>
  </si>
  <si>
    <t>Huayabamba</t>
  </si>
  <si>
    <t>San Martin</t>
  </si>
  <si>
    <t>PE-3N</t>
  </si>
  <si>
    <r>
      <t xml:space="preserve">Red Vial Nacional: PE- 3S,
Tramo: </t>
    </r>
    <r>
      <rPr>
        <sz val="10"/>
        <rFont val="Arial"/>
        <family val="2"/>
      </rPr>
      <t xml:space="preserve">La Oroya - Huancayo,
</t>
    </r>
    <r>
      <rPr>
        <b/>
        <sz val="10"/>
        <rFont val="Arial"/>
        <family val="2"/>
      </rPr>
      <t>Sector:</t>
    </r>
    <r>
      <rPr>
        <sz val="10"/>
        <rFont val="Arial"/>
        <family val="2"/>
      </rPr>
      <t xml:space="preserve"> El Rosario Km 46+150 - Km 46+200</t>
    </r>
  </si>
  <si>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</si>
  <si>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</si>
  <si>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</si>
  <si>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</si>
  <si>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t>Huambisha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</si>
  <si>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</si>
  <si>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Huánuco
</t>
    </r>
    <r>
      <rPr>
        <sz val="10"/>
        <color theme="1"/>
        <rFont val="Arial"/>
        <family val="2"/>
      </rPr>
      <t>Puerto Inca / Codo de Pozuzo</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</si>
  <si>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</si>
  <si>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</si>
  <si>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</si>
  <si>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t>Maquinaria de PVN
01 Motoniveladora
01 Rodillo Liso</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</si>
  <si>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</si>
  <si>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t>N</t>
  </si>
  <si>
    <t>TERMINAL ABIERTO</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</si>
  <si>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</si>
  <si>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</si>
  <si>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</si>
  <si>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</si>
  <si>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</si>
  <si>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</si>
  <si>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56+250 - Km 56+390</t>
    </r>
  </si>
  <si>
    <t>Maquinaria del Contratista Conservador MOTA - ENGIL ENGENHARIA E CONSTRUCAO AFRICA SA</t>
  </si>
  <si>
    <r>
      <t xml:space="preserve">Red Vial Nacional: PE-3SC,
Tramo: </t>
    </r>
    <r>
      <rPr>
        <sz val="10"/>
        <rFont val="Arial"/>
        <family val="2"/>
      </rPr>
      <t>Tarma - Dv. Pampas,</t>
    </r>
    <r>
      <rPr>
        <b/>
        <sz val="10"/>
        <rFont val="Arial"/>
        <family val="2"/>
      </rPr>
      <t xml:space="preserve">
Sector:</t>
    </r>
    <r>
      <rPr>
        <sz val="10"/>
        <rFont val="Arial"/>
        <family val="2"/>
      </rPr>
      <t xml:space="preserve"> La Punta Km 5+847</t>
    </r>
    <r>
      <rPr>
        <b/>
        <sz val="10"/>
        <rFont val="Arial"/>
        <family val="2"/>
      </rPr>
      <t xml:space="preserve"> </t>
    </r>
    <r>
      <rPr>
        <sz val="10"/>
        <rFont val="Arial"/>
        <family val="2"/>
      </rPr>
      <t>- Km 5+857</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</si>
  <si>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</si>
  <si>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VIALES-003888</t>
  </si>
  <si>
    <r>
      <t xml:space="preserve">Ayacucho
</t>
    </r>
    <r>
      <rPr>
        <sz val="10"/>
        <color theme="1"/>
        <rFont val="Arial"/>
        <family val="2"/>
      </rPr>
      <t>Huamanga / Vinchos</t>
    </r>
  </si>
  <si>
    <r>
      <t xml:space="preserve">Red Vial Nacional: PE-28A,
Tramo: </t>
    </r>
    <r>
      <rPr>
        <sz val="10"/>
        <rFont val="Arial"/>
        <family val="2"/>
      </rPr>
      <t>Arizona - Huamanga,</t>
    </r>
    <r>
      <rPr>
        <b/>
        <sz val="10"/>
        <rFont val="Arial"/>
        <family val="2"/>
      </rPr>
      <t xml:space="preserve">
Sector:</t>
    </r>
    <r>
      <rPr>
        <sz val="10"/>
        <rFont val="Arial"/>
        <family val="2"/>
      </rPr>
      <t xml:space="preserve"> Arizona Km 299+150 - Km 299+220</t>
    </r>
  </si>
  <si>
    <t>PARCIAL</t>
  </si>
  <si>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</si>
  <si>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</si>
  <si>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</si>
  <si>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</si>
  <si>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</si>
  <si>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t>PE-1NN</t>
  </si>
  <si>
    <t>Margarita</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</si>
  <si>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</si>
  <si>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</si>
  <si>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</si>
  <si>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</si>
  <si>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</si>
  <si>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</si>
  <si>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</si>
  <si>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</si>
  <si>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</si>
  <si>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</si>
  <si>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</si>
  <si>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</si>
  <si>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</si>
  <si>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</si>
  <si>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1158+844 - Km 1163+844 (Km 128+000 - 133+000)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</si>
  <si>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</si>
  <si>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</si>
  <si>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</si>
  <si>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</si>
  <si>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</si>
  <si>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</si>
  <si>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Retroexcavadora
01 Camión volquete
01 Excavadora
05 Camión volquete</t>
  </si>
  <si>
    <t>VIALES-003913</t>
  </si>
  <si>
    <r>
      <t xml:space="preserve">Red Vial Nacional: PE-3N,
Tramo: </t>
    </r>
    <r>
      <rPr>
        <sz val="10"/>
        <rFont val="Arial"/>
        <family val="2"/>
      </rPr>
      <t>Chiple - Cutervo,</t>
    </r>
    <r>
      <rPr>
        <b/>
        <sz val="10"/>
        <rFont val="Arial"/>
        <family val="2"/>
      </rPr>
      <t xml:space="preserve">
Sector: </t>
    </r>
    <r>
      <rPr>
        <sz val="10"/>
        <rFont val="Arial"/>
        <family val="2"/>
      </rPr>
      <t>Pindoc Km 1495+185 - Km 1495+220 (Km local Km 42+185 - Km 42+220)</t>
    </r>
  </si>
  <si>
    <t>Maquinaria de la Concesionaria CONVIAL SIERRA NORTE
01 Cargador frontal</t>
  </si>
  <si>
    <t>VIALES-003915</t>
  </si>
  <si>
    <r>
      <t xml:space="preserve">Amazonas
</t>
    </r>
    <r>
      <rPr>
        <sz val="10"/>
        <color theme="1"/>
        <rFont val="Arial"/>
        <family val="2"/>
      </rPr>
      <t>Chachapoyas / Balsas</t>
    </r>
  </si>
  <si>
    <r>
      <t>Red Vial Nacional: PE-08B, 
Tramo:</t>
    </r>
    <r>
      <rPr>
        <sz val="10"/>
        <rFont val="Arial"/>
        <family val="2"/>
      </rPr>
      <t xml:space="preserve"> Balsas - Leymebamba,
</t>
    </r>
    <r>
      <rPr>
        <b/>
        <sz val="10"/>
        <rFont val="Arial"/>
        <family val="2"/>
      </rPr>
      <t>Sector:</t>
    </r>
    <r>
      <rPr>
        <sz val="10"/>
        <rFont val="Arial"/>
        <family val="2"/>
      </rPr>
      <t xml:space="preserve"> Curva del Venado Km 175+620 - Km 175+720</t>
    </r>
  </si>
  <si>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</si>
  <si>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</si>
  <si>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</si>
  <si>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</si>
  <si>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</si>
  <si>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r>
      <t xml:space="preserve">Junín
</t>
    </r>
    <r>
      <rPr>
        <sz val="10"/>
        <color theme="1"/>
        <rFont val="Arial"/>
        <family val="2"/>
      </rPr>
      <t>Chanchamayo / Chanchamayo</t>
    </r>
  </si>
  <si>
    <r>
      <t xml:space="preserve">Red Vial Nacional: PE-28C,
Tramo: </t>
    </r>
    <r>
      <rPr>
        <sz val="10"/>
        <rFont val="Arial"/>
        <family val="2"/>
      </rPr>
      <t>Puerto Villa - Cubantia,</t>
    </r>
    <r>
      <rPr>
        <b/>
        <sz val="10"/>
        <rFont val="Arial"/>
        <family val="2"/>
      </rPr>
      <t xml:space="preserve">
Sector:</t>
    </r>
    <r>
      <rPr>
        <sz val="10"/>
        <rFont val="Arial"/>
        <family val="2"/>
      </rPr>
      <t xml:space="preserve"> Puente Ajos Km 190+712 - Km 190+737</t>
    </r>
  </si>
  <si>
    <t>VIALES-003932</t>
  </si>
  <si>
    <t>Ajos</t>
  </si>
  <si>
    <t>PE-28C</t>
  </si>
  <si>
    <t>29.04.25</t>
  </si>
  <si>
    <r>
      <t xml:space="preserve">Red Vial Nacional: PE-34H,
Tramo: </t>
    </r>
    <r>
      <rPr>
        <sz val="10"/>
        <rFont val="Arial"/>
        <family val="2"/>
      </rPr>
      <t>Dv. Chuquine - Sandia,</t>
    </r>
    <r>
      <rPr>
        <b/>
        <sz val="10"/>
        <rFont val="Arial"/>
        <family val="2"/>
      </rPr>
      <t xml:space="preserve">
Sector:</t>
    </r>
    <r>
      <rPr>
        <sz val="10"/>
        <rFont val="Arial"/>
        <family val="2"/>
      </rPr>
      <t xml:space="preserve"> Ñacoreque Chico Km 204+300 - Km 204+900</t>
    </r>
  </si>
  <si>
    <t>VIALES-003935</t>
  </si>
  <si>
    <r>
      <t xml:space="preserve">Huancavelica
</t>
    </r>
    <r>
      <rPr>
        <sz val="10"/>
        <color theme="1"/>
        <rFont val="Arial"/>
        <family val="2"/>
      </rPr>
      <t>Castrovirreina /Ticrapo</t>
    </r>
  </si>
  <si>
    <r>
      <t xml:space="preserve">Red Vial Nacional: PE-26A,
Tramo: </t>
    </r>
    <r>
      <rPr>
        <sz val="10"/>
        <rFont val="Arial"/>
        <family val="2"/>
      </rPr>
      <t>Huachos - Dv. Ticrapo,</t>
    </r>
    <r>
      <rPr>
        <b/>
        <sz val="10"/>
        <rFont val="Arial"/>
        <family val="2"/>
      </rPr>
      <t xml:space="preserve">
Sector:</t>
    </r>
    <r>
      <rPr>
        <sz val="10"/>
        <rFont val="Arial"/>
        <family val="2"/>
      </rPr>
      <t xml:space="preserve"> Puente Larano Km 78+640 - Km 78+680</t>
    </r>
  </si>
  <si>
    <t>VIALES-003940</t>
  </si>
  <si>
    <t>Larano</t>
  </si>
  <si>
    <t>PE-26A</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</si>
  <si>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</si>
  <si>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</si>
  <si>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</si>
  <si>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</si>
  <si>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</si>
  <si>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</si>
  <si>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</si>
  <si>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VIALES-003946</t>
  </si>
  <si>
    <t>VIALES-003947</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</si>
  <si>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</si>
  <si>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t>
    </r>
    <r>
      <rPr>
        <b/>
        <sz val="10"/>
        <rFont val="Arial"/>
        <family val="2"/>
      </rPr>
      <t xml:space="preserve"> </t>
    </r>
    <r>
      <rPr>
        <sz val="10"/>
        <rFont val="Arial"/>
        <family val="2"/>
      </rPr>
      <t>Km 1442+320 - Km 1442+400 Local (Km 129+320 - Km 129+400)</t>
    </r>
  </si>
  <si>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</si>
  <si>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</si>
  <si>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 xml:space="preserve">Maquinaria del Contratista Conservador Mota Engil
01 Excavadora </t>
  </si>
  <si>
    <t>Maquinaria del Contratista Conservador Calemar
02 Excavadora
01 Cargador frontal
02 Camión volquete</t>
  </si>
  <si>
    <r>
      <rPr>
        <b/>
        <sz val="10"/>
        <rFont val="Arial"/>
        <family val="2"/>
      </rPr>
      <t>Red Vial Nacional: PE-3N,</t>
    </r>
    <r>
      <rPr>
        <sz val="10"/>
        <rFont val="Arial"/>
        <family val="2"/>
      </rPr>
      <t xml:space="preserve">
</t>
    </r>
    <r>
      <rPr>
        <b/>
        <sz val="10"/>
        <rFont val="Arial"/>
        <family val="2"/>
      </rPr>
      <t>Tramo:</t>
    </r>
    <r>
      <rPr>
        <sz val="10"/>
        <rFont val="Arial"/>
        <family val="2"/>
      </rPr>
      <t xml:space="preserve"> Cochabamba - Chota,
</t>
    </r>
    <r>
      <rPr>
        <b/>
        <sz val="10"/>
        <rFont val="Arial"/>
        <family val="2"/>
      </rPr>
      <t>Sector:</t>
    </r>
    <r>
      <rPr>
        <sz val="10"/>
        <rFont val="Arial"/>
        <family val="2"/>
      </rPr>
      <t xml:space="preserve"> Peña de Loros Km 1442+590 - Km 1442+670 Local (Km 129+590 - Km 129+670)</t>
    </r>
  </si>
  <si>
    <r>
      <rPr>
        <b/>
        <sz val="10"/>
        <color theme="1"/>
        <rFont val="Arial"/>
        <family val="2"/>
      </rPr>
      <t>Cajamarca</t>
    </r>
    <r>
      <rPr>
        <sz val="10"/>
        <color theme="1"/>
        <rFont val="Arial"/>
        <family val="2"/>
      </rPr>
      <t xml:space="preserve">
Chota / Cochabamba</t>
    </r>
  </si>
  <si>
    <r>
      <t>Red Vial Nacional: PE-5NC, 
Tramo:</t>
    </r>
    <r>
      <rPr>
        <sz val="10"/>
        <rFont val="Arial"/>
        <family val="2"/>
      </rPr>
      <t xml:space="preserve"> Entrada Chiriaco - Wawico,
</t>
    </r>
    <r>
      <rPr>
        <b/>
        <sz val="10"/>
        <rFont val="Arial"/>
        <family val="2"/>
      </rPr>
      <t>Sector:</t>
    </r>
    <r>
      <rPr>
        <sz val="10"/>
        <rFont val="Arial"/>
        <family val="2"/>
      </rPr>
      <t xml:space="preserve"> Nazareth Km 116+570 - Km 116+580</t>
    </r>
  </si>
  <si>
    <t>VIALES-003957</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</si>
  <si>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</si>
  <si>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</si>
  <si>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</si>
  <si>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</si>
  <si>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</si>
  <si>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t>VIALES-003963</t>
  </si>
  <si>
    <r>
      <t xml:space="preserve">Red Vial Nacional: PE-3N, 
Tramo: </t>
    </r>
    <r>
      <rPr>
        <sz val="10"/>
        <rFont val="Arial"/>
        <family val="2"/>
      </rPr>
      <t>Dv. Olmos - Corral Quemado</t>
    </r>
    <r>
      <rPr>
        <b/>
        <sz val="10"/>
        <rFont val="Arial"/>
        <family val="2"/>
      </rPr>
      <t>,
Sector:</t>
    </r>
    <r>
      <rPr>
        <sz val="10"/>
        <rFont val="Arial"/>
        <family val="2"/>
      </rPr>
      <t xml:space="preserve"> Km 1623+400(Local Km 68+400)</t>
    </r>
  </si>
  <si>
    <t>VIALES-003964</t>
  </si>
  <si>
    <r>
      <t xml:space="preserve">Tumbes
</t>
    </r>
    <r>
      <rPr>
        <sz val="10"/>
        <color theme="1"/>
        <rFont val="Arial"/>
        <family val="2"/>
      </rPr>
      <t>Contralmirante Villar / Zorritos</t>
    </r>
  </si>
  <si>
    <t>VIALES-003969</t>
  </si>
  <si>
    <t>VIALES-003968</t>
  </si>
  <si>
    <r>
      <t xml:space="preserve">Red Vial Nacional: PE-3N, 
Tramo: </t>
    </r>
    <r>
      <rPr>
        <sz val="10"/>
        <rFont val="Arial"/>
        <family val="2"/>
      </rPr>
      <t>Dv. Olmos - Corral Quemado</t>
    </r>
    <r>
      <rPr>
        <b/>
        <sz val="10"/>
        <rFont val="Arial"/>
        <family val="2"/>
      </rPr>
      <t>,
Sector:</t>
    </r>
    <r>
      <rPr>
        <sz val="10"/>
        <rFont val="Arial"/>
        <family val="2"/>
      </rPr>
      <t xml:space="preserve"> Km 1625+400 (Local Km 66+400)</t>
    </r>
  </si>
  <si>
    <r>
      <t>Red Vial Nacional: PE-1N, (Panamericana Norte) 
Tramo:</t>
    </r>
    <r>
      <rPr>
        <sz val="10"/>
        <rFont val="Arial"/>
        <family val="2"/>
      </rPr>
      <t xml:space="preserve"> Máncora - Tumbes - Puente La Paz,
</t>
    </r>
    <r>
      <rPr>
        <b/>
        <sz val="10"/>
        <rFont val="Arial"/>
        <family val="2"/>
      </rPr>
      <t xml:space="preserve">Sector: </t>
    </r>
    <r>
      <rPr>
        <sz val="10"/>
        <rFont val="Arial"/>
        <family val="2"/>
      </rPr>
      <t>Nuevo Paraíso Km 1231+744 - Km 1232+844 (Km 201+000 - Km 201+900)</t>
    </r>
  </si>
  <si>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</si>
  <si>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</si>
  <si>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</si>
  <si>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</si>
  <si>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del Contratista Conservador Consorcio Sierra Centro
01 Retroexcavadora
01 Camión volquete</t>
  </si>
  <si>
    <t>Maquinaria de PVN
02 Cargador frontal
01 Camión volquete</t>
  </si>
  <si>
    <t>Maquinaria del Contratista Conservador Consorcio Vial Nieva</t>
  </si>
  <si>
    <r>
      <t xml:space="preserve">Red Vial Nacional: PE-3N, 
Tramo: </t>
    </r>
    <r>
      <rPr>
        <sz val="10"/>
        <rFont val="Arial"/>
        <family val="2"/>
      </rPr>
      <t>Dv. Olmos - Corral Quemado</t>
    </r>
    <r>
      <rPr>
        <b/>
        <sz val="10"/>
        <rFont val="Arial"/>
        <family val="2"/>
      </rPr>
      <t>,
Sector:</t>
    </r>
    <r>
      <rPr>
        <sz val="10"/>
        <rFont val="Arial"/>
        <family val="2"/>
      </rPr>
      <t xml:space="preserve"> Km 1623+990 (Local Km 68+990)</t>
    </r>
  </si>
  <si>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</si>
  <si>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</si>
  <si>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</si>
  <si>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t>VIALES-003977</t>
  </si>
  <si>
    <r>
      <t>Red Vial Nacional: PE-3N, 
Tramo:</t>
    </r>
    <r>
      <rPr>
        <sz val="10"/>
        <rFont val="Arial"/>
        <family val="2"/>
      </rPr>
      <t xml:space="preserve"> Hualapampa - Sondor,
</t>
    </r>
    <r>
      <rPr>
        <b/>
        <sz val="10"/>
        <rFont val="Arial"/>
        <family val="2"/>
      </rPr>
      <t>Sector:</t>
    </r>
    <r>
      <rPr>
        <sz val="10"/>
        <rFont val="Arial"/>
        <family val="2"/>
      </rPr>
      <t xml:space="preserve"> Tunaspampa Km 1652+740 - Km 1652+790</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</si>
  <si>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</si>
  <si>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</si>
  <si>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</si>
  <si>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</si>
  <si>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</si>
  <si>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rPr>
        <b/>
        <sz val="10"/>
        <color theme="1"/>
        <rFont val="Arial"/>
        <family val="2"/>
      </rPr>
      <t>Apurímac</t>
    </r>
    <r>
      <rPr>
        <sz val="10"/>
        <color theme="1"/>
        <rFont val="Arial"/>
        <family val="2"/>
      </rPr>
      <t xml:space="preserve">
Grau / Curasco</t>
    </r>
  </si>
  <si>
    <t>VIALES-003984</t>
  </si>
  <si>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</si>
  <si>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</si>
  <si>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</si>
  <si>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</si>
  <si>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t>VIALES-003989</t>
  </si>
  <si>
    <t>Maquinaria de la Concesionaria CONVIAL SIERRA NORTE
02 Excavadora
05 Camión volquete</t>
  </si>
  <si>
    <r>
      <t xml:space="preserve">Red Vial Nacional: PE-3N,
Tramo: </t>
    </r>
    <r>
      <rPr>
        <sz val="10"/>
        <rFont val="Arial"/>
        <family val="2"/>
      </rPr>
      <t>Chiple - Cutervo,</t>
    </r>
    <r>
      <rPr>
        <b/>
        <sz val="10"/>
        <rFont val="Arial"/>
        <family val="2"/>
      </rPr>
      <t xml:space="preserve">
Sector: </t>
    </r>
    <r>
      <rPr>
        <sz val="10"/>
        <rFont val="Arial"/>
        <family val="2"/>
      </rPr>
      <t>Santa Isolina</t>
    </r>
    <r>
      <rPr>
        <b/>
        <sz val="10"/>
        <rFont val="Arial"/>
        <family val="2"/>
      </rPr>
      <t xml:space="preserve"> </t>
    </r>
    <r>
      <rPr>
        <sz val="10"/>
        <rFont val="Arial"/>
        <family val="2"/>
      </rPr>
      <t>Km 1448+800 - Km 1448+860 Local (Km 123+800 - Km 123+860)</t>
    </r>
  </si>
  <si>
    <t>VIALES-003991</t>
  </si>
  <si>
    <r>
      <t xml:space="preserve">Huánuco
</t>
    </r>
    <r>
      <rPr>
        <sz val="10"/>
        <color theme="1"/>
        <rFont val="Arial"/>
        <family val="2"/>
      </rPr>
      <t>Huánuco / Pillco Marca</t>
    </r>
  </si>
  <si>
    <r>
      <t xml:space="preserve">Red Vial Nacional: PE-3N,
Tramo: </t>
    </r>
    <r>
      <rPr>
        <sz val="10"/>
        <rFont val="Arial"/>
        <family val="2"/>
      </rPr>
      <t>Dv. Cerro de Pasco - Huánuco</t>
    </r>
    <r>
      <rPr>
        <b/>
        <sz val="10"/>
        <rFont val="Arial"/>
        <family val="2"/>
      </rPr>
      <t xml:space="preserve">,
Sector: </t>
    </r>
    <r>
      <rPr>
        <sz val="10"/>
        <rFont val="Arial"/>
        <family val="2"/>
      </rPr>
      <t>Cayhuayna Km 230+500 - Km 231+750</t>
    </r>
  </si>
  <si>
    <t>Maquinaria del Contratista Conservador Consorcio China Railway 20 Bereau Group Corporation
01 Cargador frontal
01 Retroexcavadora
01 Camión volquete</t>
  </si>
  <si>
    <r>
      <t>Red Vial Nacional: PE-5ND, 
Tramo:</t>
    </r>
    <r>
      <rPr>
        <sz val="10"/>
        <rFont val="Arial"/>
        <family val="2"/>
      </rPr>
      <t xml:space="preserve"> Wawiko - Urakusa, 
</t>
    </r>
    <r>
      <rPr>
        <b/>
        <sz val="10"/>
        <rFont val="Arial"/>
        <family val="2"/>
      </rPr>
      <t>Sector:</t>
    </r>
    <r>
      <rPr>
        <sz val="10"/>
        <rFont val="Arial"/>
        <family val="2"/>
      </rPr>
      <t xml:space="preserve"> Kayants Km 32+560 - Km 32+570</t>
    </r>
  </si>
  <si>
    <t>VIALES-003995</t>
  </si>
  <si>
    <r>
      <t xml:space="preserve">Red Vial Nacional: PE-3N,
Tramo: </t>
    </r>
    <r>
      <rPr>
        <sz val="10"/>
        <rFont val="Arial"/>
        <family val="2"/>
      </rPr>
      <t>Chota - Cochabamba,</t>
    </r>
    <r>
      <rPr>
        <b/>
        <sz val="10"/>
        <rFont val="Arial"/>
        <family val="2"/>
      </rPr>
      <t xml:space="preserve">
Sector: </t>
    </r>
    <r>
      <rPr>
        <sz val="10"/>
        <rFont val="Arial"/>
        <family val="2"/>
      </rPr>
      <t>Santa Isolina Km 122+349 - Km 122+380</t>
    </r>
  </si>
  <si>
    <t>VIALES-003996</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</si>
  <si>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del Pozuzo Km 237+450 - Km 237+610</t>
    </r>
  </si>
  <si>
    <t xml:space="preserve">Maquinaria de Consorcio Corredor Vial
01 Excavadora
</t>
  </si>
  <si>
    <t>VIALES-003999</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</si>
  <si>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34+550</t>
    </r>
    <r>
      <rPr>
        <b/>
        <sz val="10"/>
        <rFont val="Arial"/>
        <family val="2"/>
      </rPr>
      <t xml:space="preserve"> </t>
    </r>
    <r>
      <rPr>
        <sz val="10"/>
        <rFont val="Arial"/>
        <family val="2"/>
      </rPr>
      <t>- Km 34+600</t>
    </r>
  </si>
  <si>
    <t>Maquinaria IIRSA NORTE
01 Retroexcavadora</t>
  </si>
  <si>
    <r>
      <rPr>
        <b/>
        <sz val="10"/>
        <rFont val="Arial"/>
        <family val="2"/>
      </rPr>
      <t>PVN</t>
    </r>
    <r>
      <rPr>
        <sz val="10"/>
        <rFont val="Arial"/>
        <family val="2"/>
      </rPr>
      <t xml:space="preserve">
Administración por contrato
Jefatura zonal Ucayali
Carlos Dávila Rivadeneyra - Jefe zonal
Correo: Cdávila@pvn.gob.pe</t>
    </r>
  </si>
  <si>
    <t>VIALES-004001</t>
  </si>
  <si>
    <r>
      <t xml:space="preserve">Red Vial Nacional: PE-3SF,
Tramo: </t>
    </r>
    <r>
      <rPr>
        <sz val="10"/>
        <color theme="1"/>
        <rFont val="Arial"/>
        <family val="2"/>
      </rPr>
      <t>Chuquibambilla - Challhuahuacho,</t>
    </r>
    <r>
      <rPr>
        <b/>
        <sz val="10"/>
        <color theme="1"/>
        <rFont val="Arial"/>
        <family val="2"/>
      </rPr>
      <t xml:space="preserve">
Sector: </t>
    </r>
    <r>
      <rPr>
        <sz val="10"/>
        <color theme="1"/>
        <rFont val="Arial"/>
        <family val="2"/>
      </rPr>
      <t>Lahuajenta Km 160+260 - Km 160+265</t>
    </r>
  </si>
  <si>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</si>
  <si>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</si>
  <si>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t xml:space="preserve">Puno
</t>
    </r>
    <r>
      <rPr>
        <sz val="10"/>
        <color theme="1"/>
        <rFont val="Arial"/>
        <family val="2"/>
      </rPr>
      <t>Sandia / Cuyo Cuyo</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</si>
  <si>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</si>
  <si>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</si>
  <si>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</si>
  <si>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</si>
  <si>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</si>
  <si>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</si>
  <si>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</si>
  <si>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</si>
  <si>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</si>
  <si>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</si>
  <si>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</si>
  <si>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</si>
  <si>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</si>
  <si>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</si>
  <si>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</si>
  <si>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</si>
  <si>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</si>
  <si>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</si>
  <si>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</si>
  <si>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</si>
  <si>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</si>
  <si>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t>Maquinaria del Contratista Conservador Consorcio China Railway 20 Bereau Group Corporation
01 Camión volquete
01 Retroexcavadora</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</si>
  <si>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</si>
  <si>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San Miguel Km 155+100 - Km 155+105</t>
    </r>
  </si>
  <si>
    <r>
      <rPr>
        <b/>
        <sz val="10"/>
        <color theme="1"/>
        <rFont val="Arial"/>
        <family val="2"/>
      </rPr>
      <t>Piura</t>
    </r>
    <r>
      <rPr>
        <sz val="10"/>
        <color theme="1"/>
        <rFont val="Arial"/>
        <family val="2"/>
      </rPr>
      <t xml:space="preserve">
Ayabaca / Ayabaca</t>
    </r>
  </si>
  <si>
    <r>
      <t>Red Vial Nacional: PE-3N, 
Tramo:</t>
    </r>
    <r>
      <rPr>
        <sz val="10"/>
        <rFont val="Arial"/>
        <family val="2"/>
      </rPr>
      <t xml:space="preserve"> Dv. Curilcas - Socchabamba,
</t>
    </r>
    <r>
      <rPr>
        <b/>
        <sz val="10"/>
        <rFont val="Arial"/>
        <family val="2"/>
      </rPr>
      <t>Sector:</t>
    </r>
    <r>
      <rPr>
        <sz val="10"/>
        <rFont val="Arial"/>
        <family val="2"/>
      </rPr>
      <t xml:space="preserve"> Angurco Km 1909+420 - Km 1909+435</t>
    </r>
  </si>
  <si>
    <t>VIALES-004012</t>
  </si>
  <si>
    <r>
      <t xml:space="preserve">Cusco
</t>
    </r>
    <r>
      <rPr>
        <sz val="10"/>
        <color theme="1"/>
        <rFont val="Arial"/>
        <family val="2"/>
      </rPr>
      <t>La Convención/ Santa Ana</t>
    </r>
  </si>
  <si>
    <r>
      <t xml:space="preserve">Red Vial Nacional: PE-28B, 
Tramo: </t>
    </r>
    <r>
      <rPr>
        <sz val="10"/>
        <rFont val="Arial"/>
        <family val="2"/>
      </rPr>
      <t>Quillabamba -Alfamayo-Abra Malaga,</t>
    </r>
    <r>
      <rPr>
        <b/>
        <sz val="10"/>
        <rFont val="Arial"/>
        <family val="2"/>
      </rPr>
      <t xml:space="preserve">
Sector:</t>
    </r>
    <r>
      <rPr>
        <sz val="10"/>
        <rFont val="Arial"/>
        <family val="2"/>
      </rPr>
      <t xml:space="preserve"> Mazapata Km 221+500 - Km 221+600</t>
    </r>
  </si>
  <si>
    <t>VIALES-004013</t>
  </si>
  <si>
    <r>
      <t xml:space="preserve">Huancavelica
</t>
    </r>
    <r>
      <rPr>
        <sz val="10"/>
        <color theme="1"/>
        <rFont val="Arial"/>
        <family val="2"/>
      </rPr>
      <t>Huancavelica / Huancavelica</t>
    </r>
  </si>
  <si>
    <r>
      <t xml:space="preserve">Red Vial Nacional: PE-26,
Tramo: </t>
    </r>
    <r>
      <rPr>
        <sz val="10"/>
        <rFont val="Arial"/>
        <family val="2"/>
      </rPr>
      <t xml:space="preserve">Tramo 07 ,
</t>
    </r>
    <r>
      <rPr>
        <b/>
        <sz val="10"/>
        <rFont val="Arial"/>
        <family val="2"/>
      </rPr>
      <t xml:space="preserve">Sector: </t>
    </r>
    <r>
      <rPr>
        <sz val="10"/>
        <rFont val="Arial"/>
        <family val="2"/>
      </rPr>
      <t>Antaccocha Km 234+990 - Km 235+070</t>
    </r>
  </si>
  <si>
    <t>VIALES-004014</t>
  </si>
  <si>
    <r>
      <rPr>
        <b/>
        <sz val="10"/>
        <color theme="1"/>
        <rFont val="Arial"/>
        <family val="2"/>
      </rPr>
      <t>Cajamarca</t>
    </r>
    <r>
      <rPr>
        <sz val="10"/>
        <color theme="1"/>
        <rFont val="Arial"/>
        <family val="2"/>
      </rPr>
      <t xml:space="preserve">
Cutervo / Socota</t>
    </r>
  </si>
  <si>
    <r>
      <t>Red Vial Nacional: PE-3ND, 
Tramo:</t>
    </r>
    <r>
      <rPr>
        <sz val="10"/>
        <rFont val="Arial"/>
        <family val="2"/>
      </rPr>
      <t xml:space="preserve"> Cutervo - Socota,
</t>
    </r>
    <r>
      <rPr>
        <b/>
        <sz val="10"/>
        <rFont val="Arial"/>
        <family val="2"/>
      </rPr>
      <t>Sector:</t>
    </r>
    <r>
      <rPr>
        <sz val="10"/>
        <rFont val="Arial"/>
        <family val="2"/>
      </rPr>
      <t xml:space="preserve"> Socota Km 22+495 - Km 22+525</t>
    </r>
  </si>
  <si>
    <t>VIALES-004028</t>
  </si>
  <si>
    <t>Puerto de Talara</t>
  </si>
  <si>
    <t>PUERTO-00500</t>
  </si>
  <si>
    <r>
      <t>Red Vial Nacional: PE-3N, 
Tramo:</t>
    </r>
    <r>
      <rPr>
        <sz val="10"/>
        <rFont val="Arial"/>
        <family val="2"/>
      </rPr>
      <t xml:space="preserve"> Dv. Curilcas - Socchabamba,
</t>
    </r>
    <r>
      <rPr>
        <b/>
        <sz val="10"/>
        <rFont val="Arial"/>
        <family val="2"/>
      </rPr>
      <t>Sector:</t>
    </r>
    <r>
      <rPr>
        <sz val="10"/>
        <rFont val="Arial"/>
        <family val="2"/>
      </rPr>
      <t xml:space="preserve"> Pacainio Km 1941+284 - Km 1941+324</t>
    </r>
  </si>
  <si>
    <t>VIALES-004029</t>
  </si>
  <si>
    <r>
      <rPr>
        <b/>
        <sz val="10"/>
        <color theme="1"/>
        <rFont val="Arial"/>
        <family val="2"/>
      </rPr>
      <t>Ayacucho</t>
    </r>
    <r>
      <rPr>
        <sz val="10"/>
        <color theme="1"/>
        <rFont val="Arial"/>
        <family val="2"/>
      </rPr>
      <t xml:space="preserve">
Lucanas / Chaviña</t>
    </r>
  </si>
  <si>
    <r>
      <t xml:space="preserve">Red Vial Nacional: PE-32,
Tramo: </t>
    </r>
    <r>
      <rPr>
        <sz val="10"/>
        <rFont val="Arial"/>
        <family val="2"/>
      </rPr>
      <t>Coracora - Chaviña,</t>
    </r>
    <r>
      <rPr>
        <b/>
        <sz val="10"/>
        <rFont val="Arial"/>
        <family val="2"/>
      </rPr>
      <t xml:space="preserve">
Sector: </t>
    </r>
    <r>
      <rPr>
        <sz val="10"/>
        <rFont val="Arial"/>
        <family val="2"/>
      </rPr>
      <t>Chaviña Km 217+050 - Km 217+062</t>
    </r>
  </si>
  <si>
    <t>VIALES-004030</t>
  </si>
  <si>
    <t>SERVICIO NORMAL</t>
  </si>
  <si>
    <t>Nacional</t>
  </si>
  <si>
    <t>VIALES-004032</t>
  </si>
  <si>
    <t>Puerto de Paita</t>
  </si>
  <si>
    <t>PUERTO-00509</t>
  </si>
  <si>
    <t>Aquia</t>
  </si>
  <si>
    <t>15.05.25</t>
  </si>
  <si>
    <t>Maquinaria del Contratista Conservador  Consorcio Mollepampa
01 Motoniveladora 
01 Rodillo liso 
01 Camión volquete</t>
  </si>
  <si>
    <t>Maquinaria de PVN
01 Cargador frontal
02 Camión volquete</t>
  </si>
  <si>
    <t xml:space="preserve">Maquinaria del Contratista Conservador Consorcio Vial Puquio
01 Retroexcavadora
01 Camión volquete
</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</si>
  <si>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</si>
  <si>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Red Vial Nacional: PE-5NA,
Tramo: </t>
    </r>
    <r>
      <rPr>
        <sz val="10"/>
        <rFont val="Arial"/>
        <family val="2"/>
      </rPr>
      <t>Codo del Pozuzo (salida) - Codo de Pozuzo (tramo III),</t>
    </r>
    <r>
      <rPr>
        <b/>
        <sz val="10"/>
        <rFont val="Arial"/>
        <family val="2"/>
      </rPr>
      <t xml:space="preserve">
Sector:</t>
    </r>
    <r>
      <rPr>
        <sz val="10"/>
        <rFont val="Arial"/>
        <family val="2"/>
      </rPr>
      <t xml:space="preserve"> Zavalo Km 162+140 - Km 162+290</t>
    </r>
  </si>
  <si>
    <t xml:space="preserve">Maquinaria de Consorcio Corredor Vial
01 Excavadora
01 Cargador frontal
01 Rodillo 
01 Motoniveladora
</t>
  </si>
  <si>
    <t>VIALES-004033</t>
  </si>
  <si>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</si>
  <si>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</si>
  <si>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</si>
  <si>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</si>
  <si>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</si>
  <si>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</si>
  <si>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</si>
  <si>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</si>
  <si>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San Miguel Km 157+420 - Km 157+425</t>
    </r>
  </si>
  <si>
    <t>VIALES-004038</t>
  </si>
  <si>
    <t xml:space="preserve">Maquinaria del Contratista Conservador Construcción y Administración
01 Excavadora
</t>
  </si>
  <si>
    <t>VIALES-004039</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</si>
  <si>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</si>
  <si>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t>VIALES-004041</t>
  </si>
  <si>
    <r>
      <t xml:space="preserve">Red Vial Nacional: PE-3ND,
Tramo: </t>
    </r>
    <r>
      <rPr>
        <sz val="10"/>
        <rFont val="Arial"/>
        <family val="2"/>
      </rPr>
      <t>Pimpingos - Cuyca,</t>
    </r>
    <r>
      <rPr>
        <b/>
        <sz val="10"/>
        <rFont val="Arial"/>
        <family val="2"/>
      </rPr>
      <t xml:space="preserve">
Sector:</t>
    </r>
    <r>
      <rPr>
        <sz val="10"/>
        <rFont val="Arial"/>
        <family val="2"/>
      </rPr>
      <t xml:space="preserve"> Pimpingos Km 105+740 - Km 105+770</t>
    </r>
  </si>
  <si>
    <r>
      <t>Red Vial Nacional: PE-5ND, 
Tramo:</t>
    </r>
    <r>
      <rPr>
        <sz val="10"/>
        <rFont val="Arial"/>
        <family val="2"/>
      </rPr>
      <t xml:space="preserve"> Entrada Chiriaco - Wawiko, 
</t>
    </r>
    <r>
      <rPr>
        <b/>
        <sz val="10"/>
        <rFont val="Arial"/>
        <family val="2"/>
      </rPr>
      <t>Sector:</t>
    </r>
    <r>
      <rPr>
        <sz val="10"/>
        <rFont val="Arial"/>
        <family val="2"/>
      </rPr>
      <t xml:space="preserve"> Nazareth Km 116+196 - Km 116+216</t>
    </r>
  </si>
  <si>
    <t>VIALES-004042</t>
  </si>
  <si>
    <t>Maquinaria del Contratista Construcción y Administración S.A. (Casa Constructores)
01 Cargador frontal
01 Camión volquete</t>
  </si>
  <si>
    <r>
      <t xml:space="preserve">Puno
</t>
    </r>
    <r>
      <rPr>
        <sz val="10"/>
        <color theme="1"/>
        <rFont val="Arial"/>
        <family val="2"/>
      </rPr>
      <t>Sandia / Yanahuaya</t>
    </r>
  </si>
  <si>
    <r>
      <t xml:space="preserve">Red Vial Nacional: PE-34H,
Tramo: </t>
    </r>
    <r>
      <rPr>
        <sz val="10"/>
        <rFont val="Arial"/>
        <family val="2"/>
      </rPr>
      <t>Quiquira - Putina Puncco,</t>
    </r>
    <r>
      <rPr>
        <b/>
        <sz val="10"/>
        <rFont val="Arial"/>
        <family val="2"/>
      </rPr>
      <t xml:space="preserve">
Sector:</t>
    </r>
    <r>
      <rPr>
        <sz val="10"/>
        <rFont val="Arial"/>
        <family val="2"/>
      </rPr>
      <t xml:space="preserve"> San Martín De Tambopata Km 296+660 - Km 296+700</t>
    </r>
  </si>
  <si>
    <t xml:space="preserve">Maquinaria del Contratista Conservador Mota Engil
01 Excavadora 
02 Camión volquete
01 Cargador frontal
</t>
  </si>
  <si>
    <t>VIALES-004043</t>
  </si>
  <si>
    <r>
      <t xml:space="preserve">Cajamarca
</t>
    </r>
    <r>
      <rPr>
        <sz val="10"/>
        <color theme="1"/>
        <rFont val="Arial"/>
        <family val="2"/>
      </rPr>
      <t>Cutervo / Santo Tomas</t>
    </r>
  </si>
  <si>
    <r>
      <t xml:space="preserve">Red Vial Nacional: PE-3ND,
Tramo: </t>
    </r>
    <r>
      <rPr>
        <sz val="10"/>
        <rFont val="Arial"/>
        <family val="2"/>
      </rPr>
      <t>San Andrés - Santo Tomás,</t>
    </r>
    <r>
      <rPr>
        <b/>
        <sz val="10"/>
        <rFont val="Arial"/>
        <family val="2"/>
      </rPr>
      <t xml:space="preserve">
Sector:</t>
    </r>
    <r>
      <rPr>
        <sz val="10"/>
        <rFont val="Arial"/>
        <family val="2"/>
      </rPr>
      <t xml:space="preserve"> Santa Rosa Km 57+013 - Km 57+023</t>
    </r>
  </si>
  <si>
    <t xml:space="preserve">Maquinaria del Contratista Construcción y Administración S.A. (Casa Constructores)
</t>
  </si>
  <si>
    <t>VIALES-004045</t>
  </si>
  <si>
    <r>
      <t xml:space="preserve">Red Vial Nacional: PE-3ND,
Tramo: </t>
    </r>
    <r>
      <rPr>
        <sz val="10"/>
        <rFont val="Arial"/>
        <family val="2"/>
      </rPr>
      <t>Cutervo - Socota,</t>
    </r>
    <r>
      <rPr>
        <b/>
        <sz val="10"/>
        <rFont val="Arial"/>
        <family val="2"/>
      </rPr>
      <t xml:space="preserve">
Sector:</t>
    </r>
    <r>
      <rPr>
        <sz val="10"/>
        <rFont val="Arial"/>
        <family val="2"/>
      </rPr>
      <t xml:space="preserve"> Tres Cruces Km 3+015 - Km 3+025</t>
    </r>
  </si>
  <si>
    <t>VIALES-004046</t>
  </si>
  <si>
    <t>VIALES-004047</t>
  </si>
  <si>
    <r>
      <t>Red Vial Nacional: PE-10B, 
Tramo:</t>
    </r>
    <r>
      <rPr>
        <sz val="10"/>
        <rFont val="Arial"/>
        <family val="2"/>
      </rPr>
      <t xml:space="preserve"> Puente Pallar - Fundo Convento,
</t>
    </r>
    <r>
      <rPr>
        <b/>
        <sz val="10"/>
        <rFont val="Arial"/>
        <family val="2"/>
      </rPr>
      <t xml:space="preserve">Sector: </t>
    </r>
    <r>
      <rPr>
        <sz val="10"/>
        <rFont val="Arial"/>
        <family val="2"/>
      </rPr>
      <t>Ramada Km 35+920 - Km 35+980</t>
    </r>
  </si>
  <si>
    <t xml:space="preserve">Maquinaria del Contratista Conservador Consorcio Calemar
01 Excavadora 
02 Camión volquete
01 Cargador frontal
</t>
  </si>
  <si>
    <t xml:space="preserve">
Madre De Dios</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</si>
  <si>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Yauriquilla Km 151+040 - Km 151+045</t>
    </r>
  </si>
  <si>
    <t>VIALES-004049</t>
  </si>
  <si>
    <r>
      <rPr>
        <b/>
        <sz val="10"/>
        <color theme="1"/>
        <rFont val="Arial"/>
        <family val="2"/>
      </rPr>
      <t>Puno</t>
    </r>
    <r>
      <rPr>
        <sz val="10"/>
        <color theme="1"/>
        <rFont val="Arial"/>
        <family val="2"/>
      </rPr>
      <t xml:space="preserve">
Sandia / Sandia</t>
    </r>
  </si>
  <si>
    <r>
      <t>Red Vial Nacional: PE-34H, 
Tramo:</t>
    </r>
    <r>
      <rPr>
        <sz val="10"/>
        <rFont val="Arial"/>
        <family val="2"/>
      </rPr>
      <t xml:space="preserve"> Dv. Chuquine - Sandia,
</t>
    </r>
    <r>
      <rPr>
        <b/>
        <sz val="10"/>
        <rFont val="Arial"/>
        <family val="2"/>
      </rPr>
      <t>Sector:</t>
    </r>
    <r>
      <rPr>
        <sz val="10"/>
        <rFont val="Arial"/>
        <family val="2"/>
      </rPr>
      <t xml:space="preserve"> Ayo Km 215+150 - Km 215+190</t>
    </r>
  </si>
  <si>
    <t xml:space="preserve">Maquinaria del Contratista Conservador Mota Engil
01 Excavadora 
02 Camión volquete
</t>
  </si>
  <si>
    <t>VIALES-004050</t>
  </si>
  <si>
    <t>VIALES-004051</t>
  </si>
  <si>
    <r>
      <t xml:space="preserve">Red Vial Nacional: PE-3ND,
Tramo: </t>
    </r>
    <r>
      <rPr>
        <sz val="10"/>
        <rFont val="Arial"/>
        <family val="2"/>
      </rPr>
      <t>Santo Tomás - Pimpingos,</t>
    </r>
    <r>
      <rPr>
        <b/>
        <sz val="10"/>
        <rFont val="Arial"/>
        <family val="2"/>
      </rPr>
      <t xml:space="preserve">
Sector:</t>
    </r>
    <r>
      <rPr>
        <sz val="10"/>
        <rFont val="Arial"/>
        <family val="2"/>
      </rPr>
      <t xml:space="preserve"> Vista Florida Km 91+610 - Km 91+630</t>
    </r>
  </si>
  <si>
    <r>
      <t xml:space="preserve">Ayacucho
</t>
    </r>
    <r>
      <rPr>
        <sz val="10"/>
        <color theme="1"/>
        <rFont val="Arial"/>
        <family val="2"/>
      </rPr>
      <t>Lucanas / Chaviña</t>
    </r>
  </si>
  <si>
    <r>
      <t xml:space="preserve">Red Vial Nacional: PE-32,
Tramo: </t>
    </r>
    <r>
      <rPr>
        <sz val="10"/>
        <rFont val="Arial"/>
        <family val="2"/>
      </rPr>
      <t>Coracora - Chaviña,</t>
    </r>
    <r>
      <rPr>
        <b/>
        <sz val="10"/>
        <rFont val="Arial"/>
        <family val="2"/>
      </rPr>
      <t xml:space="preserve">
Sector: </t>
    </r>
    <r>
      <rPr>
        <sz val="10"/>
        <rFont val="Arial"/>
        <family val="2"/>
      </rPr>
      <t>Chaviña Km 212+190 - Km 212+210</t>
    </r>
  </si>
  <si>
    <t>VIALES-004052</t>
  </si>
  <si>
    <r>
      <rPr>
        <b/>
        <sz val="10"/>
        <color theme="1"/>
        <rFont val="Arial"/>
        <family val="2"/>
      </rPr>
      <t>Pasco</t>
    </r>
    <r>
      <rPr>
        <sz val="10"/>
        <color theme="1"/>
        <rFont val="Arial"/>
        <family val="2"/>
      </rPr>
      <t xml:space="preserve">
Pasco / Yanacancha</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</si>
  <si>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146+300 - Km 146+350</t>
    </r>
  </si>
  <si>
    <t>VIALES-004053</t>
  </si>
  <si>
    <r>
      <t xml:space="preserve">Huánuco
</t>
    </r>
    <r>
      <rPr>
        <sz val="10"/>
        <color theme="1"/>
        <rFont val="Arial"/>
        <family val="2"/>
      </rPr>
      <t>Puerto Inca / Puerto Inca</t>
    </r>
  </si>
  <si>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del Pozuzo Km 226+110 - Km 226+140</t>
    </r>
  </si>
  <si>
    <t>VIALES-004054</t>
  </si>
  <si>
    <t xml:space="preserve">Amazonas
Arequipa 
Ayacucho
 Cajamarca
Cusco
Ica
Junín
Lambayeque
Lima
Loreto
Piura 
Tumbes
Ucayali
</t>
  </si>
  <si>
    <t>Amazonas
Junín
Lima</t>
  </si>
  <si>
    <t>VIALES-004055</t>
  </si>
  <si>
    <r>
      <t xml:space="preserve">Cajamarca
</t>
    </r>
    <r>
      <rPr>
        <sz val="10"/>
        <color theme="1"/>
        <rFont val="Arial"/>
        <family val="2"/>
      </rPr>
      <t>Hualgayoc / Hualgayoc</t>
    </r>
  </si>
  <si>
    <r>
      <t xml:space="preserve">Red Vial Nacional: PE-3N,
Tramo: </t>
    </r>
    <r>
      <rPr>
        <sz val="10"/>
        <rFont val="Arial"/>
        <family val="2"/>
      </rPr>
      <t>Hualgayoc - Chota,</t>
    </r>
    <r>
      <rPr>
        <b/>
        <sz val="10"/>
        <rFont val="Arial"/>
        <family val="2"/>
      </rPr>
      <t xml:space="preserve">
Sector:  </t>
    </r>
    <r>
      <rPr>
        <sz val="10"/>
        <rFont val="Arial"/>
        <family val="2"/>
      </rPr>
      <t>Km 1359+970 - Km 1360+010</t>
    </r>
  </si>
  <si>
    <t>Maquinaria de la Concesionaria CONVIAL SIERRA NORTE
01 Retroexcavadora
02 Camión volquete</t>
  </si>
  <si>
    <t xml:space="preserve">21/05/2025   </t>
  </si>
  <si>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21.05.25 PVN Zonal Áncash realiza actividades de señalización en el lugar afectado. Asimismo, coordinaciones administrativas tales como trámite del plan de trabajo y elaboración de los términos de referencia.</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</si>
  <si>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21.05.25 PVN Zonal Lambayeque informa que el Conservador realiza señalización del área de trabajo, levantamiento topográfico, trazo y replanteo del eje del desvío provisional, limpieza y roce de vegetación en el desvío provisional del puente Tumán (aguas arriba y aguas abajo), explanación de terreno en el desvío provisional, colocación y compactación de material OVER para capa nivelante. Asimismo, ha dispuesto la instalación de alcantarillas.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</si>
  <si>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21.05.25 PVN Zonal La Libertad informa que el Conservador reporta que los trabajos de emergencia se encuentran suspendidos  debido a que la falla geológica es irreversible y no hay condiciones para seguir trabajando, se ha dispuesto recuperación de plataforma.</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</si>
  <si>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21.05.25 PVN Zonal Arequipa informa que el Conservador monitorea la emergencia e indica que los vehículos se dirigen por la zona urbana de Dean Valdivia y de Cocachacra a través de las vías vecinales.</t>
    </r>
  </si>
  <si>
    <r>
      <rPr>
        <b/>
        <sz val="10"/>
        <rFont val="Arial"/>
        <family val="2"/>
      </rPr>
      <t>Precipitaciones pluviales - Inundación de plataforma</t>
    </r>
    <r>
      <rPr>
        <sz val="10"/>
        <rFont val="Arial"/>
        <family val="2"/>
      </rPr>
      <t xml:space="preserve">
Debido a las constantes precipitaciones pluviales en el sector, se produjo inundación, afectando el tránsito vehicular.
21.05.25 PVN Zonal Ucayali informa que el Conservador realiza trabajos de instalación de dispositivos de seguridad vial y movilización de equipos.</t>
    </r>
  </si>
  <si>
    <r>
      <rPr>
        <b/>
        <sz val="10"/>
        <rFont val="Arial"/>
        <family val="2"/>
      </rPr>
      <t>Precipitaciones pluviales - Derrumbe</t>
    </r>
    <r>
      <rPr>
        <sz val="10"/>
        <rFont val="Arial"/>
        <family val="2"/>
      </rPr>
      <t xml:space="preserve">
Debido a las precipitaciones pluviales en el sectore inestabilidad del talud superior, se produjo derrumbe mayor de material, afectando la vía parcialmente.
21.05.25 PVN Zonal Puno informa que el Conservador realiza eliminación de material de derrumbe. Asimismo, se ha dispuesto recuperación de la calzada.</t>
    </r>
  </si>
  <si>
    <r>
      <rPr>
        <b/>
        <sz val="10"/>
        <rFont val="Arial"/>
        <family val="2"/>
      </rPr>
      <t>Precipitaciones pluviales - Derrumbe</t>
    </r>
    <r>
      <rPr>
        <sz val="10"/>
        <rFont val="Arial"/>
        <family val="2"/>
      </rPr>
      <t xml:space="preserve">
Debido a las precipitaciones pluviales, se produjo derrumbe mayor de material, afectando la vía parcialmente.
21.05.25 La Concesionaría informa que realiza la eliminación de material por derrumbe.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</si>
  <si>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21.05.25 PVN Zonal La Libertad informa que el Conservador realiza la eliminación del derrumbe</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</si>
  <si>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21.05.25 PVN Zonal Huánuco informa que realiza gestiones para la contratación de los servicios.</t>
    </r>
  </si>
  <si>
    <r>
      <rPr>
        <b/>
        <sz val="10"/>
        <rFont val="Arial"/>
        <family val="2"/>
      </rPr>
      <t xml:space="preserve">Precipitaciones pluviales - Erosión de alcantarilla
</t>
    </r>
    <r>
      <rPr>
        <sz val="10"/>
        <rFont val="Arial"/>
        <family val="2"/>
      </rPr>
      <t>Debido a las constantes precipitaciones pluviales en el sector, se produjo erosión de alcantarilla, afectando el tránsito vehicular.</t>
    </r>
    <r>
      <rPr>
        <b/>
        <sz val="10"/>
        <rFont val="Arial"/>
        <family val="2"/>
      </rPr>
      <t xml:space="preserve">
</t>
    </r>
    <r>
      <rPr>
        <sz val="10"/>
        <rFont val="Arial"/>
        <family val="2"/>
      </rPr>
      <t xml:space="preserve">
21.05.25 PVN Zonal Lambayeque informa que el Conservador realiza la señalización en el sector afectado, asimismo se procede con los trabajos de perfilado y excavación manual en entrada y salida de alcantarilla</t>
    </r>
  </si>
  <si>
    <r>
      <rPr>
        <b/>
        <sz val="10"/>
        <rFont val="Arial"/>
        <family val="2"/>
      </rPr>
      <t xml:space="preserve">Precipitaciones pluviales - Asentamiento de plataforma
</t>
    </r>
    <r>
      <rPr>
        <sz val="10"/>
        <rFont val="Arial"/>
        <family val="2"/>
      </rPr>
      <t>Debido a las constantes precipitaciones pluviales en la zona, se produjo asentamiento de plataforma en la vía afectando la transitabilidad.</t>
    </r>
    <r>
      <rPr>
        <b/>
        <sz val="10"/>
        <rFont val="Arial"/>
        <family val="2"/>
      </rPr>
      <t xml:space="preserve">
</t>
    </r>
    <r>
      <rPr>
        <sz val="10"/>
        <rFont val="Arial"/>
        <family val="2"/>
      </rPr>
      <t xml:space="preserve">
21.05.25 PVN Zonal Puno informa que el Conservador realiza los trabajos de enrocado del talud inferior izquierdo de la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</si>
  <si>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21.05.25 PVN Zonal Amazonas informa que el Conservador realiza la señalización preventiva, del sector a intervenir</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</si>
  <si>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21.05.25 PVN Zonal Lambayeque informa que el Conservador realiza la señalización en el sector afectado, asimismo se procede con los trabajos de corte y eliminación para mejorar la transitabilidad</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</si>
  <si>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21.05.25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</si>
  <si>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21.05.25 PVN Zonal Piura - Tumbes informa que el Conservador realiza trabajos de señalización y movilización de equipos para la ejecución de los trabajos. Asimismo, ha dispuesto la colocación de muro de bolsacreto.</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</si>
  <si>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21.05.25 PVN Zonal Cusco - Apurímac informa que el Conservador realiza las actividades de señalización de armado de TMC, es por ello que se dispone a la recuperación de calzada.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</si>
  <si>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21.05.25 PVN Zonal Ica informa que el Conservador realiza trabajos de excavación y transporte de material.</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</si>
  <si>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21.05.25 PVN Zonal Lambayeque informa que el Conservador realiza las coordinaciones y gestiones para la atención de emergencia vial.</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</si>
  <si>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en la vía afectando la transitabilidad.
21.05.25 PVN Zonal Ica informa que el Conservador realiza el mantenimiento de tránsito y seguridad vial, así como las actividades de retiro de material saturado con equipo para la recuperación del nivel la subrasante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</si>
  <si>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21.05.25 PVN Zonal Piura - Tumbes informa que el Conservador realiza trabajos de señalización y movilización de equipos para la ejecución de los trabajos</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</si>
  <si>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21.05.25 PVN Zonal Cusco - Apurímac realiza la eliminación de material por derrumbe.</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</si>
  <si>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21.05.25 PVN Zonal Piura - Tumbes informa que el Conservador realiza trabajos de señalización preventiva, control de tráfico vehicular, corte y perfilado de talud inferior, levantamiento topográfico, ensayos de laboratorio en campo, transporte de material seleccionado de cantera, eliminación de material excedente.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</si>
  <si>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21.05.25 PVN Zonal Áncash informa que dispuso recuperación de calzada, mediante la reconformación de la plataforma, realiza las coordinaciones para recuperar los niveles de la plataforma.</t>
    </r>
  </si>
  <si>
    <r>
      <rPr>
        <b/>
        <sz val="10"/>
        <rFont val="Arial"/>
        <family val="2"/>
      </rPr>
      <t>Precipitaciones pluviales - Derrumbe</t>
    </r>
    <r>
      <rPr>
        <sz val="10"/>
        <rFont val="Arial"/>
        <family val="2"/>
      </rPr>
      <t xml:space="preserve">
Debido a las precipitaciones pluviales, se produjo derrumbe del talud superior interrumpiendo la vía parcialmente.
21.05.25 La Concesionaria comunica que volvió a caer material, se interrumpió la transitabilidad de la vía. Personal y maquinaria realizará la limpieza correspondiente. Se viene dando aviso mediante las unidades de peaje sobre el estado de la vía.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</si>
  <si>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21.05.25 PVN Zonal Amazonas informa que el Conservador el día de ayer 08/05/25 se culminó con los trabajos de reconstrucción del cabezal de entrada, relleno y conformación en alcantarilla, se restableció el tránsito vehicular normal</t>
    </r>
  </si>
  <si>
    <r>
      <rPr>
        <b/>
        <sz val="10"/>
        <rFont val="Arial"/>
        <family val="2"/>
      </rPr>
      <t>Precipitaciones pluviales - Derrumbe</t>
    </r>
    <r>
      <rPr>
        <sz val="10"/>
        <rFont val="Arial"/>
        <family val="2"/>
      </rPr>
      <t xml:space="preserve">
Debido a las precipitaciones pluviales en el sector, se produjo derrumbe, afectando la transitabilidad vehicular.
21.05.25 PVN Zonal Ica informa que realiza las coordinaciones para ejecutar las actividades de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</si>
  <si>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La Concesionaría informa que realiza señalización preventiva de la zona de la emergencia vial</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</si>
  <si>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21.05.25 PVN Zonal Huánuco informa que gestiona la contratación de los servicios a fin de recuperar la transitabilidad vehicular.</t>
    </r>
  </si>
  <si>
    <r>
      <rPr>
        <b/>
        <sz val="10"/>
        <rFont val="Arial"/>
        <family val="2"/>
      </rPr>
      <t>Vientos fuertes - Arenamiento</t>
    </r>
    <r>
      <rPr>
        <sz val="10"/>
        <rFont val="Arial"/>
        <family val="2"/>
      </rPr>
      <t xml:space="preserve">
Debido a los vientos fuertes en el sector, se produjo arenamiento, afectando la transitabilidad vehicular.
21.05.25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</si>
  <si>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21.05.25 PVN Zonal Cusco - Apurímac realiza la gestión de recursos para atender la emergencia.</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</si>
  <si>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21.05.25 PVN Zonal Piura - Tumbes informa que el Conservador dispuso la señalización y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</si>
  <si>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21.05.25 PVN Zonal Ucayali informa que el Conservador informa que realiza trabajos de instalación de dispositivos de seguridad vial.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</si>
  <si>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21.05.25 La Concesionaria informa que personal y maquinaria realizará la limpieza correspondiente.</t>
    </r>
  </si>
  <si>
    <r>
      <rPr>
        <b/>
        <sz val="10"/>
        <rFont val="Arial"/>
        <family val="2"/>
      </rPr>
      <t>Precipitaciones pluviales - Derrumbe</t>
    </r>
    <r>
      <rPr>
        <sz val="10"/>
        <rFont val="Arial"/>
        <family val="2"/>
      </rPr>
      <t xml:space="preserve">
Debido a las precipitaciones pluviales, se produjo derrumbe mayor de material, afectando la vía parcialmente.El 15.05.25 ocurrió derrumbe mayor de material suelto y roca.
21.05.25 La Concesionaría informa que realiza señalización preventiva, trabajos de limpieza con maquinaria y eliminación de material.</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</si>
  <si>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21.05.25 PVN Zonal Cusco - Apurímac informa que el Conservador realiza las actividades de señalización, extracción, transporte, excavación y construcción alcantarilla.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</si>
  <si>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el tránsito vehicular.
21.05.25 PVN Zonal Piura - Tumbes informa que se dispuso la señalización en la vía.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</si>
  <si>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21.05.25 PVN Zonal Junín - Pasco informa que realiza las coordinaciones y gestiones para la atención de la emergencia vial.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</si>
  <si>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21.05.25 La Concesionaria informa que personal y maquinaria continúan con los trabajos de limpieza. se habilito una vía.</t>
    </r>
  </si>
  <si>
    <r>
      <rPr>
        <b/>
        <sz val="10"/>
        <rFont val="Arial"/>
        <family val="2"/>
      </rPr>
      <t>Deterioro de infraestructura - Daño en la estructura del puente</t>
    </r>
    <r>
      <rPr>
        <sz val="10"/>
        <rFont val="Arial"/>
        <family val="2"/>
      </rPr>
      <t xml:space="preserve">
Debido al impacto de rocas, se produjo daño en la estructura del puente modular.
21.05.25 PVN Zonal Huancavelica informa que realiza las gestiones y elaboración del terminó de referencias para la contratación de equipo mecánico y mano de obra. Asimismo, ha previsto cambio de elementos metálicos afectados.</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</si>
  <si>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21.05.25 La Concesionaría informa que realiza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</si>
  <si>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21.05.25 PVN Zonal Puno informa que el Conservador realiza corte y perfilado de talud superior lado derecho para ensanchamiento de la vía.</t>
    </r>
  </si>
  <si>
    <r>
      <rPr>
        <b/>
        <sz val="10"/>
        <rFont val="Arial"/>
        <family val="2"/>
      </rPr>
      <t>Precipitaciones pluviales - Erosión en la estructura del puente</t>
    </r>
    <r>
      <rPr>
        <sz val="10"/>
        <rFont val="Arial"/>
        <family val="2"/>
      </rPr>
      <t xml:space="preserve">
Debido al peso del continuo tránsito vehicular del puente, se afectó la estructura, afectando la transitabilidad de manera parcial.
21.05.25 PVN Zonal Junín - Pasco informa que realiza recuperación de la socavación de la subestructura, limpieza y pintado de estructura.</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</si>
  <si>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21.05.25 PVN Zonal San Martín - Loreto realiza  el carguío y transporte de piedra over para los gaviones</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</si>
  <si>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21.05.25 La Concesionaría informa que realiza la señalización preventiva en el sector y excavación de material de talud inferior. Hay pase por un solo carril.</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</si>
  <si>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21.05.25 PVN Zonal Cajamarca informa que el Conservador continúa con los trabajos de limpieza de la vía por derrumbe, recuperando la transitabilidad vehicular a un solo carril.
Ruta alterna: AM - 112, Pusac - Chuquibamba - Leymebamba (vehículos hasta 3 ejes).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</si>
  <si>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21.05.25 PVN Zonal La Libertad informa que el Conservador ha proyectado la estabilización del talud con banquetas con maquinarias.</t>
    </r>
  </si>
  <si>
    <r>
      <rPr>
        <b/>
        <sz val="10"/>
        <rFont val="Arial"/>
        <family val="2"/>
      </rPr>
      <t>Precipitaciones pluviales - Derrumbe</t>
    </r>
    <r>
      <rPr>
        <sz val="10"/>
        <rFont val="Arial"/>
        <family val="2"/>
      </rPr>
      <t xml:space="preserve">
Debido a las constantes precipitaciones pluviales en sector, se produjo derrumbe que afectó parcialmente la vía.
21.05.25 La Concesionaría informa que realiza los trabajos de limpieza de material de derrumbe mayor y posterior.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</si>
  <si>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21.05.25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</si>
  <si>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21.05.25 PVN Zonal La Libertad informa que el Conservador realiza la eliminación del material deslizado del talud superior.</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</si>
  <si>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21.05.25 PVN Zonal Junín - Pasco informa que realiza las coordinaciones correspondientes para atender la emergencia vial.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</si>
  <si>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21.05.25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</si>
  <si>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</si>
  <si>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21.05.25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</si>
  <si>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Derrumbe</t>
    </r>
    <r>
      <rPr>
        <sz val="10"/>
        <rFont val="Arial"/>
        <family val="2"/>
      </rPr>
      <t xml:space="preserve">
Debido a las constantes precipitaciones pluviales en sector, se produjo derrumbe que afectó la vía.
21.05.25 PVN Zonal Ica dispone  la recuperación normal de los niveles de plataforma mediante la reconformación, asimismo realiza las coordinaciones para ejecutar las actividades de recuperación de la plataforma.</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</si>
  <si>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21.05.25 PVN Zonal Piura - Tumbes informa que el Conservador dispuso la señalización en la vía debido al asentamiento de plataforma, se habilitó la vía en un solo carril con apoyo de maquinaria.</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</si>
  <si>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21.05.25 PVN Zonal VRAEM informa que evalúa la propuesta de solución para recuperar la plataforma afectada.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</si>
  <si>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21.05.25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</si>
  <si>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21.05.25 PVN Zonal San Martín - Loreto realiza vigilancia del puente, esto para evitar vandalismo, prevé realizar los servicios de control de tránsito temporal y seguridad vial.</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</si>
  <si>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21.05.25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</si>
  <si>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21.05.25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</si>
  <si>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21.05.25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</si>
  <si>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21.05.25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</si>
  <si>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Piura - Tumbes informa realiza las coordinaciones y gestiones para la atención de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</si>
  <si>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21.05.25 PVN Zonal Ica informa que realiza las coordinaciones y actividades de recuperación de niveles de la plataforma, se contará con equipos propios de la entidad, combustible y personal para el control de tránsito.</t>
    </r>
  </si>
  <si>
    <r>
      <rPr>
        <b/>
        <sz val="10"/>
        <rFont val="Arial"/>
        <family val="2"/>
      </rPr>
      <t>Precipitaciones pluviales - Derrumbe</t>
    </r>
    <r>
      <rPr>
        <sz val="10"/>
        <rFont val="Arial"/>
        <family val="2"/>
      </rPr>
      <t xml:space="preserve">
Debido a las constantes precipitaciones pluviales en la zona, se produjo el derrumbe bloqueando la vía parcialmente.
21.05.25 PVN Zonal Junín - Pasco informa que continúa los trabajos de eliminación de material de derrumbe</t>
    </r>
  </si>
  <si>
    <r>
      <rPr>
        <b/>
        <sz val="10"/>
        <rFont val="Arial"/>
        <family val="2"/>
      </rPr>
      <t>Precipitaciones pluviales - Asentamiento de plataforma</t>
    </r>
    <r>
      <rPr>
        <sz val="10"/>
        <rFont val="Arial"/>
        <family val="2"/>
      </rPr>
      <t xml:space="preserve">
Debido a las constantes precipitaciones pluviales se produjo asentamiento de la plataforma, afectando totalmente la transitabilidad de la vía.
21.05.25 PVN Zonal Ica realiza las coordinaciones para ejecutar las actividades de recuperación de niveles de la plataforma.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</si>
  <si>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21.05.25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</si>
  <si>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Deslizamiento</t>
    </r>
    <r>
      <rPr>
        <sz val="10"/>
        <rFont val="Arial"/>
        <family val="2"/>
      </rPr>
      <t xml:space="preserve">
Debido a las precipitaciones pluviales se produjo deslizamiento del talud superior, cubriendo la vía completamente.
21.05.25 La Concesionaria informa que personal y maquinaria realizó la limpieza en el lugar, habilitando el tránsito restringido.</t>
    </r>
  </si>
  <si>
    <r>
      <rPr>
        <b/>
        <sz val="10"/>
        <rFont val="Arial"/>
        <family val="2"/>
      </rPr>
      <t>Precipitaciones pluviales - Asentamiento de plataforma</t>
    </r>
    <r>
      <rPr>
        <sz val="10"/>
        <rFont val="Arial"/>
        <family val="2"/>
      </rPr>
      <t xml:space="preserve">
Debido a las precipitaciones pluviales en el sector, se produjo asentamiento de plataforma afectando la vía parcialmente.
21.05.25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</si>
  <si>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Derrumbe</t>
    </r>
    <r>
      <rPr>
        <sz val="10"/>
        <rFont val="Arial"/>
        <family val="2"/>
      </rPr>
      <t xml:space="preserve">
Debido a las constantes precipitaciones pluviales en la zona, se produjo el derrumbe bloqueando la vía totalmente.
21.05.25 PVN Zonal Huánuco informa que el Conservador continúa con los trabajos de limpieza de derrumbe a fin de recuperar la transitabilidad vehicular.</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</si>
  <si>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21.05.25 PVN Zonal San Martín informa que el Conservador procederá con la conformación de base y recuperación de plataforma.</t>
    </r>
  </si>
  <si>
    <r>
      <rPr>
        <b/>
        <sz val="10"/>
        <rFont val="Arial"/>
        <family val="2"/>
      </rPr>
      <t>Precipitaciones pluviales - Huaico</t>
    </r>
    <r>
      <rPr>
        <sz val="10"/>
        <rFont val="Arial"/>
        <family val="2"/>
      </rPr>
      <t xml:space="preserve">
Debido a las constantes precipitaciones pluviales en sector, produjo huaico, afectando la transitabilidad de la vía.
21.05.25 PVN Zonal Piura - Tumbes informa que realiza las coordinaciones y gestiones para la atención correspondiente de esta emergencia </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</si>
  <si>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21.05.25 La Concesionaria informa que realizó la limpieza de medio carril, habilitando el tránsito a restringido.</t>
    </r>
  </si>
  <si>
    <r>
      <rPr>
        <b/>
        <sz val="10"/>
        <rFont val="Arial"/>
        <family val="2"/>
      </rPr>
      <t>Precipitaciones pluviales - Erosión de plataforma</t>
    </r>
    <r>
      <rPr>
        <sz val="10"/>
        <rFont val="Arial"/>
        <family val="2"/>
      </rPr>
      <t xml:space="preserve">
Debido a las constantes precipitaciones pluviales en sector y acción de la naturaleza, produjo la erosión de plataforma, afectando la transitabilidad de la vía.
21.05.25 PVN Zonal La Libertad informa que el Conservador realiza el acopio de roca para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</si>
  <si>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21.05.25 PVN Zonal Piura - Tumbes informa que el Conservador realiza limpieza y eliminación de material.</t>
    </r>
  </si>
  <si>
    <r>
      <rPr>
        <b/>
        <sz val="10"/>
        <rFont val="Arial"/>
        <family val="2"/>
      </rPr>
      <t>Precipitaciones pluviales - Daño en la estructura del puente</t>
    </r>
    <r>
      <rPr>
        <sz val="10"/>
        <rFont val="Arial"/>
        <family val="2"/>
      </rPr>
      <t xml:space="preserve">
Debido a las precipitaciones pluviales, se produjo daño en la estructura del puente La Punta afectando la vía parcialmente.
21.05.25 PVN Zonal Junín - Pasco informa que espera la emisión de la orden de servicio para iniciar la reparación de dicho alero.</t>
    </r>
  </si>
  <si>
    <r>
      <rPr>
        <b/>
        <sz val="10"/>
        <rFont val="Arial"/>
        <family val="2"/>
      </rPr>
      <t>Precipitaciones pluviales - Derrumbe</t>
    </r>
    <r>
      <rPr>
        <sz val="10"/>
        <rFont val="Arial"/>
        <family val="2"/>
      </rPr>
      <t xml:space="preserve">
Debido a las constantes precipitaciones pluviales en la zona, se produjo derrumbe en la vía afectando la transitabilidad.
21.05.25 PVN Zonal Áncash realiza protección de calzada por posible deslizamiento de rocas.</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</si>
  <si>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21.05.25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</si>
  <si>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21.05.25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</si>
  <si>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21.05.25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</si>
  <si>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</si>
  <si>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21.05.25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</si>
  <si>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Derrumbe</t>
    </r>
    <r>
      <rPr>
        <sz val="10"/>
        <rFont val="Arial"/>
        <family val="2"/>
      </rPr>
      <t xml:space="preserve">
Debido a las constantes precipitaciones pluviales en la zona, se produjo el derrumbe bloqueando la vía totalmente, el 25/04/2025 nuevamente se suscitó el cierre de la vía por el derrumbe ocurrido por un nuevo deslizamiento de material.
21.05.25 PVN Zonal Cajamarca informa que el Conservador continúa los trabajos de limpieza de la vía por derrumbe.
Ruta alterna: Carretera Sucre - José Gálvez - Celendín.</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</si>
  <si>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21.05.25 PVN Zonal Cajamarca informa que realiza la conformación de base y recuperación de plataforma (pavimento básico).</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</si>
  <si>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21.05.25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</si>
  <si>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21.05.25 PVN Zonal Huancavelica informa que realiza las coordinaciones y gestiones para los requerimientos de adquisición de bienes y servicios para el enrocado de muro.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</si>
  <si>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21.05.25 PVN Zonal Amazonas informa que realiza las coordinaciones para la aprobación de la cobertura presupuestal para dar inicio a las actividades de extracción, carguío, transporte de roca, material seleccionado y conformación de muro seco a todo costo.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</si>
  <si>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21.05.25 PVN Zonal Amazonas informa que realiza las coordinaciones y gestiones para la atención de la emergencia vial.</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</si>
  <si>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21.05.25 PVN Zonal Áncash informa que continúa el desprendimiento de talud. Asimismo, viene trasladando una excavadora alquilada para el desquinche de talud. </t>
    </r>
  </si>
  <si>
    <r>
      <rPr>
        <b/>
        <sz val="10"/>
        <rFont val="Arial"/>
        <family val="2"/>
      </rPr>
      <t>Precipitaciones pluviales - Colapso de alcantarilla</t>
    </r>
    <r>
      <rPr>
        <sz val="10"/>
        <rFont val="Arial"/>
        <family val="2"/>
      </rPr>
      <t xml:space="preserve">
Debido a las constantes precipitaciones pluviales en el sector, se produjo afectación a la estructura de alcantarilla afectada en el cabezal y salida de alcantarilla lado izquierdo por erosión y socavación de terraplén de plataforma, afectando el tránsito vehicular.
21.05.25 PVN Tacna - Moquegua ha dispuesto la reposición de estructura del cabeza y salida de alcantarilla lado izquierdo.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</si>
  <si>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Áncash realiza trabajo de gabinete levantamiento topográfico. Asimismo, se ha previsto la instalación de muro de concreto ciclópeo y contratación de servicios de terceros.</t>
    </r>
  </si>
  <si>
    <r>
      <rPr>
        <b/>
        <sz val="10"/>
        <rFont val="Arial"/>
        <family val="2"/>
      </rPr>
      <t>Precipitaciones pluviales - Deslizamiento</t>
    </r>
    <r>
      <rPr>
        <sz val="10"/>
        <rFont val="Arial"/>
        <family val="2"/>
      </rPr>
      <t xml:space="preserve">
Debido a la acción de la naturaleza, se produce deslizamiento continuo del talud inferior.
21.05.25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</si>
  <si>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</si>
  <si>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</si>
  <si>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21.05.25 PVN Zonal Áncash realiza levantamiento topográfico. Asimismo, se ha previsto la instalación de muro de concreto ciclópeo y contratación de servicios de terceros.</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</si>
  <si>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21.05.25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</si>
  <si>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21.05.25 PVN Zonal Cusco - Apurímac realiza la vigilancia y control del tránsito en la zona afectada por la emergencia.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</si>
  <si>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21.05.25 PVN Zonal La Libertad informa que el Conservador ha dispuesto el relleno de baches profundos con material granular en las zonas afectadas, asimismo, realiza los trabajos en cantera.</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</si>
  <si>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21.05.25 PVN Zonal Piura - Tumbes realiza los trámites para la documentación pertinente para la atención de la emergencia.</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</si>
  <si>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21.05.25 PVN Zonal Piura - Tumbes realiza las coordinaciones para recuperar la plataforma.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</si>
  <si>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totalmente.
21.05.25 PVN Zonal Lima informa que el Conservador realiza los trabajos de señalización, movilización de equipos, extracción selección y acopio de roca, relleno de plataforma.
Ruta alterna: PE-18 Huaura - Sayán - Churín - Oyón.</t>
    </r>
  </si>
  <si>
    <r>
      <rPr>
        <b/>
        <sz val="10"/>
        <rFont val="Arial"/>
        <family val="2"/>
      </rPr>
      <t>Precipitaciones pluviales - Erosión de plataforma</t>
    </r>
    <r>
      <rPr>
        <sz val="10"/>
        <rFont val="Arial"/>
        <family val="2"/>
      </rPr>
      <t xml:space="preserve">
Debido a las constantes precipitaciones pluviales se produjo la erosión de la plataforma, afectando la transitabilidad de la vía.
21.05.25 PVN Zonal Cusco - Apurímac informa que realiza la vigilancia y control del sector.</t>
    </r>
  </si>
  <si>
    <r>
      <rPr>
        <b/>
        <sz val="10"/>
        <rFont val="Arial"/>
        <family val="2"/>
      </rPr>
      <t>Precipitaciones pluviales - Huaico</t>
    </r>
    <r>
      <rPr>
        <sz val="10"/>
        <rFont val="Arial"/>
        <family val="2"/>
      </rPr>
      <t xml:space="preserve">
Debido a las constantes precipitaciones pluviales en la zona, se produjo el huaico afectado la vía.
21.05.25 PVN Zonal Áncash realiza las gestiones para la atención de la emergencia.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</si>
  <si>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21.05.25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</si>
  <si>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Derrumbe</t>
    </r>
    <r>
      <rPr>
        <sz val="10"/>
        <rFont val="Arial"/>
        <family val="2"/>
      </rPr>
      <t xml:space="preserve">
Debido a las precipitaciones pluviales, a las 09:00 horas se ha producido derrumbe de rocas que cayeron de gran altura en el talud superior, frente al restaurante El Cogollo interrumpiendo el tránsito vehicular.
21.05.25 La Concesionaria informa que auxilió a todos los afectados de la zona, su equipo continúa en la zona realizando las labores de limpieza para rehabilitar el tránsito vehicular.</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</si>
  <si>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21.05.25 PVN Zonal Cajamarca informa que el Conservador realiza la movilización de equipos para la atención de la emergencia vial, asimismo, realiza la búsqueda e identificación de accesos alternos, cierre vehicular y peatonal de puente, señalización del sector crítico y transporte de materiales.</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</si>
  <si>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21.05.25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</si>
  <si>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Derrumbe</t>
    </r>
    <r>
      <rPr>
        <sz val="10"/>
        <rFont val="Arial"/>
        <family val="2"/>
      </rPr>
      <t xml:space="preserve">
Debido a las precipitaciones pluviales se ha producido derrumbe de material, interrumpiendo el tránsito.
21.05.25 La Concesionaria informa que personal y maquinaria realizaron la limpieza, habilitando el tránsito restringido por lo que en la zona continúan con los trabajos.</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</si>
  <si>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21.05.25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</si>
  <si>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Derrumbe</t>
    </r>
    <r>
      <rPr>
        <sz val="10"/>
        <rFont val="Arial"/>
        <family val="2"/>
      </rPr>
      <t xml:space="preserve">
Debido a las precipitaciones pluviales se ha producido derrumbe de material, interrumpiendo el tránsito.
21.05.25 La Concesionaria informa que realiza la limpieza con maquinaria, viene comunicando a los usuarios mediante las UP para que tomen las precauciones del caso.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</si>
  <si>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21.05.25 La Concesionaria informa que realiza trabajos de habilitación de accesos, conformación y compactación de plataforma, control topográfico. </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</si>
  <si>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21.05.25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</si>
  <si>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21.05.25 PVN Zonal Cajamarca informa que el Conservador realiza la habilitación de materiales, así como el perfilado de talud.</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</si>
  <si>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21.05.25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</si>
  <si>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21.05.25 PVN Zonal Piura - Tumbes informa que realiza las coordinaciones y gestiones con la dirección de puentes para la solicitud de certificación presupuestal, debido a la aprobación para atención de esta emergencia.</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</si>
  <si>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21.05.25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</si>
  <si>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21.05.25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</si>
  <si>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21.05.25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</si>
  <si>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21.05.25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</si>
  <si>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21.05.25 PVN Zonal Ucayali informa que el Conservador dispone realizar el control de tránsito vehicular, alternando el pase de vehículos pesados uno a la vez.</t>
    </r>
  </si>
  <si>
    <r>
      <rPr>
        <b/>
        <sz val="10"/>
        <rFont val="Arial"/>
        <family val="2"/>
      </rPr>
      <t>Precipitaciones pluviales - Colapso de plataforma</t>
    </r>
    <r>
      <rPr>
        <sz val="10"/>
        <rFont val="Arial"/>
        <family val="2"/>
      </rPr>
      <t xml:space="preserve">
Debido a las precipitaciones pluviales, se produjo colapso de plataforma.
21.05.25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</si>
  <si>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21.05.25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</si>
  <si>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21.05.25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</si>
  <si>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21.05.25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</si>
  <si>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21.05.25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</si>
  <si>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21.05.25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</si>
  <si>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21.05.25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</si>
  <si>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21.05.25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</si>
  <si>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21.05.25 La Concesionaria realiza la señalización preventiva con vigías; asimismo, dispuso restringir el tránsito a un solo carril.</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</si>
  <si>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21.05.25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</si>
  <si>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21.05.25 La Concesionaria informa que realiza trabajos en el lugar, a fin de recuperar la transitabilidad.</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</si>
  <si>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21.05.25 La Concesionaria en coordinación con el MTC proyectaron un túnel, se culminó las obras civiles y está en fase de adquisición e implementación de equipos electromecánicos para su reapertura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</si>
  <si>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21.05.25 PVN Zonal Lambayeque informa que el Conservador realiza señalización preventiva, trabajos de perfilado y excavación manual para cimentación de base de muro. Asimismo, ha dispuesto construcción de muro para evitar socavación de la plataforma.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</si>
  <si>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21.05.25 La Concesionaria informa que personal y maquinaria se encuentra en el lugar para realizar los trabajos de limpieza.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</si>
  <si>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21.05.25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</si>
  <si>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Colapso de alcantarilla</t>
    </r>
    <r>
      <rPr>
        <sz val="10"/>
        <rFont val="Arial"/>
        <family val="2"/>
      </rPr>
      <t xml:space="preserve">
Debido a las precipitaciones pluviales en el sector, se produjo colapso de alcantarilla afectando la transitabilidad.
21.05.25 PVN Zonal Amazonas informa que el Conservador realiza trabajos de señalización. Asimismo, ha dispuesto la reconstrucción de una alcantarilla, ha verificado que los TMC se encuentran corroídos, por los que es necesarios el reemplazo total de la alcantarilla.</t>
    </r>
  </si>
  <si>
    <r>
      <rPr>
        <b/>
        <sz val="10"/>
        <rFont val="Arial"/>
        <family val="2"/>
      </rPr>
      <t>Precipitaciones pluviales - Daño en la estructura del puente</t>
    </r>
    <r>
      <rPr>
        <sz val="10"/>
        <rFont val="Arial"/>
        <family val="2"/>
      </rPr>
      <t xml:space="preserve">
Debido a las constantes precipitaciones pluviales y cauce del río se produjo daño en la estructura del puente Huambisha, afectando la transitabilidad de la vía.
21.05.25 PVN Zonal Áncash realiza se trabajos de desmontaje de puente</t>
    </r>
  </si>
  <si>
    <r>
      <rPr>
        <b/>
        <sz val="10"/>
        <rFont val="Arial"/>
        <family val="2"/>
      </rPr>
      <t>Acción humana - Accidente de tránsito</t>
    </r>
    <r>
      <rPr>
        <sz val="10"/>
        <rFont val="Arial"/>
        <family val="2"/>
      </rPr>
      <t xml:space="preserve">
Debido a un camión cisterna que colisionó con la estructura del Puente Internacional Ilave.
21.05.25 PVN Zonal Puno informa que el Conservador realiza la nivelación altimétrica en la plataforma del puente Ilave (tramo III de dicho puente), asimismo el control del tránsito y señalización vial.</t>
    </r>
  </si>
  <si>
    <t>21/05/2025</t>
  </si>
  <si>
    <t>Debido a precipitaciones pluviales suscitados en el ámbito nacional, se presentó afectaciones de falla del proveedor de energía eléctrica / corte de Fibra Óptica, dejando inoperativa las estaciones bases.
21.05.25 Con fecha 20.05.25 las 15:00 horas,  el Centro de Monitoreo de OSIPTEL informó que no detectó afectación.</t>
  </si>
  <si>
    <t xml:space="preserve">Debido a precipitaciones pluviales suscitados en el ámbito nacional, se presentó afectaciones de falla del proveedor de energía eléctrica / corte de Fibra Óptica, dejando inoperativa las estaciones bases.
21.05.25 Con fecha 20.05.25 las 15:00 horas,  el Centro de Monitoreo de OSIPTEL informó  que detectó afectación en 3 estaciones bases: Amazonas (1), Junín (1), Lima (1).
La Operadora informa que debido principalmente Falla del proveedor de energía eléctrica / corte de Fibra Óptica.  </t>
  </si>
  <si>
    <t xml:space="preserve">Debido a precipitaciones pluviales suscitados en el ámbito nacional, se presentó afectaciones de falla del proveedor de energía eléctrica / corte de Fibra Óptica, dejando inoperativa las estaciones bases.
21.05.25 Con fecha 20.05.25 las 15:00 horas,  el Centro de Monitoreo de OSIPTEL informó que detectó en 1 estación base: Madre de Dios (1).
La Operadora informa que debido principalmente Falla del proveedor de energía eléctrica / corte de Fibra Óptica. Personal técnico se encuentra realizando las acciones correctivas necesarias. 
</t>
  </si>
  <si>
    <t xml:space="preserve">Debido a precipitaciones pluviales suscitados en el ámbito nacional, se presente afectaciones de falla del proveedor de energía eléctrica / corte de Fibra Óptica, dejando inoperativa las estaciones bases.
21.05.25 Con fecha 20.05.25 las 15:00 horas,  el Centro de Monitoreo de OSIPTEL informó que detectó afectación en 42 estaciones bases: Amazonas (2), Arequipa (3), Ayacucho (2), Cajamarca (4), Cusco (6), Ica (1), Junín (2), Lambayeque (2), Lima (2), Loreto (12), Piura (3), Tumbes (1), Ucayali (2).
Asimismo, se recibió información de 3 nodo afectado del servicio de Internet fijo según la información siguiente: Piura (2),Tumbes (1).
La Operadora informa que debido principalmente Falla del proveedor de energía eléctrica / corte de Fibra Óptica, personal técnico se encuentra desplazándose a las localidades a fin de restablecer el servicio.  </t>
  </si>
  <si>
    <r>
      <rPr>
        <b/>
        <sz val="10"/>
        <rFont val="Arial"/>
        <family val="2"/>
      </rPr>
      <t>Servicio Aéreo</t>
    </r>
    <r>
      <rPr>
        <sz val="10"/>
        <rFont val="Arial"/>
        <family val="2"/>
      </rPr>
      <t xml:space="preserve">
Debido a trabajos de mantenimiento en la pista de aterrizaje, se afectó los servicios de operatividad.
21.05.25 CORPAC informa que el Aeropuerto de Jauja ha cerrado las operaciones con NOTAM C-1639/25 hasta el 30/05/25 por seguridad de operaciones.</t>
    </r>
  </si>
  <si>
    <r>
      <rPr>
        <b/>
        <sz val="10"/>
        <rFont val="Arial"/>
        <family val="2"/>
      </rPr>
      <t>Servicio Aéreo</t>
    </r>
    <r>
      <rPr>
        <sz val="10"/>
        <rFont val="Arial"/>
        <family val="2"/>
      </rPr>
      <t xml:space="preserve">
Debido a trabajos de mantenimiento en la pista de aterrizaje, se afectó los servicios de operatividad.
21.05.25 CORPAC informa que el Aeropuerto de Jaén, cerrado las operaciones con NOTAM C-1819/25 al 30.06.25 por reparación de la pista de aterrizaje.</t>
    </r>
  </si>
  <si>
    <t xml:space="preserve">21/05/2025 </t>
  </si>
  <si>
    <r>
      <rPr>
        <b/>
        <sz val="10"/>
        <rFont val="Arial"/>
        <family val="2"/>
      </rPr>
      <t>Oleaje anómalo.</t>
    </r>
    <r>
      <rPr>
        <sz val="10"/>
        <rFont val="Arial"/>
        <family val="2"/>
      </rPr>
      <t xml:space="preserve">
A las 08:30 horas, se cierra totalmente el puerto para toda actividad.
21.05.25 Terminal con cierre parcial: Terminal Portuario Euroandino. 
Terminales cerrados: Penta Tanks, TPE Espigon lado 1A, TPE Espigon lado 1B, TPE Espigon lado 1C,TPE Espigon lado 1D, TPE Marginal, Estación Naval de Paita.</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</si>
  <si>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21.05.25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</si>
  <si>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Oleaje anómalo.</t>
    </r>
    <r>
      <rPr>
        <sz val="10"/>
        <rFont val="Arial"/>
        <family val="2"/>
      </rPr>
      <t xml:space="preserve">
A las 09:30 horas, se cierra el puerto para toda actividad.
21.05.25  Terminales abiertos a
partir de las 12:30 horas: Muelle Carga Líquida Petroperú, Muelle MU2, TM La Brea Negritos, TM Punta Arenas.</t>
    </r>
  </si>
  <si>
    <t>ABIERTO</t>
  </si>
  <si>
    <t>Puerto de San Nicolás</t>
  </si>
  <si>
    <t>Puerto de San Juan de Marcona</t>
  </si>
  <si>
    <r>
      <rPr>
        <b/>
        <sz val="10"/>
        <rFont val="Arial"/>
        <family val="2"/>
      </rPr>
      <t>Oleaje anómalo.</t>
    </r>
    <r>
      <rPr>
        <sz val="10"/>
        <rFont val="Arial"/>
        <family val="2"/>
      </rPr>
      <t xml:space="preserve">
A las 12:00 horas, se cierra el puerto para toda actividad.
21.05.25 Terminal cerrado: TP Shougan Hierro Perú.</t>
    </r>
  </si>
  <si>
    <r>
      <rPr>
        <b/>
        <sz val="10"/>
        <rFont val="Arial"/>
        <family val="2"/>
      </rPr>
      <t>Oleaje anómalo.</t>
    </r>
    <r>
      <rPr>
        <sz val="10"/>
        <rFont val="Arial"/>
        <family val="2"/>
      </rPr>
      <t xml:space="preserve">
A las 12:00 horas, se cierra el puerto para toda actividad.
21.05.25 Terminales cerrados:  Mina Justa.</t>
    </r>
  </si>
  <si>
    <t>PUERTO-00512</t>
  </si>
  <si>
    <t>PUERTO-00513</t>
  </si>
  <si>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21.05.25 PVN Zonal La Libertad informa que el Conservador suspendio trabajos, debido a que en el km 37+640 una falla geológica se activó producto de las lluvias torrenciales de la zona por ello no se puede ingresar a la zona del 38+320. por tal motivo el transito vehicular se encuentra interrumpido.
Ruta alterna: Km 35 se encuentra una ruta alterna (antes de llegar al convento)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</si>
  <si>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21.05.25 PVN Zonal Ica informa que el Conservador realiza el control del tránsito y movilización de maquinaria</t>
    </r>
  </si>
  <si>
    <t>Maquinaria del Contratista Conservador Consorcio Vial Puquio
01 Camión volquete
01 Retroexcavadora</t>
  </si>
  <si>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21.05.25 PVN Zonal Cusco - Apurímac informa que el Conservador realiza actividades de señalización, excavación, sembrado de TMC 36”, relleno y compactado</t>
    </r>
  </si>
  <si>
    <t xml:space="preserve">Maquinaria del Contratista Conservador Consorcio China Railway 20 Bereau Group Corporation
01 Camión volquete
01 Camión baranda
01 Retroexcavadora
02 Compactador Vibrador
</t>
  </si>
  <si>
    <t xml:space="preserve">Maquinaria de PVN
</t>
  </si>
  <si>
    <r>
      <t xml:space="preserve">Red Vial Nacional: PE-5N, 
Tramo: </t>
    </r>
    <r>
      <rPr>
        <sz val="10"/>
        <rFont val="Arial"/>
        <family val="2"/>
      </rPr>
      <t>Puente Chino - Aguaytia,</t>
    </r>
    <r>
      <rPr>
        <b/>
        <sz val="10"/>
        <rFont val="Arial"/>
        <family val="2"/>
      </rPr>
      <t xml:space="preserve"> 
Sector: </t>
    </r>
    <r>
      <rPr>
        <sz val="10"/>
        <rFont val="Arial"/>
        <family val="2"/>
      </rPr>
      <t>Juan Velazco Km 460+850 - Km 430+930</t>
    </r>
  </si>
  <si>
    <r>
      <rPr>
        <b/>
        <sz val="10"/>
        <rFont val="Arial"/>
        <family val="2"/>
      </rPr>
      <t xml:space="preserve">Precipitaciones pluviales - Erosión de plataforma
</t>
    </r>
    <r>
      <rPr>
        <sz val="10"/>
        <rFont val="Arial"/>
        <family val="2"/>
      </rPr>
      <t>Debido a las precipitaciones pluviales en el sector, se produjo erosión de plataforma, afectando la transitabilidad vehicular.</t>
    </r>
    <r>
      <rPr>
        <b/>
        <sz val="10"/>
        <rFont val="Arial"/>
        <family val="2"/>
      </rPr>
      <t xml:space="preserve">
</t>
    </r>
    <r>
      <rPr>
        <sz val="10"/>
        <rFont val="Arial"/>
        <family val="2"/>
      </rPr>
      <t xml:space="preserve">
21.05.25 PVN Zonal Ucayali informa que el Conservador realiza las gestiones para la atención de la emergencia</t>
    </r>
  </si>
  <si>
    <t>VIALES-004056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</si>
</sst>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b/>
      <sz val="10"/>
      <color theme="2" tint="-0.89999084444715716"/>
      <name val="Arial"/>
      <family val="2"/>
    </font>
    <font>
      <b/>
      <sz val="11"/>
      <color theme="1"/>
      <name val="Frutiger-Light"/>
      <family val="2"/>
    </font>
    <font>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u/>
      <sz val="10"/>
      <color theme="4" tint="-0.249977111117893"/>
      <name val="Arial"/>
      <family val="2"/>
    </font>
    <font>
      <sz val="10"/>
      <color theme="1"/>
      <name val="Arial"/>
      <family val="2"/>
    </font>
    <font>
      <b/>
      <sz val="10"/>
      <name val="Arial"/>
    </font>
    <font>
      <b/>
      <u/>
      <sz val="10"/>
      <color rgb="FF0070C0"/>
      <name val="Arial"/>
    </font>
    <font>
      <sz val="10"/>
      <color theme="1"/>
      <name val="Arial"/>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5" fillId="0" borderId="0" applyNumberFormat="0" applyFill="0" applyBorder="0" applyProtection="0">
      <alignment horizontal="left" vertical="center"/>
    </xf>
    <xf numFmtId="0" fontId="97" fillId="0" borderId="0"/>
    <xf numFmtId="0" fontId="96" fillId="0" borderId="1" applyNumberFormat="0" applyFill="0" applyAlignment="0" applyProtection="0"/>
    <xf numFmtId="0" fontId="94" fillId="0" borderId="0"/>
    <xf numFmtId="43" fontId="98" fillId="0" borderId="0" applyFont="0" applyFill="0" applyBorder="0" applyAlignment="0" applyProtection="0"/>
    <xf numFmtId="0" fontId="105" fillId="0" borderId="1" applyNumberFormat="0" applyFill="0" applyAlignment="0" applyProtection="0"/>
    <xf numFmtId="0" fontId="107" fillId="0" borderId="0" applyNumberFormat="0" applyFill="0" applyBorder="0" applyAlignment="0" applyProtection="0"/>
    <xf numFmtId="0" fontId="93" fillId="0" borderId="0"/>
    <xf numFmtId="0" fontId="92" fillId="0" borderId="0"/>
    <xf numFmtId="0" fontId="91" fillId="0" borderId="0"/>
    <xf numFmtId="0" fontId="101" fillId="0" borderId="0"/>
    <xf numFmtId="0" fontId="101" fillId="0" borderId="0"/>
    <xf numFmtId="0" fontId="90" fillId="0" borderId="0"/>
    <xf numFmtId="43" fontId="98" fillId="0" borderId="0" applyFont="0" applyFill="0" applyBorder="0" applyAlignment="0" applyProtection="0"/>
    <xf numFmtId="0" fontId="90" fillId="0" borderId="0"/>
    <xf numFmtId="0" fontId="89" fillId="0" borderId="0"/>
    <xf numFmtId="0" fontId="89" fillId="0" borderId="0"/>
    <xf numFmtId="0" fontId="88" fillId="0" borderId="0"/>
    <xf numFmtId="0" fontId="88" fillId="0" borderId="0"/>
    <xf numFmtId="43" fontId="98" fillId="0" borderId="0" applyFont="0" applyFill="0" applyBorder="0" applyAlignment="0" applyProtection="0"/>
    <xf numFmtId="0" fontId="88" fillId="0" borderId="0"/>
    <xf numFmtId="0" fontId="88" fillId="0" borderId="0"/>
    <xf numFmtId="0" fontId="88" fillId="0" borderId="0"/>
    <xf numFmtId="0" fontId="88" fillId="0" borderId="0"/>
    <xf numFmtId="43" fontId="98"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7" fillId="0" borderId="0"/>
    <xf numFmtId="43" fontId="9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6" fillId="0" borderId="0"/>
    <xf numFmtId="43" fontId="98"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43" fontId="98"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43" fontId="98"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43" fontId="9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0" fillId="0" borderId="0"/>
    <xf numFmtId="0" fontId="79" fillId="0" borderId="0"/>
    <xf numFmtId="0" fontId="79" fillId="0" borderId="0"/>
    <xf numFmtId="0" fontId="79" fillId="0" borderId="0"/>
    <xf numFmtId="0" fontId="78" fillId="0" borderId="0"/>
    <xf numFmtId="0" fontId="77" fillId="0" borderId="0"/>
    <xf numFmtId="0" fontId="76" fillId="0" borderId="0"/>
    <xf numFmtId="0" fontId="75" fillId="0" borderId="0"/>
    <xf numFmtId="0" fontId="74" fillId="0" borderId="0"/>
    <xf numFmtId="0" fontId="107" fillId="0" borderId="0" applyNumberFormat="0" applyFill="0" applyBorder="0" applyAlignment="0" applyProtection="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43" fontId="98"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8" fillId="0" borderId="0" applyFont="0" applyFill="0" applyBorder="0" applyAlignment="0" applyProtection="0"/>
    <xf numFmtId="0" fontId="67" fillId="0" borderId="0"/>
    <xf numFmtId="0" fontId="66" fillId="0" borderId="0"/>
    <xf numFmtId="0" fontId="66" fillId="0" borderId="0"/>
    <xf numFmtId="0" fontId="65" fillId="0" borderId="0"/>
    <xf numFmtId="0" fontId="65" fillId="0" borderId="0"/>
    <xf numFmtId="0" fontId="65" fillId="0" borderId="0"/>
    <xf numFmtId="0" fontId="65" fillId="0" borderId="0"/>
    <xf numFmtId="0" fontId="64" fillId="0" borderId="0"/>
    <xf numFmtId="0" fontId="64"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9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6" fillId="0" borderId="0"/>
    <xf numFmtId="0" fontId="55"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9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9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0" fillId="0" borderId="0"/>
    <xf numFmtId="0" fontId="98" fillId="0" borderId="0"/>
    <xf numFmtId="0" fontId="29" fillId="0" borderId="0"/>
    <xf numFmtId="0" fontId="95" fillId="0" borderId="0" applyNumberFormat="0" applyFill="0" applyBorder="0" applyProtection="0">
      <alignment horizontal="left" vertical="center"/>
    </xf>
    <xf numFmtId="0" fontId="28" fillId="0" borderId="0"/>
    <xf numFmtId="0" fontId="27" fillId="0" borderId="0"/>
    <xf numFmtId="0" fontId="27" fillId="0" borderId="0"/>
    <xf numFmtId="0" fontId="19" fillId="0" borderId="0"/>
  </cellStyleXfs>
  <cellXfs count="324">
    <xf numFmtId="0" fontId="0" fillId="0" borderId="0" xfId="0"/>
    <xf numFmtId="0" fontId="100" fillId="0" borderId="0" xfId="0" applyFont="1" applyAlignment="1">
      <alignment horizontal="center" vertical="center" wrapText="1"/>
    </xf>
    <xf numFmtId="14" fontId="102" fillId="2" borderId="0" xfId="1" quotePrefix="1" applyNumberFormat="1" applyFont="1" applyFill="1" applyBorder="1" applyAlignment="1">
      <alignment horizontal="left" vertical="center" wrapText="1"/>
    </xf>
    <xf numFmtId="0" fontId="0" fillId="2" borderId="0" xfId="0" applyFill="1"/>
    <xf numFmtId="0" fontId="102" fillId="2" borderId="0" xfId="0" applyFont="1" applyFill="1" applyAlignment="1">
      <alignment horizontal="center" vertical="center"/>
    </xf>
    <xf numFmtId="1" fontId="99" fillId="2" borderId="0" xfId="0" applyNumberFormat="1" applyFont="1" applyFill="1" applyAlignment="1">
      <alignment horizontal="center" wrapText="1"/>
    </xf>
    <xf numFmtId="14" fontId="121" fillId="2" borderId="0" xfId="0" applyNumberFormat="1" applyFont="1" applyFill="1" applyAlignment="1">
      <alignment vertical="center" wrapText="1"/>
    </xf>
    <xf numFmtId="14" fontId="0" fillId="2" borderId="0" xfId="0" applyNumberFormat="1" applyFill="1"/>
    <xf numFmtId="0" fontId="111" fillId="2" borderId="0" xfId="0" applyFont="1" applyFill="1" applyAlignment="1">
      <alignment horizontal="center" vertical="center"/>
    </xf>
    <xf numFmtId="0" fontId="102" fillId="2" borderId="0" xfId="2840" applyFont="1" applyFill="1" applyAlignment="1">
      <alignment horizontal="center" vertical="center"/>
    </xf>
    <xf numFmtId="0" fontId="111" fillId="2" borderId="0" xfId="2841" applyFont="1" applyFill="1" applyAlignment="1">
      <alignment horizontal="center" vertical="center" wrapText="1"/>
    </xf>
    <xf numFmtId="0" fontId="114" fillId="2" borderId="0" xfId="2841" applyFont="1" applyFill="1" applyAlignment="1">
      <alignment horizontal="center" vertical="center" wrapText="1"/>
    </xf>
    <xf numFmtId="0" fontId="62" fillId="2" borderId="0" xfId="2841" applyFill="1"/>
    <xf numFmtId="14" fontId="101" fillId="0" borderId="0" xfId="1" applyNumberFormat="1" applyFont="1" applyFill="1" applyBorder="1" applyAlignment="1">
      <alignment horizontal="left" vertical="center" wrapText="1"/>
    </xf>
    <xf numFmtId="0" fontId="122" fillId="2" borderId="0" xfId="0" applyFont="1" applyFill="1" applyAlignment="1">
      <alignment horizontal="center" vertical="center" wrapText="1"/>
    </xf>
    <xf numFmtId="0" fontId="110" fillId="2" borderId="0" xfId="8152" applyFont="1" applyFill="1" applyAlignment="1">
      <alignment horizontal="center" vertical="center" wrapText="1"/>
    </xf>
    <xf numFmtId="0" fontId="56" fillId="0" borderId="0" xfId="8152"/>
    <xf numFmtId="0" fontId="56" fillId="0" borderId="0" xfId="8152" applyAlignment="1">
      <alignment wrapText="1"/>
    </xf>
    <xf numFmtId="0" fontId="56" fillId="2" borderId="0" xfId="8152" applyFill="1"/>
    <xf numFmtId="0" fontId="99" fillId="2" borderId="0" xfId="8152" applyFont="1" applyFill="1" applyAlignment="1">
      <alignment horizontal="center" vertical="center" wrapText="1"/>
    </xf>
    <xf numFmtId="0" fontId="109" fillId="2" borderId="0" xfId="8152" applyFont="1" applyFill="1"/>
    <xf numFmtId="0" fontId="109" fillId="2" borderId="0" xfId="8152" applyFont="1" applyFill="1" applyAlignment="1">
      <alignment wrapText="1"/>
    </xf>
    <xf numFmtId="14" fontId="56" fillId="2" borderId="0" xfId="8152" applyNumberFormat="1" applyFill="1"/>
    <xf numFmtId="0" fontId="56" fillId="2" borderId="0" xfId="8152" applyFill="1" applyAlignment="1">
      <alignment wrapText="1"/>
    </xf>
    <xf numFmtId="14" fontId="106" fillId="0" borderId="3" xfId="6" applyNumberFormat="1" applyFont="1" applyFill="1" applyBorder="1" applyAlignment="1">
      <alignment horizontal="center" vertical="center" wrapText="1"/>
    </xf>
    <xf numFmtId="164" fontId="106" fillId="0" borderId="3" xfId="6" applyNumberFormat="1" applyFont="1" applyFill="1" applyBorder="1" applyAlignment="1">
      <alignment horizontal="center" vertical="center" wrapText="1"/>
    </xf>
    <xf numFmtId="164" fontId="106" fillId="0" borderId="3" xfId="3" applyNumberFormat="1" applyFont="1" applyFill="1" applyBorder="1" applyAlignment="1">
      <alignment horizontal="center" vertical="center" wrapText="1"/>
    </xf>
    <xf numFmtId="164" fontId="106" fillId="0" borderId="6" xfId="3" applyNumberFormat="1" applyFont="1" applyFill="1" applyBorder="1" applyAlignment="1">
      <alignment horizontal="center" vertical="center" wrapText="1"/>
    </xf>
    <xf numFmtId="14" fontId="106" fillId="0" borderId="5" xfId="6" applyNumberFormat="1" applyFont="1" applyFill="1" applyBorder="1" applyAlignment="1">
      <alignment horizontal="center" vertical="center" wrapText="1"/>
    </xf>
    <xf numFmtId="0" fontId="106" fillId="0" borderId="5" xfId="3" applyNumberFormat="1" applyFont="1" applyFill="1" applyBorder="1" applyAlignment="1">
      <alignment horizontal="center" vertical="center" wrapText="1"/>
    </xf>
    <xf numFmtId="0" fontId="117" fillId="2" borderId="0" xfId="2842" applyFont="1" applyFill="1" applyAlignment="1">
      <alignment wrapText="1"/>
    </xf>
    <xf numFmtId="164" fontId="101" fillId="0" borderId="3" xfId="6" applyNumberFormat="1" applyFont="1" applyFill="1" applyBorder="1" applyAlignment="1" applyProtection="1">
      <alignment horizontal="justify" vertical="center" wrapText="1"/>
      <protection locked="0"/>
    </xf>
    <xf numFmtId="164" fontId="102" fillId="0" borderId="3" xfId="3" applyNumberFormat="1" applyFont="1" applyFill="1" applyBorder="1" applyAlignment="1" applyProtection="1">
      <alignment horizontal="left" vertical="center" wrapText="1"/>
      <protection locked="0"/>
    </xf>
    <xf numFmtId="0" fontId="125" fillId="3" borderId="3" xfId="0" applyFont="1" applyFill="1" applyBorder="1" applyAlignment="1">
      <alignment horizontal="center"/>
    </xf>
    <xf numFmtId="164" fontId="101" fillId="0" borderId="3" xfId="6" applyNumberFormat="1" applyFont="1" applyFill="1" applyBorder="1" applyAlignment="1" applyProtection="1">
      <alignment horizontal="left" vertical="center" wrapText="1"/>
      <protection locked="0"/>
    </xf>
    <xf numFmtId="0" fontId="132" fillId="0" borderId="0" xfId="0" applyFont="1"/>
    <xf numFmtId="1" fontId="104" fillId="0" borderId="3" xfId="5" applyNumberFormat="1" applyFont="1" applyFill="1" applyBorder="1" applyAlignment="1" applyProtection="1">
      <alignment horizontal="center" vertical="center" wrapText="1"/>
      <protection locked="0"/>
    </xf>
    <xf numFmtId="0" fontId="110" fillId="2" borderId="0" xfId="32614" applyFont="1" applyFill="1" applyAlignment="1">
      <alignment horizontal="center" vertical="center" wrapText="1"/>
    </xf>
    <xf numFmtId="0" fontId="37" fillId="2" borderId="0" xfId="32614" applyFill="1"/>
    <xf numFmtId="0" fontId="37" fillId="2" borderId="0" xfId="32614" applyFill="1" applyAlignment="1">
      <alignment wrapText="1"/>
    </xf>
    <xf numFmtId="0" fontId="99" fillId="2" borderId="0" xfId="32614" applyFont="1" applyFill="1" applyAlignment="1">
      <alignment horizontal="center" vertical="center" wrapText="1"/>
    </xf>
    <xf numFmtId="0" fontId="102" fillId="2" borderId="0" xfId="32614" applyFont="1" applyFill="1" applyAlignment="1">
      <alignment horizontal="center" vertical="center"/>
    </xf>
    <xf numFmtId="0" fontId="109" fillId="2" borderId="0" xfId="32614" applyFont="1" applyFill="1"/>
    <xf numFmtId="0" fontId="109" fillId="2" borderId="0" xfId="32614" applyFont="1" applyFill="1" applyAlignment="1">
      <alignment wrapText="1"/>
    </xf>
    <xf numFmtId="0" fontId="37" fillId="0" borderId="0" xfId="32614"/>
    <xf numFmtId="0" fontId="37" fillId="0" borderId="0" xfId="32614" applyAlignment="1">
      <alignment wrapText="1"/>
    </xf>
    <xf numFmtId="0" fontId="107" fillId="0" borderId="0" xfId="7" applyFill="1" applyBorder="1" applyAlignment="1">
      <alignment horizontal="left"/>
    </xf>
    <xf numFmtId="14" fontId="102" fillId="0" borderId="0" xfId="1" quotePrefix="1" applyNumberFormat="1" applyFont="1" applyFill="1" applyBorder="1" applyAlignment="1">
      <alignment horizontal="left" vertical="center" wrapText="1"/>
    </xf>
    <xf numFmtId="14" fontId="103" fillId="0" borderId="0" xfId="0" applyNumberFormat="1" applyFont="1" applyAlignment="1">
      <alignment vertical="center" wrapText="1"/>
    </xf>
    <xf numFmtId="14" fontId="120" fillId="0" borderId="0" xfId="0" applyNumberFormat="1" applyFont="1" applyAlignment="1">
      <alignment horizontal="center" vertical="center" wrapText="1"/>
    </xf>
    <xf numFmtId="1" fontId="104" fillId="0" borderId="0" xfId="0" applyNumberFormat="1" applyFont="1" applyAlignment="1">
      <alignment wrapText="1"/>
    </xf>
    <xf numFmtId="0" fontId="99" fillId="0" borderId="0" xfId="0" applyFont="1" applyAlignment="1">
      <alignment vertical="center" wrapText="1"/>
    </xf>
    <xf numFmtId="0" fontId="99" fillId="0" borderId="0" xfId="0" applyFont="1" applyAlignment="1">
      <alignment horizontal="center" wrapText="1"/>
    </xf>
    <xf numFmtId="1" fontId="0" fillId="0" borderId="0" xfId="0" applyNumberFormat="1"/>
    <xf numFmtId="0" fontId="102" fillId="0" borderId="0" xfId="0" applyFont="1" applyAlignment="1">
      <alignment horizontal="center" vertical="center"/>
    </xf>
    <xf numFmtId="0" fontId="116" fillId="0" borderId="0" xfId="0" applyFont="1"/>
    <xf numFmtId="1" fontId="104" fillId="0" borderId="3" xfId="5" quotePrefix="1" applyNumberFormat="1" applyFont="1" applyFill="1" applyBorder="1" applyAlignment="1" applyProtection="1">
      <alignment horizontal="center" vertical="center" wrapText="1"/>
      <protection locked="0"/>
    </xf>
    <xf numFmtId="164" fontId="106" fillId="0" borderId="3" xfId="0" applyNumberFormat="1" applyFont="1" applyBorder="1" applyAlignment="1">
      <alignment horizontal="center" vertical="center" wrapText="1"/>
    </xf>
    <xf numFmtId="1" fontId="106" fillId="0" borderId="3" xfId="0" applyNumberFormat="1" applyFont="1" applyBorder="1" applyAlignment="1">
      <alignment horizontal="center" vertical="center"/>
    </xf>
    <xf numFmtId="0" fontId="101" fillId="2" borderId="0" xfId="8152" applyFont="1" applyFill="1" applyAlignment="1">
      <alignment wrapText="1"/>
    </xf>
    <xf numFmtId="14" fontId="138" fillId="2" borderId="0" xfId="1" quotePrefix="1" applyNumberFormat="1" applyFont="1" applyFill="1" applyBorder="1" applyAlignment="1">
      <alignment horizontal="left" vertical="center" wrapText="1"/>
    </xf>
    <xf numFmtId="0" fontId="138" fillId="2" borderId="0" xfId="0" applyFont="1" applyFill="1" applyAlignment="1">
      <alignment horizontal="center" vertical="center"/>
    </xf>
    <xf numFmtId="0" fontId="100" fillId="2" borderId="0" xfId="0" applyFont="1" applyFill="1" applyAlignment="1">
      <alignment horizontal="center" vertical="center" wrapText="1"/>
    </xf>
    <xf numFmtId="0" fontId="107" fillId="0" borderId="0" xfId="7" applyFill="1" applyBorder="1" applyAlignment="1"/>
    <xf numFmtId="2" fontId="0" fillId="0" borderId="0" xfId="5" applyNumberFormat="1" applyFont="1" applyFill="1" applyAlignment="1">
      <alignment horizontal="center" vertical="center"/>
    </xf>
    <xf numFmtId="14" fontId="106" fillId="0" borderId="6" xfId="6" applyNumberFormat="1" applyFont="1" applyFill="1" applyBorder="1" applyAlignment="1">
      <alignment horizontal="center" vertical="center" wrapText="1"/>
    </xf>
    <xf numFmtId="167" fontId="99" fillId="0" borderId="4" xfId="3" applyNumberFormat="1" applyFont="1" applyFill="1" applyBorder="1" applyAlignment="1">
      <alignment horizontal="center" vertical="center" wrapText="1"/>
    </xf>
    <xf numFmtId="2" fontId="131" fillId="0" borderId="0" xfId="0" applyNumberFormat="1" applyFont="1"/>
    <xf numFmtId="165" fontId="101" fillId="0" borderId="0" xfId="5" applyNumberFormat="1" applyFont="1" applyFill="1" applyBorder="1" applyAlignment="1" applyProtection="1">
      <alignment horizontal="center" vertical="center"/>
      <protection locked="0"/>
    </xf>
    <xf numFmtId="1" fontId="101" fillId="0" borderId="8" xfId="6" applyNumberFormat="1" applyFont="1" applyFill="1" applyBorder="1" applyAlignment="1">
      <alignment horizontal="center" vertical="center" wrapText="1"/>
    </xf>
    <xf numFmtId="0" fontId="134" fillId="0" borderId="2" xfId="7" applyFont="1" applyFill="1" applyBorder="1" applyAlignment="1">
      <alignment horizontal="center" vertical="center" wrapText="1"/>
    </xf>
    <xf numFmtId="14" fontId="101" fillId="0" borderId="2" xfId="6" applyNumberFormat="1" applyFont="1" applyFill="1" applyBorder="1" applyAlignment="1">
      <alignment horizontal="center" vertical="center" wrapText="1"/>
    </xf>
    <xf numFmtId="164" fontId="102" fillId="0" borderId="2" xfId="6" applyNumberFormat="1" applyFont="1" applyFill="1" applyBorder="1" applyAlignment="1">
      <alignment horizontal="left" vertical="center" wrapText="1"/>
    </xf>
    <xf numFmtId="164" fontId="104" fillId="0" borderId="2" xfId="6" applyNumberFormat="1" applyFont="1" applyFill="1" applyBorder="1" applyAlignment="1">
      <alignment vertical="center" wrapText="1"/>
    </xf>
    <xf numFmtId="164" fontId="108" fillId="0" borderId="2" xfId="6" applyNumberFormat="1" applyFont="1" applyFill="1" applyBorder="1" applyAlignment="1">
      <alignment horizontal="center" vertical="center" wrapText="1"/>
    </xf>
    <xf numFmtId="164" fontId="101" fillId="0" borderId="2" xfId="6" applyNumberFormat="1" applyFont="1" applyFill="1" applyBorder="1" applyAlignment="1">
      <alignment horizontal="justify" vertical="center" wrapText="1"/>
    </xf>
    <xf numFmtId="164" fontId="104" fillId="0" borderId="2" xfId="6" applyNumberFormat="1" applyFont="1" applyFill="1" applyBorder="1" applyAlignment="1">
      <alignment horizontal="left" vertical="center" wrapText="1"/>
    </xf>
    <xf numFmtId="49" fontId="99" fillId="0" borderId="2" xfId="5" applyNumberFormat="1" applyFont="1" applyFill="1" applyBorder="1" applyAlignment="1">
      <alignment horizontal="center" vertical="center" wrapText="1"/>
    </xf>
    <xf numFmtId="49" fontId="99" fillId="0" borderId="14" xfId="6" applyNumberFormat="1" applyFont="1" applyFill="1" applyBorder="1" applyAlignment="1">
      <alignment horizontal="center" vertical="center" wrapText="1"/>
    </xf>
    <xf numFmtId="164" fontId="102" fillId="0" borderId="15" xfId="3" applyNumberFormat="1" applyFont="1" applyFill="1" applyBorder="1" applyAlignment="1" applyProtection="1">
      <alignment horizontal="left" vertical="center" wrapText="1"/>
      <protection locked="0"/>
    </xf>
    <xf numFmtId="164" fontId="104" fillId="0" borderId="15" xfId="6" applyNumberFormat="1" applyFont="1" applyFill="1" applyBorder="1" applyAlignment="1" applyProtection="1">
      <alignment vertical="center" wrapText="1"/>
      <protection locked="0"/>
    </xf>
    <xf numFmtId="164" fontId="101" fillId="0" borderId="15" xfId="6" applyNumberFormat="1" applyFont="1" applyFill="1" applyBorder="1" applyAlignment="1" applyProtection="1">
      <alignment horizontal="justify" vertical="center" wrapText="1"/>
      <protection locked="0"/>
    </xf>
    <xf numFmtId="166" fontId="99" fillId="0" borderId="15" xfId="1" applyNumberFormat="1" applyFont="1" applyFill="1" applyBorder="1" applyAlignment="1">
      <alignment horizontal="center" vertical="center" wrapText="1"/>
    </xf>
    <xf numFmtId="164" fontId="102" fillId="0" borderId="15" xfId="6" applyNumberFormat="1" applyFont="1" applyFill="1" applyBorder="1" applyAlignment="1">
      <alignment horizontal="left" vertical="center" wrapText="1"/>
    </xf>
    <xf numFmtId="164" fontId="101" fillId="0" borderId="15" xfId="6" applyNumberFormat="1" applyFont="1" applyFill="1" applyBorder="1" applyAlignment="1">
      <alignment horizontal="justify" vertical="center" wrapText="1"/>
    </xf>
    <xf numFmtId="164" fontId="101" fillId="0" borderId="15" xfId="6" applyNumberFormat="1" applyFont="1" applyFill="1" applyBorder="1" applyAlignment="1">
      <alignment vertical="center" wrapText="1"/>
    </xf>
    <xf numFmtId="164" fontId="101" fillId="0" borderId="15" xfId="3" applyNumberFormat="1" applyFont="1" applyFill="1" applyBorder="1" applyAlignment="1">
      <alignment horizontal="left" vertical="center" wrapText="1"/>
    </xf>
    <xf numFmtId="164" fontId="101" fillId="0" borderId="15" xfId="6" applyNumberFormat="1" applyFont="1" applyFill="1" applyBorder="1" applyAlignment="1" applyProtection="1">
      <alignment horizontal="left" vertical="center" wrapText="1"/>
      <protection locked="0"/>
    </xf>
    <xf numFmtId="164" fontId="101" fillId="0" borderId="15" xfId="3" applyNumberFormat="1" applyFont="1" applyFill="1" applyBorder="1" applyAlignment="1" applyProtection="1">
      <alignment horizontal="left" vertical="center" wrapText="1"/>
      <protection locked="0"/>
    </xf>
    <xf numFmtId="14" fontId="101" fillId="0" borderId="15" xfId="3" applyNumberFormat="1" applyFont="1" applyFill="1" applyBorder="1" applyAlignment="1" applyProtection="1">
      <alignment horizontal="center" vertical="center" wrapText="1"/>
      <protection locked="0"/>
    </xf>
    <xf numFmtId="164" fontId="102" fillId="0" borderId="15" xfId="6" applyNumberFormat="1" applyFont="1" applyFill="1" applyBorder="1" applyAlignment="1" applyProtection="1">
      <alignment horizontal="left" vertical="center" wrapText="1"/>
      <protection locked="0"/>
    </xf>
    <xf numFmtId="1" fontId="104" fillId="0" borderId="15" xfId="5" applyNumberFormat="1" applyFont="1" applyFill="1" applyBorder="1" applyAlignment="1" applyProtection="1">
      <alignment horizontal="center" vertical="center" wrapText="1"/>
      <protection locked="0"/>
    </xf>
    <xf numFmtId="164" fontId="101" fillId="0" borderId="15" xfId="6" applyNumberFormat="1" applyFont="1" applyFill="1" applyBorder="1" applyAlignment="1" applyProtection="1">
      <alignment vertical="center" wrapText="1"/>
      <protection locked="0"/>
    </xf>
    <xf numFmtId="1" fontId="104" fillId="0" borderId="15" xfId="5" quotePrefix="1" applyNumberFormat="1" applyFont="1" applyFill="1" applyBorder="1" applyAlignment="1" applyProtection="1">
      <alignment horizontal="center" vertical="center" wrapText="1"/>
      <protection locked="0"/>
    </xf>
    <xf numFmtId="164" fontId="108" fillId="0" borderId="15" xfId="3" applyNumberFormat="1" applyFont="1" applyFill="1" applyBorder="1" applyAlignment="1" applyProtection="1">
      <alignment horizontal="center" vertical="center" wrapText="1"/>
      <protection locked="0"/>
    </xf>
    <xf numFmtId="164" fontId="104" fillId="0" borderId="15" xfId="3" applyNumberFormat="1" applyFont="1" applyFill="1" applyBorder="1" applyAlignment="1" applyProtection="1">
      <alignment vertical="center" wrapText="1"/>
      <protection locked="0"/>
    </xf>
    <xf numFmtId="164" fontId="99" fillId="0" borderId="15" xfId="3" applyNumberFormat="1" applyFont="1" applyFill="1" applyBorder="1" applyAlignment="1" applyProtection="1">
      <alignment horizontal="left" vertical="center" wrapText="1"/>
      <protection locked="0"/>
    </xf>
    <xf numFmtId="1" fontId="101" fillId="0" borderId="15" xfId="5" applyNumberFormat="1" applyFont="1" applyFill="1" applyBorder="1" applyAlignment="1" applyProtection="1">
      <alignment horizontal="left" vertical="center" wrapText="1"/>
      <protection locked="0"/>
    </xf>
    <xf numFmtId="0" fontId="27" fillId="2" borderId="0" xfId="32633" applyFill="1"/>
    <xf numFmtId="0" fontId="27" fillId="4" borderId="15" xfId="0" applyFont="1" applyFill="1" applyBorder="1" applyAlignment="1">
      <alignment wrapText="1"/>
    </xf>
    <xf numFmtId="0" fontId="128" fillId="5" borderId="15" xfId="0" applyFont="1" applyFill="1" applyBorder="1" applyAlignment="1">
      <alignment horizontal="center" wrapText="1"/>
    </xf>
    <xf numFmtId="0" fontId="128" fillId="6" borderId="15" xfId="0" applyFont="1" applyFill="1" applyBorder="1" applyAlignment="1">
      <alignment horizontal="center" wrapText="1"/>
    </xf>
    <xf numFmtId="0" fontId="127" fillId="3" borderId="15" xfId="0" applyFont="1" applyFill="1" applyBorder="1" applyAlignment="1">
      <alignment horizontal="center" vertical="center"/>
    </xf>
    <xf numFmtId="0" fontId="27" fillId="4" borderId="15" xfId="0" applyFont="1" applyFill="1" applyBorder="1"/>
    <xf numFmtId="0" fontId="27" fillId="2" borderId="15" xfId="0" applyFont="1" applyFill="1" applyBorder="1" applyAlignment="1">
      <alignment horizontal="center" vertical="center"/>
    </xf>
    <xf numFmtId="0" fontId="27" fillId="0" borderId="15" xfId="0" applyFont="1" applyBorder="1" applyAlignment="1">
      <alignment horizontal="center" vertical="center"/>
    </xf>
    <xf numFmtId="0" fontId="125" fillId="7" borderId="15" xfId="0" applyFont="1" applyFill="1" applyBorder="1" applyAlignment="1">
      <alignment horizontal="center"/>
    </xf>
    <xf numFmtId="0" fontId="126" fillId="4" borderId="15" xfId="0" applyFont="1" applyFill="1" applyBorder="1"/>
    <xf numFmtId="0" fontId="126" fillId="4" borderId="15" xfId="0" applyFont="1" applyFill="1" applyBorder="1" applyAlignment="1">
      <alignment horizontal="center"/>
    </xf>
    <xf numFmtId="0" fontId="130" fillId="4" borderId="15" xfId="0" applyFont="1" applyFill="1" applyBorder="1" applyAlignment="1">
      <alignment horizontal="center"/>
    </xf>
    <xf numFmtId="0" fontId="128" fillId="5" borderId="15" xfId="0" applyFont="1" applyFill="1" applyBorder="1" applyAlignment="1">
      <alignment horizontal="center"/>
    </xf>
    <xf numFmtId="0" fontId="128" fillId="6" borderId="15" xfId="0" applyFont="1" applyFill="1" applyBorder="1" applyAlignment="1">
      <alignment horizontal="center"/>
    </xf>
    <xf numFmtId="1" fontId="27" fillId="0" borderId="15" xfId="0" applyNumberFormat="1" applyFont="1" applyBorder="1" applyAlignment="1">
      <alignment horizontal="center" vertical="center"/>
    </xf>
    <xf numFmtId="1" fontId="126" fillId="4" borderId="15" xfId="0" applyNumberFormat="1" applyFont="1" applyFill="1" applyBorder="1" applyAlignment="1">
      <alignment horizontal="center"/>
    </xf>
    <xf numFmtId="1" fontId="125" fillId="7" borderId="15" xfId="0" applyNumberFormat="1" applyFont="1" applyFill="1" applyBorder="1" applyAlignment="1">
      <alignment horizontal="center"/>
    </xf>
    <xf numFmtId="14" fontId="139" fillId="0" borderId="15" xfId="3" applyNumberFormat="1" applyFont="1" applyFill="1" applyBorder="1" applyAlignment="1" applyProtection="1">
      <alignment horizontal="center" vertical="center" wrapText="1"/>
      <protection locked="0"/>
    </xf>
    <xf numFmtId="1" fontId="140" fillId="0" borderId="15" xfId="5" applyNumberFormat="1" applyFont="1" applyFill="1" applyBorder="1" applyAlignment="1" applyProtection="1">
      <alignment horizontal="center" vertical="center" wrapText="1"/>
      <protection locked="0"/>
    </xf>
    <xf numFmtId="166" fontId="141" fillId="0" borderId="15" xfId="1" applyNumberFormat="1" applyFont="1" applyFill="1" applyBorder="1" applyAlignment="1">
      <alignment horizontal="center" vertical="center" wrapText="1"/>
    </xf>
    <xf numFmtId="167" fontId="141" fillId="0" borderId="4" xfId="3" applyNumberFormat="1" applyFont="1" applyFill="1" applyBorder="1" applyAlignment="1">
      <alignment horizontal="center" vertical="center" wrapText="1"/>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4" fontId="146" fillId="0" borderId="15" xfId="3" applyNumberFormat="1" applyFont="1" applyFill="1" applyBorder="1" applyAlignment="1" applyProtection="1">
      <alignment horizontal="center" vertical="center" wrapText="1"/>
      <protection locked="0"/>
    </xf>
    <xf numFmtId="1" fontId="147" fillId="0" borderId="15" xfId="5" applyNumberFormat="1" applyFont="1" applyFill="1" applyBorder="1" applyAlignment="1" applyProtection="1">
      <alignment horizontal="center" vertical="center" wrapText="1"/>
      <protection locked="0"/>
    </xf>
    <xf numFmtId="0" fontId="132" fillId="10" borderId="15" xfId="0" applyFont="1" applyFill="1" applyBorder="1" applyAlignment="1">
      <alignment horizontal="center"/>
    </xf>
    <xf numFmtId="14" fontId="148" fillId="0" borderId="0" xfId="0" applyNumberFormat="1" applyFont="1"/>
    <xf numFmtId="166" fontId="149" fillId="0" borderId="15" xfId="1" applyNumberFormat="1" applyFont="1" applyFill="1" applyBorder="1" applyAlignment="1">
      <alignment horizontal="center" vertical="center" wrapText="1"/>
    </xf>
    <xf numFmtId="167" fontId="149" fillId="0" borderId="4" xfId="3" applyNumberFormat="1" applyFont="1" applyFill="1" applyBorder="1" applyAlignment="1">
      <alignment horizontal="center" vertical="center" wrapText="1"/>
    </xf>
    <xf numFmtId="1" fontId="150" fillId="0" borderId="15" xfId="5"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2" fillId="0" borderId="15" xfId="3" applyNumberFormat="1" applyFont="1" applyFill="1" applyBorder="1" applyAlignment="1" applyProtection="1">
      <alignment vertical="center" wrapText="1"/>
      <protection locked="0"/>
    </xf>
    <xf numFmtId="164" fontId="104" fillId="0" borderId="15" xfId="6" applyNumberFormat="1" applyFont="1" applyFill="1" applyBorder="1" applyAlignment="1">
      <alignment vertical="center" wrapText="1"/>
    </xf>
    <xf numFmtId="164" fontId="99" fillId="0" borderId="15" xfId="6" applyNumberFormat="1" applyFont="1" applyFill="1" applyBorder="1" applyAlignment="1" applyProtection="1">
      <alignment horizontal="justify" vertical="center" wrapText="1"/>
      <protection locked="0"/>
    </xf>
    <xf numFmtId="0" fontId="25" fillId="4" borderId="15" xfId="0" applyFont="1" applyFill="1" applyBorder="1"/>
    <xf numFmtId="164" fontId="124" fillId="0" borderId="15" xfId="3" applyNumberFormat="1" applyFont="1" applyFill="1" applyBorder="1" applyAlignment="1" applyProtection="1">
      <alignment horizontal="center" vertical="center" wrapText="1"/>
      <protection locked="0"/>
    </xf>
    <xf numFmtId="166" fontId="152" fillId="0" borderId="15" xfId="1" applyNumberFormat="1" applyFont="1" applyFill="1" applyBorder="1" applyAlignment="1">
      <alignment horizontal="center" vertical="center" wrapText="1"/>
    </xf>
    <xf numFmtId="167" fontId="152" fillId="0" borderId="4" xfId="3" applyNumberFormat="1" applyFont="1" applyFill="1" applyBorder="1" applyAlignment="1">
      <alignment horizontal="center" vertical="center" wrapText="1"/>
    </xf>
    <xf numFmtId="164" fontId="101" fillId="0" borderId="15" xfId="6" applyNumberFormat="1" applyFont="1" applyFill="1" applyBorder="1" applyAlignment="1">
      <alignment horizontal="left" vertical="center" wrapText="1"/>
    </xf>
    <xf numFmtId="164" fontId="104" fillId="0" borderId="15" xfId="3" applyNumberFormat="1" applyFont="1" applyFill="1" applyBorder="1" applyAlignment="1">
      <alignment horizontal="center" vertical="center" wrapText="1"/>
    </xf>
    <xf numFmtId="168" fontId="101" fillId="0" borderId="15" xfId="3" applyNumberFormat="1" applyFont="1" applyFill="1" applyBorder="1" applyAlignment="1">
      <alignment horizontal="center" vertical="center" wrapText="1"/>
    </xf>
    <xf numFmtId="14" fontId="101" fillId="0" borderId="15" xfId="6" applyNumberFormat="1" applyFont="1" applyFill="1" applyBorder="1" applyAlignment="1" applyProtection="1">
      <alignment horizontal="center" vertical="center" wrapText="1"/>
      <protection locked="0"/>
    </xf>
    <xf numFmtId="164" fontId="124" fillId="0" borderId="15" xfId="3" applyNumberFormat="1" applyFont="1" applyFill="1" applyBorder="1" applyAlignment="1">
      <alignment horizontal="center" vertical="center" wrapText="1"/>
    </xf>
    <xf numFmtId="0" fontId="22" fillId="0" borderId="15" xfId="0" applyFont="1" applyBorder="1" applyAlignment="1">
      <alignment horizontal="center"/>
    </xf>
    <xf numFmtId="0" fontId="21" fillId="0" borderId="15" xfId="0" applyFont="1" applyBorder="1" applyAlignment="1">
      <alignment horizontal="center"/>
    </xf>
    <xf numFmtId="0" fontId="26" fillId="0" borderId="15" xfId="0" applyFont="1" applyBorder="1" applyAlignment="1">
      <alignment horizontal="center"/>
    </xf>
    <xf numFmtId="0" fontId="24" fillId="0" borderId="15" xfId="0" applyFont="1" applyBorder="1"/>
    <xf numFmtId="0" fontId="23" fillId="0" borderId="15" xfId="0" applyFont="1" applyBorder="1"/>
    <xf numFmtId="165" fontId="153" fillId="0" borderId="7" xfId="5" applyNumberFormat="1" applyFont="1" applyFill="1" applyBorder="1" applyAlignment="1" applyProtection="1">
      <alignment horizontal="center" vertical="center"/>
      <protection locked="0"/>
    </xf>
    <xf numFmtId="0" fontId="99" fillId="0" borderId="15" xfId="95" applyFont="1" applyBorder="1" applyAlignment="1">
      <alignment horizontal="center" vertical="center"/>
    </xf>
    <xf numFmtId="0" fontId="137" fillId="0" borderId="15" xfId="95" applyFont="1" applyBorder="1" applyAlignment="1">
      <alignment horizontal="center" vertical="center" wrapText="1"/>
    </xf>
    <xf numFmtId="0" fontId="101" fillId="0" borderId="15" xfId="95" applyFont="1" applyBorder="1" applyAlignment="1">
      <alignment horizontal="justify" vertical="center" wrapText="1"/>
    </xf>
    <xf numFmtId="0" fontId="20" fillId="0" borderId="15" xfId="0" applyFont="1" applyBorder="1" applyAlignment="1">
      <alignment horizontal="center"/>
    </xf>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2" fillId="0" borderId="0" xfId="0" applyNumberFormat="1" applyFont="1" applyAlignment="1">
      <alignment horizontal="left" vertical="center" wrapText="1"/>
    </xf>
    <xf numFmtId="49" fontId="99" fillId="0" borderId="0" xfId="0" applyNumberFormat="1" applyFont="1" applyAlignment="1">
      <alignment horizontal="center" vertical="center" wrapText="1"/>
    </xf>
    <xf numFmtId="166" fontId="99" fillId="0" borderId="0" xfId="0" applyNumberFormat="1" applyFont="1" applyAlignment="1">
      <alignment horizontal="left" vertical="center" wrapText="1"/>
    </xf>
    <xf numFmtId="166" fontId="106" fillId="0" borderId="3" xfId="0" applyNumberFormat="1" applyFont="1" applyBorder="1" applyAlignment="1">
      <alignment horizontal="center" vertical="center" wrapText="1"/>
    </xf>
    <xf numFmtId="167" fontId="106" fillId="0" borderId="6" xfId="0" applyNumberFormat="1" applyFont="1" applyBorder="1" applyAlignment="1">
      <alignment horizontal="center" vertical="center" wrapText="1"/>
    </xf>
    <xf numFmtId="0" fontId="18" fillId="4" borderId="15" xfId="0" applyFont="1" applyFill="1" applyBorder="1"/>
    <xf numFmtId="166" fontId="157" fillId="0" borderId="15" xfId="1" applyNumberFormat="1" applyFont="1" applyFill="1" applyBorder="1" applyAlignment="1">
      <alignment horizontal="center" vertical="center" wrapText="1"/>
    </xf>
    <xf numFmtId="167" fontId="157" fillId="0" borderId="4" xfId="3" applyNumberFormat="1" applyFont="1" applyFill="1" applyBorder="1" applyAlignment="1">
      <alignment horizontal="center" vertical="center" wrapText="1"/>
    </xf>
    <xf numFmtId="164" fontId="106" fillId="0" borderId="15" xfId="3" applyNumberFormat="1" applyFont="1" applyFill="1" applyBorder="1" applyAlignment="1">
      <alignment horizontal="center" vertical="center" wrapText="1"/>
    </xf>
    <xf numFmtId="1" fontId="158" fillId="0" borderId="15"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1" fontId="150" fillId="0" borderId="3" xfId="5" applyNumberFormat="1" applyFont="1" applyFill="1" applyBorder="1" applyAlignment="1" applyProtection="1">
      <alignment horizontal="center" vertical="center" wrapText="1"/>
      <protection locked="0"/>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0" fontId="107" fillId="0" borderId="15" xfId="7" applyFill="1" applyBorder="1" applyAlignment="1">
      <alignment horizontal="center" vertical="center"/>
    </xf>
    <xf numFmtId="1" fontId="162" fillId="0" borderId="15" xfId="5" applyNumberFormat="1" applyFont="1" applyFill="1" applyBorder="1" applyAlignment="1" applyProtection="1">
      <alignment horizontal="center" vertical="center" wrapText="1"/>
      <protection locked="0"/>
    </xf>
    <xf numFmtId="166" fontId="163" fillId="0" borderId="15" xfId="1" applyNumberFormat="1" applyFont="1" applyFill="1" applyBorder="1" applyAlignment="1">
      <alignment horizontal="center" vertical="center" wrapText="1"/>
    </xf>
    <xf numFmtId="167" fontId="163" fillId="0" borderId="4" xfId="3" applyNumberFormat="1" applyFont="1" applyFill="1" applyBorder="1" applyAlignment="1">
      <alignment horizontal="center" vertical="center" wrapText="1"/>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164" fontId="104" fillId="0" borderId="3" xfId="6" applyNumberFormat="1" applyFont="1" applyFill="1" applyBorder="1" applyAlignment="1" applyProtection="1">
      <alignment vertical="center" wrapText="1"/>
      <protection locked="0"/>
    </xf>
    <xf numFmtId="14" fontId="99" fillId="0" borderId="15" xfId="3" applyNumberFormat="1" applyFont="1" applyFill="1" applyBorder="1" applyAlignment="1" applyProtection="1">
      <alignment horizontal="center" vertical="center" wrapText="1"/>
      <protection locked="0"/>
    </xf>
    <xf numFmtId="166" fontId="165" fillId="0" borderId="15" xfId="1" applyNumberFormat="1" applyFont="1" applyFill="1" applyBorder="1" applyAlignment="1">
      <alignment horizontal="center" vertical="center" wrapText="1"/>
    </xf>
    <xf numFmtId="167" fontId="165" fillId="0" borderId="4" xfId="3" applyNumberFormat="1" applyFont="1" applyFill="1" applyBorder="1" applyAlignment="1">
      <alignment horizontal="center" vertical="center" wrapText="1"/>
    </xf>
    <xf numFmtId="14" fontId="134" fillId="0" borderId="15" xfId="7" applyNumberFormat="1" applyFont="1" applyFill="1" applyBorder="1" applyAlignment="1">
      <alignment horizontal="center" vertical="center"/>
    </xf>
    <xf numFmtId="164" fontId="134" fillId="0" borderId="15" xfId="7" applyNumberFormat="1" applyFont="1" applyFill="1" applyBorder="1" applyAlignment="1">
      <alignment horizontal="center" vertical="center"/>
    </xf>
    <xf numFmtId="0" fontId="154" fillId="0" borderId="0" xfId="0" applyFont="1" applyAlignment="1">
      <alignment horizontal="center" vertical="center"/>
    </xf>
    <xf numFmtId="0" fontId="134" fillId="0" borderId="0" xfId="0" applyFont="1" applyAlignment="1">
      <alignment horizontal="center" vertical="center" wrapText="1"/>
    </xf>
    <xf numFmtId="0" fontId="102" fillId="0" borderId="0" xfId="32632" applyFont="1" applyAlignment="1">
      <alignment horizontal="center" vertical="center"/>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0" fontId="134" fillId="0" borderId="15" xfId="7" applyFont="1" applyFill="1" applyBorder="1" applyAlignment="1">
      <alignment horizontal="center" vertical="center"/>
    </xf>
    <xf numFmtId="164" fontId="134" fillId="0" borderId="15" xfId="7" applyNumberFormat="1" applyFont="1" applyFill="1" applyBorder="1" applyAlignment="1">
      <alignment horizontal="center" vertical="center" wrapText="1"/>
    </xf>
    <xf numFmtId="0" fontId="0" fillId="0" borderId="0" xfId="0" applyAlignment="1">
      <alignment horizontal="center" vertical="center"/>
    </xf>
    <xf numFmtId="0" fontId="155" fillId="0" borderId="0" xfId="0" applyFont="1" applyAlignment="1">
      <alignment horizontal="center" vertical="center"/>
    </xf>
    <xf numFmtId="1" fontId="168" fillId="0" borderId="15" xfId="5" applyNumberFormat="1" applyFont="1" applyFill="1" applyBorder="1" applyAlignment="1" applyProtection="1">
      <alignment horizontal="center" vertical="center" wrapText="1"/>
      <protection locked="0"/>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66" fontId="170" fillId="0" borderId="15" xfId="1" applyNumberFormat="1" applyFont="1" applyFill="1" applyBorder="1" applyAlignment="1">
      <alignment horizontal="center" vertical="center" wrapText="1"/>
    </xf>
    <xf numFmtId="167" fontId="170" fillId="0" borderId="4" xfId="3" applyNumberFormat="1" applyFont="1" applyFill="1" applyBorder="1" applyAlignment="1">
      <alignment horizontal="center" vertical="center" wrapText="1"/>
    </xf>
    <xf numFmtId="164" fontId="106" fillId="0" borderId="5" xfId="3" applyNumberFormat="1" applyFont="1" applyFill="1" applyBorder="1" applyAlignment="1">
      <alignment horizontal="center" vertical="center" wrapText="1"/>
    </xf>
    <xf numFmtId="14" fontId="101" fillId="0" borderId="15" xfId="3" applyNumberFormat="1" applyFont="1" applyFill="1" applyBorder="1" applyAlignment="1">
      <alignment horizontal="center" vertical="center" wrapText="1"/>
    </xf>
    <xf numFmtId="164" fontId="102" fillId="0" borderId="15" xfId="3" applyNumberFormat="1" applyFont="1" applyFill="1" applyBorder="1" applyAlignment="1">
      <alignment horizontal="center" vertical="center" wrapText="1"/>
    </xf>
    <xf numFmtId="14" fontId="172" fillId="0" borderId="15" xfId="3" applyNumberFormat="1" applyFont="1" applyFill="1" applyBorder="1" applyAlignment="1">
      <alignment horizontal="center" vertical="center" wrapText="1"/>
    </xf>
    <xf numFmtId="166" fontId="175" fillId="0" borderId="15" xfId="1" applyNumberFormat="1" applyFont="1" applyFill="1" applyBorder="1" applyAlignment="1">
      <alignment horizontal="center" vertical="center" wrapText="1"/>
    </xf>
    <xf numFmtId="167" fontId="175"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76" fillId="0" borderId="15" xfId="5" applyNumberFormat="1" applyFont="1" applyFill="1" applyBorder="1" applyAlignment="1" applyProtection="1">
      <alignment horizontal="center" vertical="center" wrapText="1"/>
      <protection locked="0"/>
    </xf>
    <xf numFmtId="166" fontId="177" fillId="0" borderId="15" xfId="1" applyNumberFormat="1" applyFont="1" applyFill="1" applyBorder="1" applyAlignment="1">
      <alignment horizontal="center" vertical="center" wrapText="1"/>
    </xf>
    <xf numFmtId="167" fontId="177" fillId="0" borderId="4" xfId="3" applyNumberFormat="1" applyFont="1" applyFill="1" applyBorder="1" applyAlignment="1">
      <alignment horizontal="center" vertical="center" wrapText="1"/>
    </xf>
    <xf numFmtId="0" fontId="107" fillId="0" borderId="0" xfId="7"/>
    <xf numFmtId="1" fontId="179" fillId="0" borderId="15" xfId="5" applyNumberFormat="1" applyFont="1" applyFill="1" applyBorder="1" applyAlignment="1" applyProtection="1">
      <alignment horizontal="center" vertical="center" wrapText="1"/>
      <protection locked="0"/>
    </xf>
    <xf numFmtId="166" fontId="180" fillId="0" borderId="15" xfId="1" applyNumberFormat="1" applyFont="1" applyFill="1" applyBorder="1" applyAlignment="1">
      <alignment horizontal="center" vertical="center" wrapText="1"/>
    </xf>
    <xf numFmtId="167" fontId="180" fillId="0" borderId="4" xfId="3" applyNumberFormat="1" applyFont="1" applyFill="1" applyBorder="1" applyAlignment="1">
      <alignment horizontal="center" vertical="center" wrapText="1"/>
    </xf>
    <xf numFmtId="0" fontId="178" fillId="0" borderId="15" xfId="0" applyFont="1" applyBorder="1" applyAlignment="1">
      <alignment horizontal="left"/>
    </xf>
    <xf numFmtId="0" fontId="9" fillId="0" borderId="15" xfId="0" applyFont="1" applyBorder="1" applyAlignment="1">
      <alignment horizontal="center"/>
    </xf>
    <xf numFmtId="0" fontId="8" fillId="0" borderId="15" xfId="0" applyFont="1" applyBorder="1" applyAlignment="1">
      <alignment horizontal="center"/>
    </xf>
    <xf numFmtId="0" fontId="8" fillId="0" borderId="15" xfId="0" applyFont="1" applyBorder="1"/>
    <xf numFmtId="0" fontId="10" fillId="0" borderId="15" xfId="0" applyFont="1" applyBorder="1" applyAlignment="1">
      <alignment horizontal="center"/>
    </xf>
    <xf numFmtId="0" fontId="13" fillId="0" borderId="15" xfId="0" applyFont="1" applyBorder="1" applyAlignment="1">
      <alignment horizontal="left"/>
    </xf>
    <xf numFmtId="0" fontId="12" fillId="0" borderId="15" xfId="0" applyFont="1" applyBorder="1" applyAlignment="1">
      <alignment horizontal="center"/>
    </xf>
    <xf numFmtId="0" fontId="11" fillId="0" borderId="15" xfId="0" applyFont="1" applyBorder="1" applyAlignment="1">
      <alignment horizontal="center"/>
    </xf>
    <xf numFmtId="0" fontId="13" fillId="0" borderId="15" xfId="0" applyFont="1" applyBorder="1" applyAlignment="1">
      <alignment horizontal="center"/>
    </xf>
    <xf numFmtId="0" fontId="16" fillId="0" borderId="15" xfId="0" applyFont="1" applyBorder="1" applyAlignment="1">
      <alignment horizontal="left"/>
    </xf>
    <xf numFmtId="0" fontId="16" fillId="0" borderId="15" xfId="0" applyFont="1" applyBorder="1" applyAlignment="1">
      <alignment horizontal="center"/>
    </xf>
    <xf numFmtId="0" fontId="15" fillId="0" borderId="15" xfId="0" applyFont="1" applyBorder="1" applyAlignment="1">
      <alignment horizontal="left"/>
    </xf>
    <xf numFmtId="0" fontId="14" fillId="0" borderId="15" xfId="0" applyFont="1" applyBorder="1" applyAlignment="1">
      <alignment horizontal="center"/>
    </xf>
    <xf numFmtId="0" fontId="17" fillId="0" borderId="15" xfId="0" applyFont="1" applyBorder="1" applyAlignment="1">
      <alignment horizontal="center"/>
    </xf>
    <xf numFmtId="0" fontId="20" fillId="0" borderId="15" xfId="0" applyFont="1" applyBorder="1" applyAlignment="1">
      <alignment horizontal="left"/>
    </xf>
    <xf numFmtId="0" fontId="15" fillId="0" borderId="15" xfId="0" applyFont="1" applyBorder="1" applyAlignment="1">
      <alignment horizontal="center"/>
    </xf>
    <xf numFmtId="0" fontId="22" fillId="0" borderId="15" xfId="0" applyFont="1" applyBorder="1" applyAlignment="1">
      <alignment horizontal="left"/>
    </xf>
    <xf numFmtId="0" fontId="24" fillId="0" borderId="15" xfId="0" applyFont="1" applyBorder="1" applyAlignment="1">
      <alignment horizontal="left"/>
    </xf>
    <xf numFmtId="0" fontId="7" fillId="0" borderId="15" xfId="0" applyFont="1" applyBorder="1" applyAlignment="1">
      <alignment horizontal="center"/>
    </xf>
    <xf numFmtId="1" fontId="181" fillId="0" borderId="15" xfId="5" applyNumberFormat="1" applyFont="1" applyFill="1" applyBorder="1" applyAlignment="1" applyProtection="1">
      <alignment horizontal="center" vertical="center" wrapText="1"/>
      <protection locked="0"/>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0" fontId="6" fillId="0" borderId="15" xfId="0" applyFont="1" applyBorder="1" applyAlignment="1">
      <alignment horizontal="center"/>
    </xf>
    <xf numFmtId="0" fontId="0" fillId="0" borderId="8" xfId="0" applyBorder="1" applyAlignment="1">
      <alignment horizontal="center" vertical="center"/>
    </xf>
    <xf numFmtId="0" fontId="5" fillId="0" borderId="15" xfId="0" applyFont="1" applyBorder="1" applyAlignment="1">
      <alignment horizontal="center"/>
    </xf>
    <xf numFmtId="164" fontId="99" fillId="0" borderId="15" xfId="6" applyNumberFormat="1" applyFont="1" applyFill="1" applyBorder="1" applyAlignment="1" applyProtection="1">
      <alignment horizontal="left" vertical="center" wrapText="1"/>
      <protection locked="0"/>
    </xf>
    <xf numFmtId="0" fontId="4" fillId="2" borderId="0" xfId="8152" applyFont="1" applyFill="1"/>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 fontId="185" fillId="0" borderId="15" xfId="5" applyNumberFormat="1" applyFont="1" applyFill="1" applyBorder="1" applyAlignment="1" applyProtection="1">
      <alignment horizontal="center" vertical="center" wrapText="1"/>
      <protection locked="0"/>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1" fontId="187" fillId="0" borderId="15" xfId="5" applyNumberFormat="1" applyFont="1" applyFill="1" applyBorder="1" applyAlignment="1" applyProtection="1">
      <alignment horizontal="center" vertical="center" wrapText="1"/>
      <protection locked="0"/>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0" fontId="101" fillId="0" borderId="15" xfId="0" applyFont="1" applyBorder="1" applyAlignment="1">
      <alignment horizontal="justify" vertical="center" wrapText="1"/>
    </xf>
    <xf numFmtId="164" fontId="0" fillId="0" borderId="4" xfId="0" applyNumberFormat="1" applyBorder="1" applyAlignment="1">
      <alignment horizontal="left" vertical="center" wrapText="1"/>
    </xf>
    <xf numFmtId="0" fontId="3" fillId="0" borderId="15" xfId="0" applyFont="1" applyBorder="1"/>
    <xf numFmtId="0" fontId="3" fillId="0" borderId="15" xfId="0" applyFont="1" applyBorder="1" applyAlignment="1">
      <alignment horizontal="left"/>
    </xf>
    <xf numFmtId="0" fontId="28" fillId="0" borderId="0" xfId="32631"/>
    <xf numFmtId="0" fontId="111" fillId="0" borderId="0" xfId="0" applyFont="1" applyAlignment="1">
      <alignment horizontal="center" vertical="center"/>
    </xf>
    <xf numFmtId="0" fontId="136" fillId="2" borderId="0" xfId="0" applyFont="1" applyFill="1"/>
    <xf numFmtId="14" fontId="107" fillId="0" borderId="15" xfId="7" applyNumberFormat="1" applyFill="1" applyBorder="1" applyAlignment="1">
      <alignment horizontal="center" vertical="center"/>
    </xf>
    <xf numFmtId="0" fontId="2" fillId="0" borderId="15" xfId="0" applyFont="1" applyBorder="1" applyAlignment="1">
      <alignment horizontal="center"/>
    </xf>
    <xf numFmtId="164" fontId="189" fillId="0" borderId="15" xfId="3" applyNumberFormat="1" applyFont="1" applyFill="1" applyBorder="1" applyAlignment="1">
      <alignment horizontal="center" vertical="center" wrapText="1"/>
    </xf>
    <xf numFmtId="166" fontId="190" fillId="0" borderId="15" xfId="1" applyNumberFormat="1" applyFont="1" applyFill="1" applyBorder="1" applyAlignment="1">
      <alignment horizontal="center" vertical="center" wrapText="1"/>
    </xf>
    <xf numFmtId="167" fontId="190" fillId="0" borderId="4" xfId="3" applyNumberFormat="1" applyFont="1" applyFill="1" applyBorder="1" applyAlignment="1">
      <alignment horizontal="center" vertical="center" wrapText="1"/>
    </xf>
    <xf numFmtId="0" fontId="1" fillId="0" borderId="15" xfId="0" applyFont="1" applyBorder="1" applyAlignment="1">
      <alignment horizontal="center"/>
    </xf>
    <xf numFmtId="164" fontId="107" fillId="0" borderId="15" xfId="7" applyNumberFormat="1" applyFill="1" applyBorder="1" applyAlignment="1">
      <alignment horizontal="center" vertical="center" wrapText="1"/>
    </xf>
    <xf numFmtId="164" fontId="107" fillId="0" borderId="15" xfId="7" applyNumberFormat="1" applyFill="1" applyBorder="1" applyAlignment="1">
      <alignment horizontal="center" vertical="center"/>
    </xf>
    <xf numFmtId="0" fontId="99" fillId="0" borderId="2" xfId="32614" applyFont="1" applyBorder="1" applyAlignment="1">
      <alignment horizontal="center" vertical="center" wrapText="1"/>
    </xf>
    <xf numFmtId="0" fontId="124" fillId="0" borderId="15" xfId="0" applyFont="1" applyBorder="1" applyAlignment="1">
      <alignment horizontal="center" vertical="center" wrapText="1"/>
    </xf>
    <xf numFmtId="0" fontId="104" fillId="0" borderId="6" xfId="0" applyFont="1" applyBorder="1" applyAlignment="1">
      <alignment vertical="center" wrapText="1"/>
    </xf>
    <xf numFmtId="0" fontId="99" fillId="0" borderId="15" xfId="32614" applyFont="1" applyBorder="1" applyAlignment="1">
      <alignment horizontal="center" vertical="center" wrapText="1"/>
    </xf>
    <xf numFmtId="0" fontId="104" fillId="0" borderId="4" xfId="0" applyFont="1" applyBorder="1" applyAlignment="1">
      <alignment vertical="center" wrapText="1"/>
    </xf>
    <xf numFmtId="0" fontId="104" fillId="0" borderId="14" xfId="0" applyFont="1" applyBorder="1" applyAlignment="1">
      <alignment vertical="center" wrapText="1"/>
    </xf>
    <xf numFmtId="0" fontId="135" fillId="0" borderId="15" xfId="0" applyFont="1" applyBorder="1" applyAlignment="1">
      <alignment horizontal="center" vertical="center" wrapText="1"/>
    </xf>
    <xf numFmtId="0" fontId="127" fillId="3" borderId="11" xfId="0" applyFont="1" applyFill="1" applyBorder="1" applyAlignment="1">
      <alignment horizontal="center" vertical="center"/>
    </xf>
    <xf numFmtId="0" fontId="127" fillId="3" borderId="3" xfId="0" applyFont="1" applyFill="1" applyBorder="1" applyAlignment="1">
      <alignment horizontal="center" vertical="center"/>
    </xf>
    <xf numFmtId="0" fontId="125" fillId="3" borderId="15" xfId="0" applyFont="1" applyFill="1" applyBorder="1" applyAlignment="1">
      <alignment horizontal="center"/>
    </xf>
    <xf numFmtId="0" fontId="117" fillId="2" borderId="0" xfId="32633" applyFont="1" applyFill="1" applyAlignment="1">
      <alignment horizontal="left" wrapText="1"/>
    </xf>
    <xf numFmtId="0" fontId="112" fillId="2" borderId="0" xfId="32633" applyFont="1" applyFill="1" applyAlignment="1">
      <alignment horizontal="left" wrapText="1"/>
    </xf>
    <xf numFmtId="14" fontId="115" fillId="2" borderId="0" xfId="0" applyNumberFormat="1" applyFont="1" applyFill="1" applyAlignment="1">
      <alignment horizontal="left" vertical="top" wrapText="1"/>
    </xf>
    <xf numFmtId="0" fontId="125" fillId="3" borderId="4" xfId="0" applyFont="1" applyFill="1" applyBorder="1" applyAlignment="1">
      <alignment horizontal="center"/>
    </xf>
    <xf numFmtId="0" fontId="125" fillId="3" borderId="10" xfId="0" applyFont="1" applyFill="1" applyBorder="1" applyAlignment="1">
      <alignment horizontal="center"/>
    </xf>
    <xf numFmtId="0" fontId="125" fillId="3" borderId="7" xfId="0" applyFont="1" applyFill="1" applyBorder="1" applyAlignment="1">
      <alignment horizontal="center"/>
    </xf>
    <xf numFmtId="0" fontId="125" fillId="3" borderId="2" xfId="0" applyFont="1" applyFill="1" applyBorder="1" applyAlignment="1">
      <alignment horizontal="center"/>
    </xf>
    <xf numFmtId="0" fontId="125" fillId="3" borderId="3" xfId="0" applyFont="1" applyFill="1" applyBorder="1" applyAlignment="1">
      <alignment horizontal="center"/>
    </xf>
    <xf numFmtId="0" fontId="129" fillId="8" borderId="4" xfId="0" applyFont="1" applyFill="1" applyBorder="1" applyAlignment="1">
      <alignment horizontal="center"/>
    </xf>
    <xf numFmtId="0" fontId="129" fillId="8" borderId="7" xfId="0" applyFont="1" applyFill="1" applyBorder="1" applyAlignment="1">
      <alignment horizontal="center"/>
    </xf>
    <xf numFmtId="0" fontId="129" fillId="9" borderId="4" xfId="0" applyFont="1" applyFill="1" applyBorder="1" applyAlignment="1">
      <alignment horizontal="center"/>
    </xf>
    <xf numFmtId="0" fontId="129" fillId="9" borderId="7" xfId="0" applyFont="1" applyFill="1" applyBorder="1" applyAlignment="1">
      <alignment horizontal="center"/>
    </xf>
    <xf numFmtId="0" fontId="127" fillId="3" borderId="2" xfId="0" applyFont="1" applyFill="1" applyBorder="1" applyAlignment="1">
      <alignment horizontal="center" vertical="center"/>
    </xf>
    <xf numFmtId="0" fontId="129" fillId="8" borderId="9" xfId="0" applyFont="1" applyFill="1" applyBorder="1" applyAlignment="1">
      <alignment horizontal="center"/>
    </xf>
    <xf numFmtId="0" fontId="129" fillId="8" borderId="0" xfId="0" applyFont="1" applyFill="1" applyAlignment="1">
      <alignment horizontal="center"/>
    </xf>
    <xf numFmtId="0" fontId="129" fillId="8" borderId="12" xfId="0" applyFont="1" applyFill="1" applyBorder="1" applyAlignment="1">
      <alignment horizontal="center"/>
    </xf>
    <xf numFmtId="0" fontId="112" fillId="0" borderId="0" xfId="0" applyFont="1" applyAlignment="1">
      <alignment horizontal="center" vertical="center" wrapText="1"/>
    </xf>
    <xf numFmtId="14" fontId="120" fillId="0" borderId="0" xfId="0" applyNumberFormat="1" applyFont="1" applyAlignment="1">
      <alignment horizontal="center" vertical="center" wrapText="1"/>
    </xf>
    <xf numFmtId="0" fontId="107" fillId="0" borderId="13" xfId="7" applyFill="1" applyBorder="1" applyAlignment="1">
      <alignment horizontal="left"/>
    </xf>
    <xf numFmtId="0" fontId="107" fillId="0" borderId="0" xfId="7" applyFill="1" applyBorder="1" applyAlignment="1">
      <alignment horizontal="left"/>
    </xf>
    <xf numFmtId="0" fontId="117" fillId="2" borderId="0" xfId="32614" applyFont="1" applyFill="1" applyAlignment="1">
      <alignment horizontal="center" wrapText="1"/>
    </xf>
    <xf numFmtId="0" fontId="112" fillId="2" borderId="0" xfId="32614" applyFont="1" applyFill="1" applyAlignment="1">
      <alignment horizontal="center" wrapText="1"/>
    </xf>
    <xf numFmtId="0" fontId="118" fillId="2" borderId="0" xfId="32614" applyFont="1" applyFill="1" applyAlignment="1">
      <alignment horizontal="center"/>
    </xf>
    <xf numFmtId="0" fontId="113" fillId="2" borderId="0" xfId="32614" applyFont="1" applyFill="1" applyAlignment="1">
      <alignment horizontal="center"/>
    </xf>
    <xf numFmtId="0" fontId="112" fillId="2" borderId="0" xfId="2841" applyFont="1" applyFill="1" applyAlignment="1">
      <alignment horizontal="center" wrapText="1"/>
    </xf>
    <xf numFmtId="0" fontId="115" fillId="2" borderId="0" xfId="2841" applyFont="1" applyFill="1" applyAlignment="1">
      <alignment horizontal="center" vertical="top"/>
    </xf>
    <xf numFmtId="0" fontId="117" fillId="2" borderId="0" xfId="2842" applyFont="1" applyFill="1" applyAlignment="1">
      <alignment horizontal="center" wrapText="1"/>
    </xf>
    <xf numFmtId="0" fontId="117" fillId="0" borderId="0" xfId="32631" applyFont="1" applyAlignment="1">
      <alignment horizontal="center" wrapText="1"/>
    </xf>
    <xf numFmtId="0" fontId="112" fillId="0" borderId="0" xfId="32631" applyFont="1" applyAlignment="1">
      <alignment horizontal="center" wrapText="1"/>
    </xf>
    <xf numFmtId="14" fontId="115" fillId="0" borderId="0" xfId="0" applyNumberFormat="1" applyFont="1" applyAlignment="1">
      <alignment horizontal="left" vertical="top" wrapText="1"/>
    </xf>
    <xf numFmtId="0" fontId="0" fillId="0" borderId="0" xfId="0" applyAlignment="1">
      <alignment horizontal="left"/>
    </xf>
    <xf numFmtId="0" fontId="122" fillId="2" borderId="0" xfId="0" applyFont="1" applyFill="1" applyAlignment="1">
      <alignment horizontal="center" vertical="center" wrapText="1"/>
    </xf>
    <xf numFmtId="14" fontId="123" fillId="2" borderId="0" xfId="0" applyNumberFormat="1" applyFont="1" applyFill="1" applyAlignment="1">
      <alignment horizontal="center" vertical="center" wrapText="1"/>
    </xf>
    <xf numFmtId="164" fontId="106" fillId="0" borderId="3" xfId="0" applyNumberFormat="1" applyFont="1" applyFill="1" applyBorder="1" applyAlignment="1">
      <alignment horizontal="center" vertical="center"/>
    </xf>
    <xf numFmtId="0" fontId="116" fillId="0" borderId="0" xfId="0" applyFont="1" applyFill="1"/>
    <xf numFmtId="1" fontId="191" fillId="0" borderId="15" xfId="5" applyNumberFormat="1" applyFont="1" applyFill="1" applyBorder="1" applyAlignment="1" applyProtection="1">
      <alignment horizontal="center" vertical="center" wrapText="1"/>
      <protection locked="0"/>
    </xf>
    <xf numFmtId="164" fontId="192" fillId="0" borderId="15" xfId="7" applyNumberFormat="1" applyFont="1" applyFill="1" applyBorder="1" applyAlignment="1">
      <alignment horizontal="center" vertical="center" wrapText="1"/>
    </xf>
    <xf numFmtId="166" fontId="193" fillId="0" borderId="15" xfId="1" applyNumberFormat="1" applyFont="1" applyFill="1" applyBorder="1" applyAlignment="1">
      <alignment horizontal="center" vertical="center" wrapText="1"/>
    </xf>
    <xf numFmtId="167" fontId="193" fillId="0" borderId="4" xfId="3" applyNumberFormat="1" applyFont="1" applyFill="1" applyBorder="1" applyAlignment="1">
      <alignment horizontal="center" vertical="center" wrapText="1"/>
    </xf>
    <xf numFmtId="0" fontId="101" fillId="0" borderId="15" xfId="0" applyFont="1" applyFill="1" applyBorder="1" applyAlignment="1">
      <alignment horizontal="center" vertical="center" wrapText="1"/>
    </xf>
    <xf numFmtId="0" fontId="104" fillId="0" borderId="3" xfId="0" applyFont="1" applyFill="1" applyBorder="1" applyAlignment="1">
      <alignment horizontal="left" vertical="center" wrapText="1"/>
    </xf>
    <xf numFmtId="0" fontId="99" fillId="0" borderId="3" xfId="0" applyFont="1" applyFill="1" applyBorder="1" applyAlignment="1">
      <alignment horizontal="justify" vertical="center" wrapText="1"/>
    </xf>
    <xf numFmtId="0" fontId="104" fillId="0" borderId="15" xfId="0" applyFont="1" applyFill="1" applyBorder="1" applyAlignment="1">
      <alignment horizontal="left" vertical="center" wrapText="1"/>
    </xf>
    <xf numFmtId="0" fontId="104" fillId="0" borderId="2" xfId="0" applyFont="1" applyFill="1" applyBorder="1" applyAlignment="1">
      <alignment horizontal="left" vertical="center" wrapText="1"/>
    </xf>
    <xf numFmtId="164" fontId="135" fillId="0" borderId="15" xfId="3" applyNumberFormat="1" applyFont="1" applyFill="1" applyBorder="1" applyAlignment="1">
      <alignment horizontal="center" vertical="center" wrapText="1"/>
    </xf>
    <xf numFmtId="0" fontId="0" fillId="0" borderId="0" xfId="0" applyFill="1"/>
    <xf numFmtId="0" fontId="154" fillId="0" borderId="15" xfId="0" applyFont="1" applyFill="1" applyBorder="1" applyAlignment="1">
      <alignment horizontal="center" vertical="center"/>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8">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0C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indexed="64"/>
        </right>
        <top/>
        <bottom style="thin">
          <color indexed="64"/>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5353"/>
      <color rgb="FFFFFF00"/>
      <color rgb="FFFF66CC"/>
      <color rgb="FF0078D2"/>
      <color rgb="FFF20000"/>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25</c:v>
                </c:pt>
                <c:pt idx="2">
                  <c:v>0</c:v>
                </c:pt>
                <c:pt idx="3">
                  <c:v>0</c:v>
                </c:pt>
                <c:pt idx="4">
                  <c:v>0</c:v>
                </c:pt>
                <c:pt idx="5">
                  <c:v>0</c:v>
                </c:pt>
                <c:pt idx="6">
                  <c:v>0</c:v>
                </c:pt>
                <c:pt idx="7">
                  <c:v>0</c:v>
                </c:pt>
                <c:pt idx="8">
                  <c:v>0</c:v>
                </c:pt>
                <c:pt idx="9">
                  <c:v>0</c:v>
                </c:pt>
                <c:pt idx="10">
                  <c:v>0</c:v>
                </c:pt>
                <c:pt idx="11">
                  <c:v>290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397</c:v>
                </c:pt>
                <c:pt idx="1">
                  <c:v>1546</c:v>
                </c:pt>
                <c:pt idx="2">
                  <c:v>70</c:v>
                </c:pt>
                <c:pt idx="3">
                  <c:v>0</c:v>
                </c:pt>
                <c:pt idx="4">
                  <c:v>117</c:v>
                </c:pt>
                <c:pt idx="5">
                  <c:v>893</c:v>
                </c:pt>
                <c:pt idx="6">
                  <c:v>600</c:v>
                </c:pt>
                <c:pt idx="7">
                  <c:v>120</c:v>
                </c:pt>
                <c:pt idx="8">
                  <c:v>500</c:v>
                </c:pt>
                <c:pt idx="9">
                  <c:v>435</c:v>
                </c:pt>
                <c:pt idx="10">
                  <c:v>365</c:v>
                </c:pt>
                <c:pt idx="11">
                  <c:v>1272</c:v>
                </c:pt>
                <c:pt idx="12">
                  <c:v>20</c:v>
                </c:pt>
                <c:pt idx="13">
                  <c:v>250</c:v>
                </c:pt>
                <c:pt idx="14">
                  <c:v>0</c:v>
                </c:pt>
                <c:pt idx="15">
                  <c:v>0</c:v>
                </c:pt>
                <c:pt idx="16">
                  <c:v>178</c:v>
                </c:pt>
                <c:pt idx="17">
                  <c:v>170</c:v>
                </c:pt>
                <c:pt idx="18">
                  <c:v>1344</c:v>
                </c:pt>
                <c:pt idx="19">
                  <c:v>745</c:v>
                </c:pt>
                <c:pt idx="20">
                  <c:v>1100</c:v>
                </c:pt>
                <c:pt idx="21">
                  <c:v>75</c:v>
                </c:pt>
                <c:pt idx="22">
                  <c:v>1379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91830976"/>
        <c:axId val="9183332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397</c:v>
                      </c:pt>
                      <c:pt idx="1">
                        <c:v>1571</c:v>
                      </c:pt>
                      <c:pt idx="2">
                        <c:v>70</c:v>
                      </c:pt>
                      <c:pt idx="3">
                        <c:v>0</c:v>
                      </c:pt>
                      <c:pt idx="4">
                        <c:v>117</c:v>
                      </c:pt>
                      <c:pt idx="5">
                        <c:v>893</c:v>
                      </c:pt>
                      <c:pt idx="6">
                        <c:v>600</c:v>
                      </c:pt>
                      <c:pt idx="7">
                        <c:v>120</c:v>
                      </c:pt>
                      <c:pt idx="8">
                        <c:v>500</c:v>
                      </c:pt>
                      <c:pt idx="9">
                        <c:v>435</c:v>
                      </c:pt>
                      <c:pt idx="10">
                        <c:v>365</c:v>
                      </c:pt>
                      <c:pt idx="11">
                        <c:v>1562</c:v>
                      </c:pt>
                      <c:pt idx="12">
                        <c:v>21</c:v>
                      </c:pt>
                      <c:pt idx="13">
                        <c:v>250</c:v>
                      </c:pt>
                      <c:pt idx="14">
                        <c:v>0</c:v>
                      </c:pt>
                      <c:pt idx="15">
                        <c:v>0</c:v>
                      </c:pt>
                      <c:pt idx="16">
                        <c:v>178</c:v>
                      </c:pt>
                      <c:pt idx="17">
                        <c:v>170</c:v>
                      </c:pt>
                      <c:pt idx="18">
                        <c:v>1344</c:v>
                      </c:pt>
                      <c:pt idx="19">
                        <c:v>745</c:v>
                      </c:pt>
                      <c:pt idx="20">
                        <c:v>1100</c:v>
                      </c:pt>
                      <c:pt idx="21">
                        <c:v>75</c:v>
                      </c:pt>
                      <c:pt idx="22">
                        <c:v>1379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9183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3328"/>
        <c:crosses val="autoZero"/>
        <c:auto val="1"/>
        <c:lblAlgn val="ctr"/>
        <c:lblOffset val="100"/>
        <c:noMultiLvlLbl val="0"/>
      </c:catAx>
      <c:valAx>
        <c:axId val="9183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0976"/>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131885</xdr:colOff>
      <xdr:row>4</xdr:row>
      <xdr:rowOff>161192</xdr:rowOff>
    </xdr:from>
    <xdr:to>
      <xdr:col>4</xdr:col>
      <xdr:colOff>3700252</xdr:colOff>
      <xdr:row>67</xdr:row>
      <xdr:rowOff>175847</xdr:rowOff>
    </xdr:to>
    <xdr:pic>
      <xdr:nvPicPr>
        <xdr:cNvPr id="41" name="Imagen 40">
          <a:extLst>
            <a:ext uri="{FF2B5EF4-FFF2-40B4-BE49-F238E27FC236}">
              <a16:creationId xmlns:a16="http://schemas.microsoft.com/office/drawing/2014/main" id="{1633D053-BF1B-DA07-D7DF-BCABB030AA65}"/>
            </a:ext>
          </a:extLst>
        </xdr:cNvPr>
        <xdr:cNvPicPr>
          <a:picLocks noChangeAspect="1"/>
        </xdr:cNvPicPr>
      </xdr:nvPicPr>
      <xdr:blipFill>
        <a:blip xmlns:r="http://schemas.openxmlformats.org/officeDocument/2006/relationships" r:embed="rId1"/>
        <a:stretch>
          <a:fillRect/>
        </a:stretch>
      </xdr:blipFill>
      <xdr:spPr>
        <a:xfrm>
          <a:off x="131885" y="1670538"/>
          <a:ext cx="8638598" cy="13232424"/>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68</xdr:row>
      <xdr:rowOff>63500</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709766</xdr:colOff>
      <xdr:row>54</xdr:row>
      <xdr:rowOff>146539</xdr:rowOff>
    </xdr:from>
    <xdr:to>
      <xdr:col>2</xdr:col>
      <xdr:colOff>141816</xdr:colOff>
      <xdr:row>65</xdr:row>
      <xdr:rowOff>187953</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709766" y="12206654"/>
          <a:ext cx="1967165" cy="2298107"/>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3</xdr:row>
      <xdr:rowOff>219075</xdr:rowOff>
    </xdr:from>
    <xdr:to>
      <xdr:col>5</xdr:col>
      <xdr:colOff>1571624</xdr:colOff>
      <xdr:row>48</xdr:row>
      <xdr:rowOff>57150</xdr:rowOff>
    </xdr:to>
    <xdr:pic>
      <xdr:nvPicPr>
        <xdr:cNvPr id="12" name="Imagen 11">
          <a:extLst>
            <a:ext uri="{FF2B5EF4-FFF2-40B4-BE49-F238E27FC236}">
              <a16:creationId xmlns:a16="http://schemas.microsoft.com/office/drawing/2014/main" id="{1922A88D-1137-21C0-FD78-957E57A8DBFA}"/>
            </a:ext>
          </a:extLst>
        </xdr:cNvPr>
        <xdr:cNvPicPr>
          <a:picLocks noChangeAspect="1"/>
        </xdr:cNvPicPr>
      </xdr:nvPicPr>
      <xdr:blipFill>
        <a:blip xmlns:r="http://schemas.openxmlformats.org/officeDocument/2006/relationships" r:embed="rId1"/>
        <a:stretch>
          <a:fillRect/>
        </a:stretch>
      </xdr:blipFill>
      <xdr:spPr>
        <a:xfrm>
          <a:off x="76199" y="1476375"/>
          <a:ext cx="6372225" cy="8905875"/>
        </a:xfrm>
        <a:prstGeom prst="rect">
          <a:avLst/>
        </a:prstGeom>
        <a:ln>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487378</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579614"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4</xdr:row>
      <xdr:rowOff>57150</xdr:rowOff>
    </xdr:from>
    <xdr:to>
      <xdr:col>5</xdr:col>
      <xdr:colOff>2134643</xdr:colOff>
      <xdr:row>54</xdr:row>
      <xdr:rowOff>47625</xdr:rowOff>
    </xdr:to>
    <xdr:pic>
      <xdr:nvPicPr>
        <xdr:cNvPr id="2" name="Imagen 1">
          <a:extLst>
            <a:ext uri="{FF2B5EF4-FFF2-40B4-BE49-F238E27FC236}">
              <a16:creationId xmlns:a16="http://schemas.microsoft.com/office/drawing/2014/main" id="{E43417A7-680E-6B83-560E-9D03813D5C6E}"/>
            </a:ext>
          </a:extLst>
        </xdr:cNvPr>
        <xdr:cNvPicPr>
          <a:picLocks noChangeAspect="1"/>
        </xdr:cNvPicPr>
      </xdr:nvPicPr>
      <xdr:blipFill>
        <a:blip xmlns:r="http://schemas.openxmlformats.org/officeDocument/2006/relationships" r:embed="rId1"/>
        <a:stretch>
          <a:fillRect/>
        </a:stretch>
      </xdr:blipFill>
      <xdr:spPr>
        <a:xfrm>
          <a:off x="133350" y="1428750"/>
          <a:ext cx="6859043" cy="9382125"/>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4"/>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2</xdr:col>
      <xdr:colOff>1192720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twoCellAnchor editAs="oneCell">
    <xdr:from>
      <xdr:col>0</xdr:col>
      <xdr:colOff>288206</xdr:colOff>
      <xdr:row>44</xdr:row>
      <xdr:rowOff>4519</xdr:rowOff>
    </xdr:from>
    <xdr:to>
      <xdr:col>2</xdr:col>
      <xdr:colOff>674993</xdr:colOff>
      <xdr:row>53</xdr:row>
      <xdr:rowOff>26623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6"/>
        <a:stretch>
          <a:fillRect/>
        </a:stretch>
      </xdr:blipFill>
      <xdr:spPr>
        <a:xfrm>
          <a:off x="288206" y="8834194"/>
          <a:ext cx="1834587" cy="1774704"/>
        </a:xfrm>
        <a:prstGeom prst="rect">
          <a:avLst/>
        </a:prstGeom>
        <a:ln w="9525">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4</xdr:row>
      <xdr:rowOff>0</xdr:rowOff>
    </xdr:from>
    <xdr:to>
      <xdr:col>6</xdr:col>
      <xdr:colOff>771524</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28574" y="1409700"/>
          <a:ext cx="7210425"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Eventos7" displayName="Eventos7" ref="R4:U319" totalsRowShown="0" headerRowDxfId="77">
  <tableColumns count="4">
    <tableColumn id="1" xr3:uid="{00000000-0010-0000-0100-000001000000}" name="DPTO" dataDxfId="76">
      <calculatedColumnFormula>TRIM(MID(TRIM(Transportes!D5),1,FIND(CHAR(10),TRIM(Transportes!D5),1)-1))</calculatedColumnFormula>
    </tableColumn>
    <tableColumn id="2" xr3:uid="{00000000-0010-0000-0100-000002000000}" name="ESTADO" dataDxfId="75">
      <calculatedColumnFormula>TRIM(IF(Transportes!F5="TRÁNSITO INTERRUMPIDO","Interrumpido",IF(Transportes!F5="TRÁNSITO RESTRINGIDO","Restringido","Normal")))</calculatedColumnFormula>
    </tableColumn>
    <tableColumn id="3" xr3:uid="{00000000-0010-0000-0100-000003000000}" name="FENOMENO" dataDxfId="74">
      <calculatedColumnFormula>TRIM(IF(MID(TRIM(Transportes!H5),1,FIND("-",TRIM(Transportes!H5),1)-2)="Acción humana","H","F"))</calculatedColumnFormula>
    </tableColumn>
    <tableColumn id="4" xr3:uid="{00000000-0010-0000-0100-000004000000}" name="METRAJE" dataDxfId="73">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2423234766272425" displayName="Tabla142423234766272425" ref="A4:M159" totalsRowShown="0" headerRowDxfId="72" dataDxfId="0" headerRowBorderDxfId="71" tableBorderDxfId="70" totalsRowBorderDxfId="69" headerRowCellStyle="Millares 11 2">
  <sortState xmlns:xlrd2="http://schemas.microsoft.com/office/spreadsheetml/2017/richdata2" ref="A84:M159">
    <sortCondition sortBy="cellColor" ref="D4:D159" dxfId="68"/>
  </sortState>
  <tableColumns count="13">
    <tableColumn id="1" xr3:uid="{00000000-0010-0000-0200-000001000000}" name="Nro" dataDxfId="13" dataCellStyle="Millares"/>
    <tableColumn id="2" xr3:uid="{00000000-0010-0000-0200-000002000000}" name="VER MAPA" dataDxfId="12" dataCellStyle="Hipervínculo"/>
    <tableColumn id="3" xr3:uid="{00000000-0010-0000-0200-000003000000}" name="FECHA DEL EVENTO" dataDxfId="11" dataCellStyle="Título 3 2"/>
    <tableColumn id="4" xr3:uid="{00000000-0010-0000-0200-000004000000}" name="DEPARTAMENTO_x000a_PROVINCIA  /  DISTRITO" dataDxfId="10" dataCellStyle="Título 3 2"/>
    <tableColumn id="5" xr3:uid="{00000000-0010-0000-0200-000005000000}" name="AFECTACIÓN" dataDxfId="9" dataCellStyle="Título 3 3"/>
    <tableColumn id="15" xr3:uid="{00000000-0010-0000-0200-00000F000000}" name="ESTADO" dataDxfId="8" dataCellStyle="Título 3 2"/>
    <tableColumn id="6" xr3:uid="{00000000-0010-0000-0200-000006000000}" name="METRAJE" dataDxfId="7" dataCellStyle="Millares"/>
    <tableColumn id="7" xr3:uid="{00000000-0010-0000-0200-000007000000}" name="EVENTO - OCURRENCIA / ACCIONES" dataDxfId="6" dataCellStyle="Título 3 3"/>
    <tableColumn id="8" xr3:uid="{00000000-0010-0000-0200-000008000000}" name="MAQUINARIA_x000a_(Cantidad/tipo)" dataDxfId="5" dataCellStyle="Título 3 3"/>
    <tableColumn id="9" xr3:uid="{00000000-0010-0000-0200-000009000000}" name="ADMINISTRACIÓN / RESPONSABLE" dataDxfId="4" dataCellStyle="Título 3 2"/>
    <tableColumn id="10" xr3:uid="{00000000-0010-0000-0200-00000A000000}" name="VER FOTO / VIDEO" dataDxfId="3" dataCellStyle="Hipervínculo"/>
    <tableColumn id="11" xr3:uid="{00000000-0010-0000-0200-00000B000000}" name="LATITUD" dataDxfId="2" dataCellStyle="Input Custom"/>
    <tableColumn id="12" xr3:uid="{00000000-0010-0000-0200-00000C000000}" name="LONGITUD" dataDxfId="1"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BDB9C2-5A52-4A54-A2B6-E14A37BE8549}" name="Tabla4448102929210" displayName="Tabla4448102929210" ref="A5:F9" totalsRowShown="0" headerRowDxfId="67" dataDxfId="65" headerRowBorderDxfId="66" tableBorderDxfId="64" totalsRowBorderDxfId="63" headerRowCellStyle="Título 3 2">
  <tableColumns count="6">
    <tableColumn id="1" xr3:uid="{84C3C7DD-2C10-42A3-B2CF-B9DC0CC92214}" name="N°" dataDxfId="19" dataCellStyle="Normal 2 3 2 12 4 8"/>
    <tableColumn id="2" xr3:uid="{08229E86-E863-4E69-A02B-82B87C8CE9BE}" name="DEPARTAMENTO_x000a_PROVINCIA  /  DISTRITO" dataDxfId="18"/>
    <tableColumn id="3" xr3:uid="{9D434C12-FE47-4161-AFB6-D96DEBDD1FA2}" name="AFECTACIÓN" dataDxfId="17"/>
    <tableColumn id="4" xr3:uid="{75536FDA-FC9B-4068-BB3C-40818E9AC471}" name="EVENTO - OCURRENCIA" dataDxfId="15"/>
    <tableColumn id="5" xr3:uid="{BF206A6E-B256-45B5-9A3A-9FB45A411F66}" name="ESTADO" dataDxfId="16"/>
    <tableColumn id="6" xr3:uid="{0D7BED56-0B9E-43A2-AC7D-01FD78F303D6}" name="FUENTE" dataDxfId="6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169" displayName="Tabla169" ref="A50:H52" totalsRowShown="0" headerRowDxfId="61" dataDxfId="59" headerRowBorderDxfId="60" tableBorderDxfId="58" totalsRowBorderDxfId="57" headerRowCellStyle="Título 3 2">
  <tableColumns count="8">
    <tableColumn id="1" xr3:uid="{00000000-0010-0000-0500-000001000000}" name="N°" dataDxfId="56" dataCellStyle="Normal 2 2 2 2 5"/>
    <tableColumn id="9" xr3:uid="{00000000-0010-0000-0500-000009000000}" name="CÓDIGO" dataDxfId="55"/>
    <tableColumn id="2" xr3:uid="{00000000-0010-0000-0500-000002000000}" name="UBICACIÓN" dataDxfId="54" dataCellStyle="Título 3 2"/>
    <tableColumn id="7" xr3:uid="{00000000-0010-0000-0500-000007000000}" name="Fecha" dataDxfId="53" dataCellStyle="Título 3 2"/>
    <tableColumn id="3" xr3:uid="{00000000-0010-0000-0500-000003000000}" name="AFECTACIÓN" dataDxfId="52" dataCellStyle="Título 3 3"/>
    <tableColumn id="4" xr3:uid="{00000000-0010-0000-0500-000004000000}" name="EVENTO - OCURRENCIA" dataDxfId="51" dataCellStyle="Normal 2 2 2 2 5"/>
    <tableColumn id="5" xr3:uid="{00000000-0010-0000-0500-000005000000}" name="ESTADO" dataDxfId="50" dataCellStyle="Título 3 2"/>
    <tableColumn id="6" xr3:uid="{00000000-0010-0000-0500-000006000000}" name="FUENTE" dataDxfId="49"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C36F600-EC98-4839-9E42-A1919C05B3E9}" name="Tabla7" displayName="Tabla7" ref="A56:I60" totalsRowShown="0" headerRowDxfId="48" dataDxfId="46" headerRowBorderDxfId="47" tableBorderDxfId="45" totalsRowBorderDxfId="44" headerRowCellStyle="Título 3 2">
  <tableColumns count="9">
    <tableColumn id="1" xr3:uid="{D6817C6B-B621-4AE3-A0EA-0343B2690843}" name="N" dataDxfId="43"/>
    <tableColumn id="2" xr3:uid="{CA67DEA2-8317-4820-BDAF-DC7A13E53EF6}" name="CÓDIGO" dataDxfId="42"/>
    <tableColumn id="3" xr3:uid="{A65B76EA-15E1-468B-BC1F-B1E4168BFE84}" name="FECHA DEL EVENTO" dataDxfId="41"/>
    <tableColumn id="4" xr3:uid="{5496EB12-28C8-4500-A21F-2E13F12C3F86}" name="UBICACIÓN" dataDxfId="40"/>
    <tableColumn id="5" xr3:uid="{8CFC3F7B-1990-4349-B89B-35F05A8D8766}" name="AFECTACIÓN" dataDxfId="39"/>
    <tableColumn id="6" xr3:uid="{DAD9861F-87C5-483C-84B2-118E6BEAD2AA}" name="EVENTO - OCURRENCIA" dataDxfId="38"/>
    <tableColumn id="7" xr3:uid="{DECA4C32-D979-4DB0-8E1D-8B0698FA3BDF}" name="ESTADO" dataDxfId="37"/>
    <tableColumn id="8" xr3:uid="{247A988B-8C0C-4A87-A13A-F3F0FA0338AB}" name="TERMINAL ABIERTO" dataDxfId="36"/>
    <tableColumn id="9" xr3:uid="{4994EE4E-23C5-4C1B-871C-412DC269E6E3}" name="FUENTE" dataDxfId="35"/>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K56" totalsRowShown="0" headerRowDxfId="34" headerRowBorderDxfId="33" tableBorderDxfId="32" totalsRowBorderDxfId="31">
  <tableColumns count="11">
    <tableColumn id="1" xr3:uid="{00000000-0010-0000-0600-000001000000}" name="Nro." dataDxfId="30" dataCellStyle="Título 3 3"/>
    <tableColumn id="2" xr3:uid="{00000000-0010-0000-0600-000002000000}" name="VER MAPA" dataDxfId="29" dataCellStyle="Hipervínculo"/>
    <tableColumn id="3" xr3:uid="{00000000-0010-0000-0600-000003000000}" name="FECHA DEL EVENTO" dataDxfId="28" dataCellStyle="Título 3 3"/>
    <tableColumn id="4" xr3:uid="{00000000-0010-0000-0600-000004000000}" name="DEPARTAMENTO_x000a_PROVINCIA  /  DISTRITO" dataDxfId="27" dataCellStyle="Título 3 3"/>
    <tableColumn id="5" xr3:uid="{00000000-0010-0000-0600-000005000000}" name="AFECTACIÓN" dataDxfId="26" dataCellStyle="Título 3 3"/>
    <tableColumn id="6" xr3:uid="{00000000-0010-0000-0600-000006000000}" name="ESTADO" dataDxfId="25" dataCellStyle="Título 3 3"/>
    <tableColumn id="7" xr3:uid="{00000000-0010-0000-0600-000007000000}" name="EVENTO - OCURRENCIA" dataDxfId="24" dataCellStyle="Título 3 3"/>
    <tableColumn id="8" xr3:uid="{00000000-0010-0000-0600-000008000000}" name="FUENTE" dataDxfId="23" dataCellStyle="Título 3 3"/>
    <tableColumn id="11" xr3:uid="{00000000-0010-0000-0600-00000B000000}" name="VER FOTO / VIDEO" dataDxfId="22" dataCellStyle="Título 3 3"/>
    <tableColumn id="9" xr3:uid="{00000000-0010-0000-0600-000009000000}" name="LATITUD" dataDxfId="21" dataCellStyle="Millares"/>
    <tableColumn id="10" xr3:uid="{00000000-0010-0000-0600-00000A000000}" name="LONGITUD" dataDxfId="2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303_20250303032208.pdf" TargetMode="External"/><Relationship Id="rId299" Type="http://schemas.openxmlformats.org/officeDocument/2006/relationships/drawing" Target="../drawings/drawing2.xml"/><Relationship Id="rId21" Type="http://schemas.openxmlformats.org/officeDocument/2006/relationships/hyperlink" Target="https://arsaecoe.mtc.gob.pe/vial/VIAL_I_VIALES003331_20250304113833.pdf" TargetMode="External"/><Relationship Id="rId63" Type="http://schemas.openxmlformats.org/officeDocument/2006/relationships/hyperlink" Target="https://arsaecoe.mtc.gob.pe/vial/VIAL_I_VIALES003652_20250329101317.pdf" TargetMode="External"/><Relationship Id="rId159" Type="http://schemas.openxmlformats.org/officeDocument/2006/relationships/hyperlink" Target="https://arsaecoe.mtc.gob.pe/vial/VIAL_R_VIALES003555_20250422115616.pdf" TargetMode="External"/><Relationship Id="rId170" Type="http://schemas.openxmlformats.org/officeDocument/2006/relationships/hyperlink" Target="https://arsaecoe.mtc.gob.pe/vial/VIAL_R_VIALES003902_20250425030607.pdf" TargetMode="External"/><Relationship Id="rId226" Type="http://schemas.openxmlformats.org/officeDocument/2006/relationships/hyperlink" Target="https://arsaecoe.mtc.gob.pe/vial/VIAL_R_VIALES003995_20250509054135.pdf" TargetMode="External"/><Relationship Id="rId268" Type="http://schemas.openxmlformats.org/officeDocument/2006/relationships/hyperlink" Target="https://arsaecoe.mtc.gob.pe/vial/VIAL_I_VIALES004038_20250516041156.pdf" TargetMode="External"/><Relationship Id="rId32" Type="http://schemas.openxmlformats.org/officeDocument/2006/relationships/hyperlink" Target="https://arsaecoe.mtc.gob.pe/vial/VIAL_R_VIALES003483_20250314110725.pdf" TargetMode="External"/><Relationship Id="rId74" Type="http://schemas.openxmlformats.org/officeDocument/2006/relationships/hyperlink" Target="https://arsaecoe.mtc.gob.pe/vial/VIAL_R_VIALES003727_20250404103102.pdf" TargetMode="External"/><Relationship Id="rId128" Type="http://schemas.openxmlformats.org/officeDocument/2006/relationships/hyperlink" Target="https://arsaecoe.mtc.gob.pe/vial/VIAL_R_VIALES003784_20250409105947.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3915_20250427094931.pdf" TargetMode="External"/><Relationship Id="rId237" Type="http://schemas.openxmlformats.org/officeDocument/2006/relationships/hyperlink" Target="https://arsaecoe.mtc.gob.pe/vial/VIAL_R_VIALES004002_20250512065156.pdf" TargetMode="External"/><Relationship Id="rId279" Type="http://schemas.openxmlformats.org/officeDocument/2006/relationships/hyperlink" Target="https://arsaecoe.mtc.gob.pe/vial/VIAL_I_VIALES004041_20250519025358.pdf" TargetMode="External"/><Relationship Id="rId43" Type="http://schemas.openxmlformats.org/officeDocument/2006/relationships/hyperlink" Target="https://arsaecoe.mtc.gob.pe/vial/VIAL_I_VIALES003555_20250323100111.pdf" TargetMode="External"/><Relationship Id="rId139" Type="http://schemas.openxmlformats.org/officeDocument/2006/relationships/hyperlink" Target="https://arsaecoe.mtc.gob.pe/vial/VIAL_R_VIALES003822_20250412111630.pdf" TargetMode="External"/><Relationship Id="rId290" Type="http://schemas.openxmlformats.org/officeDocument/2006/relationships/hyperlink" Target="https://arsaecoe.mtc.gob.pe/vial/VIAL_R_VIALES004053_20250520032624.pdf" TargetMode="External"/><Relationship Id="rId85" Type="http://schemas.openxmlformats.org/officeDocument/2006/relationships/hyperlink" Target="https://arsaecoe.mtc.gob.pe/vial/VIAL_I_VIALES003727_20250408062928.pdf" TargetMode="External"/><Relationship Id="rId150" Type="http://schemas.openxmlformats.org/officeDocument/2006/relationships/hyperlink" Target="https://arsaecoe.mtc.gob.pe/vial/VIAL_I_VIALES003840_20250415092929.pdf" TargetMode="External"/><Relationship Id="rId192" Type="http://schemas.openxmlformats.org/officeDocument/2006/relationships/hyperlink" Target="https://arsaecoe.mtc.gob.pe/vial/VIAL_I_VIALES003940_20250430040932.pdf" TargetMode="External"/><Relationship Id="rId206" Type="http://schemas.openxmlformats.org/officeDocument/2006/relationships/hyperlink" Target="https://arsaecoe.mtc.gob.pe/vial/VIAL_I_VIALES003963_20250506085003.pdf" TargetMode="External"/><Relationship Id="rId248" Type="http://schemas.openxmlformats.org/officeDocument/2006/relationships/hyperlink" Target="https://arsaecoe.mtc.gob.pe/vial/VIAL_I_VIALES004007_20250513084757.pdf" TargetMode="External"/><Relationship Id="rId12" Type="http://schemas.openxmlformats.org/officeDocument/2006/relationships/hyperlink" Target="https://arsaecoe.mtc.gob.pe/vial/VIAL_I_VIALES003047_20250203035907.pdf" TargetMode="External"/><Relationship Id="rId108" Type="http://schemas.openxmlformats.org/officeDocument/2006/relationships/hyperlink" Target="https://arsaecoe.mtc.gob.pe/vial/VIAL_R_VIALES002975_20250121025819.pdf" TargetMode="External"/><Relationship Id="rId54" Type="http://schemas.openxmlformats.org/officeDocument/2006/relationships/hyperlink" Target="https://arsaecoe.mtc.gob.pe/vial/VIAL_I_VIALES003601_20250326052747.pdf" TargetMode="External"/><Relationship Id="rId75" Type="http://schemas.openxmlformats.org/officeDocument/2006/relationships/hyperlink" Target="https://arsaecoe.mtc.gob.pe/vial/VIAL_R_VIALES003729_20250404123115.pdf" TargetMode="External"/><Relationship Id="rId96" Type="http://schemas.openxmlformats.org/officeDocument/2006/relationships/hyperlink" Target="https://arsaecoe.mtc.gob.pe/vial/VIAL_R_M230465_20230411052549.pdf" TargetMode="External"/><Relationship Id="rId140" Type="http://schemas.openxmlformats.org/officeDocument/2006/relationships/hyperlink" Target="https://arsaecoe.mtc.gob.pe/vial/VIAL_R_VIALES003834_20250414062442.pdf" TargetMode="External"/><Relationship Id="rId161" Type="http://schemas.openxmlformats.org/officeDocument/2006/relationships/hyperlink" Target="https://arsaecoe.mtc.gob.pe/vial/VIAL_R_VIALES003884_20250423101103.pdf" TargetMode="External"/><Relationship Id="rId182" Type="http://schemas.openxmlformats.org/officeDocument/2006/relationships/hyperlink" Target="https://arsaecoe.mtc.gob.pe/vial/VIAL_I_VIALES003915_20250427125440.pdf" TargetMode="External"/><Relationship Id="rId217" Type="http://schemas.openxmlformats.org/officeDocument/2006/relationships/hyperlink" Target="https://arsaecoe.mtc.gob.pe/vial/VIAL_I_VIALES003977_20250507040029.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002_20250512065156.pdf" TargetMode="External"/><Relationship Id="rId259" Type="http://schemas.openxmlformats.org/officeDocument/2006/relationships/hyperlink" Target="https://arsaecoe.mtc.gob.pe/vial/VIAL_I_VIALES004032_20250515081042.pdf" TargetMode="External"/><Relationship Id="rId23" Type="http://schemas.openxmlformats.org/officeDocument/2006/relationships/hyperlink" Target="https://arsaecoe.mtc.gob.pe/vial/VIAL_I_VIALES003314_20250305121009.pdf" TargetMode="External"/><Relationship Id="rId119" Type="http://schemas.openxmlformats.org/officeDocument/2006/relationships/hyperlink" Target="https://arsaecoe.mtc.gob.pe/vial/VIAL_R_VIALES003314_20250303011332.pdf" TargetMode="External"/><Relationship Id="rId270" Type="http://schemas.openxmlformats.org/officeDocument/2006/relationships/hyperlink" Target="https://arsaecoe.mtc.gob.pe/vial/VIAL_I_VIALES004036_20250516044833.pdf" TargetMode="External"/><Relationship Id="rId291" Type="http://schemas.openxmlformats.org/officeDocument/2006/relationships/hyperlink" Target="https://arsaecoe.mtc.gob.pe/vial/VIAL_R_VIALES004054_20250520035042.pdf" TargetMode="External"/><Relationship Id="rId44" Type="http://schemas.openxmlformats.org/officeDocument/2006/relationships/hyperlink" Target="https://arsaecoe.mtc.gob.pe/vial/VIAL_R_VIALES003565_20250323030950.pdf" TargetMode="External"/><Relationship Id="rId65" Type="http://schemas.openxmlformats.org/officeDocument/2006/relationships/hyperlink" Target="https://arsaecoe.mtc.gob.pe/vial/VIAL_I_VIALES003653_20250329102014.pdf" TargetMode="External"/><Relationship Id="rId86" Type="http://schemas.openxmlformats.org/officeDocument/2006/relationships/hyperlink" Target="https://arsaecoe.mtc.gob.pe/vial/VIAL_R_VIALES003777_20250408032857.pdf" TargetMode="External"/><Relationship Id="rId130" Type="http://schemas.openxmlformats.org/officeDocument/2006/relationships/hyperlink" Target="https://arsaecoe.mtc.gob.pe/vial/VIAL_R_VIALES003791_20250409073751.pdf" TargetMode="External"/><Relationship Id="rId151" Type="http://schemas.openxmlformats.org/officeDocument/2006/relationships/hyperlink" Target="https://arsaecoe.mtc.gob.pe/vial/VIAL_R_VIALES003854_20250416043037.pdf" TargetMode="External"/><Relationship Id="rId172" Type="http://schemas.openxmlformats.org/officeDocument/2006/relationships/hyperlink" Target="https://arsaecoe.mtc.gob.pe/vial/VIAL_R_VIALES003907_20250426012416.pdf" TargetMode="External"/><Relationship Id="rId193" Type="http://schemas.openxmlformats.org/officeDocument/2006/relationships/hyperlink" Target="https://arsaecoe.mtc.gob.pe/vial/VIAL_R_VIALES003941_20250430101100.pdf" TargetMode="External"/><Relationship Id="rId207" Type="http://schemas.openxmlformats.org/officeDocument/2006/relationships/hyperlink" Target="https://arsaecoe.mtc.gob.pe/vial/VIAL_R_VIALES003969_20250506124013.pdf" TargetMode="External"/><Relationship Id="rId228" Type="http://schemas.openxmlformats.org/officeDocument/2006/relationships/hyperlink" Target="https://arsaecoe.mtc.gob.pe/vial/VIAL_I_VIALES003990_20250508102857.pdf" TargetMode="External"/><Relationship Id="rId249" Type="http://schemas.openxmlformats.org/officeDocument/2006/relationships/hyperlink" Target="https://arsaecoe.mtc.gob.pe/vial/VIAL_I_VIALES004013_20250514094317.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029_20250131112738.pdf" TargetMode="External"/><Relationship Id="rId260" Type="http://schemas.openxmlformats.org/officeDocument/2006/relationships/hyperlink" Target="https://arsaecoe.mtc.gob.pe/vial/VIAL_I_VIALES004030_20250515081409.pdf" TargetMode="External"/><Relationship Id="rId281" Type="http://schemas.openxmlformats.org/officeDocument/2006/relationships/hyperlink" Target="https://arsaecoe.mtc.gob.pe/vial/VIAL_I_VIALES004042_20250519034900.pdf" TargetMode="External"/><Relationship Id="rId34" Type="http://schemas.openxmlformats.org/officeDocument/2006/relationships/hyperlink" Target="https://arsaecoe.mtc.gob.pe/vial/VIAL_R_VIALES003488_20250314125611.pdf" TargetMode="External"/><Relationship Id="rId55" Type="http://schemas.openxmlformats.org/officeDocument/2006/relationships/hyperlink" Target="https://arsaecoe.mtc.gob.pe/vial/VIAL_I_VIALES003600_20250327041339.pdf" TargetMode="External"/><Relationship Id="rId76" Type="http://schemas.openxmlformats.org/officeDocument/2006/relationships/hyperlink" Target="https://arsaecoe.mtc.gob.pe/vial/VIAL_I_VIALES003729_20250404123115.pdf" TargetMode="External"/><Relationship Id="rId97" Type="http://schemas.openxmlformats.org/officeDocument/2006/relationships/hyperlink" Target="https://arsaecoe.mtc.gob.pe/vial/VIAL_R_M210671_20230403110429.pdf" TargetMode="External"/><Relationship Id="rId120" Type="http://schemas.openxmlformats.org/officeDocument/2006/relationships/hyperlink" Target="https://arsaecoe.mtc.gob.pe/vial/VIAL_R_VIALES003319_20250303062117.pdf" TargetMode="External"/><Relationship Id="rId141" Type="http://schemas.openxmlformats.org/officeDocument/2006/relationships/hyperlink" Target="https://arsaecoe.mtc.gob.pe/vial/VIAL_R_VIALES003836_20250414070827.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3885_20250423111509.pdf" TargetMode="External"/><Relationship Id="rId183" Type="http://schemas.openxmlformats.org/officeDocument/2006/relationships/hyperlink" Target="https://arsaecoe.mtc.gob.pe/vial/VIAL_R_VIALES003919_20250428014932.pdf" TargetMode="External"/><Relationship Id="rId218" Type="http://schemas.openxmlformats.org/officeDocument/2006/relationships/hyperlink" Target="https://arsaecoe.mtc.gob.pe/vial/VIAL_R_VIALES003984_20250508013933.pdf" TargetMode="External"/><Relationship Id="rId239" Type="http://schemas.openxmlformats.org/officeDocument/2006/relationships/hyperlink" Target="https://arsaecoe.mtc.gob.pe/vial/VIAL_R_VIALES004004_20250513101610.pdf" TargetMode="External"/><Relationship Id="rId250" Type="http://schemas.openxmlformats.org/officeDocument/2006/relationships/hyperlink" Target="https://arsaecoe.mtc.gob.pe/vial/VIAL_R_VIALES004013_20250514094317.pdf" TargetMode="External"/><Relationship Id="rId271" Type="http://schemas.openxmlformats.org/officeDocument/2006/relationships/hyperlink" Target="https://arsaecoe.mtc.gob.pe/vial/VIAL_I_VIALES004035_20250516044923.pdf" TargetMode="External"/><Relationship Id="rId292" Type="http://schemas.openxmlformats.org/officeDocument/2006/relationships/hyperlink" Target="https://arsaecoe.mtc.gob.pe/vial/VIAL_I_VIALES004052_20250520043425.pdf" TargetMode="External"/><Relationship Id="rId24" Type="http://schemas.openxmlformats.org/officeDocument/2006/relationships/hyperlink" Target="https://arsaecoe.mtc.gob.pe/vial/VIAL_I_VIALES003323_20250304125449.pdf" TargetMode="External"/><Relationship Id="rId45" Type="http://schemas.openxmlformats.org/officeDocument/2006/relationships/hyperlink" Target="https://arsaecoe.mtc.gob.pe/vial/VIAL_I_VIALES003565_20250323030950.pdf" TargetMode="External"/><Relationship Id="rId66" Type="http://schemas.openxmlformats.org/officeDocument/2006/relationships/hyperlink" Target="https://arsaecoe.mtc.gob.pe/vial/VIAL_R_VIALES003660_20250330010654.pdf" TargetMode="External"/><Relationship Id="rId87" Type="http://schemas.openxmlformats.org/officeDocument/2006/relationships/hyperlink" Target="https://arsaecoe.mtc.gob.pe/vial/VIAL_I_VIALES003777_20250408032857.pdf" TargetMode="External"/><Relationship Id="rId110" Type="http://schemas.openxmlformats.org/officeDocument/2006/relationships/hyperlink" Target="https://arsaecoe.mtc.gob.pe/vial/VIAL_R_VIALES003035_20250201123027.pdf" TargetMode="External"/><Relationship Id="rId131" Type="http://schemas.openxmlformats.org/officeDocument/2006/relationships/hyperlink" Target="https://arsaecoe.mtc.gob.pe/vial/VIAL_R_VIALES003792_20250410015723.pdf" TargetMode="External"/><Relationship Id="rId152" Type="http://schemas.openxmlformats.org/officeDocument/2006/relationships/hyperlink" Target="https://arsaecoe.mtc.gob.pe/vial/VIAL_I_VIALES0038454_20250416081148.pdf" TargetMode="External"/><Relationship Id="rId173" Type="http://schemas.openxmlformats.org/officeDocument/2006/relationships/hyperlink" Target="https://arsaecoe.mtc.gob.pe/vial/VIAL_I_VIALES003898_20250426084311.pdf" TargetMode="External"/><Relationship Id="rId194" Type="http://schemas.openxmlformats.org/officeDocument/2006/relationships/hyperlink" Target="https://arsaecoe.mtc.gob.pe/vial/VIAL_R_VIALES003947_20250502125050.pdf" TargetMode="External"/><Relationship Id="rId208" Type="http://schemas.openxmlformats.org/officeDocument/2006/relationships/hyperlink" Target="https://arsaecoe.mtc.gob.pe/vial/VIAL_I_VIALES003959_20250506124225.pdf" TargetMode="External"/><Relationship Id="rId229" Type="http://schemas.openxmlformats.org/officeDocument/2006/relationships/hyperlink" Target="https://arsaecoe.mtc.gob.pe/vial/VIAL_R_VIALES003999_20250510055215.pdf" TargetMode="External"/><Relationship Id="rId240" Type="http://schemas.openxmlformats.org/officeDocument/2006/relationships/hyperlink" Target="https://arsaecoe.mtc.gob.pe/vial/VIAL_R_VIALES004007_20250513031058.pdf" TargetMode="External"/><Relationship Id="rId261" Type="http://schemas.openxmlformats.org/officeDocument/2006/relationships/hyperlink" Target="https://arsaecoe.mtc.gob.pe/vial/VIAL_I_VIALES004029_20250515081814.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488_20250315120632.pdf" TargetMode="External"/><Relationship Id="rId56" Type="http://schemas.openxmlformats.org/officeDocument/2006/relationships/hyperlink" Target="https://arsaecoe.mtc.gob.pe/vial/VIAL_I_VIALES003593_20250325052414.pdf" TargetMode="External"/><Relationship Id="rId77" Type="http://schemas.openxmlformats.org/officeDocument/2006/relationships/hyperlink" Target="https://arsaecoe.mtc.gob.pe/vial/VIAL_R_VIALES003803_20250410113836.pdf" TargetMode="External"/><Relationship Id="rId100" Type="http://schemas.openxmlformats.org/officeDocument/2006/relationships/hyperlink" Target="https://arsaecoe.mtc.gob.pe/vial/VIAL_R_M210248_20230403102345.pdf" TargetMode="External"/><Relationship Id="rId282" Type="http://schemas.openxmlformats.org/officeDocument/2006/relationships/hyperlink" Target="https://arsaecoe.mtc.gob.pe/vial/VIAL_I_VIALES004045_20250519035250.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R_M210669_20230403103319.pdf" TargetMode="External"/><Relationship Id="rId121" Type="http://schemas.openxmlformats.org/officeDocument/2006/relationships/hyperlink" Target="https://arsaecoe.mtc.gob.pe/vial/VIAL_R_VIALES003328_20250304121318.pdf" TargetMode="External"/><Relationship Id="rId142" Type="http://schemas.openxmlformats.org/officeDocument/2006/relationships/hyperlink" Target="https://arsaecoe.mtc.gob.pe/vial/VIAL_R_VIALES003837_20250414073956.pdf" TargetMode="External"/><Relationship Id="rId163" Type="http://schemas.openxmlformats.org/officeDocument/2006/relationships/hyperlink" Target="https://arsaecoe.mtc.gob.pe/vial/VIAL_I_VIALES003885_20250423111509.pdf" TargetMode="External"/><Relationship Id="rId184" Type="http://schemas.openxmlformats.org/officeDocument/2006/relationships/hyperlink" Target="https://arsaecoe.mtc.gob.pe/vial/VIAL_R_VIALES003924_20250428053542.pdf" TargetMode="External"/><Relationship Id="rId219" Type="http://schemas.openxmlformats.org/officeDocument/2006/relationships/hyperlink" Target="https://arsaecoe.mtc.gob.pe/vial/VIAL_I_VIALES003970_20250507083433.pdf" TargetMode="External"/><Relationship Id="rId230" Type="http://schemas.openxmlformats.org/officeDocument/2006/relationships/hyperlink" Target="https://arsaecoe.mtc.gob.pe/vial/VIAL_I_VIALES002641docx_20241104045541.pdf" TargetMode="External"/><Relationship Id="rId251" Type="http://schemas.openxmlformats.org/officeDocument/2006/relationships/hyperlink" Target="https://arsaecoe.mtc.gob.pe/vial/VIAL_R_VIALES004012_20250514092811.pdf" TargetMode="External"/><Relationship Id="rId25" Type="http://schemas.openxmlformats.org/officeDocument/2006/relationships/hyperlink" Target="https://arsaecoe.mtc.gob.pe/vial/VIAL_I_VIALES003370_20250308055906.pdf" TargetMode="External"/><Relationship Id="rId46" Type="http://schemas.openxmlformats.org/officeDocument/2006/relationships/hyperlink" Target="https://arsaecoe.mtc.gob.pe/vial/VIAL_I_VIALES003538_20250323042351.pdf" TargetMode="External"/><Relationship Id="rId67" Type="http://schemas.openxmlformats.org/officeDocument/2006/relationships/hyperlink" Target="https://arsaecoe.mtc.gob.pe/vial/VIAL_I_VIALES003660_20250330010654.pdf" TargetMode="External"/><Relationship Id="rId272" Type="http://schemas.openxmlformats.org/officeDocument/2006/relationships/hyperlink" Target="https://arsaecoe.mtc.gob.pe/vial/VIAL_I_VIALES004033_20250516045122.pdf" TargetMode="External"/><Relationship Id="rId293" Type="http://schemas.openxmlformats.org/officeDocument/2006/relationships/hyperlink" Target="https://arsaecoe.mtc.gob.pe/vial/VIAL_I_VIALES004051_20250520050055.pdf" TargetMode="External"/><Relationship Id="rId88" Type="http://schemas.openxmlformats.org/officeDocument/2006/relationships/hyperlink" Target="https://arsaecoe.mtc.gob.pe/vial/VIAL_R_VIALES003617_20250327042418.pdf" TargetMode="External"/><Relationship Id="rId111" Type="http://schemas.openxmlformats.org/officeDocument/2006/relationships/hyperlink" Target="https://arsaecoe.mtc.gob.pe/vial/VIAL_R_VIALES003047_20250203112527.pdf" TargetMode="External"/><Relationship Id="rId132" Type="http://schemas.openxmlformats.org/officeDocument/2006/relationships/hyperlink" Target="https://arsaecoe.mtc.gob.pe/vial/VIAL_R_VIALES003812_20250411042621.pdf" TargetMode="External"/><Relationship Id="rId153" Type="http://schemas.openxmlformats.org/officeDocument/2006/relationships/hyperlink" Target="https://arsaecoe.mtc.gob.pe/vial/VIAL_I_VIALES003843_20250417080656.pdf" TargetMode="External"/><Relationship Id="rId174" Type="http://schemas.openxmlformats.org/officeDocument/2006/relationships/hyperlink" Target="https://arsaecoe.mtc.gob.pe/vial/VIAL_I_VIALES003907_20250426084359.pdf" TargetMode="External"/><Relationship Id="rId195" Type="http://schemas.openxmlformats.org/officeDocument/2006/relationships/hyperlink" Target="https://arsaecoe.mtc.gob.pe/vial/VIAL_I_VIALES003947_20250502125050.pdf" TargetMode="External"/><Relationship Id="rId209" Type="http://schemas.openxmlformats.org/officeDocument/2006/relationships/hyperlink" Target="https://arsaecoe.mtc.gob.pe/vial/VIAL_I_VIALES003957_20250506124319.pdf" TargetMode="External"/><Relationship Id="rId220" Type="http://schemas.openxmlformats.org/officeDocument/2006/relationships/hyperlink" Target="https://arsaecoe.mtc.gob.pe/vial/VIAL_R_VIALES003987_20250508123951.pdf" TargetMode="External"/><Relationship Id="rId241" Type="http://schemas.openxmlformats.org/officeDocument/2006/relationships/hyperlink" Target="https://arsaecoe.mtc.gob.pe/vial/VIAL_R_VIALES004008_20250513044054.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R_VIALES003538_20250320040427.pdf" TargetMode="External"/><Relationship Id="rId57" Type="http://schemas.openxmlformats.org/officeDocument/2006/relationships/hyperlink" Target="https://arsaecoe.mtc.gob.pe/vial/VIAL_I_VIALES003594_20250325053443.pdf" TargetMode="External"/><Relationship Id="rId262" Type="http://schemas.openxmlformats.org/officeDocument/2006/relationships/hyperlink" Target="https://arsaecoe.mtc.gob.pe/vial/VIAL_I_VIALES004028_20250515082120.pdf" TargetMode="External"/><Relationship Id="rId283" Type="http://schemas.openxmlformats.org/officeDocument/2006/relationships/hyperlink" Target="https://arsaecoe.mtc.gob.pe/vial/VIAL_I_VIALES004046_20250519035557.pdf" TargetMode="External"/><Relationship Id="rId78" Type="http://schemas.openxmlformats.org/officeDocument/2006/relationships/hyperlink" Target="https://arsaecoe.mtc.gob.pe/vial/VIAL_R_VIALES003748_20250406065137.pdf" TargetMode="External"/><Relationship Id="rId99" Type="http://schemas.openxmlformats.org/officeDocument/2006/relationships/hyperlink" Target="https://arsaecoe.mtc.gob.pe/vial/VIAL_R_M2002194_20230403101554.pdf" TargetMode="External"/><Relationship Id="rId101" Type="http://schemas.openxmlformats.org/officeDocument/2006/relationships/hyperlink" Target="https://arsaecoe.mtc.gob.pe/vial/VIAL_R_M230427_20230410035024.pdf" TargetMode="External"/><Relationship Id="rId122" Type="http://schemas.openxmlformats.org/officeDocument/2006/relationships/hyperlink" Target="https://arsaecoe.mtc.gob.pe/vial/VIAL_R_VIALES003331_20250304012821.pdf" TargetMode="External"/><Relationship Id="rId143" Type="http://schemas.openxmlformats.org/officeDocument/2006/relationships/hyperlink" Target="https://arsaecoe.mtc.gob.pe/vial/VIAL_I_VIALES003837_20250414073956.pdf" TargetMode="External"/><Relationship Id="rId164" Type="http://schemas.openxmlformats.org/officeDocument/2006/relationships/hyperlink" Target="https://arsaecoe.mtc.gob.pe/vial/VIAL_R_VIALES003888_20250423061128.pdf" TargetMode="External"/><Relationship Id="rId185" Type="http://schemas.openxmlformats.org/officeDocument/2006/relationships/hyperlink" Target="https://arsaecoe.mtc.gob.pe/vial/VIAL_I_VIALES003924_20250428053542.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3968_20250506124057.pdf" TargetMode="External"/><Relationship Id="rId26" Type="http://schemas.openxmlformats.org/officeDocument/2006/relationships/hyperlink" Target="https://arsaecoe.mtc.gob.pe/vial/VIAL_R_VIALES003428_20250310065351.pdf" TargetMode="External"/><Relationship Id="rId231" Type="http://schemas.openxmlformats.org/officeDocument/2006/relationships/hyperlink" Target="https://arsaecoe.mtc.gob.pe/vial/VIAL_R_VIALES004039_20250517093723.pdf" TargetMode="External"/><Relationship Id="rId252" Type="http://schemas.openxmlformats.org/officeDocument/2006/relationships/hyperlink" Target="https://arsaecoe.mtc.gob.pe/vial/VIAL_R_VIALES004014_20250514105108.pdf" TargetMode="External"/><Relationship Id="rId273" Type="http://schemas.openxmlformats.org/officeDocument/2006/relationships/hyperlink" Target="https://arsaecoe.mtc.gob.pe/vial/VIAL_R_VIALES004041_20250519075413.pdf" TargetMode="External"/><Relationship Id="rId294" Type="http://schemas.openxmlformats.org/officeDocument/2006/relationships/hyperlink" Target="https://arsaecoe.mtc.gob.pe/vial/VIAL_I_VIALES004049_20250520051321.pdf" TargetMode="External"/><Relationship Id="rId47" Type="http://schemas.openxmlformats.org/officeDocument/2006/relationships/hyperlink" Target="https://arsaecoe.mtc.gob.pe/vial/VIAL_I_VIALES003321_20250304115557.pdf" TargetMode="External"/><Relationship Id="rId68" Type="http://schemas.openxmlformats.org/officeDocument/2006/relationships/hyperlink" Target="https://arsaecoe.mtc.gob.pe/vial/VIAL_R_VIALES003680_20250401083950.pdf" TargetMode="External"/><Relationship Id="rId89" Type="http://schemas.openxmlformats.org/officeDocument/2006/relationships/hyperlink" Target="https://arsaecoe.mtc.gob.pe/vial/VIAL_I_VIALES003617_20250327115401.pdf" TargetMode="External"/><Relationship Id="rId112" Type="http://schemas.openxmlformats.org/officeDocument/2006/relationships/hyperlink" Target="https://arsaecoe.mtc.gob.pe/vial/VIAL_R_VIALES003128_20250214011950.pdf" TargetMode="External"/><Relationship Id="rId133" Type="http://schemas.openxmlformats.org/officeDocument/2006/relationships/hyperlink" Target="https://arsaecoe.mtc.gob.pe/vial/VIAL_I_VIALES003812_20250411042621.pdf" TargetMode="External"/><Relationship Id="rId154" Type="http://schemas.openxmlformats.org/officeDocument/2006/relationships/hyperlink" Target="https://arsaecoe.mtc.gob.pe/vial/VIAL_I_VIALES003834_20250417090929.pdf" TargetMode="External"/><Relationship Id="rId175" Type="http://schemas.openxmlformats.org/officeDocument/2006/relationships/hyperlink" Target="https://arsaecoe.mtc.gob.pe/vial/VIAL_I_VIALES003903_20250426084451.pdf" TargetMode="External"/><Relationship Id="rId196" Type="http://schemas.openxmlformats.org/officeDocument/2006/relationships/hyperlink" Target="https://arsaecoe.mtc.gob.pe/vial/VIAL_R_VIALES003946_20250502124837.pdf" TargetMode="External"/><Relationship Id="rId200" Type="http://schemas.openxmlformats.org/officeDocument/2006/relationships/hyperlink" Target="https://arsaecoe.mtc.gob.pe/vial/VIAL_I_VIALES003941_20250502072326.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3984_20250508091839.pdf" TargetMode="External"/><Relationship Id="rId242" Type="http://schemas.openxmlformats.org/officeDocument/2006/relationships/hyperlink" Target="https://arsaecoe.mtc.gob.pe/vial/VIAL_I_VIALES004006_20250513045407.pdf" TargetMode="External"/><Relationship Id="rId263" Type="http://schemas.openxmlformats.org/officeDocument/2006/relationships/hyperlink" Target="https://arsaecoe.mtc.gob.pe/vial/VIAL_R_VIALES004033_20250516105629.pdf" TargetMode="External"/><Relationship Id="rId284" Type="http://schemas.openxmlformats.org/officeDocument/2006/relationships/hyperlink" Target="https://arsaecoe.mtc.gob.pe/vial/VIAL_I_VIALES004047_20250519035950.pdf" TargetMode="External"/><Relationship Id="rId37" Type="http://schemas.openxmlformats.org/officeDocument/2006/relationships/hyperlink" Target="https://arsaecoe.mtc.gob.pe/vial/VIAL_R_VIALES003540_20250320051945.pdf" TargetMode="External"/><Relationship Id="rId58" Type="http://schemas.openxmlformats.org/officeDocument/2006/relationships/hyperlink" Target="https://arsaecoe.mtc.gob.pe/vial/VIAL_R_VIALES003620_20250328121825.pdf" TargetMode="External"/><Relationship Id="rId79" Type="http://schemas.openxmlformats.org/officeDocument/2006/relationships/hyperlink" Target="https://arsaecoe.mtc.gob.pe/vial/VIAL_I_VIALES003748_20250407075239.pdf" TargetMode="External"/><Relationship Id="rId102" Type="http://schemas.openxmlformats.org/officeDocument/2006/relationships/hyperlink" Target="https://arsaecoe.mtc.gob.pe/vial/VIAL_R_M1903205_20230403100451.pdf" TargetMode="External"/><Relationship Id="rId123" Type="http://schemas.openxmlformats.org/officeDocument/2006/relationships/hyperlink" Target="https://arsaecoe.mtc.gob.pe/vial/VIAL_R_VIALES003330_20250304010647.pdf" TargetMode="External"/><Relationship Id="rId144" Type="http://schemas.openxmlformats.org/officeDocument/2006/relationships/hyperlink" Target="https://arsaecoe.mtc.gob.pe/vial/VIAL_R_VIALES003838_20250414073838.pdf" TargetMode="External"/><Relationship Id="rId90" Type="http://schemas.openxmlformats.org/officeDocument/2006/relationships/hyperlink" Target="https://arsaecoe.mtc.gob.pe/vial/VIAL_R_VIALES003779_20250408061412.pdf" TargetMode="External"/><Relationship Id="rId165" Type="http://schemas.openxmlformats.org/officeDocument/2006/relationships/hyperlink" Target="https://arsaecoe.mtc.gob.pe/vial/VIAL_I_VIALES003888_20250423061128.pdf" TargetMode="External"/><Relationship Id="rId186" Type="http://schemas.openxmlformats.org/officeDocument/2006/relationships/hyperlink" Target="https://arsaecoe.mtc.gob.pe/vial/VIAL_I_VIALES003919_20250428084541.pdf" TargetMode="External"/><Relationship Id="rId211" Type="http://schemas.openxmlformats.org/officeDocument/2006/relationships/hyperlink" Target="https://arsaecoe.mtc.gob.pe/vial/VIAL_I_VIALES003969_20250506062337.pdf" TargetMode="External"/><Relationship Id="rId232" Type="http://schemas.openxmlformats.org/officeDocument/2006/relationships/hyperlink" Target="https://arsaecoe.mtc.gob.pe/vial/VIAL_I_VIALES004039_20250517093723.pdf" TargetMode="External"/><Relationship Id="rId253" Type="http://schemas.openxmlformats.org/officeDocument/2006/relationships/hyperlink" Target="https://arsaecoe.mtc.gob.pe/vial/VIAL_R_VIALES004028_20250515091918.pdf" TargetMode="External"/><Relationship Id="rId274" Type="http://schemas.openxmlformats.org/officeDocument/2006/relationships/hyperlink" Target="https://arsaecoe.mtc.gob.pe/vial/VIAL_R_VIALES004042_20250519091952.pdf" TargetMode="External"/><Relationship Id="rId295" Type="http://schemas.openxmlformats.org/officeDocument/2006/relationships/hyperlink" Target="https://arsaecoe.mtc.gob.pe/vial/VIAL_I_VIALES004053_20250520051928.pdf" TargetMode="External"/><Relationship Id="rId27" Type="http://schemas.openxmlformats.org/officeDocument/2006/relationships/hyperlink" Target="https://arsaecoe.mtc.gob.pe/vial/VIAL_R_VIALES003428_20250310065309.pdf" TargetMode="External"/><Relationship Id="rId48" Type="http://schemas.openxmlformats.org/officeDocument/2006/relationships/hyperlink" Target="https://arsaecoe.mtc.gob.pe/vial/VIAL_R_VIALES003576_20250324023648.pdf" TargetMode="External"/><Relationship Id="rId69" Type="http://schemas.openxmlformats.org/officeDocument/2006/relationships/hyperlink" Target="https://arsaecoe.mtc.gob.pe/vial/VIAL_R_VIALES003690_20250401064604.pdf" TargetMode="External"/><Relationship Id="rId113" Type="http://schemas.openxmlformats.org/officeDocument/2006/relationships/hyperlink" Target="https://arsaecoe.mtc.gob.pe/vial/VIAL_R_VIALES003173_20250219075717.pdf" TargetMode="External"/><Relationship Id="rId134" Type="http://schemas.openxmlformats.org/officeDocument/2006/relationships/hyperlink" Target="https://arsaecoe.mtc.gob.pe/vial/VIAL_I_VIALES003792_20250412090602.pdf" TargetMode="External"/><Relationship Id="rId80" Type="http://schemas.openxmlformats.org/officeDocument/2006/relationships/hyperlink" Target="https://arsaecoe.mtc.gob.pe/vial/VIAL_R_VIALES003758_20250407112731.pdf" TargetMode="External"/><Relationship Id="rId155" Type="http://schemas.openxmlformats.org/officeDocument/2006/relationships/hyperlink" Target="https://arsaecoe.mtc.gob.pe/vial/VIAL_I_VIALES003319_20250417011833.pdf" TargetMode="External"/><Relationship Id="rId176" Type="http://schemas.openxmlformats.org/officeDocument/2006/relationships/hyperlink" Target="https://arsaecoe.mtc.gob.pe/vial/VIAL_I_VIALES003902_20250426084531.pdf" TargetMode="External"/><Relationship Id="rId197" Type="http://schemas.openxmlformats.org/officeDocument/2006/relationships/hyperlink" Target="https://arsaecoe.mtc.gob.pe/vial/VIAL_I_VIALES003946_20250502124837.pdf" TargetMode="External"/><Relationship Id="rId201" Type="http://schemas.openxmlformats.org/officeDocument/2006/relationships/hyperlink" Target="https://arsaecoe.mtc.gob.pe/vial/VIAL_R_VIALES003957_20250505043759.pdf" TargetMode="External"/><Relationship Id="rId222" Type="http://schemas.openxmlformats.org/officeDocument/2006/relationships/hyperlink" Target="https://arsaecoe.mtc.gob.pe/vial/VIAL_R_VIALES003989_20250508102940.pdf" TargetMode="External"/><Relationship Id="rId243" Type="http://schemas.openxmlformats.org/officeDocument/2006/relationships/hyperlink" Target="https://arsaecoe.mtc.gob.pe/vial/VIAL_R_VIALES004009_20250513050923.pdf" TargetMode="External"/><Relationship Id="rId264" Type="http://schemas.openxmlformats.org/officeDocument/2006/relationships/hyperlink" Target="https://arsaecoe.mtc.gob.pe/vial/VIAL_R_VIALES004035_20250516124422.pdf" TargetMode="External"/><Relationship Id="rId285" Type="http://schemas.openxmlformats.org/officeDocument/2006/relationships/hyperlink" Target="https://arsaecoe.mtc.gob.pe/vial/VIAL_R_VIALES004049_20250519065343.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R_VIALES003544_20250321103842.pdf" TargetMode="External"/><Relationship Id="rId59" Type="http://schemas.openxmlformats.org/officeDocument/2006/relationships/hyperlink" Target="https://arsaecoe.mtc.gob.pe/vial/VIAL_I_VIALES003620_20250328083432.pdf" TargetMode="External"/><Relationship Id="rId103" Type="http://schemas.openxmlformats.org/officeDocument/2006/relationships/hyperlink" Target="https://arsaecoe.mtc.gob.pe/vial/VIAL_R_M190395_20230904114707.pdf" TargetMode="External"/><Relationship Id="rId124" Type="http://schemas.openxmlformats.org/officeDocument/2006/relationships/hyperlink" Target="https://arsaecoe.mtc.gob.pe/vial/VIAL_R_VIALES003477_20250313065619.pdf" TargetMode="External"/><Relationship Id="rId70" Type="http://schemas.openxmlformats.org/officeDocument/2006/relationships/hyperlink" Target="https://arsaecoe.mtc.gob.pe/vial/VIAL_R_VIALES003699_20250402113855.pdf" TargetMode="External"/><Relationship Id="rId91" Type="http://schemas.openxmlformats.org/officeDocument/2006/relationships/hyperlink" Target="https://arsaecoe.mtc.gob.pe/vial/VIAL_I_VIALES003770_20250408112421.pdf" TargetMode="External"/><Relationship Id="rId145" Type="http://schemas.openxmlformats.org/officeDocument/2006/relationships/hyperlink" Target="https://arsaecoe.mtc.gob.pe/vial/VIAL_I_VIALES003838_20250414073838.pdf" TargetMode="External"/><Relationship Id="rId166" Type="http://schemas.openxmlformats.org/officeDocument/2006/relationships/hyperlink" Target="https://arsaecoe.mtc.gob.pe/vial/VIAL_I_VIALES003884_20250423083812.pdf" TargetMode="External"/><Relationship Id="rId187" Type="http://schemas.openxmlformats.org/officeDocument/2006/relationships/hyperlink" Target="https://arsaecoe.mtc.gob.pe/vial/VIAL_R_VIALES003932_20250429064026.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3974_20250507125111.pdf" TargetMode="External"/><Relationship Id="rId233" Type="http://schemas.openxmlformats.org/officeDocument/2006/relationships/hyperlink" Target="https://arsaecoe.mtc.gob.pe/vial/VIAL_I_VIALES003999_20250511012928.pdf" TargetMode="External"/><Relationship Id="rId254" Type="http://schemas.openxmlformats.org/officeDocument/2006/relationships/hyperlink" Target="https://arsaecoe.mtc.gob.pe/vial/VIAL_R_VIALES004029_20250515105911.pdf" TargetMode="External"/><Relationship Id="rId28" Type="http://schemas.openxmlformats.org/officeDocument/2006/relationships/hyperlink" Target="https://arsaecoe.mtc.gob.pe/vial/VIAL_I_VIALES003441_20250311045849.pdf" TargetMode="External"/><Relationship Id="rId49" Type="http://schemas.openxmlformats.org/officeDocument/2006/relationships/hyperlink" Target="https://arsaecoe.mtc.gob.pe/vial/VIAL_I_VIALES003576_20250324105948.pdf" TargetMode="External"/><Relationship Id="rId114" Type="http://schemas.openxmlformats.org/officeDocument/2006/relationships/hyperlink" Target="https://arsaecoe.mtc.gob.pe/vial/VIAL_R_VIALES003202_20250221095835.pdf" TargetMode="External"/><Relationship Id="rId275" Type="http://schemas.openxmlformats.org/officeDocument/2006/relationships/hyperlink" Target="https://arsaecoe.mtc.gob.pe/vial/VIAL_R_VIALES004043_20250519103238.pdf" TargetMode="External"/><Relationship Id="rId296" Type="http://schemas.openxmlformats.org/officeDocument/2006/relationships/hyperlink" Target="https://arsaecoe.mtc.gob.pe/vial/VIAL_R_VIALES004055_20250520074112.pdf" TargetMode="External"/><Relationship Id="rId300" Type="http://schemas.openxmlformats.org/officeDocument/2006/relationships/table" Target="../tables/table2.xml"/><Relationship Id="rId60" Type="http://schemas.openxmlformats.org/officeDocument/2006/relationships/hyperlink" Target="https://arsaecoe.mtc.gob.pe/vial/VIAL_R_VIALES003651_20250329091117.pdf" TargetMode="External"/><Relationship Id="rId81" Type="http://schemas.openxmlformats.org/officeDocument/2006/relationships/hyperlink" Target="https://arsaecoe.mtc.gob.pe/vial/VIAL_I_VIALES003758_20250407112731.pdf" TargetMode="External"/><Relationship Id="rId135" Type="http://schemas.openxmlformats.org/officeDocument/2006/relationships/hyperlink" Target="https://arsaecoe.mtc.gob.pe/vial/VIAL_I_VIALES003784_20250412091411.pdf" TargetMode="External"/><Relationship Id="rId156" Type="http://schemas.openxmlformats.org/officeDocument/2006/relationships/hyperlink" Target="https://arsaecoe.mtc.gob.pe/vial/VIAL_I_VIALES003836_20250417012118.pdf" TargetMode="External"/><Relationship Id="rId177" Type="http://schemas.openxmlformats.org/officeDocument/2006/relationships/hyperlink" Target="https://arsaecoe.mtc.gob.pe/vial/VIAL_I_VIALES003896_20250426112438.pdf" TargetMode="External"/><Relationship Id="rId198" Type="http://schemas.openxmlformats.org/officeDocument/2006/relationships/hyperlink" Target="https://arsaecoe.mtc.gob.pe/vial/VIAL_R_VIALES003948_20250502125130.pdf" TargetMode="External"/><Relationship Id="rId202" Type="http://schemas.openxmlformats.org/officeDocument/2006/relationships/hyperlink" Target="https://arsaecoe.mtc.gob.pe/vial/VIAL_R_VIALES003959_20250505071357.pdf" TargetMode="External"/><Relationship Id="rId223" Type="http://schemas.openxmlformats.org/officeDocument/2006/relationships/hyperlink" Target="https://arsaecoe.mtc.gob.pe/vial/VIAL_I_VIALES003989_20250508102940.pdf" TargetMode="External"/><Relationship Id="rId244" Type="http://schemas.openxmlformats.org/officeDocument/2006/relationships/hyperlink" Target="https://arsaecoe.mtc.gob.pe/vial/VIAL_I_VIALES004009_20250513050923.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56_20250321082943.pdf" TargetMode="External"/><Relationship Id="rId265" Type="http://schemas.openxmlformats.org/officeDocument/2006/relationships/hyperlink" Target="https://arsaecoe.mtc.gob.pe/vial/VIAL_R_VIALES004037_20250516031459.pdf" TargetMode="External"/><Relationship Id="rId286" Type="http://schemas.openxmlformats.org/officeDocument/2006/relationships/hyperlink" Target="https://arsaecoe.mtc.gob.pe/vial/VIAL_R_VIALES004050_20250520111402.pdf" TargetMode="External"/><Relationship Id="rId50" Type="http://schemas.openxmlformats.org/officeDocument/2006/relationships/hyperlink" Target="https://arsaecoe.mtc.gob.pe/vial/VIAL_R_VIALES003593_20250325052414.pdf" TargetMode="External"/><Relationship Id="rId104" Type="http://schemas.openxmlformats.org/officeDocument/2006/relationships/hyperlink" Target="https://arsaecoe.mtc.gob.pe/vial/VIAL_R_M2304172_20230418113104.pdf" TargetMode="External"/><Relationship Id="rId125" Type="http://schemas.openxmlformats.org/officeDocument/2006/relationships/hyperlink" Target="https://arsaecoe.mtc.gob.pe/vial/VIAL_R_VIALES003444_20250311044529.pdf" TargetMode="External"/><Relationship Id="rId146" Type="http://schemas.openxmlformats.org/officeDocument/2006/relationships/hyperlink" Target="https://arsaecoe.mtc.gob.pe/vial/VIAL_R_VIALES003843_20250415013515.pdf" TargetMode="External"/><Relationship Id="rId167" Type="http://schemas.openxmlformats.org/officeDocument/2006/relationships/hyperlink" Target="https://arsaecoe.mtc.gob.pe/vial/VIAL_R_VIALES003891_20250424044807.pdf" TargetMode="External"/><Relationship Id="rId188" Type="http://schemas.openxmlformats.org/officeDocument/2006/relationships/hyperlink" Target="https://arsaecoe.mtc.gob.pe/vial/VIAL_I_VIALES003932_20250429064026.pdf" TargetMode="External"/><Relationship Id="rId71" Type="http://schemas.openxmlformats.org/officeDocument/2006/relationships/hyperlink" Target="https://arsaecoe.mtc.gob.pe/vial/VIAL_I_VIALES003680_20250402043737.pdf" TargetMode="External"/><Relationship Id="rId92" Type="http://schemas.openxmlformats.org/officeDocument/2006/relationships/hyperlink" Target="https://arsaecoe.mtc.gob.pe/vial/VIAL_R_VIALES003770_20250408112438.pdf" TargetMode="External"/><Relationship Id="rId213" Type="http://schemas.openxmlformats.org/officeDocument/2006/relationships/hyperlink" Target="https://arsaecoe.mtc.gob.pe/vial/VIAL_I_VIALES003974_20250507010554.pdf" TargetMode="External"/><Relationship Id="rId234" Type="http://schemas.openxmlformats.org/officeDocument/2006/relationships/hyperlink" Target="https://arsaecoe.mtc.gob.pe/vial/VIAL_I_VIALES003995_20250512030915.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I_VIALES003442_20250311041139.pdf" TargetMode="External"/><Relationship Id="rId255" Type="http://schemas.openxmlformats.org/officeDocument/2006/relationships/hyperlink" Target="https://arsaecoe.mtc.gob.pe/vial/VIAL_R_VIALES004030_20250515112112.pdf" TargetMode="External"/><Relationship Id="rId276" Type="http://schemas.openxmlformats.org/officeDocument/2006/relationships/hyperlink" Target="https://arsaecoe.mtc.gob.pe/vial/VIAL_R_VIALES004045_20250519010854.pdf" TargetMode="External"/><Relationship Id="rId297" Type="http://schemas.openxmlformats.org/officeDocument/2006/relationships/hyperlink" Target="https://arsaecoe.mtc.gob.pe/vial/VIAL_R_VIALES004056_20250521060009.pdf" TargetMode="External"/><Relationship Id="rId40" Type="http://schemas.openxmlformats.org/officeDocument/2006/relationships/hyperlink" Target="https://arsaecoe.mtc.gob.pe/vial/VIAL_I_VIALES003540_20250323092622.pdf" TargetMode="External"/><Relationship Id="rId115" Type="http://schemas.openxmlformats.org/officeDocument/2006/relationships/hyperlink" Target="https://arsaecoe.mtc.gob.pe/vial/VIAL_R_VIALES003277_20250228115013.pdf" TargetMode="External"/><Relationship Id="rId136" Type="http://schemas.openxmlformats.org/officeDocument/2006/relationships/hyperlink" Target="https://arsaecoe.mtc.gob.pe/vial/VIAL_I_VIALES003789_20250412091816.pdf" TargetMode="External"/><Relationship Id="rId157" Type="http://schemas.openxmlformats.org/officeDocument/2006/relationships/hyperlink" Target="https://arsaecoe.mtc.gob.pe/vial/VIAL_R_VIALES003872_20250421013006.pdf" TargetMode="External"/><Relationship Id="rId178" Type="http://schemas.openxmlformats.org/officeDocument/2006/relationships/hyperlink" Target="https://arsaecoe.mtc.gob.pe/vial/VIAL_I_VIALES003891_20250426113019.pdf" TargetMode="External"/><Relationship Id="rId61" Type="http://schemas.openxmlformats.org/officeDocument/2006/relationships/hyperlink" Target="https://arsaecoe.mtc.gob.pe/vial/VIAL_I_VIALES003651_20250329091117.pdf" TargetMode="External"/><Relationship Id="rId82" Type="http://schemas.openxmlformats.org/officeDocument/2006/relationships/hyperlink" Target="https://arsaecoe.mtc.gob.pe/vial/VIAL_R_VIALES003765_20250407050621.pdf" TargetMode="External"/><Relationship Id="rId199" Type="http://schemas.openxmlformats.org/officeDocument/2006/relationships/hyperlink" Target="https://arsaecoe.mtc.gob.pe/vial/VIAL_I_VIALES003948_20250502125130.pdf" TargetMode="External"/><Relationship Id="rId203" Type="http://schemas.openxmlformats.org/officeDocument/2006/relationships/hyperlink" Target="https://arsaecoe.mtc.gob.pe/vial/VIAL_R_VIALES003963_20250506070213.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3991_20250509123318.pdf" TargetMode="External"/><Relationship Id="rId245" Type="http://schemas.openxmlformats.org/officeDocument/2006/relationships/hyperlink" Target="https://arsaecoe.mtc.gob.pe/vial/VIAL_I_VIALES004010_20250513064216.pdf" TargetMode="External"/><Relationship Id="rId266" Type="http://schemas.openxmlformats.org/officeDocument/2006/relationships/hyperlink" Target="https://arsaecoe.mtc.gob.pe/vial/VIAL_R_VIALES004036_20250516030424.pdf" TargetMode="External"/><Relationship Id="rId287" Type="http://schemas.openxmlformats.org/officeDocument/2006/relationships/hyperlink" Target="https://arsaecoe.mtc.gob.pe/vial/VIAL_I_VIALES004050_20250520111402.pdf" TargetMode="External"/><Relationship Id="rId30" Type="http://schemas.openxmlformats.org/officeDocument/2006/relationships/hyperlink" Target="https://arsaecoe.mtc.gob.pe/vial/VIAL_R_VIALES003460_20250312053750.pdf" TargetMode="External"/><Relationship Id="rId105" Type="http://schemas.openxmlformats.org/officeDocument/2006/relationships/hyperlink" Target="https://arsaecoe.mtc.gob.pe/vial/VIAL_R_VIALES002085_20240409013850.pdf" TargetMode="External"/><Relationship Id="rId126" Type="http://schemas.openxmlformats.org/officeDocument/2006/relationships/hyperlink" Target="https://arsaecoe.mtc.gob.pe/vial/VIAL_R_VIALES003442_20250311050111.pdf" TargetMode="External"/><Relationship Id="rId147" Type="http://schemas.openxmlformats.org/officeDocument/2006/relationships/hyperlink" Target="https://arsaecoe.mtc.gob.pe/vial/VIAL_R_VIALES003848_20250415100114.pdf" TargetMode="External"/><Relationship Id="rId168" Type="http://schemas.openxmlformats.org/officeDocument/2006/relationships/hyperlink" Target="https://arsaecoe.mtc.gob.pe/vial/VIAL_R_VIALES003896_20250424063200.pdf" TargetMode="External"/><Relationship Id="rId51" Type="http://schemas.openxmlformats.org/officeDocument/2006/relationships/hyperlink" Target="https://arsaecoe.mtc.gob.pe/vial/VIAL_R_VIALES003594_20250325053443.pdf" TargetMode="External"/><Relationship Id="rId72" Type="http://schemas.openxmlformats.org/officeDocument/2006/relationships/hyperlink" Target="https://arsaecoe.mtc.gob.pe/vial/VIAL_I_VIALES003690_20250402050831.pdf" TargetMode="External"/><Relationship Id="rId93" Type="http://schemas.openxmlformats.org/officeDocument/2006/relationships/hyperlink" Target="https://arsaecoe.mtc.gob.pe/vial/VIAL_R_M230433_20230930012822.pdf" TargetMode="External"/><Relationship Id="rId189" Type="http://schemas.openxmlformats.org/officeDocument/2006/relationships/hyperlink" Target="https://arsaecoe.mtc.gob.pe/vial/VIAL_R_VIALES003935_20250430105029.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3976_20250507103025.pdf" TargetMode="External"/><Relationship Id="rId235" Type="http://schemas.openxmlformats.org/officeDocument/2006/relationships/hyperlink" Target="https://arsaecoe.mtc.gob.pe/vial/VIAL_R_VIALES004001_20250512042105.pdf" TargetMode="External"/><Relationship Id="rId256" Type="http://schemas.openxmlformats.org/officeDocument/2006/relationships/hyperlink" Target="https://arsaecoe.mtc.gob.pe/vial/VIAL_R_VIALES004032_20250515024220.pdf" TargetMode="External"/><Relationship Id="rId277" Type="http://schemas.openxmlformats.org/officeDocument/2006/relationships/hyperlink" Target="https://arsaecoe.mtc.gob.pe/vial/VIAL_R_VIALES004046_20250519011749.pdf" TargetMode="External"/><Relationship Id="rId298" Type="http://schemas.openxmlformats.org/officeDocument/2006/relationships/printerSettings" Target="../printerSettings/printerSettings2.bin"/><Relationship Id="rId116" Type="http://schemas.openxmlformats.org/officeDocument/2006/relationships/hyperlink" Target="https://arsaecoe.mtc.gob.pe/vial/VIAL_R_VIALES003274_20250228112934.pdf" TargetMode="External"/><Relationship Id="rId137" Type="http://schemas.openxmlformats.org/officeDocument/2006/relationships/hyperlink" Target="https://arsaecoe.mtc.gob.pe/vial/VIAL_I_VIALES003791_20250412094817.pdf" TargetMode="External"/><Relationship Id="rId158" Type="http://schemas.openxmlformats.org/officeDocument/2006/relationships/hyperlink" Target="https://arsaecoe.mtc.gob.pe/vial/VIAL_I_VIALES003872_20250421013006.pdf" TargetMode="External"/><Relationship Id="rId20" Type="http://schemas.openxmlformats.org/officeDocument/2006/relationships/hyperlink" Target="https://arsaecoe.mtc.gob.pe/vial/VIAL_I_VIALES003330_20250304041638.pdf" TargetMode="External"/><Relationship Id="rId41" Type="http://schemas.openxmlformats.org/officeDocument/2006/relationships/hyperlink" Target="https://arsaecoe.mtc.gob.pe/vial/VIAL_I_VIALES003544_20250323094400.pdf" TargetMode="External"/><Relationship Id="rId62" Type="http://schemas.openxmlformats.org/officeDocument/2006/relationships/hyperlink" Target="https://arsaecoe.mtc.gob.pe/vial/VIAL_R_VIALES003652_20250329101230.pdf" TargetMode="External"/><Relationship Id="rId83" Type="http://schemas.openxmlformats.org/officeDocument/2006/relationships/hyperlink" Target="https://arsaecoe.mtc.gob.pe/vial/VIAL_I_VIALES003803_20250410113836.pdf" TargetMode="External"/><Relationship Id="rId179" Type="http://schemas.openxmlformats.org/officeDocument/2006/relationships/hyperlink" Target="https://arsaecoe.mtc.gob.pe/vial/VIAL_R_VIALES003913_20250426064312.pdf" TargetMode="External"/><Relationship Id="rId190" Type="http://schemas.openxmlformats.org/officeDocument/2006/relationships/hyperlink" Target="https://arsaecoe.mtc.gob.pe/vial/VIAL_R_VIALES003940_20250430124139.pdf" TargetMode="External"/><Relationship Id="rId204" Type="http://schemas.openxmlformats.org/officeDocument/2006/relationships/hyperlink" Target="https://arsaecoe.mtc.gob.pe/vial/VIAL_R_VIALES003964_20250506072823.pdf" TargetMode="External"/><Relationship Id="rId225" Type="http://schemas.openxmlformats.org/officeDocument/2006/relationships/hyperlink" Target="https://arsaecoe.mtc.gob.pe/vial/VIAL_I_VIALES002932_20250117041637.pdf" TargetMode="External"/><Relationship Id="rId246" Type="http://schemas.openxmlformats.org/officeDocument/2006/relationships/hyperlink" Target="https://arsaecoe.mtc.gob.pe/vial/VIAL_R_VIALES004010_20250513064216.pdf" TargetMode="External"/><Relationship Id="rId267" Type="http://schemas.openxmlformats.org/officeDocument/2006/relationships/hyperlink" Target="https://arsaecoe.mtc.gob.pe/vial/VIAL_R_VIALES004038_20250516041156.pdf" TargetMode="External"/><Relationship Id="rId288" Type="http://schemas.openxmlformats.org/officeDocument/2006/relationships/hyperlink" Target="https://arsaecoe.mtc.gob.pe/vial/VIAL_R_VIALES004051_20250520120026.pdf" TargetMode="External"/><Relationship Id="rId106" Type="http://schemas.openxmlformats.org/officeDocument/2006/relationships/hyperlink" Target="https://arsaecoe.mtc.gob.pe/vial/VIAL_R_VIALES002636_20250102024729.pdf" TargetMode="External"/><Relationship Id="rId127" Type="http://schemas.openxmlformats.org/officeDocument/2006/relationships/hyperlink" Target="https://arsaecoe.mtc.gob.pe/vial/VIAL_R_VIALES003370_20250307083812.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I_VIALES003460_20250312053750.pdf" TargetMode="External"/><Relationship Id="rId52" Type="http://schemas.openxmlformats.org/officeDocument/2006/relationships/hyperlink" Target="https://arsaecoe.mtc.gob.pe/vial/VIAL_R_VIALES003600_20250326114234.pdf" TargetMode="External"/><Relationship Id="rId73" Type="http://schemas.openxmlformats.org/officeDocument/2006/relationships/hyperlink" Target="https://arsaecoe.mtc.gob.pe/vial/VIAL_I_VIALES003699_20250403064337.pdf" TargetMode="External"/><Relationship Id="rId94" Type="http://schemas.openxmlformats.org/officeDocument/2006/relationships/hyperlink" Target="https://arsaecoe.mtc.gob.pe/vial/VIAL_R_M2303399_20230904115721.pdf" TargetMode="External"/><Relationship Id="rId148" Type="http://schemas.openxmlformats.org/officeDocument/2006/relationships/hyperlink" Target="https://arsaecoe.mtc.gob.pe/vial/VIAL_I_VIALES003847_20250415102442.pdf" TargetMode="External"/><Relationship Id="rId169" Type="http://schemas.openxmlformats.org/officeDocument/2006/relationships/hyperlink" Target="https://arsaecoe.mtc.gob.pe/vial/VIAL_R_VIALES003898_20250425105105.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3913_20250426064312.pdf" TargetMode="External"/><Relationship Id="rId215" Type="http://schemas.openxmlformats.org/officeDocument/2006/relationships/hyperlink" Target="https://arsaecoe.mtc.gob.pe/vial/VIAL_I_VIALES003976_20250507103025.pdf" TargetMode="External"/><Relationship Id="rId236" Type="http://schemas.openxmlformats.org/officeDocument/2006/relationships/hyperlink" Target="https://arsaecoe.mtc.gob.pe/vial/VIAL_I_VIALES004001_20250512042105.pdf" TargetMode="External"/><Relationship Id="rId257" Type="http://schemas.openxmlformats.org/officeDocument/2006/relationships/hyperlink" Target="https://arsaecoe.mtc.gob.pe/vial/VIAL_I_VIALES004014_20250515033047.pdf" TargetMode="External"/><Relationship Id="rId278" Type="http://schemas.openxmlformats.org/officeDocument/2006/relationships/hyperlink" Target="https://arsaecoe.mtc.gob.pe/vial/VIAL_R_VIALES004047_20250519013222.pdf" TargetMode="External"/><Relationship Id="rId42" Type="http://schemas.openxmlformats.org/officeDocument/2006/relationships/hyperlink" Target="https://arsaecoe.mtc.gob.pe/vial/VIAL_I_VIALES003556_20250323095205.pdf" TargetMode="External"/><Relationship Id="rId84" Type="http://schemas.openxmlformats.org/officeDocument/2006/relationships/hyperlink" Target="https://arsaecoe.mtc.gob.pe/vial/VIAL_I_VIALES003765_20250408012134.pdf" TargetMode="External"/><Relationship Id="rId138" Type="http://schemas.openxmlformats.org/officeDocument/2006/relationships/hyperlink" Target="https://arsaecoe.mtc.gob.pe/vial/VIAL_I_VIALES003822_20250412111630.pdf" TargetMode="External"/><Relationship Id="rId191" Type="http://schemas.openxmlformats.org/officeDocument/2006/relationships/hyperlink" Target="https://arsaecoe.mtc.gob.pe/vial/VIAL_I_VIALES003935_20250430035155.pdf" TargetMode="External"/><Relationship Id="rId205" Type="http://schemas.openxmlformats.org/officeDocument/2006/relationships/hyperlink" Target="https://arsaecoe.mtc.gob.pe/vial/VIAL_I_VIALES003964_20250506084947.pdf" TargetMode="External"/><Relationship Id="rId247" Type="http://schemas.openxmlformats.org/officeDocument/2006/relationships/hyperlink" Target="https://arsaecoe.mtc.gob.pe/vial/VIAL_I_VIALES004008_20250513062826.pdf" TargetMode="External"/><Relationship Id="rId107" Type="http://schemas.openxmlformats.org/officeDocument/2006/relationships/hyperlink" Target="https://arsaecoe.mtc.gob.pe/vial/VIAL_R_VIALES002641_20250102024212.pdf" TargetMode="External"/><Relationship Id="rId289" Type="http://schemas.openxmlformats.org/officeDocument/2006/relationships/hyperlink" Target="https://arsaecoe.mtc.gob.pe/vial/VIAL_R_VIALES004052_20250520025753.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R_VIALES003601_20250326123810.pdf" TargetMode="External"/><Relationship Id="rId149" Type="http://schemas.openxmlformats.org/officeDocument/2006/relationships/hyperlink" Target="https://arsaecoe.mtc.gob.pe/vial/VIAL_R_VIALES003840_20250415092929.pdf" TargetMode="External"/><Relationship Id="rId95" Type="http://schemas.openxmlformats.org/officeDocument/2006/relationships/hyperlink" Target="https://arsaecoe.mtc.gob.pe/vial/VIAL_R_M2303398_20230904111932.pdf" TargetMode="External"/><Relationship Id="rId160" Type="http://schemas.openxmlformats.org/officeDocument/2006/relationships/hyperlink" Target="https://arsaecoe.mtc.gob.pe/vial/VIAL_I_VIALES003477_20250422030952.pdf" TargetMode="External"/><Relationship Id="rId216" Type="http://schemas.openxmlformats.org/officeDocument/2006/relationships/hyperlink" Target="https://arsaecoe.mtc.gob.pe/vial/VIAL_R_VIALES003977_20250507113559.pdf" TargetMode="External"/><Relationship Id="rId258" Type="http://schemas.openxmlformats.org/officeDocument/2006/relationships/hyperlink" Target="https://arsaecoe.mtc.gob.pe/vial/VIAL_I_VIALES004012_20250515034033.pdf" TargetMode="External"/><Relationship Id="rId22" Type="http://schemas.openxmlformats.org/officeDocument/2006/relationships/hyperlink" Target="https://arsaecoe.mtc.gob.pe/vial/VIAL_I_VIALES003328_20250304114558.pdf" TargetMode="External"/><Relationship Id="rId64" Type="http://schemas.openxmlformats.org/officeDocument/2006/relationships/hyperlink" Target="https://arsaecoe.mtc.gob.pe/vial/VIAL_R_VIALES003653_20250329102014.pdf" TargetMode="External"/><Relationship Id="rId118" Type="http://schemas.openxmlformats.org/officeDocument/2006/relationships/hyperlink" Target="https://arsaecoe.mtc.gob.pe/vial/VIAL_R_VIALES003304_20250302051159.pdf" TargetMode="External"/><Relationship Id="rId171" Type="http://schemas.openxmlformats.org/officeDocument/2006/relationships/hyperlink" Target="https://arsaecoe.mtc.gob.pe/vial/VIAL_R_VIALES003903_20250425033200.pdf" TargetMode="External"/><Relationship Id="rId227" Type="http://schemas.openxmlformats.org/officeDocument/2006/relationships/hyperlink" Target="https://arsaecoe.mtc.gob.pe/vial/VIAL_R_VIALES003996_20250509064802.pdf" TargetMode="External"/><Relationship Id="rId269" Type="http://schemas.openxmlformats.org/officeDocument/2006/relationships/hyperlink" Target="https://arsaecoe.mtc.gob.pe/vial/VIAL_I_VIALES004037_20250516044729.pdf" TargetMode="External"/><Relationship Id="rId33" Type="http://schemas.openxmlformats.org/officeDocument/2006/relationships/hyperlink" Target="https://arsaecoe.mtc.gob.pe/vial/VIAL_I_VIALES003483_20250314112909.pdf" TargetMode="External"/><Relationship Id="rId129" Type="http://schemas.openxmlformats.org/officeDocument/2006/relationships/hyperlink" Target="https://arsaecoe.mtc.gob.pe/vial/VIAL_R_VIALES003789_20250409025923.pdf" TargetMode="External"/><Relationship Id="rId280" Type="http://schemas.openxmlformats.org/officeDocument/2006/relationships/hyperlink" Target="https://arsaecoe.mtc.gob.pe/vial/VIAL_I_VIALES004043_20250519032203.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19"/>
  <sheetViews>
    <sheetView showGridLines="0" tabSelected="1" zoomScale="65" zoomScaleNormal="65" workbookViewId="0">
      <selection activeCell="AF31" sqref="AF31"/>
    </sheetView>
  </sheetViews>
  <sheetFormatPr baseColWidth="10" defaultColWidth="11" defaultRowHeight="14.25"/>
  <cols>
    <col min="1" max="1" width="18.5" customWidth="1"/>
    <col min="2" max="2" width="14.75" customWidth="1"/>
    <col min="3" max="3" width="20.125" customWidth="1"/>
    <col min="4" max="4" width="13.125" customWidth="1"/>
    <col min="5" max="5" width="51.37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625" hidden="1" customWidth="1"/>
    <col min="19" max="19" width="12.25" hidden="1" customWidth="1"/>
    <col min="20" max="20" width="14" hidden="1" customWidth="1"/>
    <col min="21" max="21" width="11.6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77" t="s">
        <v>167</v>
      </c>
      <c r="B2" s="278"/>
      <c r="C2" s="278"/>
      <c r="D2" s="278"/>
      <c r="E2" s="278"/>
      <c r="F2" s="278"/>
      <c r="H2" s="3"/>
      <c r="I2" s="3"/>
      <c r="J2" s="3"/>
      <c r="K2" s="3"/>
      <c r="L2" s="3"/>
    </row>
    <row r="3" spans="1:29" ht="27" customHeight="1">
      <c r="A3" s="279" t="s">
        <v>82</v>
      </c>
      <c r="B3" s="279"/>
      <c r="C3" s="279"/>
      <c r="D3" s="279"/>
      <c r="E3" s="279"/>
      <c r="F3" s="279"/>
      <c r="H3" s="3"/>
      <c r="I3" s="3"/>
      <c r="J3" s="3"/>
      <c r="K3" s="3"/>
      <c r="L3" s="3"/>
    </row>
    <row r="4" spans="1:29" ht="15.75" customHeight="1">
      <c r="B4" s="61" t="s">
        <v>14</v>
      </c>
      <c r="C4" s="60" t="s">
        <v>719</v>
      </c>
      <c r="D4" s="8" t="s">
        <v>150</v>
      </c>
      <c r="E4" s="98"/>
      <c r="F4" s="98"/>
      <c r="H4" s="3"/>
      <c r="I4" s="3"/>
      <c r="J4" s="3"/>
      <c r="K4" s="3"/>
      <c r="L4" s="3"/>
      <c r="R4" s="55" t="s">
        <v>46</v>
      </c>
      <c r="S4" s="55" t="s">
        <v>7</v>
      </c>
      <c r="T4" s="55" t="s">
        <v>47</v>
      </c>
      <c r="U4" s="67" t="s">
        <v>87</v>
      </c>
    </row>
    <row r="5" spans="1:29" ht="15.75" customHeight="1">
      <c r="A5" s="3"/>
      <c r="B5" s="3"/>
      <c r="C5" s="3"/>
      <c r="D5" s="3"/>
      <c r="E5" s="3"/>
      <c r="F5" s="280" t="s">
        <v>48</v>
      </c>
      <c r="G5" s="281"/>
      <c r="H5" s="281"/>
      <c r="I5" s="282"/>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25</v>
      </c>
    </row>
    <row r="6" spans="1:29" ht="39" customHeight="1">
      <c r="D6" t="s">
        <v>0</v>
      </c>
      <c r="E6" s="3"/>
      <c r="F6" s="99" t="s">
        <v>49</v>
      </c>
      <c r="G6" s="100" t="s">
        <v>50</v>
      </c>
      <c r="H6" s="101" t="s">
        <v>51</v>
      </c>
      <c r="I6" s="102" t="s">
        <v>52</v>
      </c>
      <c r="J6" s="3"/>
      <c r="K6" s="3"/>
      <c r="L6" s="3"/>
      <c r="R6" t="str">
        <f>TRIM(MID(TRIM(Transportes!D6),1,FIND(CHAR(10),TRIM(Transportes!D6),1)-1))</f>
        <v>Lambayeque</v>
      </c>
      <c r="S6" t="str">
        <f>TRIM(IF(Transportes!F6="TRÁNSITO INTERRUMPIDO","Interrumpido",IF(Transportes!F6="TRÁNSITO RESTRINGIDO","Restringido","Normal")))</f>
        <v>Interrumpido</v>
      </c>
      <c r="T6" t="str">
        <f>TRIM(IF(MID(TRIM(Transportes!H6),1,FIND("-",TRIM(Transportes!H6),1)-2)="Acción humana","H","F"))</f>
        <v>F</v>
      </c>
      <c r="U6" s="53">
        <f>Transportes!G6</f>
        <v>1</v>
      </c>
      <c r="AC6" s="128"/>
    </row>
    <row r="7" spans="1:29" ht="15.75" customHeight="1">
      <c r="E7" s="3"/>
      <c r="F7" s="103" t="s">
        <v>53</v>
      </c>
      <c r="G7" s="104">
        <f>G41+I41</f>
        <v>5</v>
      </c>
      <c r="H7" s="105">
        <f>+H41+J41</f>
        <v>150</v>
      </c>
      <c r="I7" s="106">
        <f>SUM(G7:H7)</f>
        <v>155</v>
      </c>
      <c r="R7" t="str">
        <f>TRIM(MID(TRIM(Transportes!D7),1,FIND(CHAR(10),TRIM(Transportes!D7),1)-1))</f>
        <v>La Libertad</v>
      </c>
      <c r="S7" t="str">
        <f>TRIM(IF(Transportes!F7="TRÁNSITO INTERRUMPIDO","Interrumpido",IF(Transportes!F7="TRÁNSITO RESTRINGIDO","Restringido","Normal")))</f>
        <v>Interrumpido</v>
      </c>
      <c r="T7" t="str">
        <f>TRIM(IF(MID(TRIM(Transportes!H7),1,FIND("-",TRIM(Transportes!H7),1)-2)="Acción humana","H","F"))</f>
        <v>F</v>
      </c>
      <c r="U7" s="53">
        <f>Transportes!G7</f>
        <v>260</v>
      </c>
      <c r="AC7" s="128"/>
    </row>
    <row r="8" spans="1:29" ht="15.75" customHeight="1">
      <c r="C8" s="35"/>
      <c r="E8" s="3"/>
      <c r="F8" s="103" t="s">
        <v>54</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8"/>
    </row>
    <row r="9" spans="1:29" ht="15.75" customHeight="1">
      <c r="E9" s="3"/>
      <c r="F9" s="103" t="s">
        <v>55</v>
      </c>
      <c r="G9" s="104">
        <v>2</v>
      </c>
      <c r="H9" s="105">
        <v>1</v>
      </c>
      <c r="I9" s="105">
        <f>SUM(G9:H9)</f>
        <v>3</v>
      </c>
      <c r="R9" t="str">
        <f>TRIM(MID(TRIM(Transportes!D9),1,FIND(CHAR(10),TRIM(Transportes!D9),1)-1))</f>
        <v>Arequipa</v>
      </c>
      <c r="S9" t="str">
        <f>TRIM(IF(Transportes!F9="TRÁNSITO INTERRUMPIDO","Interrumpido",IF(Transportes!F9="TRÁNSITO RESTRINGIDO","Restringido","Normal")))</f>
        <v>Interrumpido</v>
      </c>
      <c r="T9" t="str">
        <f>TRIM(IF(MID(TRIM(Transportes!H9),1,FIND("-",TRIM(Transportes!H9),1)-2)="Acción humana","H","F"))</f>
        <v>H</v>
      </c>
      <c r="U9" s="53">
        <f>Transportes!G9</f>
        <v>200</v>
      </c>
      <c r="AC9" s="128"/>
    </row>
    <row r="10" spans="1:29" ht="15.75" customHeight="1">
      <c r="E10" s="3"/>
      <c r="F10" s="103" t="s">
        <v>56</v>
      </c>
      <c r="G10" s="104">
        <v>2</v>
      </c>
      <c r="H10" s="105">
        <v>0</v>
      </c>
      <c r="I10" s="105">
        <f>SUM(G10:H10)</f>
        <v>2</v>
      </c>
      <c r="Q10" s="3"/>
      <c r="R10" t="str">
        <f>TRIM(MID(TRIM(Transportes!D10),1,FIND(CHAR(10),TRIM(Transportes!D10),1)-1))</f>
        <v>Ucayali</v>
      </c>
      <c r="S10" t="str">
        <f>TRIM(IF(Transportes!F10="TRÁNSITO INTERRUMPIDO","Interrumpido",IF(Transportes!F10="TRÁNSITO RESTRINGIDO","Restringido","Normal")))</f>
        <v>Restringido</v>
      </c>
      <c r="T10" t="str">
        <f>TRIM(IF(MID(TRIM(Transportes!H10),1,FIND("-",TRIM(Transportes!H10),1)-2)="Acción humana","H","F"))</f>
        <v>F</v>
      </c>
      <c r="U10" s="53">
        <f>Transportes!G10</f>
        <v>0</v>
      </c>
      <c r="V10" s="3"/>
      <c r="W10" s="3"/>
      <c r="AC10" s="128"/>
    </row>
    <row r="11" spans="1:29" ht="15.75" customHeight="1">
      <c r="E11" s="3"/>
      <c r="F11" s="103" t="s">
        <v>57</v>
      </c>
      <c r="G11" s="104">
        <v>3</v>
      </c>
      <c r="H11" s="105">
        <v>0</v>
      </c>
      <c r="I11" s="105">
        <f>SUM(G11:H11)</f>
        <v>3</v>
      </c>
      <c r="Q11" s="3"/>
      <c r="R11" t="str">
        <f>TRIM(MID(TRIM(Transportes!D11),1,FIND(CHAR(10),TRIM(Transportes!D11),1)-1))</f>
        <v>Huánuco</v>
      </c>
      <c r="S11" t="str">
        <f>TRIM(IF(Transportes!F11="TRÁNSITO INTERRUMPIDO","Interrumpido",IF(Transportes!F11="TRÁNSITO RESTRINGIDO","Restringido","Normal")))</f>
        <v>Restringido</v>
      </c>
      <c r="T11" t="str">
        <f>TRIM(IF(MID(TRIM(Transportes!H11),1,FIND("-",TRIM(Transportes!H11),1)-2)="Acción humana","H","F"))</f>
        <v>F</v>
      </c>
      <c r="U11" s="53">
        <f>Transportes!G11</f>
        <v>30</v>
      </c>
      <c r="V11" s="3"/>
      <c r="W11" s="3"/>
      <c r="AC11" s="128"/>
    </row>
    <row r="12" spans="1:29" ht="15.75" customHeight="1">
      <c r="E12" s="3"/>
      <c r="F12" s="107" t="s">
        <v>52</v>
      </c>
      <c r="G12" s="108">
        <f>SUM(G7:G11)</f>
        <v>12</v>
      </c>
      <c r="H12" s="108">
        <f>SUM(H7:H11)</f>
        <v>152</v>
      </c>
      <c r="I12" s="109">
        <f>SUM(I7:I11)</f>
        <v>164</v>
      </c>
      <c r="Q12" s="3"/>
      <c r="R12" t="str">
        <f>TRIM(MID(TRIM(Transportes!D12),1,FIND(CHAR(10),TRIM(Transportes!D12),1)-1))</f>
        <v>Ayacucho</v>
      </c>
      <c r="S12" t="str">
        <f>TRIM(IF(Transportes!F12="TRÁNSITO INTERRUMPIDO","Interrumpido",IF(Transportes!F12="TRÁNSITO RESTRINGIDO","Restringido","Normal")))</f>
        <v>Restringido</v>
      </c>
      <c r="T12" t="str">
        <f>TRIM(IF(MID(TRIM(Transportes!H12),1,FIND("-",TRIM(Transportes!H12),1)-2)="Acción humana","H","F"))</f>
        <v>F</v>
      </c>
      <c r="U12" s="53">
        <f>Transportes!G12</f>
        <v>20</v>
      </c>
      <c r="V12" s="3"/>
      <c r="W12" s="3"/>
      <c r="AC12" s="128"/>
    </row>
    <row r="13" spans="1:29" ht="15.75" customHeight="1">
      <c r="E13" s="3"/>
      <c r="Q13" s="3"/>
      <c r="R13" t="str">
        <f>TRIM(MID(TRIM(Transportes!D13),1,FIND(CHAR(10),TRIM(Transportes!D13),1)-1))</f>
        <v>Cajamarca</v>
      </c>
      <c r="S13" t="str">
        <f>TRIM(IF(Transportes!F13="TRÁNSITO INTERRUMPIDO","Interrumpido",IF(Transportes!F13="TRÁNSITO RESTRINGIDO","Restringido","Normal")))</f>
        <v>Restringido</v>
      </c>
      <c r="T13" t="str">
        <f>TRIM(IF(MID(TRIM(Transportes!H13),1,FIND("-",TRIM(Transportes!H13),1)-2)="Acción humana","H","F"))</f>
        <v>F</v>
      </c>
      <c r="U13" s="53">
        <f>Transportes!G13</f>
        <v>20</v>
      </c>
      <c r="V13" s="3"/>
      <c r="W13" s="3"/>
      <c r="AC13" s="128"/>
    </row>
    <row r="14" spans="1:29" ht="15.75" customHeight="1">
      <c r="E14" s="3"/>
      <c r="F14" s="280" t="s">
        <v>81</v>
      </c>
      <c r="G14" s="281"/>
      <c r="H14" s="281"/>
      <c r="I14" s="281"/>
      <c r="J14" s="281"/>
      <c r="K14" s="282"/>
      <c r="M14" s="280" t="s">
        <v>88</v>
      </c>
      <c r="N14" s="281"/>
      <c r="O14" s="281"/>
      <c r="P14" s="282"/>
      <c r="Q14" s="3"/>
      <c r="R14" t="str">
        <f>TRIM(MID(TRIM(Transportes!D14),1,FIND(CHAR(10),TRIM(Transportes!D14),1)-1))</f>
        <v>Puno</v>
      </c>
      <c r="S14" t="str">
        <f>TRIM(IF(Transportes!F14="TRÁNSITO INTERRUMPIDO","Interrumpido",IF(Transportes!F14="TRÁNSITO RESTRINGIDO","Restringido","Normal")))</f>
        <v>Restringido</v>
      </c>
      <c r="T14" t="str">
        <f>TRIM(IF(MID(TRIM(Transportes!H14),1,FIND("-",TRIM(Transportes!H14),1)-2)="Acción humana","H","F"))</f>
        <v>F</v>
      </c>
      <c r="U14" s="53">
        <f>Transportes!G14</f>
        <v>40</v>
      </c>
      <c r="V14" s="3"/>
      <c r="W14" s="3"/>
      <c r="AC14" s="128"/>
    </row>
    <row r="15" spans="1:29" ht="15.75" customHeight="1">
      <c r="E15" s="3"/>
      <c r="F15" s="283" t="s">
        <v>152</v>
      </c>
      <c r="G15" s="285" t="s">
        <v>58</v>
      </c>
      <c r="H15" s="286"/>
      <c r="I15" s="287" t="s">
        <v>59</v>
      </c>
      <c r="J15" s="288"/>
      <c r="K15" s="289" t="s">
        <v>52</v>
      </c>
      <c r="M15" s="290" t="s">
        <v>58</v>
      </c>
      <c r="N15" s="291"/>
      <c r="O15" s="292"/>
      <c r="P15" s="274" t="s">
        <v>52</v>
      </c>
      <c r="Q15" s="3"/>
      <c r="R15" t="str">
        <f>TRIM(MID(TRIM(Transportes!D15),1,FIND(CHAR(10),TRIM(Transportes!D15),1)-1))</f>
        <v>Cajamarca</v>
      </c>
      <c r="S15" t="str">
        <f>TRIM(IF(Transportes!F15="TRÁNSITO INTERRUMPIDO","Interrumpido",IF(Transportes!F15="TRÁNSITO RESTRINGIDO","Restringido","Normal")))</f>
        <v>Restringido</v>
      </c>
      <c r="T15" t="str">
        <f>TRIM(IF(MID(TRIM(Transportes!H15),1,FIND("-",TRIM(Transportes!H15),1)-2)="Acción humana","H","F"))</f>
        <v>F</v>
      </c>
      <c r="U15" s="53">
        <f>Transportes!G15</f>
        <v>0</v>
      </c>
      <c r="V15" s="3"/>
      <c r="W15" s="3"/>
      <c r="AC15" s="128"/>
    </row>
    <row r="16" spans="1:29" ht="15.75" customHeight="1">
      <c r="E16" s="3"/>
      <c r="F16" s="284"/>
      <c r="G16" s="110" t="s">
        <v>60</v>
      </c>
      <c r="H16" s="111" t="s">
        <v>61</v>
      </c>
      <c r="I16" s="110" t="s">
        <v>60</v>
      </c>
      <c r="J16" s="111" t="s">
        <v>61</v>
      </c>
      <c r="K16" s="275"/>
      <c r="M16" s="33" t="s">
        <v>152</v>
      </c>
      <c r="N16" s="110" t="s">
        <v>60</v>
      </c>
      <c r="O16" s="111" t="s">
        <v>61</v>
      </c>
      <c r="P16" s="275"/>
      <c r="Q16" s="3"/>
      <c r="R16" t="str">
        <f>TRIM(MID(TRIM(Transportes!D16),1,FIND(CHAR(10),TRIM(Transportes!D16),1)-1))</f>
        <v>Pasco</v>
      </c>
      <c r="S16" t="str">
        <f>TRIM(IF(Transportes!F16="TRÁNSITO INTERRUMPIDO","Interrumpido",IF(Transportes!F16="TRÁNSITO RESTRINGIDO","Restringido","Normal")))</f>
        <v>Restringido</v>
      </c>
      <c r="T16" t="str">
        <f>TRIM(IF(MID(TRIM(Transportes!H16),1,FIND("-",TRIM(Transportes!H16),1)-2)="Acción humana","H","F"))</f>
        <v>F</v>
      </c>
      <c r="U16" s="53">
        <f>Transportes!G16</f>
        <v>50</v>
      </c>
      <c r="V16" s="3"/>
      <c r="W16" s="3"/>
      <c r="AC16" s="128"/>
    </row>
    <row r="17" spans="5:29" ht="15.75" customHeight="1">
      <c r="E17" s="3"/>
      <c r="F17" s="103" t="s">
        <v>62</v>
      </c>
      <c r="G17" s="105">
        <f>COUNTIFS(Eventos7[DPTO],"Amazonas",Eventos7[ESTADO],"Interrumpido",Eventos7[FENOMENO],"F")</f>
        <v>0</v>
      </c>
      <c r="H17" s="105">
        <f>COUNTIFS(Eventos7[DPTO],"Amazonas",Eventos7[ESTADO],"Restringido",Eventos7[FENOMENO],"F")</f>
        <v>16</v>
      </c>
      <c r="I17" s="105">
        <f>COUNTIFS(Eventos7[DPTO],"Amazonas",Eventos7[ESTADO],"Interrumpido",Eventos7[FENOMENO],"H")</f>
        <v>0</v>
      </c>
      <c r="J17" s="105">
        <f>COUNTIFS(Eventos7[DPTO],"Amazonas",Eventos7[ESTADO],"Restringido",Eventos7[FENOMENO],"H")</f>
        <v>0</v>
      </c>
      <c r="K17" s="105">
        <f>SUM(G17:J17)</f>
        <v>16</v>
      </c>
      <c r="M17" s="103" t="s">
        <v>62</v>
      </c>
      <c r="N17" s="112">
        <f>SUMIFS(Eventos7[METRAJE],Eventos7[DPTO],"Amazonas",Eventos7[ESTADO],"Interrumpido",Eventos7[FENOMENO],"F")</f>
        <v>0</v>
      </c>
      <c r="O17" s="112">
        <f>SUMIFS(Eventos7[METRAJE],Eventos7[DPTO],"Amazonas",Eventos7[ESTADO],"Restringido",Eventos7[FENOMENO],"F")</f>
        <v>397</v>
      </c>
      <c r="P17" s="112">
        <f t="shared" ref="P17:P40" si="0">SUM(N17:O17)</f>
        <v>397</v>
      </c>
      <c r="Q17" s="3"/>
      <c r="R17" t="str">
        <f>TRIM(MID(TRIM(Transportes!D17),1,FIND(CHAR(10),TRIM(Transportes!D17),1)-1))</f>
        <v>Apurímac</v>
      </c>
      <c r="S17" t="str">
        <f>TRIM(IF(Transportes!F17="TRÁNSITO INTERRUMPIDO","Interrumpido",IF(Transportes!F17="TRÁNSITO RESTRINGIDO","Restringido","Normal")))</f>
        <v>Restringido</v>
      </c>
      <c r="T17" t="str">
        <f>TRIM(IF(MID(TRIM(Transportes!H17),1,FIND("-",TRIM(Transportes!H17),1)-2)="Acción humana","H","F"))</f>
        <v>F</v>
      </c>
      <c r="U17" s="53">
        <f>Transportes!G17</f>
        <v>5</v>
      </c>
      <c r="V17" s="3"/>
      <c r="W17" s="3"/>
      <c r="AC17" s="128"/>
    </row>
    <row r="18" spans="5:29" ht="15.75" customHeight="1">
      <c r="E18" s="3"/>
      <c r="F18" s="103" t="s">
        <v>63</v>
      </c>
      <c r="G18" s="105">
        <f>COUNTIFS(Eventos7[DPTO],"Áncash",Eventos7[ESTADO],"Interrumpido",Eventos7[FENOMENO],"F")</f>
        <v>1</v>
      </c>
      <c r="H18" s="105">
        <f>COUNTIFS(Eventos7[DPTO],"Áncash",Eventos7[ESTADO],"Restringido",Eventos7[FENOMENO],"F")</f>
        <v>11</v>
      </c>
      <c r="I18" s="105">
        <f>COUNTIFS(Eventos7[DPTO],"Áncash",Eventos7[ESTADO],"Interrumpido",Eventos7[FENOMENO],"H")</f>
        <v>0</v>
      </c>
      <c r="J18" s="105">
        <f>COUNTIFS(Eventos7[DPTO],"Áncash",Eventos7[ESTADO],"Restringido",Eventos7[FENOMENO],"H")</f>
        <v>0</v>
      </c>
      <c r="K18" s="105">
        <f t="shared" ref="K18:K40" si="1">SUM(G18:J18)</f>
        <v>12</v>
      </c>
      <c r="M18" s="103" t="s">
        <v>63</v>
      </c>
      <c r="N18" s="112">
        <f>SUMIFS(Eventos7[METRAJE],Eventos7[DPTO],"Áncash",Eventos7[ESTADO],"Interrumpido",Eventos7[FENOMENO],"F")</f>
        <v>25</v>
      </c>
      <c r="O18" s="112">
        <f>SUMIFS(Eventos7[METRAJE],Eventos7[DPTO],"Áncash",Eventos7[ESTADO],"Restringido",Eventos7[FENOMENO],"F")</f>
        <v>1546</v>
      </c>
      <c r="P18" s="112">
        <f t="shared" si="0"/>
        <v>1571</v>
      </c>
      <c r="Q18" s="3"/>
      <c r="R18" t="str">
        <f>TRIM(MID(TRIM(Transportes!D18),1,FIND(CHAR(10),TRIM(Transportes!D18),1)-1))</f>
        <v>La Libertad</v>
      </c>
      <c r="S18" t="str">
        <f>TRIM(IF(Transportes!F18="TRÁNSITO INTERRUMPIDO","Interrumpido",IF(Transportes!F18="TRÁNSITO RESTRINGIDO","Restringido","Normal")))</f>
        <v>Restringido</v>
      </c>
      <c r="T18" t="str">
        <f>TRIM(IF(MID(TRIM(Transportes!H18),1,FIND("-",TRIM(Transportes!H18),1)-2)="Acción humana","H","F"))</f>
        <v>F</v>
      </c>
      <c r="U18" s="53">
        <f>Transportes!G18</f>
        <v>70</v>
      </c>
      <c r="V18" s="3"/>
      <c r="W18" s="3"/>
      <c r="AC18" s="128"/>
    </row>
    <row r="19" spans="5:29" ht="15.75" customHeight="1">
      <c r="E19" s="3"/>
      <c r="F19" s="137" t="s">
        <v>64</v>
      </c>
      <c r="G19" s="105">
        <f>COUNTIFS(Eventos7[DPTO],"Apurímac",Eventos7[ESTADO],"Interrumpido",Eventos7[FENOMENO],"F")</f>
        <v>0</v>
      </c>
      <c r="H19" s="105">
        <f>COUNTIFS(Eventos7[DPTO],"Apurímac",Eventos7[ESTADO],"Restringido",Eventos7[FENOMENO],"F")</f>
        <v>5</v>
      </c>
      <c r="I19" s="105">
        <f>COUNTIFS(Eventos7[DPTO],"Apurímac",Eventos7[ESTADO],"Interrumpido",Eventos7[FENOMENO],"H")</f>
        <v>0</v>
      </c>
      <c r="J19" s="105">
        <f>COUNTIFS(Eventos7[DPTO],"Apurímac",Eventos7[ESTADO],"Restringido",Eventos7[FENOMENO],"H")</f>
        <v>0</v>
      </c>
      <c r="K19" s="105">
        <f t="shared" si="1"/>
        <v>5</v>
      </c>
      <c r="M19" s="103" t="s">
        <v>64</v>
      </c>
      <c r="N19" s="112">
        <f>SUMIFS(Eventos7[METRAJE],Eventos7[DPTO],"Apurímac",Eventos7[ESTADO],"Interrumpido",Eventos7[FENOMENO],"F")</f>
        <v>0</v>
      </c>
      <c r="O19" s="112">
        <f>SUMIFS(Eventos7[METRAJE],Eventos7[DPTO],"Apurímac",Eventos7[ESTADO],"Restringido",Eventos7[FENOMENO],"F")</f>
        <v>70</v>
      </c>
      <c r="P19" s="112">
        <f t="shared" si="0"/>
        <v>70</v>
      </c>
      <c r="Q19" s="3"/>
      <c r="R19" t="str">
        <f>TRIM(MID(TRIM(Transportes!D19),1,FIND(CHAR(10),TRIM(Transportes!D19),1)-1))</f>
        <v>Cajamarca</v>
      </c>
      <c r="S19" t="str">
        <f>TRIM(IF(Transportes!F19="TRÁNSITO INTERRUMPIDO","Interrumpido",IF(Transportes!F19="TRÁNSITO RESTRINGIDO","Restringido","Normal")))</f>
        <v>Restringido</v>
      </c>
      <c r="T19" t="str">
        <f>TRIM(IF(MID(TRIM(Transportes!H19),1,FIND("-",TRIM(Transportes!H19),1)-2)="Acción humana","H","F"))</f>
        <v>F</v>
      </c>
      <c r="U19" s="53">
        <f>Transportes!G19</f>
        <v>10</v>
      </c>
      <c r="V19" s="3"/>
      <c r="W19" s="3"/>
      <c r="AC19" s="128"/>
    </row>
    <row r="20" spans="5:29" ht="15.75" customHeight="1">
      <c r="E20" s="3"/>
      <c r="F20" s="137" t="s">
        <v>43</v>
      </c>
      <c r="G20" s="105">
        <f>COUNTIFS(Eventos7[DPTO],"Arequipa",Eventos7[ESTADO],"Interrumpido",Eventos7[FENOMENO],"F")</f>
        <v>0</v>
      </c>
      <c r="H20" s="105">
        <f>COUNTIFS(Eventos7[DPTO],"Arequipa",Eventos7[ESTADO],"Restringido",Eventos7[FENOMENO],"F")</f>
        <v>1</v>
      </c>
      <c r="I20" s="105">
        <f>COUNTIFS(Eventos7[DPTO],"Arequipa",Eventos7[ESTADO],"Interrumpido",Eventos7[FENOMENO],"H")</f>
        <v>1</v>
      </c>
      <c r="J20" s="105">
        <f>COUNTIFS(Eventos7[DPTO],"Arequipa",Eventos7[ESTADO],"Restringido",Eventos7[FENOMENO],"H")</f>
        <v>0</v>
      </c>
      <c r="K20" s="105">
        <f t="shared" si="1"/>
        <v>2</v>
      </c>
      <c r="M20" s="103" t="s">
        <v>43</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Cajamarca</v>
      </c>
      <c r="S20" t="str">
        <f>TRIM(IF(Transportes!F20="TRÁNSITO INTERRUMPIDO","Interrumpido",IF(Transportes!F20="TRÁNSITO RESTRINGIDO","Restringido","Normal")))</f>
        <v>Restringido</v>
      </c>
      <c r="T20" t="str">
        <f>TRIM(IF(MID(TRIM(Transportes!H20),1,FIND("-",TRIM(Transportes!H20),1)-2)="Acción humana","H","F"))</f>
        <v>F</v>
      </c>
      <c r="U20" s="53">
        <f>Transportes!G20</f>
        <v>10</v>
      </c>
      <c r="V20" s="3"/>
      <c r="W20" s="3"/>
      <c r="AC20" s="128"/>
    </row>
    <row r="21" spans="5:29" ht="15.75" customHeight="1">
      <c r="E21" s="3"/>
      <c r="F21" s="103" t="s">
        <v>65</v>
      </c>
      <c r="G21" s="105">
        <f>COUNTIFS(Eventos7[DPTO],"Ayacucho",Eventos7[ESTADO],"Interrumpido",Eventos7[FENOMENO],"F")</f>
        <v>0</v>
      </c>
      <c r="H21" s="105">
        <f>COUNTIFS(Eventos7[DPTO],"Ayacucho",Eventos7[ESTADO],"Restringido",Eventos7[FENOMENO],"F")</f>
        <v>5</v>
      </c>
      <c r="I21" s="105">
        <f>COUNTIFS(Eventos7[DPTO],"Ayacucho",Eventos7[ESTADO],"Interrumpido",Eventos7[FENOMENO],"H")</f>
        <v>0</v>
      </c>
      <c r="J21" s="105">
        <f>COUNTIFS(Eventos7[DPTO],"Ayacucho",Eventos7[ESTADO],"Restringido",Eventos7[FENOMENO],"H")</f>
        <v>0</v>
      </c>
      <c r="K21" s="105">
        <f t="shared" si="1"/>
        <v>5</v>
      </c>
      <c r="M21" s="103" t="s">
        <v>65</v>
      </c>
      <c r="N21" s="112">
        <f>SUMIFS(Eventos7[METRAJE],Eventos7[DPTO],"Ayacucho",Eventos7[ESTADO],"Interrumpido",Eventos7[FENOMENO],"F")</f>
        <v>0</v>
      </c>
      <c r="O21" s="112">
        <f>SUMIFS(Eventos7[METRAJE],Eventos7[DPTO],"Ayacucho",Eventos7[ESTADO],"Restringido",Eventos7[FENOMENO],"F")</f>
        <v>117</v>
      </c>
      <c r="P21" s="112">
        <f t="shared" si="0"/>
        <v>117</v>
      </c>
      <c r="Q21" s="3"/>
      <c r="R21" t="str">
        <f>TRIM(MID(TRIM(Transportes!D21),1,FIND(CHAR(10),TRIM(Transportes!D21),1)-1))</f>
        <v>Puno</v>
      </c>
      <c r="S21" t="str">
        <f>TRIM(IF(Transportes!F21="TRÁNSITO INTERRUMPIDO","Interrumpido",IF(Transportes!F21="TRÁNSITO RESTRINGIDO","Restringido","Normal")))</f>
        <v>Restringido</v>
      </c>
      <c r="T21" t="str">
        <f>TRIM(IF(MID(TRIM(Transportes!H21),1,FIND("-",TRIM(Transportes!H21),1)-2)="Acción humana","H","F"))</f>
        <v>F</v>
      </c>
      <c r="U21" s="53">
        <f>Transportes!G21</f>
        <v>40</v>
      </c>
      <c r="V21" s="3"/>
      <c r="W21" s="3"/>
      <c r="AC21" s="128"/>
    </row>
    <row r="22" spans="5:29" ht="15.75" customHeight="1">
      <c r="E22" s="3"/>
      <c r="F22" s="103" t="s">
        <v>66</v>
      </c>
      <c r="G22" s="105">
        <f>COUNTIFS(Eventos7[DPTO],"Cajamarca",Eventos7[ESTADO],"Interrumpido",Eventos7[FENOMENO],"F")</f>
        <v>0</v>
      </c>
      <c r="H22" s="105">
        <f>COUNTIFS(Eventos7[DPTO],"Cajamarca",Eventos7[ESTADO],"Restringido",Eventos7[FENOMENO],"F")</f>
        <v>24</v>
      </c>
      <c r="I22" s="105">
        <f>COUNTIFS(Eventos7[DPTO],"Cajamarca",Eventos7[ESTADO],"Interrumpido",Eventos7[FENOMENO],"H")</f>
        <v>0</v>
      </c>
      <c r="J22" s="105">
        <f>COUNTIFS(Eventos7[DPTO],"Cajamarca",Eventos7[ESTADO],"Restringido",Eventos7[FENOMENO],"H")</f>
        <v>0</v>
      </c>
      <c r="K22" s="105">
        <f t="shared" si="1"/>
        <v>24</v>
      </c>
      <c r="M22" s="103" t="s">
        <v>66</v>
      </c>
      <c r="N22" s="112">
        <f>SUMIFS(Eventos7[METRAJE],Eventos7[DPTO],"Cajamarca",Eventos7[ESTADO],"Interrumpido",Eventos7[FENOMENO],"F")</f>
        <v>0</v>
      </c>
      <c r="O22" s="112">
        <f>SUMIFS(Eventos7[METRAJE],Eventos7[DPTO],"Cajamarca",Eventos7[ESTADO],"Restringido",Eventos7[FENOMENO],"F")</f>
        <v>893</v>
      </c>
      <c r="P22" s="112">
        <f t="shared" si="0"/>
        <v>893</v>
      </c>
      <c r="Q22" s="3"/>
      <c r="R22" t="str">
        <f>TRIM(MID(TRIM(Transportes!D22),1,FIND(CHAR(10),TRIM(Transportes!D22),1)-1))</f>
        <v>Amazonas</v>
      </c>
      <c r="S22" t="str">
        <f>TRIM(IF(Transportes!F22="TRÁNSITO INTERRUMPIDO","Interrumpido",IF(Transportes!F22="TRÁNSITO RESTRINGIDO","Restringido","Normal")))</f>
        <v>Restringido</v>
      </c>
      <c r="T22" t="str">
        <f>TRIM(IF(MID(TRIM(Transportes!H22),1,FIND("-",TRIM(Transportes!H22),1)-2)="Acción humana","H","F"))</f>
        <v>F</v>
      </c>
      <c r="U22" s="53">
        <f>Transportes!G22</f>
        <v>20</v>
      </c>
      <c r="V22" s="3"/>
      <c r="W22" s="3"/>
      <c r="AC22" s="128"/>
    </row>
    <row r="23" spans="5:29" ht="15.75" customHeight="1">
      <c r="F23" s="103" t="s">
        <v>67</v>
      </c>
      <c r="G23" s="105">
        <f>COUNTIFS(Eventos7[DPTO],"Cusco",Eventos7[ESTADO],"Interrumpido",Eventos7[FENOMENO],"F")</f>
        <v>0</v>
      </c>
      <c r="H23" s="105">
        <f>COUNTIFS(Eventos7[DPTO],"Cusco",Eventos7[ESTADO],"Restringido",Eventos7[FENOMENO],"F")</f>
        <v>7</v>
      </c>
      <c r="I23" s="105">
        <f>COUNTIFS(Eventos7[DPTO],"Cusco",Eventos7[ESTADO],"Interrumpido",Eventos7[FENOMENO],"H")</f>
        <v>0</v>
      </c>
      <c r="J23" s="105">
        <f>COUNTIFS(Eventos7[DPTO],"Cusco",Eventos7[ESTADO],"Restringido",Eventos7[FENOMENO],"H")</f>
        <v>0</v>
      </c>
      <c r="K23" s="105">
        <f t="shared" si="1"/>
        <v>7</v>
      </c>
      <c r="M23" s="103" t="s">
        <v>67</v>
      </c>
      <c r="N23" s="112">
        <f>SUMIFS(Eventos7[METRAJE],Eventos7[DPTO],"Cusco",Eventos7[ESTADO],"Interrumpido",Eventos7[FENOMENO],"F")</f>
        <v>0</v>
      </c>
      <c r="O23" s="112">
        <f>SUMIFS(Eventos7[METRAJE],Eventos7[DPTO],"Cusco",Eventos7[ESTADO],"Restringido",Eventos7[FENOMENO],"F")</f>
        <v>600</v>
      </c>
      <c r="P23" s="112">
        <f t="shared" si="0"/>
        <v>600</v>
      </c>
      <c r="Q23" s="3"/>
      <c r="R23" t="str">
        <f>TRIM(MID(TRIM(Transportes!D23),1,FIND(CHAR(10),TRIM(Transportes!D23),1)-1))</f>
        <v>Cajamarca</v>
      </c>
      <c r="S23" t="str">
        <f>TRIM(IF(Transportes!F23="TRÁNSITO INTERRUMPIDO","Interrumpido",IF(Transportes!F23="TRÁNSITO RESTRINGIDO","Restringido","Normal")))</f>
        <v>Restringido</v>
      </c>
      <c r="T23" t="str">
        <f>TRIM(IF(MID(TRIM(Transportes!H23),1,FIND("-",TRIM(Transportes!H23),1)-2)="Acción humana","H","F"))</f>
        <v>F</v>
      </c>
      <c r="U23" s="53">
        <f>Transportes!G23</f>
        <v>30</v>
      </c>
      <c r="V23" s="3"/>
      <c r="AC23" s="128"/>
    </row>
    <row r="24" spans="5:29" ht="15.75" customHeight="1">
      <c r="F24" s="103" t="s">
        <v>68</v>
      </c>
      <c r="G24" s="105">
        <f>COUNTIFS(Eventos7[DPTO],"Huancavelica",Eventos7[ESTADO],"Interrumpido",Eventos7[FENOMENO],"F")</f>
        <v>0</v>
      </c>
      <c r="H24" s="105">
        <f>COUNTIFS(Eventos7[DPTO],"Huancavelica",Eventos7[ESTADO],"Restringido",Eventos7[FENOMENO],"F")</f>
        <v>5</v>
      </c>
      <c r="I24" s="105">
        <f>COUNTIFS(Eventos7[DPTO],"Huancavelica",Eventos7[ESTADO],"Interrumpido",Eventos7[FENOMENO],"H")</f>
        <v>0</v>
      </c>
      <c r="J24" s="105">
        <f>COUNTIFS(Eventos7[DPTO],"Huancavelica",Eventos7[ESTADO],"Restringido",Eventos7[FENOMENO],"H")</f>
        <v>0</v>
      </c>
      <c r="K24" s="105">
        <f t="shared" si="1"/>
        <v>5</v>
      </c>
      <c r="M24" s="103" t="s">
        <v>68</v>
      </c>
      <c r="N24" s="112">
        <f>SUMIFS(Eventos7[METRAJE],Eventos7[DPTO],"Huancavelica",Eventos7[ESTADO],"Interrumpido",Eventos7[FENOMENO],"F")</f>
        <v>0</v>
      </c>
      <c r="O24" s="112">
        <f>SUMIFS(Eventos7[METRAJE],Eventos7[DPTO],"Huancavelica",Eventos7[ESTADO],"Restringido",Eventos7[FENOMENO],"F")</f>
        <v>120</v>
      </c>
      <c r="P24" s="112">
        <f t="shared" si="0"/>
        <v>120</v>
      </c>
      <c r="Q24" s="3"/>
      <c r="R24" t="str">
        <f>TRIM(MID(TRIM(Transportes!D24),1,FIND(CHAR(10),TRIM(Transportes!D24),1)-1))</f>
        <v>Cusco</v>
      </c>
      <c r="S24" t="str">
        <f>TRIM(IF(Transportes!F24="TRÁNSITO INTERRUMPIDO","Interrumpido",IF(Transportes!F24="TRÁNSITO RESTRINGIDO","Restringido","Normal")))</f>
        <v>Restringido</v>
      </c>
      <c r="T24" t="str">
        <f>TRIM(IF(MID(TRIM(Transportes!H24),1,FIND("-",TRIM(Transportes!H24),1)-2)="Acción humana","H","F"))</f>
        <v>F</v>
      </c>
      <c r="U24" s="53" t="str">
        <f>Transportes!G24</f>
        <v>-</v>
      </c>
      <c r="V24" s="3"/>
      <c r="AC24" s="128"/>
    </row>
    <row r="25" spans="5:29" ht="15.75" customHeight="1">
      <c r="F25" s="103" t="s">
        <v>69</v>
      </c>
      <c r="G25" s="105">
        <f>COUNTIFS(Eventos7[DPTO],"Huánuco",Eventos7[ESTADO],"Interrumpido",Eventos7[FENOMENO],"F")</f>
        <v>0</v>
      </c>
      <c r="H25" s="105">
        <f>COUNTIFS(Eventos7[DPTO],"Huánuco",Eventos7[ESTADO],"Restringido",Eventos7[FENOMENO],"F")</f>
        <v>6</v>
      </c>
      <c r="I25" s="105">
        <f>COUNTIFS(Eventos7[DPTO],"Huánuco",Eventos7[ESTADO],"Interrumpido",Eventos7[FENOMENO],"H")</f>
        <v>0</v>
      </c>
      <c r="J25" s="105">
        <f>COUNTIFS(Eventos7[DPTO],"Huánuco",Eventos7[ESTADO],"Restringido",Eventos7[FENOMENO],"H")</f>
        <v>0</v>
      </c>
      <c r="K25" s="105">
        <f t="shared" si="1"/>
        <v>6</v>
      </c>
      <c r="M25" s="103" t="s">
        <v>69</v>
      </c>
      <c r="N25" s="112">
        <f>SUMIFS(Eventos7[METRAJE],Eventos7[DPTO],"Huánuco",Eventos7[ESTADO],"Interrumpido",Eventos7[FENOMENO],"F")</f>
        <v>0</v>
      </c>
      <c r="O25" s="112">
        <f>SUMIFS(Eventos7[METRAJE],Eventos7[DPTO],"Huánuco",Eventos7[ESTADO],"Restringido",Eventos7[FENOMENO],"F")</f>
        <v>500</v>
      </c>
      <c r="P25" s="112">
        <f t="shared" si="0"/>
        <v>500</v>
      </c>
      <c r="Q25" s="3"/>
      <c r="R25" t="str">
        <f>TRIM(MID(TRIM(Transportes!D25),1,FIND(CHAR(10),TRIM(Transportes!D25),1)-1))</f>
        <v>Cusco</v>
      </c>
      <c r="S25" t="str">
        <f>TRIM(IF(Transportes!F25="TRÁNSITO INTERRUMPIDO","Interrumpido",IF(Transportes!F25="TRÁNSITO RESTRINGIDO","Restringido","Normal")))</f>
        <v>Restringido</v>
      </c>
      <c r="T25" t="str">
        <f>TRIM(IF(MID(TRIM(Transportes!H25),1,FIND("-",TRIM(Transportes!H25),1)-2)="Acción humana","H","F"))</f>
        <v>F</v>
      </c>
      <c r="U25" s="53" t="str">
        <f>Transportes!G25</f>
        <v>-</v>
      </c>
      <c r="V25" s="3"/>
      <c r="AC25" s="128"/>
    </row>
    <row r="26" spans="5:29" ht="15.75" customHeight="1">
      <c r="F26" s="103" t="s">
        <v>42</v>
      </c>
      <c r="G26" s="105">
        <f>COUNTIFS(Eventos7[DPTO],"Ica",Eventos7[ESTADO],"Interrumpido",Eventos7[FENOMENO],"F")</f>
        <v>0</v>
      </c>
      <c r="H26" s="105">
        <f>COUNTIFS(Eventos7[DPTO],"Ica",Eventos7[ESTADO],"Restringido",Eventos7[FENOMENO],"F")</f>
        <v>2</v>
      </c>
      <c r="I26" s="105">
        <f>COUNTIFS(Eventos7[DPTO],"Ica",Eventos7[ESTADO],"Interrumpido",Eventos7[FENOMENO],"H")</f>
        <v>0</v>
      </c>
      <c r="J26" s="105">
        <f>COUNTIFS(Eventos7[DPTO],"Ica",Eventos7[ESTADO],"Restringido",Eventos7[FENOMENO],"H")</f>
        <v>0</v>
      </c>
      <c r="K26" s="105">
        <f t="shared" si="1"/>
        <v>2</v>
      </c>
      <c r="M26" s="103" t="s">
        <v>42</v>
      </c>
      <c r="N26" s="112">
        <f>SUMIFS(Eventos7[METRAJE],Eventos7[DPTO],"Ica",Eventos7[ESTADO],"Interrumpido",Eventos7[FENOMENO],"F")</f>
        <v>0</v>
      </c>
      <c r="O26" s="112">
        <f>SUMIFS(Eventos7[METRAJE],Eventos7[DPTO],"Ica",Eventos7[ESTADO],"Restringido",Eventos7[FENOMENO],"F")</f>
        <v>435</v>
      </c>
      <c r="P26" s="112">
        <f t="shared" si="0"/>
        <v>435</v>
      </c>
      <c r="Q26" s="3"/>
      <c r="R26" t="str">
        <f>TRIM(MID(TRIM(Transportes!D26),1,FIND(CHAR(10),TRIM(Transportes!D26),1)-1))</f>
        <v>Piura</v>
      </c>
      <c r="S26" t="str">
        <f>TRIM(IF(Transportes!F26="TRÁNSITO INTERRUMPIDO","Interrumpido",IF(Transportes!F26="TRÁNSITO RESTRINGIDO","Restringido","Normal")))</f>
        <v>Restringido</v>
      </c>
      <c r="T26" t="str">
        <f>TRIM(IF(MID(TRIM(Transportes!H26),1,FIND("-",TRIM(Transportes!H26),1)-2)="Acción humana","H","F"))</f>
        <v>F</v>
      </c>
      <c r="U26" s="53">
        <f>Transportes!G26</f>
        <v>40</v>
      </c>
      <c r="V26" s="3"/>
      <c r="AC26" s="128"/>
    </row>
    <row r="27" spans="5:29" ht="15.75" customHeight="1">
      <c r="F27" s="103" t="s">
        <v>70</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70</v>
      </c>
      <c r="N27" s="112">
        <f>SUMIFS(Eventos7[METRAJE],Eventos7[DPTO],"Junín",Eventos7[ESTADO],"Interrumpido",Eventos7[FENOMENO],"F")</f>
        <v>0</v>
      </c>
      <c r="O27" s="112">
        <f>SUMIFS(Eventos7[METRAJE],Eventos7[DPTO],"Junín",Eventos7[ESTADO],"Restringido",Eventos7[FENOMENO],"F")</f>
        <v>365</v>
      </c>
      <c r="P27" s="112">
        <f t="shared" si="0"/>
        <v>365</v>
      </c>
      <c r="Q27" s="3"/>
      <c r="R27" t="str">
        <f>TRIM(MID(TRIM(Transportes!D27),1,FIND(CHAR(10),TRIM(Transportes!D27),1)-1))</f>
        <v>Huánuco</v>
      </c>
      <c r="S27" t="str">
        <f>TRIM(IF(Transportes!F27="TRÁNSITO INTERRUMPIDO","Interrumpido",IF(Transportes!F27="TRÁNSITO RESTRINGIDO","Restringido","Normal")))</f>
        <v>Restringido</v>
      </c>
      <c r="T27" t="str">
        <f>TRIM(IF(MID(TRIM(Transportes!H27),1,FIND("-",TRIM(Transportes!H27),1)-2)="Acción humana","H","F"))</f>
        <v>F</v>
      </c>
      <c r="U27" s="53">
        <f>Transportes!G27</f>
        <v>150</v>
      </c>
      <c r="V27" s="3"/>
      <c r="AC27" s="128"/>
    </row>
    <row r="28" spans="5:29" ht="15.75" customHeight="1">
      <c r="F28" s="103" t="s">
        <v>44</v>
      </c>
      <c r="G28" s="105">
        <f>COUNTIFS(Eventos7[DPTO],"La Libertad",Eventos7[ESTADO],"Interrumpido",Eventos7[FENOMENO],"F")</f>
        <v>2</v>
      </c>
      <c r="H28" s="105">
        <f>COUNTIFS(Eventos7[DPTO],"La Libertad",Eventos7[ESTADO],"Restringido",Eventos7[FENOMENO],"F")</f>
        <v>8</v>
      </c>
      <c r="I28" s="105">
        <f>COUNTIFS(Eventos7[DPTO],"La Libertad",Eventos7[ESTADO],"Interrumpido",Eventos7[FENOMENO],"H")</f>
        <v>0</v>
      </c>
      <c r="J28" s="105">
        <f>COUNTIFS(Eventos7[DPTO],"La Libertad",Eventos7[ESTADO],"Restringido",Eventos7[FENOMENO],"H")</f>
        <v>1</v>
      </c>
      <c r="K28" s="105">
        <f t="shared" si="1"/>
        <v>11</v>
      </c>
      <c r="M28" s="103" t="s">
        <v>44</v>
      </c>
      <c r="N28" s="112">
        <f>SUMIFS(Eventos7[METRAJE],Eventos7[DPTO],"La Libertad",Eventos7[ESTADO],"Interrumpido",Eventos7[FENOMENO],"F")</f>
        <v>290</v>
      </c>
      <c r="O28" s="112">
        <f>SUMIFS(Eventos7[METRAJE],Eventos7[DPTO],"La Libertad",Eventos7[ESTADO],"Restringido",Eventos7[FENOMENO],"F")</f>
        <v>1272</v>
      </c>
      <c r="P28" s="112">
        <f t="shared" si="0"/>
        <v>1562</v>
      </c>
      <c r="Q28" s="3"/>
      <c r="R28" t="str">
        <f>TRIM(MID(TRIM(Transportes!D28),1,FIND(CHAR(10),TRIM(Transportes!D28),1)-1))</f>
        <v>Apurímac</v>
      </c>
      <c r="S28" t="str">
        <f>TRIM(IF(Transportes!F28="TRÁNSITO INTERRUMPIDO","Interrumpido",IF(Transportes!F28="TRÁNSITO RESTRINGIDO","Restringido","Normal")))</f>
        <v>Restringido</v>
      </c>
      <c r="T28" t="str">
        <f>TRIM(IF(MID(TRIM(Transportes!H28),1,FIND("-",TRIM(Transportes!H28),1)-2)="Acción humana","H","F"))</f>
        <v>F</v>
      </c>
      <c r="U28" s="53">
        <f>Transportes!G28</f>
        <v>5</v>
      </c>
      <c r="V28" s="3"/>
      <c r="AC28" s="128"/>
    </row>
    <row r="29" spans="5:29" ht="15.75" customHeight="1">
      <c r="F29" s="103" t="s">
        <v>71</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71</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Ayacucho</v>
      </c>
      <c r="S29" t="str">
        <f>TRIM(IF(Transportes!F29="TRÁNSITO INTERRUMPIDO","Interrumpido",IF(Transportes!F29="TRÁNSITO RESTRINGIDO","Restringido","Normal")))</f>
        <v>Restringido</v>
      </c>
      <c r="T29" t="str">
        <f>TRIM(IF(MID(TRIM(Transportes!H29),1,FIND("-",TRIM(Transportes!H29),1)-2)="Acción humana","H","F"))</f>
        <v>F</v>
      </c>
      <c r="U29" s="53">
        <f>Transportes!G29</f>
        <v>12</v>
      </c>
      <c r="V29" s="3"/>
      <c r="AC29" s="128"/>
    </row>
    <row r="30" spans="5:29" ht="15.75" customHeight="1">
      <c r="F30" s="103" t="s">
        <v>72</v>
      </c>
      <c r="G30" s="105">
        <f>COUNTIFS(Eventos7[DPTO],"Lima",Eventos7[ESTADO],"Interrumpido",Eventos7[FENOMENO],"F")</f>
        <v>0</v>
      </c>
      <c r="H30" s="105">
        <f>COUNTIFS(Eventos7[DPTO],"Lima",Eventos7[ESTADO],"Restringido",Eventos7[FENOMENO],"F")</f>
        <v>2</v>
      </c>
      <c r="I30" s="105">
        <f>COUNTIFS(Eventos7[DPTO],"Lima",Eventos7[ESTADO],"Interrumpido",Eventos7[FENOMENO],"H")</f>
        <v>0</v>
      </c>
      <c r="J30" s="105">
        <f>COUNTIFS(Eventos7[DPTO],"Lima",Eventos7[ESTADO],"Restringido",Eventos7[FENOMENO],"H")</f>
        <v>0</v>
      </c>
      <c r="K30" s="105">
        <f t="shared" si="1"/>
        <v>2</v>
      </c>
      <c r="M30" s="103" t="s">
        <v>72</v>
      </c>
      <c r="N30" s="112">
        <f>SUMIFS(Eventos7[METRAJE],Eventos7[DPTO],"Lima",Eventos7[ESTADO],"Interrumpido",Eventos7[FENOMENO],"F")</f>
        <v>0</v>
      </c>
      <c r="O30" s="112">
        <f>SUMIFS(Eventos7[METRAJE],Eventos7[DPTO],"Lima",Eventos7[ESTADO],"Restringido",Eventos7[FENOMENO],"F")</f>
        <v>250</v>
      </c>
      <c r="P30" s="112">
        <f t="shared" si="0"/>
        <v>250</v>
      </c>
      <c r="Q30" s="3"/>
      <c r="R30" t="str">
        <f>TRIM(MID(TRIM(Transportes!D30),1,FIND(CHAR(10),TRIM(Transportes!D30),1)-1))</f>
        <v>Piura</v>
      </c>
      <c r="S30" t="str">
        <f>TRIM(IF(Transportes!F30="TRÁNSITO INTERRUMPIDO","Interrumpido",IF(Transportes!F30="TRÁNSITO RESTRINGIDO","Restringido","Normal")))</f>
        <v>Restringido</v>
      </c>
      <c r="T30" t="str">
        <f>TRIM(IF(MID(TRIM(Transportes!H30),1,FIND("-",TRIM(Transportes!H30),1)-2)="Acción humana","H","F"))</f>
        <v>F</v>
      </c>
      <c r="U30" s="53">
        <f>Transportes!G30</f>
        <v>40</v>
      </c>
      <c r="V30" s="3"/>
      <c r="AC30" s="128"/>
    </row>
    <row r="31" spans="5:29" ht="15.75" customHeight="1">
      <c r="F31" s="103" t="s">
        <v>73</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73</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Cajamarca</v>
      </c>
      <c r="S31" t="str">
        <f>TRIM(IF(Transportes!F31="TRÁNSITO INTERRUMPIDO","Interrumpido",IF(Transportes!F31="TRÁNSITO RESTRINGIDO","Restringido","Normal")))</f>
        <v>Restringido</v>
      </c>
      <c r="T31" t="str">
        <f>TRIM(IF(MID(TRIM(Transportes!H31),1,FIND("-",TRIM(Transportes!H31),1)-2)="Acción humana","H","F"))</f>
        <v>F</v>
      </c>
      <c r="U31" s="53">
        <f>Transportes!G31</f>
        <v>30</v>
      </c>
      <c r="V31" s="3"/>
      <c r="AC31" s="128"/>
    </row>
    <row r="32" spans="5:29" ht="15.75" customHeight="1">
      <c r="F32" s="103" t="s">
        <v>74</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74</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Huancavelica</v>
      </c>
      <c r="S32" t="str">
        <f>TRIM(IF(Transportes!F32="TRÁNSITO INTERRUMPIDO","Interrumpido",IF(Transportes!F32="TRÁNSITO RESTRINGIDO","Restringido","Normal")))</f>
        <v>Restringido</v>
      </c>
      <c r="T32" t="str">
        <f>TRIM(IF(MID(TRIM(Transportes!H32),1,FIND("-",TRIM(Transportes!H32),1)-2)="Acción humana","H","F"))</f>
        <v>F</v>
      </c>
      <c r="U32" s="53">
        <f>Transportes!G32</f>
        <v>0</v>
      </c>
      <c r="V32" s="3"/>
      <c r="AC32" s="128"/>
    </row>
    <row r="33" spans="4:29" ht="15.75" customHeight="1">
      <c r="F33" s="103" t="s">
        <v>45</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45</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Piura</v>
      </c>
      <c r="S33" t="str">
        <f>TRIM(IF(Transportes!F33="TRÁNSITO INTERRUMPIDO","Interrumpido",IF(Transportes!F33="TRÁNSITO RESTRINGIDO","Restringido","Normal")))</f>
        <v>Restringido</v>
      </c>
      <c r="T33" t="str">
        <f>TRIM(IF(MID(TRIM(Transportes!H33),1,FIND("-",TRIM(Transportes!H33),1)-2)="Acción humana","H","F"))</f>
        <v>F</v>
      </c>
      <c r="U33" s="53">
        <f>Transportes!G33</f>
        <v>15</v>
      </c>
      <c r="V33" s="3"/>
      <c r="AC33" s="128"/>
    </row>
    <row r="34" spans="4:29" ht="15.75" customHeight="1">
      <c r="F34" s="103" t="s">
        <v>75</v>
      </c>
      <c r="G34" s="105">
        <f>COUNTIFS(Eventos7[DPTO],"Pasco",Eventos7[ESTADO],"Interrumpido",Eventos7[FENOMENO],"F")</f>
        <v>0</v>
      </c>
      <c r="H34" s="105">
        <f>COUNTIFS(Eventos7[DPTO],"Pasco",Eventos7[ESTADO],"Restringido",Eventos7[FENOMENO],"F")</f>
        <v>2</v>
      </c>
      <c r="I34" s="105">
        <f>COUNTIFS(Eventos7[DPTO],"Pasco",Eventos7[ESTADO],"Interrumpido",Eventos7[FENOMENO],"H")</f>
        <v>0</v>
      </c>
      <c r="J34" s="105">
        <f>COUNTIFS(Eventos7[DPTO],"Pasco",Eventos7[ESTADO],"Restringido",Eventos7[FENOMENO],"H")</f>
        <v>0</v>
      </c>
      <c r="K34" s="105">
        <f t="shared" si="1"/>
        <v>2</v>
      </c>
      <c r="M34" s="103" t="s">
        <v>75</v>
      </c>
      <c r="N34" s="112">
        <f>SUMIFS(Eventos7[METRAJE],Eventos7[DPTO],"Pasco",Eventos7[ESTADO],"Interrumpido",Eventos7[FENOMENO],"F")</f>
        <v>0</v>
      </c>
      <c r="O34" s="112">
        <f>SUMIFS(Eventos7[METRAJE],Eventos7[DPTO],"Pasco",Eventos7[ESTADO],"Restringido",Eventos7[FENOMENO],"F")</f>
        <v>170</v>
      </c>
      <c r="P34" s="112">
        <f t="shared" si="0"/>
        <v>170</v>
      </c>
      <c r="Q34" s="3"/>
      <c r="R34" t="str">
        <f>TRIM(MID(TRIM(Transportes!D34),1,FIND(CHAR(10),TRIM(Transportes!D34),1)-1))</f>
        <v>Cusco</v>
      </c>
      <c r="S34" t="str">
        <f>TRIM(IF(Transportes!F34="TRÁNSITO INTERRUMPIDO","Interrumpido",IF(Transportes!F34="TRÁNSITO RESTRINGIDO","Restringido","Normal")))</f>
        <v>Restringido</v>
      </c>
      <c r="T34" t="str">
        <f>TRIM(IF(MID(TRIM(Transportes!H34),1,FIND("-",TRIM(Transportes!H34),1)-2)="Acción humana","H","F"))</f>
        <v>F</v>
      </c>
      <c r="U34" s="53">
        <f>Transportes!G34</f>
        <v>100</v>
      </c>
      <c r="V34" s="3"/>
      <c r="AC34" s="128"/>
    </row>
    <row r="35" spans="4:29" ht="15.75" customHeight="1">
      <c r="F35" s="103" t="s">
        <v>41</v>
      </c>
      <c r="G35" s="105">
        <f>COUNTIFS(Eventos7[DPTO],"Piura",Eventos7[ESTADO],"Interrumpido",Eventos7[FENOMENO],"F")</f>
        <v>0</v>
      </c>
      <c r="H35" s="105">
        <f>COUNTIFS(Eventos7[DPTO],"Piura",Eventos7[ESTADO],"Restringido",Eventos7[FENOMENO],"F")</f>
        <v>18</v>
      </c>
      <c r="I35" s="105">
        <f>COUNTIFS(Eventos7[DPTO],"Piura",Eventos7[ESTADO],"Interrumpido",Eventos7[FENOMENO],"H")</f>
        <v>0</v>
      </c>
      <c r="J35" s="105">
        <f>COUNTIFS(Eventos7[DPTO],"Piura",Eventos7[ESTADO],"Restringido",Eventos7[FENOMENO],"H")</f>
        <v>0</v>
      </c>
      <c r="K35" s="105">
        <f t="shared" si="1"/>
        <v>18</v>
      </c>
      <c r="M35" s="103" t="s">
        <v>41</v>
      </c>
      <c r="N35" s="112">
        <f>SUMIFS(Eventos7[METRAJE],Eventos7[DPTO],"Piura",Eventos7[ESTADO],"Interrumpido",Eventos7[FENOMENO],"F")</f>
        <v>0</v>
      </c>
      <c r="O35" s="112">
        <f>SUMIFS(Eventos7[METRAJE],Eventos7[DPTO],"Piura",Eventos7[ESTADO],"Restringido",Eventos7[FENOMENO],"F")</f>
        <v>1344</v>
      </c>
      <c r="P35" s="112">
        <f t="shared" si="0"/>
        <v>1344</v>
      </c>
      <c r="Q35" s="3"/>
      <c r="R35" t="str">
        <f>TRIM(MID(TRIM(Transportes!D35),1,FIND(CHAR(10),TRIM(Transportes!D35),1)-1))</f>
        <v>Piura</v>
      </c>
      <c r="S35" t="str">
        <f>TRIM(IF(Transportes!F35="TRÁNSITO INTERRUMPIDO","Interrumpido",IF(Transportes!F35="TRÁNSITO RESTRINGIDO","Restringido","Normal")))</f>
        <v>Restringido</v>
      </c>
      <c r="T35" t="str">
        <f>TRIM(IF(MID(TRIM(Transportes!H35),1,FIND("-",TRIM(Transportes!H35),1)-2)="Acción humana","H","F"))</f>
        <v>F</v>
      </c>
      <c r="U35" s="53">
        <f>Transportes!G35</f>
        <v>12</v>
      </c>
      <c r="V35" s="3"/>
      <c r="AC35" s="128"/>
    </row>
    <row r="36" spans="4:29" ht="15.75" customHeight="1">
      <c r="F36" s="165" t="s">
        <v>76</v>
      </c>
      <c r="G36" s="105">
        <f>COUNTIFS(Eventos7[DPTO],"Puno",Eventos7[ESTADO],"Interrumpido",Eventos7[FENOMENO],"F")</f>
        <v>0</v>
      </c>
      <c r="H36" s="105">
        <f>COUNTIFS(Eventos7[DPTO],"Puno",Eventos7[ESTADO],"Restringido",Eventos7[FENOMENO],"F")</f>
        <v>5</v>
      </c>
      <c r="I36" s="105">
        <f>COUNTIFS(Eventos7[DPTO],"Puno",Eventos7[ESTADO],"Interrumpido",Eventos7[FENOMENO],"H")</f>
        <v>0</v>
      </c>
      <c r="J36" s="105">
        <f>COUNTIFS(Eventos7[DPTO],"Puno",Eventos7[ESTADO],"Restringido",Eventos7[FENOMENO],"H")</f>
        <v>1</v>
      </c>
      <c r="K36" s="105">
        <f t="shared" si="1"/>
        <v>6</v>
      </c>
      <c r="M36" s="103" t="s">
        <v>76</v>
      </c>
      <c r="N36" s="112">
        <f>SUMIFS(Eventos7[METRAJE],Eventos7[DPTO],"Puno",Eventos7[ESTADO],"Interrumpido",Eventos7[FENOMENO],"F")</f>
        <v>0</v>
      </c>
      <c r="O36" s="112">
        <f>SUMIFS(Eventos7[METRAJE],Eventos7[DPTO],"Puno",Eventos7[ESTADO],"Restringido",Eventos7[FENOMENO],"F")</f>
        <v>745</v>
      </c>
      <c r="P36" s="112">
        <f t="shared" si="0"/>
        <v>745</v>
      </c>
      <c r="Q36" s="3"/>
      <c r="R36" t="str">
        <f>TRIM(MID(TRIM(Transportes!D36),1,FIND(CHAR(10),TRIM(Transportes!D36),1)-1))</f>
        <v>Áncash</v>
      </c>
      <c r="S36" t="str">
        <f>TRIM(IF(Transportes!F36="TRÁNSITO INTERRUMPIDO","Interrumpido",IF(Transportes!F36="TRÁNSITO RESTRINGIDO","Restringido","Normal")))</f>
        <v>Restringido</v>
      </c>
      <c r="T36" t="str">
        <f>TRIM(IF(MID(TRIM(Transportes!H36),1,FIND("-",TRIM(Transportes!H36),1)-2)="Acción humana","H","F"))</f>
        <v>F</v>
      </c>
      <c r="U36" s="53" t="str">
        <f>Transportes!G36</f>
        <v>-</v>
      </c>
      <c r="V36" s="3"/>
    </row>
    <row r="37" spans="4:29" ht="15.75" customHeight="1">
      <c r="F37" s="103" t="s">
        <v>77</v>
      </c>
      <c r="G37" s="105">
        <f>COUNTIFS(Eventos7[DPTO],"San Martín",Eventos7[ESTADO],"Interrumpido",Eventos7[FENOMENO],"F")</f>
        <v>0</v>
      </c>
      <c r="H37" s="105">
        <f>COUNTIFS(Eventos7[DPTO],"San Martín",Eventos7[ESTADO],"Restringido",Eventos7[FENOMENO],"F")</f>
        <v>4</v>
      </c>
      <c r="I37" s="105">
        <f>COUNTIFS(Eventos7[DPTO],"San Martín",Eventos7[ESTADO],"Interrumpido",Eventos7[FENOMENO],"H")</f>
        <v>0</v>
      </c>
      <c r="J37" s="105">
        <f>COUNTIFS(Eventos7[DPTO],"San Martín",Eventos7[ESTADO],"Restringido",Eventos7[FENOMENO],"H")</f>
        <v>2</v>
      </c>
      <c r="K37" s="105">
        <f t="shared" si="1"/>
        <v>6</v>
      </c>
      <c r="M37" s="103" t="s">
        <v>77</v>
      </c>
      <c r="N37" s="112">
        <f>SUMIFS(Eventos7[METRAJE],Eventos7[DPTO],"San Martín",Eventos7[ESTADO],"Interrumpido",Eventos7[FENOMENO],"F")</f>
        <v>0</v>
      </c>
      <c r="O37" s="112">
        <f>SUMIFS(Eventos7[METRAJE],Eventos7[DPTO],"San Martín",Eventos7[ESTADO],"Restringido",Eventos7[FENOMENO],"F")</f>
        <v>1100</v>
      </c>
      <c r="P37" s="112">
        <f t="shared" si="0"/>
        <v>1100</v>
      </c>
      <c r="Q37" s="3"/>
      <c r="R37" t="str">
        <f>TRIM(MID(TRIM(Transportes!D37),1,FIND(CHAR(10),TRIM(Transportes!D37),1)-1))</f>
        <v>Apurímac</v>
      </c>
      <c r="S37" t="str">
        <f>TRIM(IF(Transportes!F37="TRÁNSITO INTERRUMPIDO","Interrumpido",IF(Transportes!F37="TRÁNSITO RESTRINGIDO","Restringido","Normal")))</f>
        <v>Restringido</v>
      </c>
      <c r="T37" t="str">
        <f>TRIM(IF(MID(TRIM(Transportes!H37),1,FIND("-",TRIM(Transportes!H37),1)-2)="Acción humana","H","F"))</f>
        <v>F</v>
      </c>
      <c r="U37" s="53">
        <f>Transportes!G37</f>
        <v>5</v>
      </c>
      <c r="V37" s="3"/>
    </row>
    <row r="38" spans="4:29" ht="15.75" customHeight="1">
      <c r="F38" s="103" t="s">
        <v>78</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78</v>
      </c>
      <c r="N38" s="112">
        <f>SUMIFS(Eventos7[METRAJE],Eventos7[DPTO],"Tacna",Eventos7[ESTADO],"Interrumpido",Eventos7[FENOMENO],"F")</f>
        <v>0</v>
      </c>
      <c r="O38" s="112">
        <f>SUMIFS(Eventos7[METRAJE],Eventos7[DPTO],"Tacna",Eventos7[ESTADO],"Restringido",Eventos7[FENOMENO],"F")</f>
        <v>75</v>
      </c>
      <c r="P38" s="112">
        <f t="shared" si="0"/>
        <v>75</v>
      </c>
      <c r="Q38" s="3"/>
      <c r="R38" t="str">
        <f>TRIM(MID(TRIM(Transportes!D38),1,FIND(CHAR(10),TRIM(Transportes!D38),1)-1))</f>
        <v>Cajamarca</v>
      </c>
      <c r="S38" t="str">
        <f>TRIM(IF(Transportes!F38="TRÁNSITO INTERRUMPIDO","Interrumpido",IF(Transportes!F38="TRÁNSITO RESTRINGIDO","Restringido","Normal")))</f>
        <v>Restringido</v>
      </c>
      <c r="T38" t="str">
        <f>TRIM(IF(MID(TRIM(Transportes!H38),1,FIND("-",TRIM(Transportes!H38),1)-2)="Acción humana","H","F"))</f>
        <v>F</v>
      </c>
      <c r="U38" s="53">
        <f>Transportes!G38</f>
        <v>60</v>
      </c>
      <c r="V38" s="3"/>
    </row>
    <row r="39" spans="4:29" ht="15.75" customHeight="1">
      <c r="F39" s="103" t="s">
        <v>79</v>
      </c>
      <c r="G39" s="105">
        <f>COUNTIFS(Eventos7[DPTO],"Tumbes",Eventos7[ESTADO],"Interrumpido",Eventos7[FENOMENO],"F")</f>
        <v>0</v>
      </c>
      <c r="H39" s="105">
        <f>COUNTIFS(Eventos7[DPTO],"Tumbes",Eventos7[ESTADO],"Restringido",Eventos7[FENOMENO],"F")</f>
        <v>6</v>
      </c>
      <c r="I39" s="105">
        <f>COUNTIFS(Eventos7[DPTO],"Tumbes",Eventos7[ESTADO],"Interrumpido",Eventos7[FENOMENO],"H")</f>
        <v>0</v>
      </c>
      <c r="J39" s="105">
        <f>COUNTIFS(Eventos7[DPTO],"Tumbes",Eventos7[ESTADO],"Restringido",Eventos7[FENOMENO],"H")</f>
        <v>0</v>
      </c>
      <c r="K39" s="105">
        <f t="shared" si="1"/>
        <v>6</v>
      </c>
      <c r="M39" s="103" t="s">
        <v>79</v>
      </c>
      <c r="N39" s="112">
        <f>SUMIFS(Eventos7[METRAJE],Eventos7[DPTO],"Tumbes",Eventos7[ESTADO],"Interrumpido",Eventos7[FENOMENO],"F")</f>
        <v>0</v>
      </c>
      <c r="O39" s="112">
        <f>SUMIFS(Eventos7[METRAJE],Eventos7[DPTO],"Tumbes",Eventos7[ESTADO],"Restringido",Eventos7[FENOMENO],"F")</f>
        <v>1379</v>
      </c>
      <c r="P39" s="112">
        <f t="shared" si="0"/>
        <v>1379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f>Transportes!G39</f>
        <v>50</v>
      </c>
      <c r="V39" s="3"/>
    </row>
    <row r="40" spans="4:29" ht="15.75" customHeight="1">
      <c r="F40" s="103" t="s">
        <v>80</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80</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Huánuco</v>
      </c>
      <c r="S40" t="str">
        <f>TRIM(IF(Transportes!F40="TRÁNSITO INTERRUMPIDO","Interrumpido",IF(Transportes!F40="TRÁNSITO RESTRINGIDO","Restringido","Normal")))</f>
        <v>Restringido</v>
      </c>
      <c r="T40" t="str">
        <f>TRIM(IF(MID(TRIM(Transportes!H40),1,FIND("-",TRIM(Transportes!H40),1)-2)="Acción humana","H","F"))</f>
        <v>F</v>
      </c>
      <c r="U40" s="53">
        <f>Transportes!G40</f>
        <v>160</v>
      </c>
      <c r="V40" s="3"/>
    </row>
    <row r="41" spans="4:29" ht="15.75" customHeight="1">
      <c r="F41" s="107" t="s">
        <v>52</v>
      </c>
      <c r="G41" s="108">
        <f>SUM(G17:G40)</f>
        <v>4</v>
      </c>
      <c r="H41" s="108">
        <f>SUM(H17:H40)</f>
        <v>146</v>
      </c>
      <c r="I41" s="108">
        <f>SUM(I17:I40)</f>
        <v>1</v>
      </c>
      <c r="J41" s="108">
        <f>SUM(J17:J40)</f>
        <v>4</v>
      </c>
      <c r="K41" s="106">
        <f>SUM(K17:K40)</f>
        <v>155</v>
      </c>
      <c r="M41" s="107" t="s">
        <v>52</v>
      </c>
      <c r="N41" s="113">
        <f>SUM(N17:N40)</f>
        <v>316</v>
      </c>
      <c r="O41" s="113">
        <f>SUM(O17:O40)</f>
        <v>12081</v>
      </c>
      <c r="P41" s="114">
        <f>SUM(P17:P40)</f>
        <v>12397</v>
      </c>
      <c r="Q41" s="3"/>
      <c r="R41" t="str">
        <f>TRIM(MID(TRIM(Transportes!D41),1,FIND(CHAR(10),TRIM(Transportes!D41),1)-1))</f>
        <v>Amazonas</v>
      </c>
      <c r="S41" t="str">
        <f>TRIM(IF(Transportes!F41="TRÁNSITO INTERRUMPIDO","Interrumpido",IF(Transportes!F41="TRÁNSITO RESTRINGIDO","Restringido","Normal")))</f>
        <v>Restringido</v>
      </c>
      <c r="T41" t="str">
        <f>TRIM(IF(MID(TRIM(Transportes!H41),1,FIND("-",TRIM(Transportes!H41),1)-2)="Acción humana","H","F"))</f>
        <v>F</v>
      </c>
      <c r="U41" s="53">
        <f>Transportes!G41</f>
        <v>10</v>
      </c>
      <c r="V41" s="3"/>
    </row>
    <row r="42" spans="4:29" ht="15.75" customHeight="1">
      <c r="Q42" s="3"/>
      <c r="R42" t="str">
        <f>TRIM(MID(TRIM(Transportes!D42),1,FIND(CHAR(10),TRIM(Transportes!D42),1)-1))</f>
        <v>Ayacucho</v>
      </c>
      <c r="S42" t="str">
        <f>TRIM(IF(Transportes!F42="TRÁNSITO INTERRUMPIDO","Interrumpido",IF(Transportes!F42="TRÁNSITO RESTRINGIDO","Restringido","Normal")))</f>
        <v>Restringido</v>
      </c>
      <c r="T42" t="str">
        <f>TRIM(IF(MID(TRIM(Transportes!H42),1,FIND("-",TRIM(Transportes!H42),1)-2)="Acción humana","H","F"))</f>
        <v>F</v>
      </c>
      <c r="U42" s="53">
        <f>Transportes!G42</f>
        <v>15</v>
      </c>
      <c r="V42" s="3"/>
    </row>
    <row r="43" spans="4:29" ht="15.75" customHeight="1">
      <c r="D43" t="s">
        <v>0</v>
      </c>
      <c r="M43" s="276" t="s">
        <v>92</v>
      </c>
      <c r="N43" s="276"/>
      <c r="O43" s="276"/>
      <c r="P43" s="276"/>
      <c r="Q43" s="3"/>
      <c r="R43" t="str">
        <f>TRIM(MID(TRIM(Transportes!D43),1,FIND(CHAR(10),TRIM(Transportes!D43),1)-1))</f>
        <v>Cajamarca</v>
      </c>
      <c r="S43" t="str">
        <f>TRIM(IF(Transportes!F43="TRÁNSITO INTERRUMPIDO","Interrumpido",IF(Transportes!F43="TRÁNSITO RESTRINGIDO","Restringido","Normal")))</f>
        <v>Restringido</v>
      </c>
      <c r="T43" t="str">
        <f>TRIM(IF(MID(TRIM(Transportes!H43),1,FIND("-",TRIM(Transportes!H43),1)-2)="Acción humana","H","F"))</f>
        <v>F</v>
      </c>
      <c r="U43" s="53">
        <f>Transportes!G43</f>
        <v>31</v>
      </c>
      <c r="V43" s="3"/>
    </row>
    <row r="44" spans="4:29" ht="15.75" customHeight="1">
      <c r="M44" s="127" t="s">
        <v>89</v>
      </c>
      <c r="N44" s="127" t="s">
        <v>90</v>
      </c>
      <c r="O44" s="127" t="s">
        <v>91</v>
      </c>
      <c r="P44" s="127" t="s">
        <v>14</v>
      </c>
      <c r="Q44" s="3"/>
      <c r="R44" t="str">
        <f>TRIM(MID(TRIM(Transportes!D44),1,FIND(CHAR(10),TRIM(Transportes!D44),1)-1))</f>
        <v>Arequipa</v>
      </c>
      <c r="S44" t="str">
        <f>TRIM(IF(Transportes!F44="TRÁNSITO INTERRUMPIDO","Interrumpido",IF(Transportes!F44="TRÁNSITO RESTRINGIDO","Restringido","Normal")))</f>
        <v>Restringido</v>
      </c>
      <c r="T44" t="str">
        <f>TRIM(IF(MID(TRIM(Transportes!H44),1,FIND("-",TRIM(Transportes!H44),1)-2)="Acción humana","H","F"))</f>
        <v>F</v>
      </c>
      <c r="U44" s="53" t="str">
        <f>Transportes!G44</f>
        <v>-</v>
      </c>
      <c r="V44" s="3"/>
    </row>
    <row r="45" spans="4:29" ht="15.75" customHeight="1">
      <c r="M45" s="216" t="s">
        <v>338</v>
      </c>
      <c r="N45" s="216" t="s">
        <v>655</v>
      </c>
      <c r="O45" s="264" t="s">
        <v>446</v>
      </c>
      <c r="P45" s="264" t="s">
        <v>656</v>
      </c>
      <c r="Q45" s="3"/>
      <c r="R45" t="str">
        <f>TRIM(MID(TRIM(Transportes!D45),1,FIND(CHAR(10),TRIM(Transportes!D45),1)-1))</f>
        <v>Huánuco</v>
      </c>
      <c r="S45" t="str">
        <f>TRIM(IF(Transportes!F45="TRÁNSITO INTERRUMPIDO","Interrumpido",IF(Transportes!F45="TRÁNSITO RESTRINGIDO","Restringido","Normal")))</f>
        <v>Restringido</v>
      </c>
      <c r="T45" t="str">
        <f>TRIM(IF(MID(TRIM(Transportes!H45),1,FIND("-",TRIM(Transportes!H45),1)-2)="Acción humana","H","F"))</f>
        <v>F</v>
      </c>
      <c r="U45" s="53" t="str">
        <f>Transportes!G45</f>
        <v>-</v>
      </c>
      <c r="V45" s="3"/>
    </row>
    <row r="46" spans="4:29" ht="15.75" customHeight="1">
      <c r="M46" s="216" t="s">
        <v>71</v>
      </c>
      <c r="N46" s="216" t="s">
        <v>624</v>
      </c>
      <c r="O46" s="260" t="s">
        <v>623</v>
      </c>
      <c r="P46" s="260" t="s">
        <v>625</v>
      </c>
      <c r="Q46" s="3"/>
      <c r="R46" t="str">
        <f>TRIM(MID(TRIM(Transportes!D46),1,FIND(CHAR(10),TRIM(Transportes!D46),1)-1))</f>
        <v>Cusco</v>
      </c>
      <c r="S46" t="str">
        <f>TRIM(IF(Transportes!F46="TRÁNSITO INTERRUMPIDO","Interrumpido",IF(Transportes!F46="TRÁNSITO RESTRINGIDO","Restringido","Normal")))</f>
        <v>Restringido</v>
      </c>
      <c r="T46" t="str">
        <f>TRIM(IF(MID(TRIM(Transportes!H46),1,FIND("-",TRIM(Transportes!H46),1)-2)="Acción humana","H","F"))</f>
        <v>F</v>
      </c>
      <c r="U46" s="53">
        <f>Transportes!G46</f>
        <v>250</v>
      </c>
      <c r="V46" s="3"/>
    </row>
    <row r="47" spans="4:29" ht="15.75" customHeight="1">
      <c r="M47" s="216" t="s">
        <v>68</v>
      </c>
      <c r="N47" s="216" t="s">
        <v>527</v>
      </c>
      <c r="O47" s="238" t="s">
        <v>528</v>
      </c>
      <c r="P47" s="238" t="s">
        <v>529</v>
      </c>
      <c r="Q47" s="3"/>
      <c r="R47" t="str">
        <f>TRIM(MID(TRIM(Transportes!D47),1,FIND(CHAR(10),TRIM(Transportes!D47),1)-1))</f>
        <v>Piura</v>
      </c>
      <c r="S47" t="str">
        <f>TRIM(IF(Transportes!F47="TRÁNSITO INTERRUMPIDO","Interrumpido",IF(Transportes!F47="TRÁNSITO RESTRINGIDO","Restringido","Normal")))</f>
        <v>Restringido</v>
      </c>
      <c r="T47" t="str">
        <f>TRIM(IF(MID(TRIM(Transportes!H47),1,FIND("-",TRIM(Transportes!H47),1)-2)="Acción humana","H","F"))</f>
        <v>F</v>
      </c>
      <c r="U47" s="53">
        <f>Transportes!G47</f>
        <v>50</v>
      </c>
      <c r="V47" s="3"/>
    </row>
    <row r="48" spans="4:29" ht="15.75" customHeight="1">
      <c r="M48" s="225" t="s">
        <v>347</v>
      </c>
      <c r="N48" s="254" t="s">
        <v>519</v>
      </c>
      <c r="O48" s="217" t="s">
        <v>520</v>
      </c>
      <c r="P48" s="234" t="s">
        <v>521</v>
      </c>
      <c r="Q48" s="3"/>
      <c r="R48" t="str">
        <f>TRIM(MID(TRIM(Transportes!D48),1,FIND(CHAR(10),TRIM(Transportes!D48),1)-1))</f>
        <v>Pasco</v>
      </c>
      <c r="S48" t="str">
        <f>TRIM(IF(Transportes!F48="TRÁNSITO INTERRUMPIDO","Interrumpido",IF(Transportes!F48="TRÁNSITO RESTRINGIDO","Restringido","Normal")))</f>
        <v>Restringido</v>
      </c>
      <c r="T48" t="str">
        <f>TRIM(IF(MID(TRIM(Transportes!H48),1,FIND("-",TRIM(Transportes!H48),1)-2)="Acción humana","H","F"))</f>
        <v>F</v>
      </c>
      <c r="U48" s="53">
        <f>Transportes!G48</f>
        <v>120</v>
      </c>
      <c r="V48" s="3"/>
    </row>
    <row r="49" spans="7:22" ht="15.75" customHeight="1">
      <c r="M49" s="221" t="s">
        <v>338</v>
      </c>
      <c r="N49" s="216" t="s">
        <v>534</v>
      </c>
      <c r="O49" s="240" t="s">
        <v>533</v>
      </c>
      <c r="P49" s="218" t="s">
        <v>492</v>
      </c>
      <c r="Q49" s="3"/>
      <c r="R49" t="str">
        <f>TRIM(MID(TRIM(Transportes!D49),1,FIND(CHAR(10),TRIM(Transportes!D49),1)-1))</f>
        <v>Cajamarca</v>
      </c>
      <c r="S49" t="str">
        <f>TRIM(IF(Transportes!F49="TRÁNSITO INTERRUMPIDO","Interrumpido",IF(Transportes!F49="TRÁNSITO RESTRINGIDO","Restringido","Normal")))</f>
        <v>Restringido</v>
      </c>
      <c r="T49" t="str">
        <f>TRIM(IF(MID(TRIM(Transportes!H49),1,FIND("-",TRIM(Transportes!H49),1)-2)="Acción humana","H","F"))</f>
        <v>F</v>
      </c>
      <c r="U49" s="53">
        <f>Transportes!G49</f>
        <v>60</v>
      </c>
      <c r="V49" s="3"/>
    </row>
    <row r="50" spans="7:22" ht="15.75" customHeight="1">
      <c r="M50" s="219" t="s">
        <v>44</v>
      </c>
      <c r="N50" s="216" t="s">
        <v>493</v>
      </c>
      <c r="O50" s="218" t="s">
        <v>494</v>
      </c>
      <c r="P50" s="218" t="s">
        <v>492</v>
      </c>
      <c r="Q50" s="3"/>
      <c r="R50" t="str">
        <f>TRIM(MID(TRIM(Transportes!D50),1,FIND(CHAR(10),TRIM(Transportes!D50),1)-1))</f>
        <v>Cajamarca</v>
      </c>
      <c r="S50" t="str">
        <f>TRIM(IF(Transportes!F50="TRÁNSITO INTERRUMPIDO","Interrumpido",IF(Transportes!F50="TRÁNSITO RESTRINGIDO","Restringido","Normal")))</f>
        <v>Restringido</v>
      </c>
      <c r="T50" t="str">
        <f>TRIM(IF(MID(TRIM(Transportes!H50),1,FIND("-",TRIM(Transportes!H50),1)-2)="Acción humana","H","F"))</f>
        <v>F</v>
      </c>
      <c r="U50" s="53" t="str">
        <f>Transportes!G50</f>
        <v>-</v>
      </c>
      <c r="V50" s="3"/>
    </row>
    <row r="51" spans="7:22" ht="15.75" customHeight="1">
      <c r="M51" s="149" t="s">
        <v>41</v>
      </c>
      <c r="N51" s="254" t="s">
        <v>482</v>
      </c>
      <c r="O51" s="220" t="s">
        <v>481</v>
      </c>
      <c r="P51" s="218" t="s">
        <v>492</v>
      </c>
      <c r="Q51" s="3"/>
      <c r="R51" t="str">
        <f>TRIM(MID(TRIM(Transportes!D51),1,FIND(CHAR(10),TRIM(Transportes!D51),1)-1))</f>
        <v>Apurímac</v>
      </c>
      <c r="S51" t="str">
        <f>TRIM(IF(Transportes!F51="TRÁNSITO INTERRUMPIDO","Interrumpido",IF(Transportes!F51="TRÁNSITO RESTRINGIDO","Restringido","Normal")))</f>
        <v>Restringido</v>
      </c>
      <c r="T51" t="str">
        <f>TRIM(IF(MID(TRIM(Transportes!H51),1,FIND("-",TRIM(Transportes!H51),1)-2)="Acción humana","H","F"))</f>
        <v>F</v>
      </c>
      <c r="U51" s="53">
        <f>Transportes!G51</f>
        <v>5</v>
      </c>
      <c r="V51" s="3"/>
    </row>
    <row r="52" spans="7:22" ht="15.75" customHeight="1">
      <c r="M52" s="221" t="s">
        <v>445</v>
      </c>
      <c r="N52" s="254" t="s">
        <v>444</v>
      </c>
      <c r="O52" s="222" t="s">
        <v>93</v>
      </c>
      <c r="P52" s="222" t="s">
        <v>443</v>
      </c>
      <c r="Q52" s="3"/>
      <c r="R52" t="str">
        <f>TRIM(MID(TRIM(Transportes!D52),1,FIND(CHAR(10),TRIM(Transportes!D52),1)-1))</f>
        <v>Junín</v>
      </c>
      <c r="S52" t="str">
        <f>TRIM(IF(Transportes!F52="TRÁNSITO INTERRUMPIDO","Interrumpido",IF(Transportes!F52="TRÁNSITO RESTRINGIDO","Restringido","Normal")))</f>
        <v>Restringido</v>
      </c>
      <c r="T52" t="str">
        <f>TRIM(IF(MID(TRIM(Transportes!H52),1,FIND("-",TRIM(Transportes!H52),1)-2)="Acción humana","H","F"))</f>
        <v>F</v>
      </c>
      <c r="U52" s="53" t="str">
        <f>Transportes!G52</f>
        <v>-</v>
      </c>
      <c r="V52" s="3"/>
    </row>
    <row r="53" spans="7:22" ht="15.75" customHeight="1">
      <c r="M53" s="221" t="s">
        <v>338</v>
      </c>
      <c r="N53" s="254" t="s">
        <v>452</v>
      </c>
      <c r="O53" s="222" t="s">
        <v>446</v>
      </c>
      <c r="P53" s="222" t="s">
        <v>443</v>
      </c>
      <c r="Q53" s="3"/>
      <c r="R53" t="str">
        <f>TRIM(MID(TRIM(Transportes!D53),1,FIND(CHAR(10),TRIM(Transportes!D53),1)-1))</f>
        <v>Tumbes</v>
      </c>
      <c r="S53" t="str">
        <f>TRIM(IF(Transportes!F53="TRÁNSITO INTERRUMPIDO","Interrumpido",IF(Transportes!F53="TRÁNSITO RESTRINGIDO","Restringido","Normal")))</f>
        <v>Restringido</v>
      </c>
      <c r="T53" t="str">
        <f>TRIM(IF(MID(TRIM(Transportes!H53),1,FIND("-",TRIM(Transportes!H53),1)-2)="Acción humana","H","F"))</f>
        <v>F</v>
      </c>
      <c r="U53" s="53">
        <f>Transportes!G53</f>
        <v>900</v>
      </c>
      <c r="V53" s="3"/>
    </row>
    <row r="54" spans="7:22" ht="15.75" customHeight="1">
      <c r="M54" s="221" t="s">
        <v>338</v>
      </c>
      <c r="N54" s="254" t="s">
        <v>394</v>
      </c>
      <c r="O54" s="223" t="s">
        <v>451</v>
      </c>
      <c r="P54" s="224" t="s">
        <v>395</v>
      </c>
      <c r="Q54" s="3"/>
      <c r="R54" t="str">
        <f>TRIM(MID(TRIM(Transportes!D54),1,FIND(CHAR(10),TRIM(Transportes!D54),1)-1))</f>
        <v>Cajamarca</v>
      </c>
      <c r="S54" t="str">
        <f>TRIM(IF(Transportes!F54="TRÁNSITO INTERRUMPIDO","Interrumpido",IF(Transportes!F54="TRÁNSITO RESTRINGIDO","Restringido","Normal")))</f>
        <v>Restringido</v>
      </c>
      <c r="T54" t="str">
        <f>TRIM(IF(MID(TRIM(Transportes!H54),1,FIND("-",TRIM(Transportes!H54),1)-2)="Acción humana","H","F"))</f>
        <v>F</v>
      </c>
      <c r="U54" s="53" t="str">
        <f>Transportes!G54</f>
        <v>-</v>
      </c>
      <c r="V54" s="3"/>
    </row>
    <row r="55" spans="7:22" ht="15.75" customHeight="1">
      <c r="M55" s="225" t="s">
        <v>347</v>
      </c>
      <c r="N55" s="254" t="s">
        <v>348</v>
      </c>
      <c r="O55" s="226" t="s">
        <v>349</v>
      </c>
      <c r="P55" s="226" t="s">
        <v>350</v>
      </c>
      <c r="Q55" s="3"/>
      <c r="R55" t="str">
        <f>TRIM(MID(TRIM(Transportes!D55),1,FIND(CHAR(10),TRIM(Transportes!D55),1)-1))</f>
        <v>Cajamarca</v>
      </c>
      <c r="S55" t="str">
        <f>TRIM(IF(Transportes!F55="TRÁNSITO INTERRUMPIDO","Interrumpido",IF(Transportes!F55="TRÁNSITO RESTRINGIDO","Restringido","Normal")))</f>
        <v>Restringido</v>
      </c>
      <c r="T55" t="str">
        <f>TRIM(IF(MID(TRIM(Transportes!H55),1,FIND("-",TRIM(Transportes!H55),1)-2)="Acción humana","H","F"))</f>
        <v>F</v>
      </c>
      <c r="U55" s="53" t="str">
        <f>Transportes!G55</f>
        <v>-</v>
      </c>
      <c r="V55" s="3"/>
    </row>
    <row r="56" spans="7:22" ht="15.75" customHeight="1">
      <c r="M56" s="227" t="s">
        <v>44</v>
      </c>
      <c r="N56" s="254" t="s">
        <v>388</v>
      </c>
      <c r="O56" s="228" t="s">
        <v>387</v>
      </c>
      <c r="P56" s="229" t="s">
        <v>339</v>
      </c>
      <c r="Q56" s="3"/>
      <c r="R56" t="str">
        <f>TRIM(MID(TRIM(Transportes!D56),1,FIND(CHAR(10),TRIM(Transportes!D56),1)-1))</f>
        <v>San Martín</v>
      </c>
      <c r="S56" t="str">
        <f>TRIM(IF(Transportes!F56="TRÁNSITO INTERRUMPIDO","Interrumpido",IF(Transportes!F56="TRÁNSITO RESTRINGIDO","Restringido","Normal")))</f>
        <v>Restringido</v>
      </c>
      <c r="T56" t="str">
        <f>TRIM(IF(MID(TRIM(Transportes!H56),1,FIND("-",TRIM(Transportes!H56),1)-2)="Acción humana","H","F"))</f>
        <v>F</v>
      </c>
      <c r="U56" s="53">
        <f>Transportes!G56</f>
        <v>600</v>
      </c>
      <c r="V56" s="3"/>
    </row>
    <row r="57" spans="7:22" ht="15.75" customHeight="1">
      <c r="M57" s="230" t="s">
        <v>77</v>
      </c>
      <c r="N57" s="255" t="s">
        <v>294</v>
      </c>
      <c r="O57" s="155" t="s">
        <v>93</v>
      </c>
      <c r="P57" s="155" t="s">
        <v>296</v>
      </c>
      <c r="Q57" s="3"/>
      <c r="R57" t="str">
        <f>TRIM(MID(TRIM(Transportes!D57),1,FIND(CHAR(10),TRIM(Transportes!D57),1)-1))</f>
        <v>Amazonas</v>
      </c>
      <c r="S57" t="str">
        <f>TRIM(IF(Transportes!F57="TRÁNSITO INTERRUMPIDO","Interrumpido",IF(Transportes!F57="TRÁNSITO RESTRINGIDO","Restringido","Normal")))</f>
        <v>Restringido</v>
      </c>
      <c r="T57" t="str">
        <f>TRIM(IF(MID(TRIM(Transportes!H57),1,FIND("-",TRIM(Transportes!H57),1)-2)="Acción humana","H","F"))</f>
        <v>F</v>
      </c>
      <c r="U57" s="53">
        <f>Transportes!G57</f>
        <v>10</v>
      </c>
      <c r="V57" s="3"/>
    </row>
    <row r="58" spans="7:22" ht="15.75" customHeight="1">
      <c r="M58" s="230" t="s">
        <v>66</v>
      </c>
      <c r="N58" s="255" t="s">
        <v>272</v>
      </c>
      <c r="O58" s="231" t="s">
        <v>93</v>
      </c>
      <c r="P58" s="155" t="s">
        <v>248</v>
      </c>
      <c r="Q58" s="3"/>
      <c r="R58" t="str">
        <f>TRIM(MID(TRIM(Transportes!D58),1,FIND(CHAR(10),TRIM(Transportes!D58),1)-1))</f>
        <v>Cajamarca</v>
      </c>
      <c r="S58" t="str">
        <f>TRIM(IF(Transportes!F58="TRÁNSITO INTERRUMPIDO","Interrumpido",IF(Transportes!F58="TRÁNSITO RESTRINGIDO","Restringido","Normal")))</f>
        <v>Restringido</v>
      </c>
      <c r="T58" t="str">
        <f>TRIM(IF(MID(TRIM(Transportes!H58),1,FIND("-",TRIM(Transportes!H58),1)-2)="Acción humana","H","F"))</f>
        <v>F</v>
      </c>
      <c r="U58" s="53">
        <f>Transportes!G58</f>
        <v>50</v>
      </c>
      <c r="V58" s="3"/>
    </row>
    <row r="59" spans="7:22" ht="15.75" customHeight="1">
      <c r="M59" s="232" t="s">
        <v>79</v>
      </c>
      <c r="N59" s="255" t="s">
        <v>237</v>
      </c>
      <c r="O59" s="146" t="s">
        <v>173</v>
      </c>
      <c r="P59" s="146" t="s">
        <v>233</v>
      </c>
      <c r="Q59" s="3"/>
      <c r="R59" t="str">
        <f>TRIM(MID(TRIM(Transportes!D59),1,FIND(CHAR(10),TRIM(Transportes!D59),1)-1))</f>
        <v>Cajamarca</v>
      </c>
      <c r="S59" t="str">
        <f>TRIM(IF(Transportes!F59="TRÁNSITO INTERRUMPIDO","Interrumpido",IF(Transportes!F59="TRÁNSITO RESTRINGIDO","Restringido","Normal")))</f>
        <v>Restringido</v>
      </c>
      <c r="T59" t="str">
        <f>TRIM(IF(MID(TRIM(Transportes!H59),1,FIND("-",TRIM(Transportes!H59),1)-2)="Acción humana","H","F"))</f>
        <v>F</v>
      </c>
      <c r="U59" s="53">
        <f>Transportes!G59</f>
        <v>80</v>
      </c>
      <c r="V59" s="3"/>
    </row>
    <row r="60" spans="7:22" ht="15.75" customHeight="1">
      <c r="M60" s="230" t="s">
        <v>76</v>
      </c>
      <c r="N60" s="255" t="s">
        <v>232</v>
      </c>
      <c r="O60" s="155" t="s">
        <v>198</v>
      </c>
      <c r="P60" s="155" t="s">
        <v>233</v>
      </c>
      <c r="Q60" s="3"/>
      <c r="R60" t="str">
        <f>TRIM(MID(TRIM(Transportes!D60),1,FIND(CHAR(10),TRIM(Transportes!D60),1)-1))</f>
        <v>Cajamarca</v>
      </c>
      <c r="S60" t="str">
        <f>TRIM(IF(Transportes!F60="TRÁNSITO INTERRUMPIDO","Interrumpido",IF(Transportes!F60="TRÁNSITO RESTRINGIDO","Restringido","Normal")))</f>
        <v>Restringido</v>
      </c>
      <c r="T60" t="str">
        <f>TRIM(IF(MID(TRIM(Transportes!H60),1,FIND("-",TRIM(Transportes!H60),1)-2)="Acción humana","H","F"))</f>
        <v>F</v>
      </c>
      <c r="U60" s="53">
        <f>Transportes!G60</f>
        <v>80</v>
      </c>
      <c r="V60" s="3"/>
    </row>
    <row r="61" spans="7:22" ht="15.75" customHeight="1">
      <c r="M61" s="232" t="s">
        <v>42</v>
      </c>
      <c r="N61" s="255" t="s">
        <v>422</v>
      </c>
      <c r="O61" s="147" t="s">
        <v>223</v>
      </c>
      <c r="P61" s="146" t="s">
        <v>221</v>
      </c>
      <c r="Q61" s="3"/>
      <c r="R61" t="str">
        <f>TRIM(MID(TRIM(Transportes!D61),1,FIND(CHAR(10),TRIM(Transportes!D61),1)-1))</f>
        <v>Huancavelica</v>
      </c>
      <c r="S61" t="str">
        <f>TRIM(IF(Transportes!F61="TRÁNSITO INTERRUMPIDO","Interrumpido",IF(Transportes!F61="TRÁNSITO RESTRINGIDO","Restringido","Normal")))</f>
        <v>Restringido</v>
      </c>
      <c r="T61" t="str">
        <f>TRIM(IF(MID(TRIM(Transportes!H61),1,FIND("-",TRIM(Transportes!H61),1)-2)="Acción humana","H","F"))</f>
        <v>F</v>
      </c>
      <c r="U61" s="53">
        <f>Transportes!G61</f>
        <v>40</v>
      </c>
      <c r="V61" s="3"/>
    </row>
    <row r="62" spans="7:22" ht="15.75" customHeight="1">
      <c r="G62"/>
      <c r="M62" s="233" t="s">
        <v>72</v>
      </c>
      <c r="N62" s="255" t="s">
        <v>215</v>
      </c>
      <c r="O62" s="146" t="s">
        <v>173</v>
      </c>
      <c r="P62" s="146" t="s">
        <v>222</v>
      </c>
      <c r="R62" t="str">
        <f>TRIM(MID(TRIM(Transportes!D62),1,FIND(CHAR(10),TRIM(Transportes!D62),1)-1))</f>
        <v>Puno</v>
      </c>
      <c r="S62" t="str">
        <f>TRIM(IF(Transportes!F62="TRÁNSITO INTERRUMPIDO","Interrumpido",IF(Transportes!F62="TRÁNSITO RESTRINGIDO","Restringido","Normal")))</f>
        <v>Restringido</v>
      </c>
      <c r="T62" t="str">
        <f>TRIM(IF(MID(TRIM(Transportes!H62),1,FIND("-",TRIM(Transportes!H62),1)-2)="Acción humana","H","F"))</f>
        <v>F</v>
      </c>
      <c r="U62" s="53">
        <f>Transportes!G62</f>
        <v>600</v>
      </c>
    </row>
    <row r="63" spans="7:22" ht="15.75" customHeight="1">
      <c r="G63"/>
      <c r="M63" s="150" t="s">
        <v>44</v>
      </c>
      <c r="N63" s="254" t="s">
        <v>216</v>
      </c>
      <c r="O63" s="155" t="s">
        <v>97</v>
      </c>
      <c r="P63" s="155" t="s">
        <v>203</v>
      </c>
      <c r="R63" t="str">
        <f>TRIM(MID(TRIM(Transportes!D63),1,FIND(CHAR(10),TRIM(Transportes!D63),1)-1))</f>
        <v>Junín</v>
      </c>
      <c r="S63" t="str">
        <f>TRIM(IF(Transportes!F63="TRÁNSITO INTERRUMPIDO","Interrumpido",IF(Transportes!F63="TRÁNSITO RESTRINGIDO","Restringido","Normal")))</f>
        <v>Restringido</v>
      </c>
      <c r="T63" t="str">
        <f>TRIM(IF(MID(TRIM(Transportes!H63),1,FIND("-",TRIM(Transportes!H63),1)-2)="Acción humana","H","F"))</f>
        <v>F</v>
      </c>
      <c r="U63" s="53">
        <f>Transportes!G63</f>
        <v>25</v>
      </c>
    </row>
    <row r="64" spans="7:22" ht="15.75" customHeight="1">
      <c r="G64"/>
      <c r="M64" s="149" t="s">
        <v>79</v>
      </c>
      <c r="N64" s="254" t="s">
        <v>178</v>
      </c>
      <c r="O64" s="146" t="s">
        <v>173</v>
      </c>
      <c r="P64" s="146" t="s">
        <v>203</v>
      </c>
      <c r="R64" t="str">
        <f>TRIM(MID(TRIM(Transportes!D64),1,FIND(CHAR(10),TRIM(Transportes!D64),1)-1))</f>
        <v>Amazonas</v>
      </c>
      <c r="S64" t="str">
        <f>TRIM(IF(Transportes!F64="TRÁNSITO INTERRUMPIDO","Interrumpido",IF(Transportes!F64="TRÁNSITO RESTRINGIDO","Restringido","Normal")))</f>
        <v>Restringido</v>
      </c>
      <c r="T64" t="str">
        <f>TRIM(IF(MID(TRIM(Transportes!H64),1,FIND("-",TRIM(Transportes!H64),1)-2)="Acción humana","H","F"))</f>
        <v>F</v>
      </c>
      <c r="U64" s="53">
        <f>Transportes!G64</f>
        <v>16</v>
      </c>
    </row>
    <row r="65" spans="2:22" ht="15.75" customHeight="1">
      <c r="G65"/>
      <c r="M65" s="149" t="s">
        <v>66</v>
      </c>
      <c r="N65" s="254" t="s">
        <v>196</v>
      </c>
      <c r="O65" s="155" t="s">
        <v>193</v>
      </c>
      <c r="P65" s="155" t="s">
        <v>194</v>
      </c>
      <c r="R65" t="str">
        <f>TRIM(MID(TRIM(Transportes!D65),1,FIND(CHAR(10),TRIM(Transportes!D65),1)-1))</f>
        <v>La Libertad</v>
      </c>
      <c r="S65" t="str">
        <f>TRIM(IF(Transportes!F65="TRÁNSITO INTERRUMPIDO","Interrumpido",IF(Transportes!F65="TRÁNSITO RESTRINGIDO","Restringido","Normal")))</f>
        <v>Restringido</v>
      </c>
      <c r="T65" t="str">
        <f>TRIM(IF(MID(TRIM(Transportes!H65),1,FIND("-",TRIM(Transportes!H65),1)-2)="Acción humana","H","F"))</f>
        <v>F</v>
      </c>
      <c r="U65" s="53">
        <f>Transportes!G65</f>
        <v>130</v>
      </c>
    </row>
    <row r="66" spans="2:22" ht="15.75" customHeight="1">
      <c r="G66"/>
      <c r="M66" s="149" t="s">
        <v>41</v>
      </c>
      <c r="N66" s="254" t="s">
        <v>176</v>
      </c>
      <c r="O66" s="147" t="s">
        <v>173</v>
      </c>
      <c r="P66" s="146" t="s">
        <v>174</v>
      </c>
      <c r="R66" t="str">
        <f>TRIM(MID(TRIM(Transportes!D66),1,FIND(CHAR(10),TRIM(Transportes!D66),1)-1))</f>
        <v>Amazonas</v>
      </c>
      <c r="S66" t="str">
        <f>TRIM(IF(Transportes!F66="TRÁNSITO INTERRUMPIDO","Interrumpido",IF(Transportes!F66="TRÁNSITO RESTRINGIDO","Restringido","Normal")))</f>
        <v>Restringido</v>
      </c>
      <c r="T66" t="str">
        <f>TRIM(IF(MID(TRIM(Transportes!H66),1,FIND("-",TRIM(Transportes!H66),1)-2)="Acción humana","H","F"))</f>
        <v>F</v>
      </c>
      <c r="U66" s="53">
        <f>Transportes!G66</f>
        <v>100</v>
      </c>
    </row>
    <row r="67" spans="2:22" ht="15.75" customHeight="1">
      <c r="G67"/>
      <c r="M67" s="149" t="s">
        <v>79</v>
      </c>
      <c r="N67" s="254" t="s">
        <v>177</v>
      </c>
      <c r="O67" s="148" t="s">
        <v>173</v>
      </c>
      <c r="P67" s="147" t="s">
        <v>174</v>
      </c>
      <c r="R67" t="str">
        <f>TRIM(MID(TRIM(Transportes!D67),1,FIND(CHAR(10),TRIM(Transportes!D67),1)-1))</f>
        <v>Cajamarca</v>
      </c>
      <c r="S67" t="str">
        <f>TRIM(IF(Transportes!F67="TRÁNSITO INTERRUMPIDO","Interrumpido",IF(Transportes!F67="TRÁNSITO RESTRINGIDO","Restringido","Normal")))</f>
        <v>Restringido</v>
      </c>
      <c r="T67" t="str">
        <f>TRIM(IF(MID(TRIM(Transportes!H67),1,FIND("-",TRIM(Transportes!H67),1)-2)="Acción humana","H","F"))</f>
        <v>F</v>
      </c>
      <c r="U67" s="53">
        <f>Transportes!G67</f>
        <v>35</v>
      </c>
    </row>
    <row r="68" spans="2:22" ht="15.75" customHeight="1">
      <c r="G68"/>
      <c r="M68" s="149" t="s">
        <v>80</v>
      </c>
      <c r="N68" s="254" t="s">
        <v>156</v>
      </c>
      <c r="O68" s="146" t="s">
        <v>93</v>
      </c>
      <c r="P68" s="146" t="s">
        <v>154</v>
      </c>
      <c r="R68" t="str">
        <f>TRIM(MID(TRIM(Transportes!D68),1,FIND(CHAR(10),TRIM(Transportes!D68),1)-1))</f>
        <v>La Libertad</v>
      </c>
      <c r="S68" t="str">
        <f>TRIM(IF(Transportes!F68="TRÁNSITO INTERRUMPIDO","Interrumpido",IF(Transportes!F68="TRÁNSITO RESTRINGIDO","Restringido","Normal")))</f>
        <v>Restringido</v>
      </c>
      <c r="T68" t="str">
        <f>TRIM(IF(MID(TRIM(Transportes!H68),1,FIND("-",TRIM(Transportes!H68),1)-2)="Acción humana","H","F"))</f>
        <v>F</v>
      </c>
      <c r="U68" s="53">
        <f>Transportes!G68</f>
        <v>120</v>
      </c>
    </row>
    <row r="69" spans="2:22" ht="15.75" customHeight="1">
      <c r="G69"/>
      <c r="M69" s="149" t="s">
        <v>80</v>
      </c>
      <c r="N69" s="254" t="s">
        <v>94</v>
      </c>
      <c r="O69" s="155" t="s">
        <v>93</v>
      </c>
      <c r="P69" s="155" t="s">
        <v>125</v>
      </c>
      <c r="R69" t="str">
        <f>TRIM(MID(TRIM(Transportes!D69),1,FIND(CHAR(10),TRIM(Transportes!D69),1)-1))</f>
        <v>Áncash</v>
      </c>
      <c r="S69" t="str">
        <f>TRIM(IF(Transportes!F69="TRÁNSITO INTERRUMPIDO","Interrumpido",IF(Transportes!F69="TRÁNSITO RESTRINGIDO","Restringido","Normal")))</f>
        <v>Restringido</v>
      </c>
      <c r="T69" t="str">
        <f>TRIM(IF(MID(TRIM(Transportes!H69),1,FIND("-",TRIM(Transportes!H69),1)-2)="Acción humana","H","F"))</f>
        <v>F</v>
      </c>
      <c r="U69" s="53">
        <f>Transportes!G69</f>
        <v>45</v>
      </c>
    </row>
    <row r="70" spans="2:22" ht="15.75" customHeight="1">
      <c r="G70"/>
      <c r="M70" s="149" t="s">
        <v>80</v>
      </c>
      <c r="N70" s="254" t="s">
        <v>95</v>
      </c>
      <c r="O70" s="146" t="s">
        <v>93</v>
      </c>
      <c r="P70" s="146" t="s">
        <v>125</v>
      </c>
      <c r="R70" t="str">
        <f>TRIM(MID(TRIM(Transportes!D70),1,FIND(CHAR(10),TRIM(Transportes!D70),1)-1))</f>
        <v>Junín</v>
      </c>
      <c r="S70" t="str">
        <f>TRIM(IF(Transportes!F70="TRÁNSITO INTERRUMPIDO","Interrumpido",IF(Transportes!F70="TRÁNSITO RESTRINGIDO","Restringido","Normal")))</f>
        <v>Restringido</v>
      </c>
      <c r="T70" t="str">
        <f>TRIM(IF(MID(TRIM(Transportes!H70),1,FIND("-",TRIM(Transportes!H70),1)-2)="Acción humana","H","F"))</f>
        <v>F</v>
      </c>
      <c r="U70" s="53">
        <f>Transportes!G70</f>
        <v>150</v>
      </c>
    </row>
    <row r="71" spans="2:22" ht="15.75" customHeight="1">
      <c r="B71" s="212" t="s">
        <v>143</v>
      </c>
      <c r="G71"/>
      <c r="M71" s="149" t="s">
        <v>44</v>
      </c>
      <c r="N71" s="254" t="s">
        <v>96</v>
      </c>
      <c r="O71" s="155" t="s">
        <v>97</v>
      </c>
      <c r="P71" s="155" t="s">
        <v>98</v>
      </c>
      <c r="R71" t="str">
        <f>TRIM(MID(TRIM(Transportes!D71),1,FIND(CHAR(10),TRIM(Transportes!D71),1)-1))</f>
        <v>Junín</v>
      </c>
      <c r="S71" t="str">
        <f>TRIM(IF(Transportes!F71="TRÁNSITO INTERRUMPIDO","Interrumpido",IF(Transportes!F71="TRÁNSITO RESTRINGIDO","Restringido","Normal")))</f>
        <v>Restringido</v>
      </c>
      <c r="T71" t="str">
        <f>TRIM(IF(MID(TRIM(Transportes!H71),1,FIND("-",TRIM(Transportes!H71),1)-2)="Acción humana","H","F"))</f>
        <v>F</v>
      </c>
      <c r="U71" s="53">
        <f>Transportes!G71</f>
        <v>80</v>
      </c>
    </row>
    <row r="72" spans="2:22" ht="15.75" customHeight="1">
      <c r="G72"/>
      <c r="R72" t="str">
        <f>TRIM(MID(TRIM(Transportes!D72),1,FIND(CHAR(10),TRIM(Transportes!D72),1)-1))</f>
        <v>La Libertad</v>
      </c>
      <c r="S72" t="str">
        <f>TRIM(IF(Transportes!F72="TRÁNSITO INTERRUMPIDO","Interrumpido",IF(Transportes!F72="TRÁNSITO RESTRINGIDO","Restringido","Normal")))</f>
        <v>Restringido</v>
      </c>
      <c r="T72" t="str">
        <f>TRIM(IF(MID(TRIM(Transportes!H72),1,FIND("-",TRIM(Transportes!H72),1)-2)="Acción humana","H","F"))</f>
        <v>F</v>
      </c>
      <c r="U72" s="53">
        <f>Transportes!G72</f>
        <v>50</v>
      </c>
    </row>
    <row r="73" spans="2:22" ht="13.5" customHeight="1">
      <c r="B73" s="63"/>
      <c r="G73"/>
      <c r="R73" t="str">
        <f>TRIM(MID(TRIM(Transportes!D73),1,FIND(CHAR(10),TRIM(Transportes!D73),1)-1))</f>
        <v>Ica</v>
      </c>
      <c r="S73" t="str">
        <f>TRIM(IF(Transportes!F73="TRÁNSITO INTERRUMPIDO","Interrumpido",IF(Transportes!F73="TRÁNSITO RESTRINGIDO","Restringido","Normal")))</f>
        <v>Restringido</v>
      </c>
      <c r="T73" t="str">
        <f>TRIM(IF(MID(TRIM(Transportes!H73),1,FIND("-",TRIM(Transportes!H73),1)-2)="Acción humana","H","F"))</f>
        <v>F</v>
      </c>
      <c r="U73" s="53">
        <f>Transportes!G73</f>
        <v>135</v>
      </c>
    </row>
    <row r="74" spans="2:22" ht="13.5" customHeight="1">
      <c r="G74"/>
      <c r="R74" t="str">
        <f>TRIM(MID(TRIM(Transportes!D74),1,FIND(CHAR(10),TRIM(Transportes!D74),1)-1))</f>
        <v>Piura</v>
      </c>
      <c r="S74" t="str">
        <f>TRIM(IF(Transportes!F74="TRÁNSITO INTERRUMPIDO","Interrumpido",IF(Transportes!F74="TRÁNSITO RESTRINGIDO","Restringido","Normal")))</f>
        <v>Restringido</v>
      </c>
      <c r="T74" t="str">
        <f>TRIM(IF(MID(TRIM(Transportes!H74),1,FIND("-",TRIM(Transportes!H74),1)-2)="Acción humana","H","F"))</f>
        <v>F</v>
      </c>
      <c r="U74" s="53">
        <f>Transportes!G74</f>
        <v>30</v>
      </c>
    </row>
    <row r="75" spans="2:22" ht="14.25" customHeight="1">
      <c r="Q75" s="3"/>
      <c r="R75" t="str">
        <f>TRIM(MID(TRIM(Transportes!D75),1,FIND(CHAR(10),TRIM(Transportes!D75),1)-1))</f>
        <v>Piura</v>
      </c>
      <c r="S75" t="str">
        <f>TRIM(IF(Transportes!F75="TRÁNSITO INTERRUMPIDO","Interrumpido",IF(Transportes!F75="TRÁNSITO RESTRINGIDO","Restringido","Normal")))</f>
        <v>Restringido</v>
      </c>
      <c r="T75" t="str">
        <f>TRIM(IF(MID(TRIM(Transportes!H75),1,FIND("-",TRIM(Transportes!H75),1)-2)="Acción humana","H","F"))</f>
        <v>F</v>
      </c>
      <c r="U75" s="53">
        <f>Transportes!G75</f>
        <v>100</v>
      </c>
      <c r="V75" s="3"/>
    </row>
    <row r="76" spans="2:22" ht="14.25" customHeight="1">
      <c r="Q76" s="3"/>
      <c r="R76" t="str">
        <f>TRIM(MID(TRIM(Transportes!D76),1,FIND(CHAR(10),TRIM(Transportes!D76),1)-1))</f>
        <v>Ayacucho</v>
      </c>
      <c r="S76" t="str">
        <f>TRIM(IF(Transportes!F76="TRÁNSITO INTERRUMPIDO","Interrumpido",IF(Transportes!F76="TRÁNSITO RESTRINGIDO","Restringido","Normal")))</f>
        <v>Restringido</v>
      </c>
      <c r="T76" t="str">
        <f>TRIM(IF(MID(TRIM(Transportes!H76),1,FIND("-",TRIM(Transportes!H76),1)-2)="Acción humana","H","F"))</f>
        <v>F</v>
      </c>
      <c r="U76" s="53">
        <f>Transportes!G76</f>
        <v>70</v>
      </c>
      <c r="V76" s="3"/>
    </row>
    <row r="77" spans="2:22" ht="14.25" customHeight="1">
      <c r="R77" t="str">
        <f>TRIM(MID(TRIM(Transportes!D77),1,FIND(CHAR(10),TRIM(Transportes!D77),1)-1))</f>
        <v>Cusco</v>
      </c>
      <c r="S77" t="str">
        <f>TRIM(IF(Transportes!F77="TRÁNSITO INTERRUMPIDO","Interrumpido",IF(Transportes!F77="TRÁNSITO RESTRINGIDO","Restringido","Normal")))</f>
        <v>Restringido</v>
      </c>
      <c r="T77" t="str">
        <f>TRIM(IF(MID(TRIM(Transportes!H77),1,FIND("-",TRIM(Transportes!H77),1)-2)="Acción humana","H","F"))</f>
        <v>F</v>
      </c>
      <c r="U77" s="53" t="str">
        <f>Transportes!G77</f>
        <v>-</v>
      </c>
    </row>
    <row r="78" spans="2:22" ht="14.25" customHeight="1">
      <c r="R78" t="str">
        <f>TRIM(MID(TRIM(Transportes!D78),1,FIND(CHAR(10),TRIM(Transportes!D78),1)-1))</f>
        <v>Piura</v>
      </c>
      <c r="S78" t="str">
        <f>TRIM(IF(Transportes!F78="TRÁNSITO INTERRUMPIDO","Interrumpido",IF(Transportes!F78="TRÁNSITO RESTRINGIDO","Restringido","Normal")))</f>
        <v>Restringido</v>
      </c>
      <c r="T78" t="str">
        <f>TRIM(IF(MID(TRIM(Transportes!H78),1,FIND("-",TRIM(Transportes!H78),1)-2)="Acción humana","H","F"))</f>
        <v>F</v>
      </c>
      <c r="U78" s="53">
        <f>Transportes!G78</f>
        <v>150</v>
      </c>
    </row>
    <row r="79" spans="2:22" ht="14.25" customHeight="1">
      <c r="R79" t="str">
        <f>TRIM(MID(TRIM(Transportes!D79),1,FIND(CHAR(10),TRIM(Transportes!D79),1)-1))</f>
        <v>Áncash</v>
      </c>
      <c r="S79" t="str">
        <f>TRIM(IF(Transportes!F79="TRÁNSITO INTERRUMPIDO","Interrumpido",IF(Transportes!F79="TRÁNSITO RESTRINGIDO","Restringido","Normal")))</f>
        <v>Restringido</v>
      </c>
      <c r="T79" t="str">
        <f>TRIM(IF(MID(TRIM(Transportes!H79),1,FIND("-",TRIM(Transportes!H79),1)-2)="Acción humana","H","F"))</f>
        <v>F</v>
      </c>
      <c r="U79" s="53">
        <f>Transportes!G79</f>
        <v>28</v>
      </c>
    </row>
    <row r="80" spans="2:22" ht="14.25" customHeight="1">
      <c r="R80" t="str">
        <f>TRIM(MID(TRIM(Transportes!D80),1,FIND(CHAR(10),TRIM(Transportes!D80),1)-1))</f>
        <v>San Martín</v>
      </c>
      <c r="S80" t="str">
        <f>TRIM(IF(Transportes!F80="TRÁNSITO INTERRUMPIDO","Interrumpido",IF(Transportes!F80="TRÁNSITO RESTRINGIDO","Restringido","Normal")))</f>
        <v>Restringido</v>
      </c>
      <c r="T80" t="str">
        <f>TRIM(IF(MID(TRIM(Transportes!H80),1,FIND("-",TRIM(Transportes!H80),1)-2)="Acción humana","H","F"))</f>
        <v>H</v>
      </c>
      <c r="U80" s="53">
        <f>Transportes!G80</f>
        <v>300</v>
      </c>
    </row>
    <row r="81" spans="18:21" ht="14.25" customHeight="1">
      <c r="R81" t="str">
        <f>TRIM(MID(TRIM(Transportes!D81),1,FIND(CHAR(10),TRIM(Transportes!D81),1)-1))</f>
        <v>Junín</v>
      </c>
      <c r="S81" t="str">
        <f>TRIM(IF(Transportes!F81="TRÁNSITO INTERRUMPIDO","Interrumpido",IF(Transportes!F81="TRÁNSITO RESTRINGIDO","Restringido","Normal")))</f>
        <v>Restringido</v>
      </c>
      <c r="T81" t="str">
        <f>TRIM(IF(MID(TRIM(Transportes!H81),1,FIND("-",TRIM(Transportes!H81),1)-2)="Acción humana","H","F"))</f>
        <v>F</v>
      </c>
      <c r="U81" s="53">
        <f>Transportes!G81</f>
        <v>50</v>
      </c>
    </row>
    <row r="82" spans="18:21" ht="14.25" customHeight="1">
      <c r="R82" t="str">
        <f>TRIM(MID(TRIM(Transportes!D82),1,FIND(CHAR(10),TRIM(Transportes!D82),1)-1))</f>
        <v>San Martín</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San Martín</v>
      </c>
      <c r="S83" t="str">
        <f>TRIM(IF(Transportes!F83="TRÁNSITO INTERRUMPIDO","Interrumpido",IF(Transportes!F83="TRÁNSITO RESTRINGIDO","Restringido","Normal")))</f>
        <v>Restringido</v>
      </c>
      <c r="T83" t="str">
        <f>TRIM(IF(MID(TRIM(Transportes!H83),1,FIND("-",TRIM(Transportes!H83),1)-2)="Acción humana","H","F"))</f>
        <v>F</v>
      </c>
      <c r="U83" s="53">
        <f>Transportes!G83</f>
        <v>200</v>
      </c>
    </row>
    <row r="84" spans="18:21" ht="14.25" customHeight="1">
      <c r="R84" t="str">
        <f>TRIM(MID(TRIM(Transportes!D84),1,FIND(CHAR(10),TRIM(Transportes!D84),1)-1))</f>
        <v>Amazonas</v>
      </c>
      <c r="S84" t="str">
        <f>TRIM(IF(Transportes!F84="TRÁNSITO INTERRUMPIDO","Interrumpido",IF(Transportes!F84="TRÁNSITO RESTRINGIDO","Restringido","Normal")))</f>
        <v>Restringido</v>
      </c>
      <c r="T84" t="str">
        <f>TRIM(IF(MID(TRIM(Transportes!H84),1,FIND("-",TRIM(Transportes!H84),1)-2)="Acción humana","H","F"))</f>
        <v>F</v>
      </c>
      <c r="U84" s="53">
        <f>Transportes!G84</f>
        <v>100</v>
      </c>
    </row>
    <row r="85" spans="18:21" ht="14.25" customHeight="1">
      <c r="R85" t="str">
        <f>TRIM(MID(TRIM(Transportes!D85),1,FIND(CHAR(10),TRIM(Transportes!D85),1)-1))</f>
        <v>Junín</v>
      </c>
      <c r="S85" t="str">
        <f>TRIM(IF(Transportes!F85="TRÁNSITO INTERRUMPIDO","Interrumpido",IF(Transportes!F85="TRÁNSITO RESTRINGIDO","Restringido","Normal")))</f>
        <v>Restringido</v>
      </c>
      <c r="T85" t="str">
        <f>TRIM(IF(MID(TRIM(Transportes!H85),1,FIND("-",TRIM(Transportes!H85),1)-2)="Acción humana","H","F"))</f>
        <v>F</v>
      </c>
      <c r="U85" s="53" t="str">
        <f>Transportes!G85</f>
        <v>-</v>
      </c>
    </row>
    <row r="86" spans="18:21" ht="14.25" customHeight="1">
      <c r="R86" t="str">
        <f>TRIM(MID(TRIM(Transportes!D86),1,FIND(CHAR(10),TRIM(Transportes!D86),1)-1))</f>
        <v>Huancavelica</v>
      </c>
      <c r="S86" t="str">
        <f>TRIM(IF(Transportes!F86="TRÁNSITO INTERRUMPIDO","Interrumpido",IF(Transportes!F86="TRÁNSITO RESTRINGIDO","Restringido","Normal")))</f>
        <v>Restringido</v>
      </c>
      <c r="T86" t="str">
        <f>TRIM(IF(MID(TRIM(Transportes!H86),1,FIND("-",TRIM(Transportes!H86),1)-2)="Acción humana","H","F"))</f>
        <v>F</v>
      </c>
      <c r="U86" s="53" t="str">
        <f>Transportes!G86</f>
        <v>-</v>
      </c>
    </row>
    <row r="87" spans="18:21" ht="14.25" customHeight="1">
      <c r="R87" t="str">
        <f>TRIM(MID(TRIM(Transportes!D87),1,FIND(CHAR(10),TRIM(Transportes!D87),1)-1))</f>
        <v>Tumbes</v>
      </c>
      <c r="S87" t="str">
        <f>TRIM(IF(Transportes!F87="TRÁNSITO INTERRUMPIDO","Interrumpido",IF(Transportes!F87="TRÁNSITO RESTRINGIDO","Restringido","Normal")))</f>
        <v>Restringido</v>
      </c>
      <c r="T87" t="str">
        <f>TRIM(IF(MID(TRIM(Transportes!H87),1,FIND("-",TRIM(Transportes!H87),1)-2)="Acción humana","H","F"))</f>
        <v>F</v>
      </c>
      <c r="U87" s="53">
        <f>Transportes!G87</f>
        <v>415</v>
      </c>
    </row>
    <row r="88" spans="18:21" ht="14.25" customHeight="1">
      <c r="R88" t="str">
        <f>TRIM(MID(TRIM(Transportes!D88),1,FIND(CHAR(10),TRIM(Transportes!D88),1)-1))</f>
        <v>Tumbes</v>
      </c>
      <c r="S88" t="str">
        <f>TRIM(IF(Transportes!F88="TRÁNSITO INTERRUMPIDO","Interrumpido",IF(Transportes!F88="TRÁNSITO RESTRINGIDO","Restringido","Normal")))</f>
        <v>Restringido</v>
      </c>
      <c r="T88" t="str">
        <f>TRIM(IF(MID(TRIM(Transportes!H88),1,FIND("-",TRIM(Transportes!H88),1)-2)="Acción humana","H","F"))</f>
        <v>F</v>
      </c>
      <c r="U88" s="53" t="str">
        <f>Transportes!G88</f>
        <v>-</v>
      </c>
    </row>
    <row r="89" spans="18:21" ht="14.25" customHeight="1">
      <c r="R89" t="str">
        <f>TRIM(MID(TRIM(Transportes!D89),1,FIND(CHAR(10),TRIM(Transportes!D89),1)-1))</f>
        <v>Cusco</v>
      </c>
      <c r="S89" t="str">
        <f>TRIM(IF(Transportes!F89="TRÁNSITO INTERRUMPIDO","Interrumpido",IF(Transportes!F89="TRÁNSITO RESTRINGIDO","Restringido","Normal")))</f>
        <v>Restringido</v>
      </c>
      <c r="T89" t="str">
        <f>TRIM(IF(MID(TRIM(Transportes!H89),1,FIND("-",TRIM(Transportes!H89),1)-2)="Acción humana","H","F"))</f>
        <v>F</v>
      </c>
      <c r="U89" s="53">
        <f>Transportes!G89</f>
        <v>200</v>
      </c>
    </row>
    <row r="90" spans="18:21" ht="14.25" customHeight="1">
      <c r="R90" t="str">
        <f>TRIM(MID(TRIM(Transportes!D90),1,FIND(CHAR(10),TRIM(Transportes!D90),1)-1))</f>
        <v>Áncash</v>
      </c>
      <c r="S90" t="str">
        <f>TRIM(IF(Transportes!F90="TRÁNSITO INTERRUMPIDO","Interrumpido",IF(Transportes!F90="TRÁNSITO RESTRINGIDO","Restringido","Normal")))</f>
        <v>Restringido</v>
      </c>
      <c r="T90" t="str">
        <f>TRIM(IF(MID(TRIM(Transportes!H90),1,FIND("-",TRIM(Transportes!H90),1)-2)="Acción humana","H","F"))</f>
        <v>F</v>
      </c>
      <c r="U90" s="53">
        <f>Transportes!G90</f>
        <v>50</v>
      </c>
    </row>
    <row r="91" spans="18:21" ht="14.25" customHeight="1">
      <c r="R91" t="str">
        <f>TRIM(MID(TRIM(Transportes!D91),1,FIND(CHAR(10),TRIM(Transportes!D91),1)-1))</f>
        <v>Ayacucho</v>
      </c>
      <c r="S91" t="str">
        <f>TRIM(IF(Transportes!F91="TRÁNSITO INTERRUMPIDO","Interrumpido",IF(Transportes!F91="TRÁNSITO RESTRINGIDO","Restringido","Normal")))</f>
        <v>Restringido</v>
      </c>
      <c r="T91" t="str">
        <f>TRIM(IF(MID(TRIM(Transportes!H91),1,FIND("-",TRIM(Transportes!H91),1)-2)="Acción humana","H","F"))</f>
        <v>F</v>
      </c>
      <c r="U91" s="53" t="str">
        <f>Transportes!G91</f>
        <v>-</v>
      </c>
    </row>
    <row r="92" spans="18:21" ht="14.25" customHeight="1">
      <c r="R92" t="str">
        <f>TRIM(MID(TRIM(Transportes!D92),1,FIND(CHAR(10),TRIM(Transportes!D92),1)-1))</f>
        <v>Cajamarca</v>
      </c>
      <c r="S92" t="str">
        <f>TRIM(IF(Transportes!F92="TRÁNSITO INTERRUMPIDO","Interrumpido",IF(Transportes!F92="TRÁNSITO RESTRINGIDO","Restringido","Normal")))</f>
        <v>Restringido</v>
      </c>
      <c r="T92" t="str">
        <f>TRIM(IF(MID(TRIM(Transportes!H92),1,FIND("-",TRIM(Transportes!H92),1)-2)="Acción humana","H","F"))</f>
        <v>F</v>
      </c>
      <c r="U92" s="53" t="str">
        <f>Transportes!G92</f>
        <v>-</v>
      </c>
    </row>
    <row r="93" spans="18:21" ht="14.25" customHeight="1">
      <c r="R93" t="str">
        <f>TRIM(MID(TRIM(Transportes!D93),1,FIND(CHAR(10),TRIM(Transportes!D93),1)-1))</f>
        <v>Amazonas</v>
      </c>
      <c r="S93" t="str">
        <f>TRIM(IF(Transportes!F93="TRÁNSITO INTERRUMPIDO","Interrumpido",IF(Transportes!F93="TRÁNSITO RESTRINGIDO","Restringido","Normal")))</f>
        <v>Restringido</v>
      </c>
      <c r="T93" t="str">
        <f>TRIM(IF(MID(TRIM(Transportes!H93),1,FIND("-",TRIM(Transportes!H93),1)-2)="Acción humana","H","F"))</f>
        <v>F</v>
      </c>
      <c r="U93" s="53" t="str">
        <f>Transportes!G93</f>
        <v>-</v>
      </c>
    </row>
    <row r="94" spans="18:21" ht="14.25" customHeight="1">
      <c r="R94" t="str">
        <f>TRIM(MID(TRIM(Transportes!D94),1,FIND(CHAR(10),TRIM(Transportes!D94),1)-1))</f>
        <v>Tacna</v>
      </c>
      <c r="S94" t="str">
        <f>TRIM(IF(Transportes!F94="TRÁNSITO INTERRUMPIDO","Interrumpido",IF(Transportes!F94="TRÁNSITO RESTRINGIDO","Restringido","Normal")))</f>
        <v>Restringido</v>
      </c>
      <c r="T94" t="str">
        <f>TRIM(IF(MID(TRIM(Transportes!H94),1,FIND("-",TRIM(Transportes!H94),1)-2)="Acción humana","H","F"))</f>
        <v>F</v>
      </c>
      <c r="U94" s="53">
        <f>Transportes!G94</f>
        <v>60</v>
      </c>
    </row>
    <row r="95" spans="18:21" ht="14.25" customHeight="1">
      <c r="R95" t="str">
        <f>TRIM(MID(TRIM(Transportes!D95),1,FIND(CHAR(10),TRIM(Transportes!D95),1)-1))</f>
        <v>Huánuco</v>
      </c>
      <c r="S95" t="str">
        <f>TRIM(IF(Transportes!F95="TRÁNSITO INTERRUMPIDO","Interrumpido",IF(Transportes!F95="TRÁNSITO RESTRINGIDO","Restringido","Normal")))</f>
        <v>Restringido</v>
      </c>
      <c r="T95" t="str">
        <f>TRIM(IF(MID(TRIM(Transportes!H95),1,FIND("-",TRIM(Transportes!H95),1)-2)="Acción humana","H","F"))</f>
        <v>F</v>
      </c>
      <c r="U95" s="53">
        <f>Transportes!G95</f>
        <v>100</v>
      </c>
    </row>
    <row r="96" spans="18:21" ht="14.25" customHeight="1">
      <c r="R96" t="str">
        <f>TRIM(MID(TRIM(Transportes!D96),1,FIND(CHAR(10),TRIM(Transportes!D96),1)-1))</f>
        <v>Piura</v>
      </c>
      <c r="S96" t="str">
        <f>TRIM(IF(Transportes!F96="TRÁNSITO INTERRUMPIDO","Interrumpido",IF(Transportes!F96="TRÁNSITO RESTRINGIDO","Restringido","Normal")))</f>
        <v>Restringido</v>
      </c>
      <c r="T96" t="str">
        <f>TRIM(IF(MID(TRIM(Transportes!H96),1,FIND("-",TRIM(Transportes!H96),1)-2)="Acción humana","H","F"))</f>
        <v>F</v>
      </c>
      <c r="U96" s="53">
        <f>Transportes!G96</f>
        <v>100</v>
      </c>
    </row>
    <row r="97" spans="18:21" ht="14.25" customHeight="1">
      <c r="R97" t="str">
        <f>TRIM(MID(TRIM(Transportes!D97),1,FIND(CHAR(10),TRIM(Transportes!D97),1)-1))</f>
        <v>Cajamarca</v>
      </c>
      <c r="S97" t="str">
        <f>TRIM(IF(Transportes!F97="TRÁNSITO INTERRUMPIDO","Interrumpido",IF(Transportes!F97="TRÁNSITO RESTRINGIDO","Restringido","Normal")))</f>
        <v>Restringido</v>
      </c>
      <c r="T97" t="str">
        <f>TRIM(IF(MID(TRIM(Transportes!H97),1,FIND("-",TRIM(Transportes!H97),1)-2)="Acción humana","H","F"))</f>
        <v>F</v>
      </c>
      <c r="U97" s="53" t="str">
        <f>Transportes!G97</f>
        <v>-</v>
      </c>
    </row>
    <row r="98" spans="18:21" ht="14.25" customHeight="1">
      <c r="R98" t="str">
        <f>TRIM(MID(TRIM(Transportes!D98),1,FIND(CHAR(10),TRIM(Transportes!D98),1)-1))</f>
        <v>La Libertad</v>
      </c>
      <c r="S98" t="str">
        <f>TRIM(IF(Transportes!F98="TRÁNSITO INTERRUMPIDO","Interrumpido",IF(Transportes!F98="TRÁNSITO RESTRINGIDO","Restringido","Normal")))</f>
        <v>Restringido</v>
      </c>
      <c r="T98" t="str">
        <f>TRIM(IF(MID(TRIM(Transportes!H98),1,FIND("-",TRIM(Transportes!H98),1)-2)="Acción humana","H","F"))</f>
        <v>F</v>
      </c>
      <c r="U98" s="53">
        <f>Transportes!G98</f>
        <v>80</v>
      </c>
    </row>
    <row r="99" spans="18:21" ht="14.25" customHeight="1">
      <c r="R99" t="str">
        <f>TRIM(MID(TRIM(Transportes!D99),1,FIND(CHAR(10),TRIM(Transportes!D99),1)-1))</f>
        <v>Piura</v>
      </c>
      <c r="S99" t="str">
        <f>TRIM(IF(Transportes!F99="TRÁNSITO INTERRUMPIDO","Interrumpido",IF(Transportes!F99="TRÁNSITO RESTRINGIDO","Restringido","Normal")))</f>
        <v>Restringido</v>
      </c>
      <c r="T99" t="str">
        <f>TRIM(IF(MID(TRIM(Transportes!H99),1,FIND("-",TRIM(Transportes!H99),1)-2)="Acción humana","H","F"))</f>
        <v>F</v>
      </c>
      <c r="U99" s="53">
        <f>Transportes!G99</f>
        <v>100</v>
      </c>
    </row>
    <row r="100" spans="18:21" ht="14.25" customHeight="1">
      <c r="R100" t="str">
        <f>TRIM(MID(TRIM(Transportes!D100),1,FIND(CHAR(10),TRIM(Transportes!D100),1)-1))</f>
        <v>Junín</v>
      </c>
      <c r="S100" t="str">
        <f>TRIM(IF(Transportes!F100="TRÁNSITO INTERRUMPIDO","Interrumpido",IF(Transportes!F100="TRÁNSITO RESTRINGIDO","Restringido","Normal")))</f>
        <v>Restringido</v>
      </c>
      <c r="T100" t="str">
        <f>TRIM(IF(MID(TRIM(Transportes!H100),1,FIND("-",TRIM(Transportes!H100),1)-2)="Acción humana","H","F"))</f>
        <v>F</v>
      </c>
      <c r="U100" s="53">
        <f>Transportes!G100</f>
        <v>10</v>
      </c>
    </row>
    <row r="101" spans="18:21" ht="14.25" customHeight="1">
      <c r="R101" t="str">
        <f>TRIM(MID(TRIM(Transportes!D101),1,FIND(CHAR(10),TRIM(Transportes!D101),1)-1))</f>
        <v>Junín</v>
      </c>
      <c r="S101" t="str">
        <f>TRIM(IF(Transportes!F101="TRÁNSITO INTERRUMPIDO","Interrumpido",IF(Transportes!F101="TRÁNSITO RESTRINGIDO","Restringido","Normal")))</f>
        <v>Restringido</v>
      </c>
      <c r="T101" t="str">
        <f>TRIM(IF(MID(TRIM(Transportes!H101),1,FIND("-",TRIM(Transportes!H101),1)-2)="Acción humana","H","F"))</f>
        <v>F</v>
      </c>
      <c r="U101" s="53">
        <f>Transportes!G101</f>
        <v>50</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300</v>
      </c>
    </row>
    <row r="103" spans="18:21" ht="14.25" customHeight="1">
      <c r="R103" t="str">
        <f>TRIM(MID(TRIM(Transportes!D103),1,FIND(CHAR(10),TRIM(Transportes!D103),1)-1))</f>
        <v>La Libertad</v>
      </c>
      <c r="S103" t="str">
        <f>TRIM(IF(Transportes!F103="TRÁNSITO INTERRUMPIDO","Interrumpido",IF(Transportes!F103="TRÁNSITO RESTRINGIDO","Restringido","Normal")))</f>
        <v>Restringido</v>
      </c>
      <c r="T103" t="str">
        <f>TRIM(IF(MID(TRIM(Transportes!H103),1,FIND("-",TRIM(Transportes!H103),1)-2)="Acción humana","H","F"))</f>
        <v>F</v>
      </c>
      <c r="U103" s="53">
        <f>Transportes!G103</f>
        <v>186</v>
      </c>
    </row>
    <row r="104" spans="18:21" ht="14.25" customHeight="1">
      <c r="R104" t="str">
        <f>TRIM(MID(TRIM(Transportes!D104),1,FIND(CHAR(10),TRIM(Transportes!D104),1)-1))</f>
        <v>Piura</v>
      </c>
      <c r="S104" t="str">
        <f>TRIM(IF(Transportes!F104="TRÁNSITO INTERRUMPIDO","Interrumpido",IF(Transportes!F104="TRÁNSITO RESTRINGIDO","Restringido","Normal")))</f>
        <v>Restringido</v>
      </c>
      <c r="T104" t="str">
        <f>TRIM(IF(MID(TRIM(Transportes!H104),1,FIND("-",TRIM(Transportes!H104),1)-2)="Acción humana","H","F"))</f>
        <v>F</v>
      </c>
      <c r="U104" s="53">
        <f>Transportes!G104</f>
        <v>63</v>
      </c>
    </row>
    <row r="105" spans="18:21" ht="14.25" customHeight="1">
      <c r="R105" t="str">
        <f>TRIM(MID(TRIM(Transportes!D105),1,FIND(CHAR(10),TRIM(Transportes!D105),1)-1))</f>
        <v>Piura</v>
      </c>
      <c r="S105" t="str">
        <f>TRIM(IF(Transportes!F105="TRÁNSITO INTERRUMPIDO","Interrumpido",IF(Transportes!F105="TRÁNSITO RESTRINGIDO","Restringido","Normal")))</f>
        <v>Restringido</v>
      </c>
      <c r="T105" t="str">
        <f>TRIM(IF(MID(TRIM(Transportes!H105),1,FIND("-",TRIM(Transportes!H105),1)-2)="Acción humana","H","F"))</f>
        <v>F</v>
      </c>
      <c r="U105" s="53">
        <f>Transportes!G105</f>
        <v>200</v>
      </c>
    </row>
    <row r="106" spans="18:21" ht="14.25" customHeight="1">
      <c r="R106" t="str">
        <f>TRIM(MID(TRIM(Transportes!D106),1,FIND(CHAR(10),TRIM(Transportes!D106),1)-1))</f>
        <v>Moquegua</v>
      </c>
      <c r="S106" t="str">
        <f>TRIM(IF(Transportes!F106="TRÁNSITO INTERRUMPIDO","Interrumpido",IF(Transportes!F106="TRÁNSITO RESTRINGIDO","Restringido","Normal")))</f>
        <v>Restringido</v>
      </c>
      <c r="T106" t="str">
        <f>TRIM(IF(MID(TRIM(Transportes!H106),1,FIND("-",TRIM(Transportes!H106),1)-2)="Acción humana","H","F"))</f>
        <v>F</v>
      </c>
      <c r="U106" s="53">
        <f>Transportes!G106</f>
        <v>25</v>
      </c>
    </row>
    <row r="107" spans="18:21" ht="14.25" customHeight="1">
      <c r="R107" t="str">
        <f>TRIM(MID(TRIM(Transportes!D107),1,FIND(CHAR(10),TRIM(Transportes!D107),1)-1))</f>
        <v>Huánuco</v>
      </c>
      <c r="S107" t="str">
        <f>TRIM(IF(Transportes!F107="TRÁNSITO INTERRUMPIDO","Interrumpido",IF(Transportes!F107="TRÁNSITO RESTRINGIDO","Restringido","Normal")))</f>
        <v>Restringido</v>
      </c>
      <c r="T107" t="str">
        <f>TRIM(IF(MID(TRIM(Transportes!H107),1,FIND("-",TRIM(Transportes!H107),1)-2)="Acción humana","H","F"))</f>
        <v>F</v>
      </c>
      <c r="U107" s="53">
        <f>Transportes!G107</f>
        <v>60</v>
      </c>
    </row>
    <row r="108" spans="18:21" ht="14.25" customHeight="1">
      <c r="R108" t="str">
        <f>TRIM(MID(TRIM(Transportes!D108),1,FIND(CHAR(10),TRIM(Transportes!D108),1)-1))</f>
        <v>Cajamarca</v>
      </c>
      <c r="S108" t="str">
        <f>TRIM(IF(Transportes!F108="TRÁNSITO INTERRUMPIDO","Interrumpido",IF(Transportes!F108="TRÁNSITO RESTRINGIDO","Restringido","Normal")))</f>
        <v>Restringido</v>
      </c>
      <c r="T108" t="str">
        <f>TRIM(IF(MID(TRIM(Transportes!H108),1,FIND("-",TRIM(Transportes!H108),1)-2)="Acción humana","H","F"))</f>
        <v>F</v>
      </c>
      <c r="U108" s="53">
        <f>Transportes!G108</f>
        <v>100</v>
      </c>
    </row>
    <row r="109" spans="18:21" ht="14.25" customHeight="1">
      <c r="R109" t="str">
        <f>TRIM(MID(TRIM(Transportes!D109),1,FIND(CHAR(10),TRIM(Transportes!D109),1)-1))</f>
        <v>Cajamarca</v>
      </c>
      <c r="S109" t="str">
        <f>TRIM(IF(Transportes!F109="TRÁNSITO INTERRUMPIDO","Interrumpido",IF(Transportes!F109="TRÁNSITO RESTRINGIDO","Restringido","Normal")))</f>
        <v>Restringido</v>
      </c>
      <c r="T109" t="str">
        <f>TRIM(IF(MID(TRIM(Transportes!H109),1,FIND("-",TRIM(Transportes!H109),1)-2)="Acción humana","H","F"))</f>
        <v>F</v>
      </c>
      <c r="U109" s="53" t="str">
        <f>Transportes!G109</f>
        <v>-</v>
      </c>
    </row>
    <row r="110" spans="18:21" ht="14.25" customHeight="1">
      <c r="R110" t="str">
        <f>TRIM(MID(TRIM(Transportes!D110),1,FIND(CHAR(10),TRIM(Transportes!D110),1)-1))</f>
        <v>Huancavelica</v>
      </c>
      <c r="S110" t="str">
        <f>TRIM(IF(Transportes!F110="TRÁNSITO INTERRUMPIDO","Interrumpido",IF(Transportes!F110="TRÁNSITO RESTRINGIDO","Restringido","Normal")))</f>
        <v>Restringido</v>
      </c>
      <c r="T110" t="str">
        <f>TRIM(IF(MID(TRIM(Transportes!H110),1,FIND("-",TRIM(Transportes!H110),1)-2)="Acción humana","H","F"))</f>
        <v>F</v>
      </c>
      <c r="U110" s="53">
        <f>Transportes!G110</f>
        <v>50</v>
      </c>
    </row>
    <row r="111" spans="18:21" ht="14.25" customHeight="1">
      <c r="R111" t="str">
        <f>TRIM(MID(TRIM(Transportes!D111),1,FIND(CHAR(10),TRIM(Transportes!D111),1)-1))</f>
        <v>Huancavelica</v>
      </c>
      <c r="S111" t="str">
        <f>TRIM(IF(Transportes!F111="TRÁNSITO INTERRUMPIDO","Interrumpido",IF(Transportes!F111="TRÁNSITO RESTRINGIDO","Restringido","Normal")))</f>
        <v>Restringido</v>
      </c>
      <c r="T111" t="str">
        <f>TRIM(IF(MID(TRIM(Transportes!H111),1,FIND("-",TRIM(Transportes!H111),1)-2)="Acción humana","H","F"))</f>
        <v>F</v>
      </c>
      <c r="U111" s="53">
        <f>Transportes!G111</f>
        <v>30</v>
      </c>
    </row>
    <row r="112" spans="18:21" ht="14.25" customHeight="1">
      <c r="R112" t="str">
        <f>TRIM(MID(TRIM(Transportes!D112),1,FIND(CHAR(10),TRIM(Transportes!D112),1)-1))</f>
        <v>Amazonas</v>
      </c>
      <c r="S112" t="str">
        <f>TRIM(IF(Transportes!F112="TRÁNSITO INTERRUMPIDO","Interrumpido",IF(Transportes!F112="TRÁNSITO RESTRINGIDO","Restringido","Normal")))</f>
        <v>Restringido</v>
      </c>
      <c r="T112" t="str">
        <f>TRIM(IF(MID(TRIM(Transportes!H112),1,FIND("-",TRIM(Transportes!H112),1)-2)="Acción humana","H","F"))</f>
        <v>F</v>
      </c>
      <c r="U112" s="53">
        <f>Transportes!G112</f>
        <v>30</v>
      </c>
    </row>
    <row r="113" spans="18:21" ht="14.25" customHeight="1">
      <c r="R113" t="str">
        <f>TRIM(MID(TRIM(Transportes!D113),1,FIND(CHAR(10),TRIM(Transportes!D113),1)-1))</f>
        <v>Amazonas</v>
      </c>
      <c r="S113" t="str">
        <f>TRIM(IF(Transportes!F113="TRÁNSITO INTERRUMPIDO","Interrumpido",IF(Transportes!F113="TRÁNSITO RESTRINGIDO","Restringido","Normal")))</f>
        <v>Restringido</v>
      </c>
      <c r="T113" t="str">
        <f>TRIM(IF(MID(TRIM(Transportes!H113),1,FIND("-",TRIM(Transportes!H113),1)-2)="Acción humana","H","F"))</f>
        <v>F</v>
      </c>
      <c r="U113" s="53">
        <f>Transportes!G113</f>
        <v>35</v>
      </c>
    </row>
    <row r="114" spans="18:21">
      <c r="R114" t="str">
        <f>TRIM(MID(TRIM(Transportes!D114),1,FIND(CHAR(10),TRIM(Transportes!D114),1)-1))</f>
        <v>Áncash</v>
      </c>
      <c r="S114" t="str">
        <f>TRIM(IF(Transportes!F114="TRÁNSITO INTERRUMPIDO","Interrumpido",IF(Transportes!F114="TRÁNSITO RESTRINGIDO","Restringido","Normal")))</f>
        <v>Restringido</v>
      </c>
      <c r="T114" t="str">
        <f>TRIM(IF(MID(TRIM(Transportes!H114),1,FIND("-",TRIM(Transportes!H114),1)-2)="Acción humana","H","F"))</f>
        <v>F</v>
      </c>
      <c r="U114" s="53">
        <f>Transportes!G114</f>
        <v>120</v>
      </c>
    </row>
    <row r="115" spans="18:21">
      <c r="R115" t="str">
        <f>TRIM(MID(TRIM(Transportes!D115),1,FIND(CHAR(10),TRIM(Transportes!D115),1)-1))</f>
        <v>Moquegua</v>
      </c>
      <c r="S115" t="str">
        <f>TRIM(IF(Transportes!F115="TRÁNSITO INTERRUMPIDO","Interrumpido",IF(Transportes!F115="TRÁNSITO RESTRINGIDO","Restringido","Normal")))</f>
        <v>Restringido</v>
      </c>
      <c r="T115" t="str">
        <f>TRIM(IF(MID(TRIM(Transportes!H115),1,FIND("-",TRIM(Transportes!H115),1)-2)="Acción humana","H","F"))</f>
        <v>F</v>
      </c>
      <c r="U115" s="53">
        <f>Transportes!G115</f>
        <v>50</v>
      </c>
    </row>
    <row r="116" spans="18:21">
      <c r="R116" t="str">
        <f>TRIM(MID(TRIM(Transportes!D116),1,FIND(CHAR(10),TRIM(Transportes!D116),1)-1))</f>
        <v>Puno</v>
      </c>
      <c r="S116" t="str">
        <f>TRIM(IF(Transportes!F116="TRÁNSITO INTERRUMPIDO","Interrumpido",IF(Transportes!F116="TRÁNSITO RESTRINGIDO","Restringido","Normal")))</f>
        <v>Restringido</v>
      </c>
      <c r="T116" t="str">
        <f>TRIM(IF(MID(TRIM(Transportes!H116),1,FIND("-",TRIM(Transportes!H116),1)-2)="Acción humana","H","F"))</f>
        <v>F</v>
      </c>
      <c r="U116" s="53">
        <f>Transportes!G116</f>
        <v>5</v>
      </c>
    </row>
    <row r="117" spans="18:21">
      <c r="R117" t="str">
        <f>TRIM(MID(TRIM(Transportes!D117),1,FIND(CHAR(10),TRIM(Transportes!D117),1)-1))</f>
        <v>Áncash</v>
      </c>
      <c r="S117" t="str">
        <f>TRIM(IF(Transportes!F117="TRÁNSITO INTERRUMPIDO","Interrumpido",IF(Transportes!F117="TRÁNSITO RESTRINGIDO","Restringido","Normal")))</f>
        <v>Restringido</v>
      </c>
      <c r="T117" t="str">
        <f>TRIM(IF(MID(TRIM(Transportes!H117),1,FIND("-",TRIM(Transportes!H117),1)-2)="Acción humana","H","F"))</f>
        <v>F</v>
      </c>
      <c r="U117" s="53">
        <f>Transportes!G117</f>
        <v>10</v>
      </c>
    </row>
    <row r="118" spans="18:21">
      <c r="R118" t="str">
        <f>TRIM(MID(TRIM(Transportes!D118),1,FIND(CHAR(10),TRIM(Transportes!D118),1)-1))</f>
        <v>Áncash</v>
      </c>
      <c r="S118" t="str">
        <f>TRIM(IF(Transportes!F118="TRÁNSITO INTERRUMPIDO","Interrumpido",IF(Transportes!F118="TRÁNSITO RESTRINGIDO","Restringido","Normal")))</f>
        <v>Restringido</v>
      </c>
      <c r="T118" t="str">
        <f>TRIM(IF(MID(TRIM(Transportes!H118),1,FIND("-",TRIM(Transportes!H118),1)-2)="Acción humana","H","F"))</f>
        <v>F</v>
      </c>
      <c r="U118" s="53">
        <f>Transportes!G118</f>
        <v>15</v>
      </c>
    </row>
    <row r="119" spans="18:21">
      <c r="R119" t="str">
        <f>TRIM(MID(TRIM(Transportes!D119),1,FIND(CHAR(10),TRIM(Transportes!D119),1)-1))</f>
        <v>Áncash</v>
      </c>
      <c r="S119" t="str">
        <f>TRIM(IF(Transportes!F119="TRÁNSITO INTERRUMPIDO","Interrumpido",IF(Transportes!F119="TRÁNSITO RESTRINGIDO","Restringido","Normal")))</f>
        <v>Restringido</v>
      </c>
      <c r="T119" t="str">
        <f>TRIM(IF(MID(TRIM(Transportes!H119),1,FIND("-",TRIM(Transportes!H119),1)-2)="Acción humana","H","F"))</f>
        <v>F</v>
      </c>
      <c r="U119" s="53">
        <f>Transportes!G119</f>
        <v>12</v>
      </c>
    </row>
    <row r="120" spans="18:21">
      <c r="R120" t="str">
        <f>TRIM(MID(TRIM(Transportes!D120),1,FIND(CHAR(10),TRIM(Transportes!D120),1)-1))</f>
        <v>Áncash</v>
      </c>
      <c r="S120" t="str">
        <f>TRIM(IF(Transportes!F120="TRÁNSITO INTERRUMPIDO","Interrumpido",IF(Transportes!F120="TRÁNSITO RESTRINGIDO","Restringido","Normal")))</f>
        <v>Restringido</v>
      </c>
      <c r="T120" t="str">
        <f>TRIM(IF(MID(TRIM(Transportes!H120),1,FIND("-",TRIM(Transportes!H120),1)-2)="Acción humana","H","F"))</f>
        <v>F</v>
      </c>
      <c r="U120" s="53">
        <f>Transportes!G120</f>
        <v>16</v>
      </c>
    </row>
    <row r="121" spans="18:21">
      <c r="R121" t="str">
        <f>TRIM(MID(TRIM(Transportes!D121),1,FIND(CHAR(10),TRIM(Transportes!D121),1)-1))</f>
        <v>La Libertad</v>
      </c>
      <c r="S121" t="str">
        <f>TRIM(IF(Transportes!F121="TRÁNSITO INTERRUMPIDO","Interrumpido",IF(Transportes!F121="TRÁNSITO RESTRINGIDO","Restringido","Normal")))</f>
        <v>Restringido</v>
      </c>
      <c r="T121" t="str">
        <f>TRIM(IF(MID(TRIM(Transportes!H121),1,FIND("-",TRIM(Transportes!H121),1)-2)="Acción humana","H","F"))</f>
        <v>F</v>
      </c>
      <c r="U121" s="53">
        <f>Transportes!G121</f>
        <v>600</v>
      </c>
    </row>
    <row r="122" spans="18:21">
      <c r="R122" t="str">
        <f>TRIM(MID(TRIM(Transportes!D122),1,FIND(CHAR(10),TRIM(Transportes!D122),1)-1))</f>
        <v>Apurímac</v>
      </c>
      <c r="S122" t="str">
        <f>TRIM(IF(Transportes!F122="TRÁNSITO INTERRUMPIDO","Interrumpido",IF(Transportes!F122="TRÁNSITO RESTRINGIDO","Restringido","Normal")))</f>
        <v>Restringido</v>
      </c>
      <c r="T122" t="str">
        <f>TRIM(IF(MID(TRIM(Transportes!H122),1,FIND("-",TRIM(Transportes!H122),1)-2)="Acción humana","H","F"))</f>
        <v>F</v>
      </c>
      <c r="U122" s="53">
        <f>Transportes!G122</f>
        <v>50</v>
      </c>
    </row>
    <row r="123" spans="18:21">
      <c r="R123" t="str">
        <f>TRIM(MID(TRIM(Transportes!D123),1,FIND(CHAR(10),TRIM(Transportes!D123),1)-1))</f>
        <v>San Martín</v>
      </c>
      <c r="S123" t="str">
        <f>TRIM(IF(Transportes!F123="TRÁNSITO INTERRUMPIDO","Interrumpido",IF(Transportes!F123="TRÁNSITO RESTRINGIDO","Restringido","Normal")))</f>
        <v>Restringido</v>
      </c>
      <c r="T123" t="str">
        <f>TRIM(IF(MID(TRIM(Transportes!H123),1,FIND("-",TRIM(Transportes!H123),1)-2)="Acción humana","H","F"))</f>
        <v>H</v>
      </c>
      <c r="U123" s="53">
        <f>Transportes!G123</f>
        <v>150</v>
      </c>
    </row>
    <row r="124" spans="18:21">
      <c r="R124" t="str">
        <f>TRIM(MID(TRIM(Transportes!D124),1,FIND(CHAR(10),TRIM(Transportes!D124),1)-1))</f>
        <v>Piura</v>
      </c>
      <c r="S124" t="str">
        <f>TRIM(IF(Transportes!F124="TRÁNSITO INTERRUMPIDO","Interrumpido",IF(Transportes!F124="TRÁNSITO RESTRINGIDO","Restringido","Normal")))</f>
        <v>Restringido</v>
      </c>
      <c r="T124" t="str">
        <f>TRIM(IF(MID(TRIM(Transportes!H124),1,FIND("-",TRIM(Transportes!H124),1)-2)="Acción humana","H","F"))</f>
        <v>F</v>
      </c>
      <c r="U124" s="53" t="str">
        <f>Transportes!G124</f>
        <v>-</v>
      </c>
    </row>
    <row r="125" spans="18:21">
      <c r="R125" t="str">
        <f>TRIM(MID(TRIM(Transportes!D125),1,FIND(CHAR(10),TRIM(Transportes!D125),1)-1))</f>
        <v>Piura</v>
      </c>
      <c r="S125" t="str">
        <f>TRIM(IF(Transportes!F125="TRÁNSITO INTERRUMPIDO","Interrumpido",IF(Transportes!F125="TRÁNSITO RESTRINGIDO","Restringido","Normal")))</f>
        <v>Restringido</v>
      </c>
      <c r="T125" t="str">
        <f>TRIM(IF(MID(TRIM(Transportes!H125),1,FIND("-",TRIM(Transportes!H125),1)-2)="Acción humana","H","F"))</f>
        <v>F</v>
      </c>
      <c r="U125" s="53">
        <f>Transportes!G125</f>
        <v>50</v>
      </c>
    </row>
    <row r="126" spans="18:21">
      <c r="R126" t="str">
        <f>TRIM(MID(TRIM(Transportes!D126),1,FIND(CHAR(10),TRIM(Transportes!D126),1)-1))</f>
        <v>Lima</v>
      </c>
      <c r="S126" t="str">
        <f>TRIM(IF(Transportes!F126="TRÁNSITO INTERRUMPIDO","Interrumpido",IF(Transportes!F126="TRÁNSITO RESTRINGIDO","Restringido","Normal")))</f>
        <v>Restringido</v>
      </c>
      <c r="T126" t="str">
        <f>TRIM(IF(MID(TRIM(Transportes!H126),1,FIND("-",TRIM(Transportes!H126),1)-2)="Acción humana","H","F"))</f>
        <v>F</v>
      </c>
      <c r="U126" s="53">
        <f>Transportes!G126</f>
        <v>200</v>
      </c>
    </row>
    <row r="127" spans="18:21">
      <c r="R127" t="str">
        <f>TRIM(MID(TRIM(Transportes!D127),1,FIND(CHAR(10),TRIM(Transportes!D127),1)-1))</f>
        <v>Cusco</v>
      </c>
      <c r="S127" t="str">
        <f>TRIM(IF(Transportes!F127="TRÁNSITO INTERRUMPIDO","Interrumpido",IF(Transportes!F127="TRÁNSITO RESTRINGIDO","Restringido","Normal")))</f>
        <v>Restringido</v>
      </c>
      <c r="T127" t="str">
        <f>TRIM(IF(MID(TRIM(Transportes!H127),1,FIND("-",TRIM(Transportes!H127),1)-2)="Acción humana","H","F"))</f>
        <v>F</v>
      </c>
      <c r="U127" s="53">
        <f>Transportes!G127</f>
        <v>50</v>
      </c>
    </row>
    <row r="128" spans="18:21">
      <c r="R128" t="str">
        <f>TRIM(MID(TRIM(Transportes!D128),1,FIND(CHAR(10),TRIM(Transportes!D128),1)-1))</f>
        <v>Áncash</v>
      </c>
      <c r="S128" t="str">
        <f>TRIM(IF(Transportes!F128="TRÁNSITO INTERRUMPIDO","Interrumpido",IF(Transportes!F128="TRÁNSITO RESTRINGIDO","Restringido","Normal")))</f>
        <v>Restringido</v>
      </c>
      <c r="T128" t="str">
        <f>TRIM(IF(MID(TRIM(Transportes!H128),1,FIND("-",TRIM(Transportes!H128),1)-2)="Acción humana","H","F"))</f>
        <v>F</v>
      </c>
      <c r="U128" s="53">
        <f>Transportes!G128</f>
        <v>950</v>
      </c>
    </row>
    <row r="129" spans="18:21">
      <c r="R129" t="str">
        <f>TRIM(MID(TRIM(Transportes!D129),1,FIND(CHAR(10),TRIM(Transportes!D129),1)-1))</f>
        <v>Amazonas</v>
      </c>
      <c r="S129" t="str">
        <f>TRIM(IF(Transportes!F129="TRÁNSITO INTERRUMPIDO","Interrumpido",IF(Transportes!F129="TRÁNSITO RESTRINGIDO","Restringido","Normal")))</f>
        <v>Restringido</v>
      </c>
      <c r="T129" t="str">
        <f>TRIM(IF(MID(TRIM(Transportes!H129),1,FIND("-",TRIM(Transportes!H129),1)-2)="Acción humana","H","F"))</f>
        <v>F</v>
      </c>
      <c r="U129" s="53">
        <f>Transportes!G129</f>
        <v>0</v>
      </c>
    </row>
    <row r="130" spans="18:21">
      <c r="R130" t="str">
        <f>TRIM(MID(TRIM(Transportes!D130),1,FIND(CHAR(10),TRIM(Transportes!D130),1)-1))</f>
        <v>Tacna</v>
      </c>
      <c r="S130" t="str">
        <f>TRIM(IF(Transportes!F130="TRÁNSITO INTERRUMPIDO","Interrumpido",IF(Transportes!F130="TRÁNSITO RESTRINGIDO","Restringido","Normal")))</f>
        <v>Restringido</v>
      </c>
      <c r="T130" t="str">
        <f>TRIM(IF(MID(TRIM(Transportes!H130),1,FIND("-",TRIM(Transportes!H130),1)-2)="Acción humana","H","F"))</f>
        <v>F</v>
      </c>
      <c r="U130" s="53">
        <f>Transportes!G130</f>
        <v>15</v>
      </c>
    </row>
    <row r="131" spans="18:21">
      <c r="R131" t="str">
        <f>TRIM(MID(TRIM(Transportes!D131),1,FIND(CHAR(10),TRIM(Transportes!D131),1)-1))</f>
        <v>Amazonas</v>
      </c>
      <c r="S131" t="str">
        <f>TRIM(IF(Transportes!F131="TRÁNSITO INTERRUMPIDO","Interrumpido",IF(Transportes!F131="TRÁNSITO RESTRINGIDO","Restringido","Normal")))</f>
        <v>Restringido</v>
      </c>
      <c r="T131" t="str">
        <f>TRIM(IF(MID(TRIM(Transportes!H131),1,FIND("-",TRIM(Transportes!H131),1)-2)="Acción humana","H","F"))</f>
        <v>F</v>
      </c>
      <c r="U131" s="53">
        <f>Transportes!G131</f>
        <v>16</v>
      </c>
    </row>
    <row r="132" spans="18:21">
      <c r="R132" t="str">
        <f>TRIM(MID(TRIM(Transportes!D132),1,FIND(CHAR(10),TRIM(Transportes!D132),1)-1))</f>
        <v>Cajamarca</v>
      </c>
      <c r="S132" t="str">
        <f>TRIM(IF(Transportes!F132="TRÁNSITO INTERRUMPIDO","Interrumpido",IF(Transportes!F132="TRÁNSITO RESTRINGIDO","Restringido","Normal")))</f>
        <v>Restringido</v>
      </c>
      <c r="T132" t="str">
        <f>TRIM(IF(MID(TRIM(Transportes!H132),1,FIND("-",TRIM(Transportes!H132),1)-2)="Acción humana","H","F"))</f>
        <v>F</v>
      </c>
      <c r="U132" s="53">
        <f>Transportes!G132</f>
        <v>30</v>
      </c>
    </row>
    <row r="133" spans="18:21">
      <c r="R133" t="str">
        <f>TRIM(MID(TRIM(Transportes!D133),1,FIND(CHAR(10),TRIM(Transportes!D133),1)-1))</f>
        <v>Piura</v>
      </c>
      <c r="S133" t="str">
        <f>TRIM(IF(Transportes!F133="TRÁNSITO INTERRUMPIDO","Interrumpido",IF(Transportes!F133="TRÁNSITO RESTRINGIDO","Restringido","Normal")))</f>
        <v>Restringido</v>
      </c>
      <c r="T133" t="str">
        <f>TRIM(IF(MID(TRIM(Transportes!H133),1,FIND("-",TRIM(Transportes!H133),1)-2)="Acción humana","H","F"))</f>
        <v>F</v>
      </c>
      <c r="U133" s="53">
        <f>Transportes!G133</f>
        <v>184</v>
      </c>
    </row>
    <row r="134" spans="18:21">
      <c r="R134" t="str">
        <f>TRIM(MID(TRIM(Transportes!D134),1,FIND(CHAR(10),TRIM(Transportes!D134),1)-1))</f>
        <v>Amazonas</v>
      </c>
      <c r="S134" t="str">
        <f>TRIM(IF(Transportes!F134="TRÁNSITO INTERRUMPIDO","Interrumpido",IF(Transportes!F134="TRÁNSITO RESTRINGIDO","Restringido","Normal")))</f>
        <v>Restringido</v>
      </c>
      <c r="T134" t="str">
        <f>TRIM(IF(MID(TRIM(Transportes!H134),1,FIND("-",TRIM(Transportes!H134),1)-2)="Acción humana","H","F"))</f>
        <v>F</v>
      </c>
      <c r="U134" s="53">
        <f>Transportes!G134</f>
        <v>0</v>
      </c>
    </row>
    <row r="135" spans="18:21">
      <c r="R135" t="str">
        <f>TRIM(MID(TRIM(Transportes!D135),1,FIND(CHAR(10),TRIM(Transportes!D135),1)-1))</f>
        <v>Amazonas</v>
      </c>
      <c r="S135" t="str">
        <f>TRIM(IF(Transportes!F135="TRÁNSITO INTERRUMPIDO","Interrumpido",IF(Transportes!F135="TRÁNSITO RESTRINGIDO","Restringido","Normal")))</f>
        <v>Restringido</v>
      </c>
      <c r="T135" t="str">
        <f>TRIM(IF(MID(TRIM(Transportes!H135),1,FIND("-",TRIM(Transportes!H135),1)-2)="Acción humana","H","F"))</f>
        <v>F</v>
      </c>
      <c r="U135" s="53">
        <f>Transportes!G135</f>
        <v>0</v>
      </c>
    </row>
    <row r="136" spans="18:21">
      <c r="R136" t="str">
        <f>TRIM(MID(TRIM(Transportes!D136),1,FIND(CHAR(10),TRIM(Transportes!D136),1)-1))</f>
        <v>Cajamarca</v>
      </c>
      <c r="S136" t="str">
        <f>TRIM(IF(Transportes!F136="TRÁNSITO INTERRUMPIDO","Interrumpido",IF(Transportes!F136="TRÁNSITO RESTRINGIDO","Restringido","Normal")))</f>
        <v>Restringido</v>
      </c>
      <c r="T136" t="str">
        <f>TRIM(IF(MID(TRIM(Transportes!H136),1,FIND("-",TRIM(Transportes!H136),1)-2)="Acción humana","H","F"))</f>
        <v>F</v>
      </c>
      <c r="U136" s="53">
        <f>Transportes!G136</f>
        <v>250</v>
      </c>
    </row>
    <row r="137" spans="18:21">
      <c r="R137" t="str">
        <f>TRIM(MID(TRIM(Transportes!D137),1,FIND(CHAR(10),TRIM(Transportes!D137),1)-1))</f>
        <v>Puno</v>
      </c>
      <c r="S137" t="str">
        <f>TRIM(IF(Transportes!F137="TRÁNSITO INTERRUMPIDO","Interrumpido",IF(Transportes!F137="TRÁNSITO RESTRINGIDO","Restringido","Normal")))</f>
        <v>Restringido</v>
      </c>
      <c r="T137" t="str">
        <f>TRIM(IF(MID(TRIM(Transportes!H137),1,FIND("-",TRIM(Transportes!H137),1)-2)="Acción humana","H","F"))</f>
        <v>H</v>
      </c>
      <c r="U137" s="53">
        <f>Transportes!G137</f>
        <v>20</v>
      </c>
    </row>
    <row r="138" spans="18:21">
      <c r="R138" t="str">
        <f>TRIM(MID(TRIM(Transportes!D138),1,FIND(CHAR(10),TRIM(Transportes!D138),1)-1))</f>
        <v>Tumbes</v>
      </c>
      <c r="S138" t="str">
        <f>TRIM(IF(Transportes!F138="TRÁNSITO INTERRUMPIDO","Interrumpido",IF(Transportes!F138="TRÁNSITO RESTRINGIDO","Restringido","Normal")))</f>
        <v>Restringido</v>
      </c>
      <c r="T138" t="str">
        <f>TRIM(IF(MID(TRIM(Transportes!H138),1,FIND("-",TRIM(Transportes!H138),1)-2)="Acción humana","H","F"))</f>
        <v>F</v>
      </c>
      <c r="U138" s="53">
        <f>Transportes!G138</f>
        <v>40</v>
      </c>
    </row>
    <row r="139" spans="18:21">
      <c r="R139" t="str">
        <f>TRIM(MID(TRIM(Transportes!D139),1,FIND(CHAR(10),TRIM(Transportes!D139),1)-1))</f>
        <v>Ica</v>
      </c>
      <c r="S139" t="str">
        <f>TRIM(IF(Transportes!F139="TRÁNSITO INTERRUMPIDO","Interrumpido",IF(Transportes!F139="TRÁNSITO RESTRINGIDO","Restringido","Normal")))</f>
        <v>Restringido</v>
      </c>
      <c r="T139" t="str">
        <f>TRIM(IF(MID(TRIM(Transportes!H139),1,FIND("-",TRIM(Transportes!H139),1)-2)="Acción humana","H","F"))</f>
        <v>F</v>
      </c>
      <c r="U139" s="53">
        <f>Transportes!G139</f>
        <v>300</v>
      </c>
    </row>
    <row r="140" spans="18:21">
      <c r="R140" t="str">
        <f>TRIM(MID(TRIM(Transportes!D140),1,FIND(CHAR(10),TRIM(Transportes!D140),1)-1))</f>
        <v>Lima</v>
      </c>
      <c r="S140" t="str">
        <f>TRIM(IF(Transportes!F140="TRÁNSITO INTERRUMPIDO","Interrumpido",IF(Transportes!F140="TRÁNSITO RESTRINGIDO","Restringido","Normal")))</f>
        <v>Restringido</v>
      </c>
      <c r="T140" t="str">
        <f>TRIM(IF(MID(TRIM(Transportes!H140),1,FIND("-",TRIM(Transportes!H140),1)-2)="Acción humana","H","F"))</f>
        <v>F</v>
      </c>
      <c r="U140" s="53">
        <f>Transportes!G140</f>
        <v>50</v>
      </c>
    </row>
    <row r="141" spans="18:21">
      <c r="R141" t="str">
        <f>TRIM(MID(TRIM(Transportes!D141),1,FIND(CHAR(10),TRIM(Transportes!D141),1)-1))</f>
        <v>Cajamarca</v>
      </c>
      <c r="S141" t="str">
        <f>TRIM(IF(Transportes!F141="TRÁNSITO INTERRUMPIDO","Interrumpido",IF(Transportes!F141="TRÁNSITO RESTRINGIDO","Restringido","Normal")))</f>
        <v>Restringido</v>
      </c>
      <c r="T141" t="str">
        <f>TRIM(IF(MID(TRIM(Transportes!H141),1,FIND("-",TRIM(Transportes!H141),1)-2)="Acción humana","H","F"))</f>
        <v>F</v>
      </c>
      <c r="U141" s="53">
        <f>Transportes!G141</f>
        <v>15</v>
      </c>
    </row>
    <row r="142" spans="18:21">
      <c r="R142" t="str">
        <f>TRIM(MID(TRIM(Transportes!D142),1,FIND(CHAR(10),TRIM(Transportes!D142),1)-1))</f>
        <v>La Libertad</v>
      </c>
      <c r="S142" t="str">
        <f>TRIM(IF(Transportes!F142="TRÁNSITO INTERRUMPIDO","Interrumpido",IF(Transportes!F142="TRÁNSITO RESTRINGIDO","Restringido","Normal")))</f>
        <v>Restringido</v>
      </c>
      <c r="T142" t="str">
        <f>TRIM(IF(MID(TRIM(Transportes!H142),1,FIND("-",TRIM(Transportes!H142),1)-2)="Acción humana","H","F"))</f>
        <v>F</v>
      </c>
      <c r="U142" s="53">
        <f>Transportes!G142</f>
        <v>36</v>
      </c>
    </row>
    <row r="143" spans="18:21">
      <c r="R143" t="str">
        <f>TRIM(MID(TRIM(Transportes!D143),1,FIND(CHAR(10),TRIM(Transportes!D143),1)-1))</f>
        <v>Tumbes</v>
      </c>
      <c r="S143" t="str">
        <f>TRIM(IF(Transportes!F143="TRÁNSITO INTERRUMPIDO","Interrumpido",IF(Transportes!F143="TRÁNSITO RESTRINGIDO","Restringido","Normal")))</f>
        <v>Restringido</v>
      </c>
      <c r="T143" t="str">
        <f>TRIM(IF(MID(TRIM(Transportes!H143),1,FIND("-",TRIM(Transportes!H143),1)-2)="Acción humana","H","F"))</f>
        <v>F</v>
      </c>
      <c r="U143" s="53">
        <f>Transportes!G143</f>
        <v>13</v>
      </c>
    </row>
    <row r="144" spans="18:21">
      <c r="R144" t="str">
        <f>TRIM(MID(TRIM(Transportes!D144),1,FIND(CHAR(10),TRIM(Transportes!D144),1)-1))</f>
        <v>Cajamarca</v>
      </c>
      <c r="S144" t="str">
        <f>TRIM(IF(Transportes!F144="TRÁNSITO INTERRUMPIDO","Interrumpido",IF(Transportes!F144="TRÁNSITO RESTRINGIDO","Restringido","Normal")))</f>
        <v>Restringido</v>
      </c>
      <c r="T144" t="str">
        <f>TRIM(IF(MID(TRIM(Transportes!H144),1,FIND("-",TRIM(Transportes!H144),1)-2)="Acción humana","H","F"))</f>
        <v>F</v>
      </c>
      <c r="U144" s="53">
        <f>Transportes!G144</f>
        <v>2</v>
      </c>
    </row>
    <row r="145" spans="18:21">
      <c r="R145" t="str">
        <f>TRIM(MID(TRIM(Transportes!D145),1,FIND(CHAR(10),TRIM(Transportes!D145),1)-1))</f>
        <v>Piura</v>
      </c>
      <c r="S145" t="str">
        <f>TRIM(IF(Transportes!F145="TRÁNSITO INTERRUMPIDO","Interrumpido",IF(Transportes!F145="TRÁNSITO RESTRINGIDO","Restringido","Normal")))</f>
        <v>Restringido</v>
      </c>
      <c r="T145" t="str">
        <f>TRIM(IF(MID(TRIM(Transportes!H145),1,FIND("-",TRIM(Transportes!H145),1)-2)="Acción humana","H","F"))</f>
        <v>F</v>
      </c>
      <c r="U145" s="53">
        <f>Transportes!G145</f>
        <v>130</v>
      </c>
    </row>
    <row r="146" spans="18:21">
      <c r="R146" t="str">
        <f>TRIM(MID(TRIM(Transportes!D146),1,FIND(CHAR(10),TRIM(Transportes!D146),1)-1))</f>
        <v>Tumbes</v>
      </c>
      <c r="S146" t="str">
        <f>TRIM(IF(Transportes!F146="TRÁNSITO INTERRUMPIDO","Interrumpido",IF(Transportes!F146="TRÁNSITO RESTRINGIDO","Restringido","Normal")))</f>
        <v>Restringido</v>
      </c>
      <c r="T146" t="str">
        <f>TRIM(IF(MID(TRIM(Transportes!H146),1,FIND("-",TRIM(Transportes!H146),1)-2)="Acción humana","H","F"))</f>
        <v>F</v>
      </c>
      <c r="U146" s="53">
        <f>Transportes!G146</f>
        <v>11</v>
      </c>
    </row>
    <row r="147" spans="18:21">
      <c r="R147" t="str">
        <f>TRIM(MID(TRIM(Transportes!D147),1,FIND(CHAR(10),TRIM(Transportes!D147),1)-1))</f>
        <v>Ucayali</v>
      </c>
      <c r="S147" t="str">
        <f>TRIM(IF(Transportes!F147="TRÁNSITO INTERRUMPIDO","Interrumpido",IF(Transportes!F147="TRÁNSITO RESTRINGIDO","Restringido","Normal")))</f>
        <v>Restringido</v>
      </c>
      <c r="T147" t="str">
        <f>TRIM(IF(MID(TRIM(Transportes!H147),1,FIND("-",TRIM(Transportes!H147),1)-2)="Acción humana","H","F"))</f>
        <v>F</v>
      </c>
      <c r="U147" s="53">
        <f>Transportes!G147</f>
        <v>283</v>
      </c>
    </row>
    <row r="148" spans="18:21">
      <c r="R148" t="str">
        <f>TRIM(MID(TRIM(Transportes!D148),1,FIND(CHAR(10),TRIM(Transportes!D148),1)-1))</f>
        <v>Piura</v>
      </c>
      <c r="S148" t="str">
        <f>TRIM(IF(Transportes!F148="TRÁNSITO INTERRUMPIDO","Interrumpido",IF(Transportes!F148="TRÁNSITO RESTRINGIDO","Restringido","Normal")))</f>
        <v>Restringido</v>
      </c>
      <c r="T148" t="str">
        <f>TRIM(IF(MID(TRIM(Transportes!H148),1,FIND("-",TRIM(Transportes!H148),1)-2)="Acción humana","H","F"))</f>
        <v>F</v>
      </c>
      <c r="U148" s="53">
        <f>Transportes!G148</f>
        <v>30</v>
      </c>
    </row>
    <row r="149" spans="18:21">
      <c r="R149" t="str">
        <f>TRIM(MID(TRIM(Transportes!D149),1,FIND(CHAR(10),TRIM(Transportes!D149),1)-1))</f>
        <v>San Martín</v>
      </c>
      <c r="S149" t="str">
        <f>TRIM(IF(Transportes!F149="TRÁNSITO INTERRUMPIDO","Interrumpido",IF(Transportes!F149="TRÁNSITO RESTRINGIDO","Restringido","Normal")))</f>
        <v>Restringido</v>
      </c>
      <c r="T149" t="str">
        <f>TRIM(IF(MID(TRIM(Transportes!H149),1,FIND("-",TRIM(Transportes!H149),1)-2)="Acción humana","H","F"))</f>
        <v>F</v>
      </c>
      <c r="U149" s="53">
        <f>Transportes!G149</f>
        <v>200</v>
      </c>
    </row>
    <row r="150" spans="18:21">
      <c r="R150" t="str">
        <f>TRIM(MID(TRIM(Transportes!D150),1,FIND(CHAR(10),TRIM(Transportes!D150),1)-1))</f>
        <v>Lambayeque</v>
      </c>
      <c r="S150" t="str">
        <f>TRIM(IF(Transportes!F150="TRÁNSITO INTERRUMPIDO","Interrumpido",IF(Transportes!F150="TRÁNSITO RESTRINGIDO","Restringido","Normal")))</f>
        <v>Restringido</v>
      </c>
      <c r="T150" t="str">
        <f>TRIM(IF(MID(TRIM(Transportes!H150),1,FIND("-",TRIM(Transportes!H150),1)-2)="Acción humana","H","F"))</f>
        <v>F</v>
      </c>
      <c r="U150" s="53">
        <f>Transportes!G150</f>
        <v>20</v>
      </c>
    </row>
    <row r="151" spans="18:21">
      <c r="R151" t="str">
        <f>TRIM(MID(TRIM(Transportes!D151),1,FIND(CHAR(10),TRIM(Transportes!D151),1)-1))</f>
        <v>Amazonas</v>
      </c>
      <c r="S151" t="str">
        <f>TRIM(IF(Transportes!F151="TRÁNSITO INTERRUMPIDO","Interrumpido",IF(Transportes!F151="TRÁNSITO RESTRINGIDO","Restringido","Normal")))</f>
        <v>Restringido</v>
      </c>
      <c r="T151" t="str">
        <f>TRIM(IF(MID(TRIM(Transportes!H151),1,FIND("-",TRIM(Transportes!H151),1)-2)="Acción humana","H","F"))</f>
        <v>F</v>
      </c>
      <c r="U151" s="53">
        <f>Transportes!G151</f>
        <v>45</v>
      </c>
    </row>
    <row r="152" spans="18:21">
      <c r="R152" t="str">
        <f>TRIM(MID(TRIM(Transportes!D152),1,FIND(CHAR(10),TRIM(Transportes!D152),1)-1))</f>
        <v>Amazonas</v>
      </c>
      <c r="S152" t="str">
        <f>TRIM(IF(Transportes!F152="TRÁNSITO INTERRUMPIDO","Interrumpido",IF(Transportes!F152="TRÁNSITO RESTRINGIDO","Restringido","Normal")))</f>
        <v>Restringido</v>
      </c>
      <c r="T152" t="str">
        <f>TRIM(IF(MID(TRIM(Transportes!H152),1,FIND("-",TRIM(Transportes!H152),1)-2)="Acción humana","H","F"))</f>
        <v>F</v>
      </c>
      <c r="U152" s="53" t="str">
        <f>Transportes!G152</f>
        <v>-</v>
      </c>
    </row>
    <row r="153" spans="18:21">
      <c r="R153" t="str">
        <f>TRIM(MID(TRIM(Transportes!D153),1,FIND(CHAR(10),TRIM(Transportes!D153),1)-1))</f>
        <v>Amazonas</v>
      </c>
      <c r="S153" t="str">
        <f>TRIM(IF(Transportes!F153="TRÁNSITO INTERRUMPIDO","Interrumpido",IF(Transportes!F153="TRÁNSITO RESTRINGIDO","Restringido","Normal")))</f>
        <v>Restringido</v>
      </c>
      <c r="T153" t="str">
        <f>TRIM(IF(MID(TRIM(Transportes!H153),1,FIND("-",TRIM(Transportes!H153),1)-2)="Acción humana","H","F"))</f>
        <v>F</v>
      </c>
      <c r="U153" s="53">
        <f>Transportes!G153</f>
        <v>15</v>
      </c>
    </row>
    <row r="154" spans="18:21">
      <c r="R154" t="str">
        <f>TRIM(MID(TRIM(Transportes!D154),1,FIND(CHAR(10),TRIM(Transportes!D154),1)-1))</f>
        <v>Ucayali</v>
      </c>
      <c r="S154" t="str">
        <f>TRIM(IF(Transportes!F154="TRÁNSITO INTERRUMPIDO","Interrumpido",IF(Transportes!F154="TRÁNSITO RESTRINGIDO","Restringido","Normal")))</f>
        <v>Restringido</v>
      </c>
      <c r="T154" t="str">
        <f>TRIM(IF(MID(TRIM(Transportes!H154),1,FIND("-",TRIM(Transportes!H154),1)-2)="Acción humana","H","F"))</f>
        <v>F</v>
      </c>
      <c r="U154" s="53">
        <f>Transportes!G154</f>
        <v>141</v>
      </c>
    </row>
    <row r="155" spans="18:21">
      <c r="R155" t="str">
        <f>TRIM(MID(TRIM(Transportes!D155),1,FIND(CHAR(10),TRIM(Transportes!D155),1)-1))</f>
        <v>Ucayali</v>
      </c>
      <c r="S155" t="str">
        <f>TRIM(IF(Transportes!F155="TRÁNSITO INTERRUMPIDO","Interrumpido",IF(Transportes!F155="TRÁNSITO RESTRINGIDO","Restringido","Normal")))</f>
        <v>Restringido</v>
      </c>
      <c r="T155" t="str">
        <f>TRIM(IF(MID(TRIM(Transportes!H155),1,FIND("-",TRIM(Transportes!H155),1)-2)="Acción humana","H","F"))</f>
        <v>F</v>
      </c>
      <c r="U155" s="53">
        <f>Transportes!G155</f>
        <v>81</v>
      </c>
    </row>
    <row r="156" spans="18:21">
      <c r="R156" t="str">
        <f>TRIM(MID(TRIM(Transportes!D156),1,FIND(CHAR(10),TRIM(Transportes!D156),1)-1))</f>
        <v>Moquegua</v>
      </c>
      <c r="S156" t="str">
        <f>TRIM(IF(Transportes!F156="TRÁNSITO INTERRUMPIDO","Interrumpido",IF(Transportes!F156="TRÁNSITO RESTRINGIDO","Restringido","Normal")))</f>
        <v>Restringido</v>
      </c>
      <c r="T156" t="str">
        <f>TRIM(IF(MID(TRIM(Transportes!H156),1,FIND("-",TRIM(Transportes!H156),1)-2)="Acción humana","H","F"))</f>
        <v>F</v>
      </c>
      <c r="U156" s="53">
        <f>Transportes!G156</f>
        <v>40</v>
      </c>
    </row>
    <row r="157" spans="18:21">
      <c r="R157" t="str">
        <f>TRIM(MID(TRIM(Transportes!D157),1,FIND(CHAR(10),TRIM(Transportes!D157),1)-1))</f>
        <v>Moquegua</v>
      </c>
      <c r="S157" t="str">
        <f>TRIM(IF(Transportes!F157="TRÁNSITO INTERRUMPIDO","Interrumpido",IF(Transportes!F157="TRÁNSITO RESTRINGIDO","Restringido","Normal")))</f>
        <v>Restringido</v>
      </c>
      <c r="T157" t="str">
        <f>TRIM(IF(MID(TRIM(Transportes!H157),1,FIND("-",TRIM(Transportes!H157),1)-2)="Acción humana","H","F"))</f>
        <v>F</v>
      </c>
      <c r="U157" s="53">
        <f>Transportes!G157</f>
        <v>63</v>
      </c>
    </row>
    <row r="158" spans="18:21">
      <c r="R158" t="str">
        <f>TRIM(MID(TRIM(Transportes!D158),1,FIND(CHAR(10),TRIM(Transportes!D158),1)-1))</f>
        <v>La Libertad</v>
      </c>
      <c r="S158" t="str">
        <f>TRIM(IF(Transportes!F158="TRÁNSITO INTERRUMPIDO","Interrumpido",IF(Transportes!F158="TRÁNSITO RESTRINGIDO","Restringido","Normal")))</f>
        <v>Restringido</v>
      </c>
      <c r="T158" t="str">
        <f>TRIM(IF(MID(TRIM(Transportes!H158),1,FIND("-",TRIM(Transportes!H158),1)-2)="Acción humana","H","F"))</f>
        <v>H</v>
      </c>
      <c r="U158" s="53" t="str">
        <f>Transportes!G158</f>
        <v>-</v>
      </c>
    </row>
    <row r="159" spans="18:21">
      <c r="R159" t="str">
        <f>TRIM(MID(TRIM(Transportes!D159),1,FIND(CHAR(10),TRIM(Transportes!D159),1)-1))</f>
        <v>Puno</v>
      </c>
      <c r="S159" t="str">
        <f>TRIM(IF(Transportes!F159="TRÁNSITO INTERRUMPIDO","Interrumpido",IF(Transportes!F159="TRÁNSITO RESTRINGIDO","Restringido","Normal")))</f>
        <v>Restringido</v>
      </c>
      <c r="T159" t="str">
        <f>TRIM(IF(MID(TRIM(Transportes!H159),1,FIND("-",TRIM(Transportes!H159),1)-2)="Acción humana","H","F"))</f>
        <v>F</v>
      </c>
      <c r="U159" s="53">
        <f>Transportes!G159</f>
        <v>60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3" type="noConversion"/>
  <hyperlinks>
    <hyperlink ref="B71" r:id="rId1" xr:uid="{FAF91C51-B5BF-44BC-B848-35633AD133F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60"/>
  <sheetViews>
    <sheetView showGridLines="0" zoomScale="106" zoomScaleNormal="106" zoomScaleSheetLayoutView="100" workbookViewId="0">
      <selection activeCell="A159" sqref="A5:A159"/>
    </sheetView>
  </sheetViews>
  <sheetFormatPr baseColWidth="10" defaultColWidth="11" defaultRowHeight="18" customHeight="1"/>
  <cols>
    <col min="1" max="1" width="4.875" style="64" bestFit="1" customWidth="1"/>
    <col min="2" max="2" width="12.875" style="196" bestFit="1" customWidth="1"/>
    <col min="3" max="3" width="10.375" bestFit="1" customWidth="1"/>
    <col min="4" max="4" width="20.75" bestFit="1" customWidth="1"/>
    <col min="5" max="5" width="29.125" style="311" customWidth="1"/>
    <col min="6" max="6" width="13.625" style="55" bestFit="1" customWidth="1"/>
    <col min="7" max="7" width="10" style="53" hidden="1" customWidth="1"/>
    <col min="8" max="8" width="58" bestFit="1" customWidth="1"/>
    <col min="9" max="9" width="20.375" customWidth="1"/>
    <col min="10" max="10" width="27" bestFit="1" customWidth="1"/>
    <col min="11" max="11" width="10.125" style="195" bestFit="1" customWidth="1"/>
    <col min="12" max="12" width="12" style="158" customWidth="1"/>
    <col min="13" max="13" width="12.625" style="159" customWidth="1"/>
  </cols>
  <sheetData>
    <row r="1" spans="1:13" ht="63.75" customHeight="1">
      <c r="B1" s="188"/>
      <c r="D1" s="293" t="s">
        <v>151</v>
      </c>
      <c r="E1" s="293"/>
      <c r="F1" s="293"/>
      <c r="G1" s="293"/>
      <c r="H1" s="293"/>
      <c r="I1" s="293"/>
      <c r="J1" s="293"/>
      <c r="K1" s="293"/>
    </row>
    <row r="2" spans="1:13" ht="27" customHeight="1">
      <c r="A2" s="68"/>
      <c r="B2" s="189"/>
      <c r="C2" s="48" t="s">
        <v>0</v>
      </c>
      <c r="D2" s="294" t="s">
        <v>1</v>
      </c>
      <c r="E2" s="294"/>
      <c r="F2" s="294"/>
      <c r="G2" s="294"/>
      <c r="H2" s="294"/>
      <c r="I2" s="294"/>
      <c r="J2" s="294"/>
      <c r="K2" s="294"/>
      <c r="L2" s="160"/>
    </row>
    <row r="3" spans="1:13" ht="20.25" customHeight="1">
      <c r="A3" s="68"/>
      <c r="B3" s="190" t="s">
        <v>14</v>
      </c>
      <c r="C3" s="47" t="s">
        <v>719</v>
      </c>
      <c r="D3" s="49"/>
      <c r="E3" s="13"/>
      <c r="F3" s="13"/>
      <c r="G3" s="50"/>
      <c r="H3" s="51"/>
      <c r="I3" s="52"/>
      <c r="J3" s="51"/>
      <c r="K3" s="161"/>
      <c r="L3" s="162"/>
    </row>
    <row r="4" spans="1:13" ht="33" customHeight="1">
      <c r="A4" s="57" t="s">
        <v>399</v>
      </c>
      <c r="B4" s="57" t="s">
        <v>3</v>
      </c>
      <c r="C4" s="57" t="s">
        <v>18</v>
      </c>
      <c r="D4" s="57" t="s">
        <v>4</v>
      </c>
      <c r="E4" s="310" t="s">
        <v>5</v>
      </c>
      <c r="F4" s="57" t="s">
        <v>7</v>
      </c>
      <c r="G4" s="58" t="s">
        <v>87</v>
      </c>
      <c r="H4" s="57" t="s">
        <v>24</v>
      </c>
      <c r="I4" s="57" t="s">
        <v>17</v>
      </c>
      <c r="J4" s="57" t="s">
        <v>83</v>
      </c>
      <c r="K4" s="57" t="s">
        <v>9</v>
      </c>
      <c r="L4" s="163" t="s">
        <v>10</v>
      </c>
      <c r="M4" s="164" t="s">
        <v>11</v>
      </c>
    </row>
    <row r="5" spans="1:13" s="322" customFormat="1" ht="93" customHeight="1">
      <c r="A5" s="151">
        <v>155</v>
      </c>
      <c r="B5" s="186" t="s">
        <v>652</v>
      </c>
      <c r="C5" s="89">
        <v>45792</v>
      </c>
      <c r="D5" s="83" t="s">
        <v>127</v>
      </c>
      <c r="E5" s="80" t="s">
        <v>660</v>
      </c>
      <c r="F5" s="138" t="s">
        <v>29</v>
      </c>
      <c r="G5" s="91">
        <v>25</v>
      </c>
      <c r="H5" s="84" t="s">
        <v>720</v>
      </c>
      <c r="I5" s="87" t="s">
        <v>115</v>
      </c>
      <c r="J5" s="86" t="s">
        <v>182</v>
      </c>
      <c r="K5" s="194" t="s">
        <v>31</v>
      </c>
      <c r="L5" s="262">
        <v>-10.074085</v>
      </c>
      <c r="M5" s="263">
        <v>-77.145172000000002</v>
      </c>
    </row>
    <row r="6" spans="1:13" s="322" customFormat="1" ht="156" customHeight="1">
      <c r="A6" s="151">
        <v>154</v>
      </c>
      <c r="B6" s="186" t="s">
        <v>613</v>
      </c>
      <c r="C6" s="89">
        <v>45790</v>
      </c>
      <c r="D6" s="90" t="s">
        <v>614</v>
      </c>
      <c r="E6" s="80" t="s">
        <v>615</v>
      </c>
      <c r="F6" s="138" t="s">
        <v>29</v>
      </c>
      <c r="G6" s="91">
        <v>1</v>
      </c>
      <c r="H6" s="81" t="s">
        <v>721</v>
      </c>
      <c r="I6" s="87" t="s">
        <v>616</v>
      </c>
      <c r="J6" s="88" t="s">
        <v>225</v>
      </c>
      <c r="K6" s="193" t="s">
        <v>31</v>
      </c>
      <c r="L6" s="82">
        <v>-6.7519439999999999</v>
      </c>
      <c r="M6" s="66">
        <v>-79.724999999999994</v>
      </c>
    </row>
    <row r="7" spans="1:13" s="322" customFormat="1" ht="114.75" customHeight="1">
      <c r="A7" s="151">
        <v>153</v>
      </c>
      <c r="B7" s="186" t="s">
        <v>280</v>
      </c>
      <c r="C7" s="89">
        <v>45726</v>
      </c>
      <c r="D7" s="90" t="s">
        <v>278</v>
      </c>
      <c r="E7" s="80" t="s">
        <v>279</v>
      </c>
      <c r="F7" s="138" t="s">
        <v>29</v>
      </c>
      <c r="G7" s="91">
        <v>260</v>
      </c>
      <c r="H7" s="81" t="s">
        <v>722</v>
      </c>
      <c r="I7" s="87" t="s">
        <v>285</v>
      </c>
      <c r="J7" s="86" t="s">
        <v>197</v>
      </c>
      <c r="K7" s="193" t="s">
        <v>31</v>
      </c>
      <c r="L7" s="82">
        <v>-7.6618000000000004</v>
      </c>
      <c r="M7" s="66">
        <v>-77.866600000000005</v>
      </c>
    </row>
    <row r="8" spans="1:13" s="322" customFormat="1" ht="153">
      <c r="A8" s="151">
        <v>152</v>
      </c>
      <c r="B8" s="186" t="s">
        <v>253</v>
      </c>
      <c r="C8" s="89">
        <v>45719</v>
      </c>
      <c r="D8" s="90" t="s">
        <v>254</v>
      </c>
      <c r="E8" s="80" t="s">
        <v>255</v>
      </c>
      <c r="F8" s="138" t="s">
        <v>29</v>
      </c>
      <c r="G8" s="91">
        <v>30</v>
      </c>
      <c r="H8" s="81" t="s">
        <v>876</v>
      </c>
      <c r="I8" s="87" t="s">
        <v>256</v>
      </c>
      <c r="J8" s="86" t="s">
        <v>197</v>
      </c>
      <c r="K8" s="193" t="s">
        <v>31</v>
      </c>
      <c r="L8" s="82">
        <v>-7.6699510000000002</v>
      </c>
      <c r="M8" s="66">
        <v>-77.848448000000005</v>
      </c>
    </row>
    <row r="9" spans="1:13" s="322" customFormat="1" ht="107.25" customHeight="1">
      <c r="A9" s="151">
        <v>151</v>
      </c>
      <c r="B9" s="186" t="s">
        <v>189</v>
      </c>
      <c r="C9" s="89">
        <v>45670</v>
      </c>
      <c r="D9" s="90" t="s">
        <v>188</v>
      </c>
      <c r="E9" s="80" t="s">
        <v>471</v>
      </c>
      <c r="F9" s="138" t="s">
        <v>29</v>
      </c>
      <c r="G9" s="119">
        <v>200</v>
      </c>
      <c r="H9" s="97" t="s">
        <v>723</v>
      </c>
      <c r="I9" s="87"/>
      <c r="J9" s="88" t="s">
        <v>226</v>
      </c>
      <c r="K9" s="193" t="s">
        <v>31</v>
      </c>
      <c r="L9" s="120">
        <v>-17.151049</v>
      </c>
      <c r="M9" s="121">
        <v>-71.785892000000004</v>
      </c>
    </row>
    <row r="10" spans="1:13" s="322" customFormat="1" ht="107.25" customHeight="1">
      <c r="A10" s="151">
        <v>150</v>
      </c>
      <c r="B10" s="176" t="s">
        <v>884</v>
      </c>
      <c r="C10" s="89">
        <v>45432</v>
      </c>
      <c r="D10" s="90" t="s">
        <v>32</v>
      </c>
      <c r="E10" s="80" t="s">
        <v>882</v>
      </c>
      <c r="F10" s="94" t="s">
        <v>12</v>
      </c>
      <c r="G10" s="91"/>
      <c r="H10" s="97" t="s">
        <v>883</v>
      </c>
      <c r="I10" s="87" t="s">
        <v>84</v>
      </c>
      <c r="J10" s="88" t="s">
        <v>601</v>
      </c>
      <c r="K10" s="193"/>
      <c r="L10" s="82">
        <v>-9.0845099999999999</v>
      </c>
      <c r="M10" s="66">
        <v>-75.721131</v>
      </c>
    </row>
    <row r="11" spans="1:13" s="322" customFormat="1" ht="107.25" customHeight="1">
      <c r="A11" s="151">
        <v>149</v>
      </c>
      <c r="B11" s="186" t="s">
        <v>712</v>
      </c>
      <c r="C11" s="89">
        <v>45797</v>
      </c>
      <c r="D11" s="90" t="s">
        <v>710</v>
      </c>
      <c r="E11" s="80" t="s">
        <v>711</v>
      </c>
      <c r="F11" s="94" t="s">
        <v>12</v>
      </c>
      <c r="G11" s="91">
        <v>30</v>
      </c>
      <c r="H11" s="97" t="s">
        <v>724</v>
      </c>
      <c r="I11" s="87" t="s">
        <v>597</v>
      </c>
      <c r="J11" s="88" t="s">
        <v>571</v>
      </c>
      <c r="K11" s="313"/>
      <c r="L11" s="314">
        <v>-9.5364730000000009</v>
      </c>
      <c r="M11" s="315">
        <v>-75.176770000000005</v>
      </c>
    </row>
    <row r="12" spans="1:13" s="322" customFormat="1" ht="107.25" customHeight="1">
      <c r="A12" s="151">
        <v>148</v>
      </c>
      <c r="B12" s="259" t="s">
        <v>706</v>
      </c>
      <c r="C12" s="89">
        <v>45797</v>
      </c>
      <c r="D12" s="83" t="s">
        <v>704</v>
      </c>
      <c r="E12" s="182" t="s">
        <v>705</v>
      </c>
      <c r="F12" s="94" t="s">
        <v>12</v>
      </c>
      <c r="G12" s="36">
        <v>20</v>
      </c>
      <c r="H12" s="31" t="s">
        <v>877</v>
      </c>
      <c r="I12" s="87" t="s">
        <v>878</v>
      </c>
      <c r="J12" s="88" t="s">
        <v>207</v>
      </c>
      <c r="K12" s="176" t="s">
        <v>31</v>
      </c>
      <c r="L12" s="314">
        <v>-14.979514999999999</v>
      </c>
      <c r="M12" s="315">
        <v>-73.816463999999996</v>
      </c>
    </row>
    <row r="13" spans="1:13" s="322" customFormat="1" ht="107.25" customHeight="1">
      <c r="A13" s="151">
        <v>147</v>
      </c>
      <c r="B13" s="259" t="s">
        <v>702</v>
      </c>
      <c r="C13" s="89">
        <v>45797</v>
      </c>
      <c r="D13" s="83" t="s">
        <v>130</v>
      </c>
      <c r="E13" s="80" t="s">
        <v>703</v>
      </c>
      <c r="F13" s="94" t="s">
        <v>12</v>
      </c>
      <c r="G13" s="91">
        <v>20</v>
      </c>
      <c r="H13" s="81" t="s">
        <v>852</v>
      </c>
      <c r="I13" s="34" t="s">
        <v>417</v>
      </c>
      <c r="J13" s="88" t="s">
        <v>225</v>
      </c>
      <c r="K13" s="176" t="s">
        <v>31</v>
      </c>
      <c r="L13" s="82">
        <v>-6.1089370000000001</v>
      </c>
      <c r="M13" s="66">
        <v>-78.714099000000004</v>
      </c>
    </row>
    <row r="14" spans="1:13" s="322" customFormat="1" ht="107.25" customHeight="1">
      <c r="A14" s="151">
        <v>146</v>
      </c>
      <c r="B14" s="259" t="s">
        <v>701</v>
      </c>
      <c r="C14" s="89">
        <v>45797</v>
      </c>
      <c r="D14" s="96" t="s">
        <v>698</v>
      </c>
      <c r="E14" s="80" t="s">
        <v>699</v>
      </c>
      <c r="F14" s="94" t="s">
        <v>12</v>
      </c>
      <c r="G14" s="91">
        <v>40</v>
      </c>
      <c r="H14" s="81" t="s">
        <v>725</v>
      </c>
      <c r="I14" s="87" t="s">
        <v>700</v>
      </c>
      <c r="J14" s="88" t="s">
        <v>234</v>
      </c>
      <c r="K14" s="176" t="s">
        <v>31</v>
      </c>
      <c r="L14" s="82">
        <v>-14.363448999999999</v>
      </c>
      <c r="M14" s="66">
        <v>-69.478427999999994</v>
      </c>
    </row>
    <row r="15" spans="1:13" s="322" customFormat="1" ht="91.5" customHeight="1">
      <c r="A15" s="151">
        <v>145</v>
      </c>
      <c r="B15" s="176" t="s">
        <v>715</v>
      </c>
      <c r="C15" s="89">
        <v>45796</v>
      </c>
      <c r="D15" s="90" t="s">
        <v>716</v>
      </c>
      <c r="E15" s="80" t="s">
        <v>717</v>
      </c>
      <c r="F15" s="94" t="s">
        <v>12</v>
      </c>
      <c r="G15" s="36"/>
      <c r="H15" s="81" t="s">
        <v>726</v>
      </c>
      <c r="I15" s="87" t="s">
        <v>718</v>
      </c>
      <c r="J15" s="88" t="s">
        <v>121</v>
      </c>
      <c r="K15" s="193"/>
      <c r="L15" s="82">
        <v>-6.7552859999999999</v>
      </c>
      <c r="M15" s="66">
        <v>-72.589905000000002</v>
      </c>
    </row>
    <row r="16" spans="1:13" s="322" customFormat="1" ht="107.25" customHeight="1">
      <c r="A16" s="151">
        <v>144</v>
      </c>
      <c r="B16" s="259" t="s">
        <v>709</v>
      </c>
      <c r="C16" s="89">
        <v>45796</v>
      </c>
      <c r="D16" s="96" t="s">
        <v>707</v>
      </c>
      <c r="E16" s="80" t="s">
        <v>708</v>
      </c>
      <c r="F16" s="94" t="s">
        <v>12</v>
      </c>
      <c r="G16" s="312">
        <v>50</v>
      </c>
      <c r="H16" s="81" t="s">
        <v>728</v>
      </c>
      <c r="I16" s="87" t="s">
        <v>881</v>
      </c>
      <c r="J16" s="88" t="s">
        <v>561</v>
      </c>
      <c r="K16" s="176" t="s">
        <v>31</v>
      </c>
      <c r="L16" s="314">
        <v>-10.613597</v>
      </c>
      <c r="M16" s="315">
        <v>-76.179884000000001</v>
      </c>
    </row>
    <row r="17" spans="1:17" s="322" customFormat="1" ht="107.25" customHeight="1">
      <c r="A17" s="151">
        <v>143</v>
      </c>
      <c r="B17" s="186" t="s">
        <v>697</v>
      </c>
      <c r="C17" s="89">
        <v>45796</v>
      </c>
      <c r="D17" s="96" t="s">
        <v>579</v>
      </c>
      <c r="E17" s="134" t="s">
        <v>696</v>
      </c>
      <c r="F17" s="94" t="s">
        <v>12</v>
      </c>
      <c r="G17" s="91">
        <v>5</v>
      </c>
      <c r="H17" s="81" t="s">
        <v>879</v>
      </c>
      <c r="I17" s="34" t="s">
        <v>880</v>
      </c>
      <c r="J17" s="88" t="s">
        <v>578</v>
      </c>
      <c r="K17" s="176" t="s">
        <v>31</v>
      </c>
      <c r="L17" s="82">
        <v>-14.070356</v>
      </c>
      <c r="M17" s="66">
        <v>-72.559875000000005</v>
      </c>
    </row>
    <row r="18" spans="1:17" s="322" customFormat="1" ht="107.25" customHeight="1">
      <c r="A18" s="151">
        <v>142</v>
      </c>
      <c r="B18" s="259" t="s">
        <v>692</v>
      </c>
      <c r="C18" s="89">
        <v>45796</v>
      </c>
      <c r="D18" s="90" t="s">
        <v>278</v>
      </c>
      <c r="E18" s="80" t="s">
        <v>693</v>
      </c>
      <c r="F18" s="94" t="s">
        <v>12</v>
      </c>
      <c r="G18" s="91">
        <v>70</v>
      </c>
      <c r="H18" s="81" t="s">
        <v>727</v>
      </c>
      <c r="I18" s="87" t="s">
        <v>694</v>
      </c>
      <c r="J18" s="86" t="s">
        <v>197</v>
      </c>
      <c r="K18" s="176" t="s">
        <v>31</v>
      </c>
      <c r="L18" s="82">
        <v>-7.6673770000000001</v>
      </c>
      <c r="M18" s="66">
        <v>-77.8476</v>
      </c>
    </row>
    <row r="19" spans="1:17" s="322" customFormat="1" ht="107.25" customHeight="1">
      <c r="A19" s="151">
        <v>141</v>
      </c>
      <c r="B19" s="259" t="s">
        <v>691</v>
      </c>
      <c r="C19" s="89">
        <v>45796</v>
      </c>
      <c r="D19" s="83" t="s">
        <v>132</v>
      </c>
      <c r="E19" s="80" t="s">
        <v>690</v>
      </c>
      <c r="F19" s="94" t="s">
        <v>12</v>
      </c>
      <c r="G19" s="91">
        <v>10</v>
      </c>
      <c r="H19" s="81" t="s">
        <v>729</v>
      </c>
      <c r="I19" s="34" t="s">
        <v>688</v>
      </c>
      <c r="J19" s="88" t="s">
        <v>225</v>
      </c>
      <c r="K19" s="176" t="s">
        <v>31</v>
      </c>
      <c r="L19" s="236">
        <v>-6.3662619999999999</v>
      </c>
      <c r="M19" s="237">
        <v>-78.795406999999997</v>
      </c>
    </row>
    <row r="20" spans="1:17" s="322" customFormat="1" ht="107.25" customHeight="1">
      <c r="A20" s="151">
        <v>140</v>
      </c>
      <c r="B20" s="259" t="s">
        <v>689</v>
      </c>
      <c r="C20" s="89">
        <v>45796</v>
      </c>
      <c r="D20" s="83" t="s">
        <v>686</v>
      </c>
      <c r="E20" s="80" t="s">
        <v>687</v>
      </c>
      <c r="F20" s="94" t="s">
        <v>12</v>
      </c>
      <c r="G20" s="91">
        <v>10</v>
      </c>
      <c r="H20" s="81" t="s">
        <v>729</v>
      </c>
      <c r="I20" s="34" t="s">
        <v>688</v>
      </c>
      <c r="J20" s="88" t="s">
        <v>225</v>
      </c>
      <c r="K20" s="176" t="s">
        <v>31</v>
      </c>
      <c r="L20" s="236">
        <v>-6.2068500000000002</v>
      </c>
      <c r="M20" s="237">
        <v>-78.737639999999999</v>
      </c>
    </row>
    <row r="21" spans="1:17" s="322" customFormat="1" ht="97.5" customHeight="1">
      <c r="A21" s="151">
        <v>139</v>
      </c>
      <c r="B21" s="259" t="s">
        <v>685</v>
      </c>
      <c r="C21" s="89">
        <v>45796</v>
      </c>
      <c r="D21" s="83" t="s">
        <v>682</v>
      </c>
      <c r="E21" s="80" t="s">
        <v>683</v>
      </c>
      <c r="F21" s="94" t="s">
        <v>12</v>
      </c>
      <c r="G21" s="91">
        <v>40</v>
      </c>
      <c r="H21" s="81" t="s">
        <v>730</v>
      </c>
      <c r="I21" s="87" t="s">
        <v>684</v>
      </c>
      <c r="J21" s="88" t="s">
        <v>234</v>
      </c>
      <c r="K21" s="265" t="s">
        <v>31</v>
      </c>
      <c r="L21" s="82">
        <v>-14.229673</v>
      </c>
      <c r="M21" s="66">
        <v>-69.156859999999995</v>
      </c>
    </row>
    <row r="22" spans="1:17" s="322" customFormat="1" ht="110.25" customHeight="1">
      <c r="A22" s="151">
        <v>138</v>
      </c>
      <c r="B22" s="266" t="s">
        <v>680</v>
      </c>
      <c r="C22" s="89">
        <v>45796</v>
      </c>
      <c r="D22" s="90" t="s">
        <v>133</v>
      </c>
      <c r="E22" s="80" t="s">
        <v>679</v>
      </c>
      <c r="F22" s="94" t="s">
        <v>12</v>
      </c>
      <c r="G22" s="213">
        <v>20</v>
      </c>
      <c r="H22" s="81" t="s">
        <v>731</v>
      </c>
      <c r="I22" s="87" t="s">
        <v>567</v>
      </c>
      <c r="J22" s="88" t="s">
        <v>367</v>
      </c>
      <c r="K22" s="265" t="s">
        <v>31</v>
      </c>
      <c r="L22" s="214">
        <v>-5.1074973000000004</v>
      </c>
      <c r="M22" s="215">
        <v>-78.365061999999995</v>
      </c>
      <c r="Q22" s="322" t="s">
        <v>0</v>
      </c>
    </row>
    <row r="23" spans="1:17" s="322" customFormat="1" ht="110.25" customHeight="1">
      <c r="A23" s="151">
        <v>137</v>
      </c>
      <c r="B23" s="259" t="s">
        <v>677</v>
      </c>
      <c r="C23" s="89">
        <v>45796</v>
      </c>
      <c r="D23" s="83" t="s">
        <v>130</v>
      </c>
      <c r="E23" s="80" t="s">
        <v>678</v>
      </c>
      <c r="F23" s="94" t="s">
        <v>12</v>
      </c>
      <c r="G23" s="91">
        <v>30</v>
      </c>
      <c r="H23" s="81" t="s">
        <v>732</v>
      </c>
      <c r="I23" s="34" t="s">
        <v>681</v>
      </c>
      <c r="J23" s="88" t="s">
        <v>225</v>
      </c>
      <c r="K23" s="176" t="s">
        <v>31</v>
      </c>
      <c r="L23" s="236">
        <v>-6.0572999999999997</v>
      </c>
      <c r="M23" s="237">
        <v>-78.7654</v>
      </c>
    </row>
    <row r="24" spans="1:17" s="322" customFormat="1" ht="110.25" customHeight="1">
      <c r="A24" s="151">
        <v>136</v>
      </c>
      <c r="B24" s="259" t="s">
        <v>671</v>
      </c>
      <c r="C24" s="89">
        <v>45793</v>
      </c>
      <c r="D24" s="79" t="s">
        <v>666</v>
      </c>
      <c r="E24" s="80" t="s">
        <v>667</v>
      </c>
      <c r="F24" s="94" t="s">
        <v>12</v>
      </c>
      <c r="G24" s="91" t="s">
        <v>106</v>
      </c>
      <c r="H24" s="81" t="s">
        <v>733</v>
      </c>
      <c r="I24" s="87" t="s">
        <v>28</v>
      </c>
      <c r="J24" s="88" t="s">
        <v>576</v>
      </c>
      <c r="K24" s="265" t="s">
        <v>31</v>
      </c>
      <c r="L24" s="82">
        <v>-14.66864666</v>
      </c>
      <c r="M24" s="66">
        <v>-71.280101536999993</v>
      </c>
    </row>
    <row r="25" spans="1:17" s="322" customFormat="1" ht="110.25" customHeight="1">
      <c r="A25" s="151">
        <v>135</v>
      </c>
      <c r="B25" s="259" t="s">
        <v>670</v>
      </c>
      <c r="C25" s="89">
        <v>45793</v>
      </c>
      <c r="D25" s="79" t="s">
        <v>668</v>
      </c>
      <c r="E25" s="80" t="s">
        <v>669</v>
      </c>
      <c r="F25" s="94" t="s">
        <v>12</v>
      </c>
      <c r="G25" s="91" t="s">
        <v>106</v>
      </c>
      <c r="H25" s="81" t="s">
        <v>733</v>
      </c>
      <c r="I25" s="87" t="s">
        <v>28</v>
      </c>
      <c r="J25" s="88" t="s">
        <v>576</v>
      </c>
      <c r="K25" s="265" t="s">
        <v>31</v>
      </c>
      <c r="L25" s="82">
        <v>-14.635122000000001</v>
      </c>
      <c r="M25" s="66">
        <v>-71.276989999999998</v>
      </c>
    </row>
    <row r="26" spans="1:17" s="322" customFormat="1" ht="110.25" customHeight="1">
      <c r="A26" s="151">
        <v>134</v>
      </c>
      <c r="B26" s="259" t="s">
        <v>664</v>
      </c>
      <c r="C26" s="89">
        <v>45793</v>
      </c>
      <c r="D26" s="96" t="s">
        <v>631</v>
      </c>
      <c r="E26" s="80" t="s">
        <v>665</v>
      </c>
      <c r="F26" s="94" t="s">
        <v>12</v>
      </c>
      <c r="G26" s="91">
        <v>40</v>
      </c>
      <c r="H26" s="81" t="s">
        <v>734</v>
      </c>
      <c r="I26" s="87" t="s">
        <v>503</v>
      </c>
      <c r="J26" s="88" t="s">
        <v>184</v>
      </c>
      <c r="K26" s="265" t="s">
        <v>31</v>
      </c>
      <c r="L26" s="82">
        <v>-4.8402310000000002</v>
      </c>
      <c r="M26" s="66">
        <v>-79.605215000000001</v>
      </c>
    </row>
    <row r="27" spans="1:17" s="322" customFormat="1" ht="114.75">
      <c r="A27" s="151">
        <v>133</v>
      </c>
      <c r="B27" s="259" t="s">
        <v>663</v>
      </c>
      <c r="C27" s="89">
        <v>45793</v>
      </c>
      <c r="D27" s="90" t="s">
        <v>454</v>
      </c>
      <c r="E27" s="80" t="s">
        <v>661</v>
      </c>
      <c r="F27" s="94" t="s">
        <v>12</v>
      </c>
      <c r="G27" s="91">
        <v>150</v>
      </c>
      <c r="H27" s="97" t="s">
        <v>724</v>
      </c>
      <c r="I27" s="87" t="s">
        <v>662</v>
      </c>
      <c r="J27" s="88" t="s">
        <v>571</v>
      </c>
      <c r="K27" s="265" t="s">
        <v>31</v>
      </c>
      <c r="L27" s="82">
        <v>-9.8015150000000002</v>
      </c>
      <c r="M27" s="66">
        <v>-75.523341000000002</v>
      </c>
    </row>
    <row r="28" spans="1:17" s="322" customFormat="1" ht="110.25" customHeight="1">
      <c r="A28" s="151">
        <v>132</v>
      </c>
      <c r="B28" s="186" t="s">
        <v>673</v>
      </c>
      <c r="C28" s="89">
        <v>45792</v>
      </c>
      <c r="D28" s="96" t="s">
        <v>579</v>
      </c>
      <c r="E28" s="134" t="s">
        <v>672</v>
      </c>
      <c r="F28" s="94" t="s">
        <v>12</v>
      </c>
      <c r="G28" s="91">
        <v>5</v>
      </c>
      <c r="H28" s="81" t="s">
        <v>735</v>
      </c>
      <c r="I28" s="34" t="s">
        <v>628</v>
      </c>
      <c r="J28" s="88" t="s">
        <v>578</v>
      </c>
      <c r="K28" s="265" t="s">
        <v>31</v>
      </c>
      <c r="L28" s="82">
        <v>-14.067209</v>
      </c>
      <c r="M28" s="66">
        <v>-72.550335000000004</v>
      </c>
    </row>
    <row r="29" spans="1:17" s="322" customFormat="1" ht="89.25">
      <c r="A29" s="151">
        <v>131</v>
      </c>
      <c r="B29" s="186" t="s">
        <v>649</v>
      </c>
      <c r="C29" s="89">
        <v>45792</v>
      </c>
      <c r="D29" s="96" t="s">
        <v>647</v>
      </c>
      <c r="E29" s="182" t="s">
        <v>648</v>
      </c>
      <c r="F29" s="94" t="s">
        <v>12</v>
      </c>
      <c r="G29" s="36">
        <v>12</v>
      </c>
      <c r="H29" s="31" t="s">
        <v>736</v>
      </c>
      <c r="I29" s="87" t="s">
        <v>659</v>
      </c>
      <c r="J29" s="88" t="s">
        <v>207</v>
      </c>
      <c r="K29" s="194" t="s">
        <v>31</v>
      </c>
      <c r="L29" s="82">
        <v>-14.975243000000001</v>
      </c>
      <c r="M29" s="66">
        <v>-73.832454999999996</v>
      </c>
    </row>
    <row r="30" spans="1:17" s="322" customFormat="1" ht="89.25">
      <c r="A30" s="151">
        <v>130</v>
      </c>
      <c r="B30" s="186" t="s">
        <v>646</v>
      </c>
      <c r="C30" s="89">
        <v>45792</v>
      </c>
      <c r="D30" s="96" t="s">
        <v>631</v>
      </c>
      <c r="E30" s="80" t="s">
        <v>645</v>
      </c>
      <c r="F30" s="94" t="s">
        <v>12</v>
      </c>
      <c r="G30" s="91">
        <v>40</v>
      </c>
      <c r="H30" s="81" t="s">
        <v>734</v>
      </c>
      <c r="I30" s="87" t="s">
        <v>503</v>
      </c>
      <c r="J30" s="88" t="s">
        <v>184</v>
      </c>
      <c r="K30" s="194" t="s">
        <v>31</v>
      </c>
      <c r="L30" s="82">
        <v>-4.6125980000000002</v>
      </c>
      <c r="M30" s="66">
        <v>-79.645229</v>
      </c>
    </row>
    <row r="31" spans="1:17" s="322" customFormat="1" ht="76.5">
      <c r="A31" s="151">
        <v>129</v>
      </c>
      <c r="B31" s="186" t="s">
        <v>642</v>
      </c>
      <c r="C31" s="89">
        <v>45792</v>
      </c>
      <c r="D31" s="96" t="s">
        <v>640</v>
      </c>
      <c r="E31" s="80" t="s">
        <v>641</v>
      </c>
      <c r="F31" s="94" t="s">
        <v>12</v>
      </c>
      <c r="G31" s="91">
        <v>30</v>
      </c>
      <c r="H31" s="81" t="s">
        <v>737</v>
      </c>
      <c r="I31" s="87" t="s">
        <v>674</v>
      </c>
      <c r="J31" s="88" t="s">
        <v>225</v>
      </c>
      <c r="K31" s="194" t="s">
        <v>31</v>
      </c>
      <c r="L31" s="82">
        <v>-6.3282129999999999</v>
      </c>
      <c r="M31" s="66">
        <v>-78.709185000000005</v>
      </c>
    </row>
    <row r="32" spans="1:17" s="322" customFormat="1" ht="87.75" customHeight="1">
      <c r="A32" s="151">
        <v>128</v>
      </c>
      <c r="B32" s="186" t="s">
        <v>639</v>
      </c>
      <c r="C32" s="89">
        <v>45791</v>
      </c>
      <c r="D32" s="83" t="s">
        <v>637</v>
      </c>
      <c r="E32" s="80" t="s">
        <v>638</v>
      </c>
      <c r="F32" s="94" t="s">
        <v>12</v>
      </c>
      <c r="G32" s="91"/>
      <c r="H32" s="81" t="s">
        <v>738</v>
      </c>
      <c r="I32" s="92" t="s">
        <v>657</v>
      </c>
      <c r="J32" s="88" t="s">
        <v>207</v>
      </c>
      <c r="K32" s="193" t="s">
        <v>31</v>
      </c>
      <c r="L32" s="82">
        <v>-12.753112</v>
      </c>
      <c r="M32" s="66">
        <v>-74.914479</v>
      </c>
    </row>
    <row r="33" spans="1:13" s="322" customFormat="1" ht="89.25">
      <c r="A33" s="151">
        <v>127</v>
      </c>
      <c r="B33" s="186" t="s">
        <v>633</v>
      </c>
      <c r="C33" s="89">
        <v>45791</v>
      </c>
      <c r="D33" s="96" t="s">
        <v>631</v>
      </c>
      <c r="E33" s="80" t="s">
        <v>632</v>
      </c>
      <c r="F33" s="94" t="s">
        <v>12</v>
      </c>
      <c r="G33" s="91">
        <v>15</v>
      </c>
      <c r="H33" s="81" t="s">
        <v>739</v>
      </c>
      <c r="I33" s="87" t="s">
        <v>503</v>
      </c>
      <c r="J33" s="88" t="s">
        <v>184</v>
      </c>
      <c r="K33" s="193" t="s">
        <v>31</v>
      </c>
      <c r="L33" s="82">
        <v>-4.7548120000000003</v>
      </c>
      <c r="M33" s="66">
        <v>-79.616197</v>
      </c>
    </row>
    <row r="34" spans="1:13" s="322" customFormat="1" ht="102.75" customHeight="1">
      <c r="A34" s="151">
        <v>126</v>
      </c>
      <c r="B34" s="187" t="s">
        <v>636</v>
      </c>
      <c r="C34" s="89">
        <v>45790</v>
      </c>
      <c r="D34" s="79" t="s">
        <v>634</v>
      </c>
      <c r="E34" s="80" t="s">
        <v>635</v>
      </c>
      <c r="F34" s="94" t="s">
        <v>12</v>
      </c>
      <c r="G34" s="246">
        <v>100</v>
      </c>
      <c r="H34" s="81" t="s">
        <v>740</v>
      </c>
      <c r="I34" s="87" t="s">
        <v>139</v>
      </c>
      <c r="J34" s="88" t="s">
        <v>576</v>
      </c>
      <c r="K34" s="194" t="s">
        <v>31</v>
      </c>
      <c r="L34" s="247">
        <v>-12.934186</v>
      </c>
      <c r="M34" s="248">
        <v>-72.668447</v>
      </c>
    </row>
    <row r="35" spans="1:13" s="322" customFormat="1" ht="114.75">
      <c r="A35" s="151">
        <v>125</v>
      </c>
      <c r="B35" s="186" t="s">
        <v>609</v>
      </c>
      <c r="C35" s="89">
        <v>45790</v>
      </c>
      <c r="D35" s="96" t="s">
        <v>607</v>
      </c>
      <c r="E35" s="80" t="s">
        <v>608</v>
      </c>
      <c r="F35" s="94" t="s">
        <v>12</v>
      </c>
      <c r="G35" s="91">
        <v>12</v>
      </c>
      <c r="H35" s="81" t="s">
        <v>741</v>
      </c>
      <c r="I35" s="87" t="s">
        <v>626</v>
      </c>
      <c r="J35" s="88" t="s">
        <v>184</v>
      </c>
      <c r="K35" s="194" t="s">
        <v>31</v>
      </c>
      <c r="L35" s="82">
        <v>-4.981541</v>
      </c>
      <c r="M35" s="66">
        <v>-79.637241000000003</v>
      </c>
    </row>
    <row r="36" spans="1:13" s="322" customFormat="1" ht="86.25" customHeight="1">
      <c r="A36" s="151">
        <v>124</v>
      </c>
      <c r="B36" s="186" t="s">
        <v>610</v>
      </c>
      <c r="C36" s="89">
        <v>45789</v>
      </c>
      <c r="D36" s="83" t="s">
        <v>611</v>
      </c>
      <c r="E36" s="80" t="s">
        <v>612</v>
      </c>
      <c r="F36" s="94" t="s">
        <v>12</v>
      </c>
      <c r="G36" s="91" t="s">
        <v>106</v>
      </c>
      <c r="H36" s="81" t="s">
        <v>742</v>
      </c>
      <c r="I36" s="87" t="s">
        <v>627</v>
      </c>
      <c r="J36" s="86" t="s">
        <v>182</v>
      </c>
      <c r="K36" s="194" t="s">
        <v>31</v>
      </c>
      <c r="L36" s="82">
        <v>-8.5755040000000005</v>
      </c>
      <c r="M36" s="66">
        <v>-77.762568000000002</v>
      </c>
    </row>
    <row r="37" spans="1:13" s="322" customFormat="1" ht="89.25">
      <c r="A37" s="151">
        <v>123</v>
      </c>
      <c r="B37" s="186" t="s">
        <v>602</v>
      </c>
      <c r="C37" s="89">
        <v>45789</v>
      </c>
      <c r="D37" s="96" t="s">
        <v>579</v>
      </c>
      <c r="E37" s="134" t="s">
        <v>630</v>
      </c>
      <c r="F37" s="94" t="s">
        <v>12</v>
      </c>
      <c r="G37" s="91">
        <v>5</v>
      </c>
      <c r="H37" s="81" t="s">
        <v>735</v>
      </c>
      <c r="I37" s="34" t="s">
        <v>628</v>
      </c>
      <c r="J37" s="88" t="s">
        <v>578</v>
      </c>
      <c r="K37" s="193" t="s">
        <v>31</v>
      </c>
      <c r="L37" s="82">
        <v>-14.069299000000001</v>
      </c>
      <c r="M37" s="66">
        <v>-72.554571999999993</v>
      </c>
    </row>
    <row r="38" spans="1:13" s="322" customFormat="1" ht="76.5">
      <c r="A38" s="151">
        <v>122</v>
      </c>
      <c r="B38" s="193" t="s">
        <v>604</v>
      </c>
      <c r="C38" s="89">
        <v>45788</v>
      </c>
      <c r="D38" s="90" t="s">
        <v>577</v>
      </c>
      <c r="E38" s="80" t="s">
        <v>605</v>
      </c>
      <c r="F38" s="94" t="s">
        <v>12</v>
      </c>
      <c r="G38" s="172">
        <v>60</v>
      </c>
      <c r="H38" s="81" t="s">
        <v>726</v>
      </c>
      <c r="I38" s="87" t="s">
        <v>507</v>
      </c>
      <c r="J38" s="88" t="s">
        <v>121</v>
      </c>
      <c r="K38" s="193" t="s">
        <v>31</v>
      </c>
      <c r="L38" s="132">
        <v>-6.0614555555555496</v>
      </c>
      <c r="M38" s="133">
        <v>-78.8984194444444</v>
      </c>
    </row>
    <row r="39" spans="1:13" s="322" customFormat="1" ht="127.5" customHeight="1">
      <c r="A39" s="151">
        <v>121</v>
      </c>
      <c r="B39" s="259" t="s">
        <v>675</v>
      </c>
      <c r="C39" s="89">
        <v>45787</v>
      </c>
      <c r="D39" s="90" t="s">
        <v>108</v>
      </c>
      <c r="E39" s="80" t="s">
        <v>599</v>
      </c>
      <c r="F39" s="94" t="s">
        <v>12</v>
      </c>
      <c r="G39" s="91">
        <v>50</v>
      </c>
      <c r="H39" s="81" t="s">
        <v>743</v>
      </c>
      <c r="I39" s="87" t="s">
        <v>600</v>
      </c>
      <c r="J39" s="88" t="s">
        <v>371</v>
      </c>
      <c r="K39" s="176" t="s">
        <v>31</v>
      </c>
      <c r="L39" s="132">
        <v>-5.8822570000000001</v>
      </c>
      <c r="M39" s="133">
        <v>-79.530708000000004</v>
      </c>
    </row>
    <row r="40" spans="1:13" s="322" customFormat="1" ht="159" customHeight="1">
      <c r="A40" s="151">
        <v>120</v>
      </c>
      <c r="B40" s="186" t="s">
        <v>598</v>
      </c>
      <c r="C40" s="89">
        <v>45787</v>
      </c>
      <c r="D40" s="90" t="s">
        <v>277</v>
      </c>
      <c r="E40" s="80" t="s">
        <v>596</v>
      </c>
      <c r="F40" s="94" t="s">
        <v>12</v>
      </c>
      <c r="G40" s="91">
        <v>160</v>
      </c>
      <c r="H40" s="97" t="s">
        <v>724</v>
      </c>
      <c r="I40" s="87" t="s">
        <v>597</v>
      </c>
      <c r="J40" s="88" t="s">
        <v>571</v>
      </c>
      <c r="K40" s="194" t="s">
        <v>31</v>
      </c>
      <c r="L40" s="82">
        <v>-9.5203150000000001</v>
      </c>
      <c r="M40" s="66">
        <v>-75.094156999999996</v>
      </c>
    </row>
    <row r="41" spans="1:13" s="322" customFormat="1" ht="102.75" customHeight="1">
      <c r="A41" s="151">
        <v>119</v>
      </c>
      <c r="B41" s="187" t="s">
        <v>593</v>
      </c>
      <c r="C41" s="89">
        <v>45786</v>
      </c>
      <c r="D41" s="90" t="s">
        <v>133</v>
      </c>
      <c r="E41" s="80" t="s">
        <v>592</v>
      </c>
      <c r="F41" s="94" t="s">
        <v>12</v>
      </c>
      <c r="G41" s="213">
        <v>10</v>
      </c>
      <c r="H41" s="81" t="s">
        <v>744</v>
      </c>
      <c r="I41" s="87" t="s">
        <v>567</v>
      </c>
      <c r="J41" s="88" t="s">
        <v>367</v>
      </c>
      <c r="K41" s="194" t="s">
        <v>31</v>
      </c>
      <c r="L41" s="214">
        <v>-4.7838880000000001</v>
      </c>
      <c r="M41" s="215">
        <v>-78.147757999999996</v>
      </c>
    </row>
    <row r="42" spans="1:13" s="322" customFormat="1" ht="102.75" customHeight="1">
      <c r="A42" s="151">
        <v>118</v>
      </c>
      <c r="B42" s="186" t="s">
        <v>620</v>
      </c>
      <c r="C42" s="89">
        <v>45785</v>
      </c>
      <c r="D42" s="32" t="s">
        <v>621</v>
      </c>
      <c r="E42" s="182" t="s">
        <v>622</v>
      </c>
      <c r="F42" s="94" t="s">
        <v>12</v>
      </c>
      <c r="G42" s="36">
        <v>15</v>
      </c>
      <c r="H42" s="31" t="s">
        <v>745</v>
      </c>
      <c r="I42" s="87" t="s">
        <v>28</v>
      </c>
      <c r="J42" s="88" t="s">
        <v>187</v>
      </c>
      <c r="K42" s="193" t="s">
        <v>31</v>
      </c>
      <c r="L42" s="82">
        <v>-13.353954999999999</v>
      </c>
      <c r="M42" s="66">
        <v>-74.668083999999993</v>
      </c>
    </row>
    <row r="43" spans="1:13" s="322" customFormat="1" ht="100.5" customHeight="1">
      <c r="A43" s="151">
        <v>117</v>
      </c>
      <c r="B43" s="193" t="s">
        <v>595</v>
      </c>
      <c r="C43" s="89">
        <v>45785</v>
      </c>
      <c r="D43" s="90" t="s">
        <v>119</v>
      </c>
      <c r="E43" s="80" t="s">
        <v>594</v>
      </c>
      <c r="F43" s="94" t="s">
        <v>12</v>
      </c>
      <c r="G43" s="172">
        <v>31</v>
      </c>
      <c r="H43" s="81" t="s">
        <v>746</v>
      </c>
      <c r="I43" s="87" t="s">
        <v>120</v>
      </c>
      <c r="J43" s="88" t="s">
        <v>121</v>
      </c>
      <c r="K43" s="193" t="s">
        <v>31</v>
      </c>
      <c r="L43" s="132">
        <v>-6.4817330000000002</v>
      </c>
      <c r="M43" s="133">
        <v>-78.869449000000003</v>
      </c>
    </row>
    <row r="44" spans="1:13" s="322" customFormat="1" ht="102.75" customHeight="1">
      <c r="A44" s="151">
        <v>116</v>
      </c>
      <c r="B44" s="186" t="s">
        <v>617</v>
      </c>
      <c r="C44" s="89">
        <v>45784</v>
      </c>
      <c r="D44" s="32" t="s">
        <v>618</v>
      </c>
      <c r="E44" s="182" t="s">
        <v>619</v>
      </c>
      <c r="F44" s="94" t="s">
        <v>12</v>
      </c>
      <c r="G44" s="36" t="s">
        <v>106</v>
      </c>
      <c r="H44" s="31" t="s">
        <v>748</v>
      </c>
      <c r="I44" s="87" t="s">
        <v>28</v>
      </c>
      <c r="J44" s="88" t="s">
        <v>187</v>
      </c>
      <c r="K44" s="194" t="s">
        <v>31</v>
      </c>
      <c r="L44" s="82">
        <v>-15.676631</v>
      </c>
      <c r="M44" s="66">
        <v>-74.524173000000005</v>
      </c>
    </row>
    <row r="45" spans="1:13" s="322" customFormat="1" ht="76.5">
      <c r="A45" s="151">
        <v>115</v>
      </c>
      <c r="B45" s="186" t="s">
        <v>588</v>
      </c>
      <c r="C45" s="89">
        <v>45784</v>
      </c>
      <c r="D45" s="32" t="s">
        <v>589</v>
      </c>
      <c r="E45" s="182" t="s">
        <v>590</v>
      </c>
      <c r="F45" s="94" t="s">
        <v>12</v>
      </c>
      <c r="G45" s="36" t="s">
        <v>106</v>
      </c>
      <c r="H45" s="31" t="s">
        <v>747</v>
      </c>
      <c r="I45" s="87" t="s">
        <v>28</v>
      </c>
      <c r="J45" s="88" t="s">
        <v>561</v>
      </c>
      <c r="K45" s="194" t="s">
        <v>31</v>
      </c>
      <c r="L45" s="82">
        <v>-9.9623980000000003</v>
      </c>
      <c r="M45" s="66">
        <v>-76.245536999999999</v>
      </c>
    </row>
    <row r="46" spans="1:13" s="322" customFormat="1" ht="76.5">
      <c r="A46" s="151">
        <v>114</v>
      </c>
      <c r="B46" s="187" t="s">
        <v>583</v>
      </c>
      <c r="C46" s="89">
        <v>45784</v>
      </c>
      <c r="D46" s="79" t="s">
        <v>581</v>
      </c>
      <c r="E46" s="80" t="s">
        <v>582</v>
      </c>
      <c r="F46" s="94" t="s">
        <v>12</v>
      </c>
      <c r="G46" s="246">
        <v>250</v>
      </c>
      <c r="H46" s="81" t="s">
        <v>749</v>
      </c>
      <c r="I46" s="87" t="s">
        <v>28</v>
      </c>
      <c r="J46" s="88" t="s">
        <v>576</v>
      </c>
      <c r="K46" s="194" t="s">
        <v>31</v>
      </c>
      <c r="L46" s="247">
        <v>-13.130601</v>
      </c>
      <c r="M46" s="248">
        <v>-72.593124000000003</v>
      </c>
    </row>
    <row r="47" spans="1:13" s="322" customFormat="1" ht="89.25">
      <c r="A47" s="151">
        <v>113</v>
      </c>
      <c r="B47" s="186" t="s">
        <v>572</v>
      </c>
      <c r="C47" s="89">
        <v>45784</v>
      </c>
      <c r="D47" s="83" t="s">
        <v>138</v>
      </c>
      <c r="E47" s="80" t="s">
        <v>573</v>
      </c>
      <c r="F47" s="94" t="s">
        <v>12</v>
      </c>
      <c r="G47" s="91">
        <v>50</v>
      </c>
      <c r="H47" s="81" t="s">
        <v>750</v>
      </c>
      <c r="I47" s="85" t="s">
        <v>503</v>
      </c>
      <c r="J47" s="88" t="s">
        <v>184</v>
      </c>
      <c r="K47" s="193" t="s">
        <v>31</v>
      </c>
      <c r="L47" s="82">
        <v>-5.6853210000000001</v>
      </c>
      <c r="M47" s="66">
        <v>-79.517317000000006</v>
      </c>
    </row>
    <row r="48" spans="1:13" s="322" customFormat="1" ht="76.5">
      <c r="A48" s="151">
        <v>112</v>
      </c>
      <c r="B48" s="186" t="s">
        <v>569</v>
      </c>
      <c r="C48" s="89">
        <v>45784</v>
      </c>
      <c r="D48" s="90" t="s">
        <v>403</v>
      </c>
      <c r="E48" s="80" t="s">
        <v>570</v>
      </c>
      <c r="F48" s="94" t="s">
        <v>12</v>
      </c>
      <c r="G48" s="91">
        <v>120</v>
      </c>
      <c r="H48" s="81" t="s">
        <v>751</v>
      </c>
      <c r="I48" s="34" t="s">
        <v>535</v>
      </c>
      <c r="J48" s="88" t="s">
        <v>571</v>
      </c>
      <c r="K48" s="193" t="s">
        <v>31</v>
      </c>
      <c r="L48" s="82">
        <v>-10.413309999999999</v>
      </c>
      <c r="M48" s="66">
        <v>-75.532516999999999</v>
      </c>
    </row>
    <row r="49" spans="1:13" s="322" customFormat="1" ht="89.25">
      <c r="A49" s="151">
        <v>111</v>
      </c>
      <c r="B49" s="193" t="s">
        <v>585</v>
      </c>
      <c r="C49" s="89">
        <v>45783</v>
      </c>
      <c r="D49" s="90" t="s">
        <v>119</v>
      </c>
      <c r="E49" s="80" t="s">
        <v>587</v>
      </c>
      <c r="F49" s="94" t="s">
        <v>12</v>
      </c>
      <c r="G49" s="172">
        <v>60</v>
      </c>
      <c r="H49" s="81" t="s">
        <v>753</v>
      </c>
      <c r="I49" s="87" t="s">
        <v>586</v>
      </c>
      <c r="J49" s="88" t="s">
        <v>121</v>
      </c>
      <c r="K49" s="193" t="s">
        <v>31</v>
      </c>
      <c r="L49" s="132">
        <v>-6.4840694444444402</v>
      </c>
      <c r="M49" s="133">
        <v>-78.858088888888801</v>
      </c>
    </row>
    <row r="50" spans="1:13" s="322" customFormat="1" ht="76.5">
      <c r="A50" s="151">
        <v>110</v>
      </c>
      <c r="B50" s="187" t="s">
        <v>558</v>
      </c>
      <c r="C50" s="89">
        <v>45783</v>
      </c>
      <c r="D50" s="79" t="s">
        <v>362</v>
      </c>
      <c r="E50" s="80" t="s">
        <v>559</v>
      </c>
      <c r="F50" s="94" t="s">
        <v>12</v>
      </c>
      <c r="G50" s="91" t="s">
        <v>106</v>
      </c>
      <c r="H50" s="81" t="s">
        <v>752</v>
      </c>
      <c r="I50" s="87" t="s">
        <v>99</v>
      </c>
      <c r="J50" s="88" t="s">
        <v>103</v>
      </c>
      <c r="K50" s="194"/>
      <c r="L50" s="82">
        <v>-5.7883777233971898</v>
      </c>
      <c r="M50" s="66">
        <v>-79.390254020690904</v>
      </c>
    </row>
    <row r="51" spans="1:13" s="322" customFormat="1" ht="102">
      <c r="A51" s="151">
        <v>109</v>
      </c>
      <c r="B51" s="186" t="s">
        <v>580</v>
      </c>
      <c r="C51" s="89">
        <v>45783</v>
      </c>
      <c r="D51" s="96" t="s">
        <v>579</v>
      </c>
      <c r="E51" s="134" t="s">
        <v>603</v>
      </c>
      <c r="F51" s="94" t="s">
        <v>12</v>
      </c>
      <c r="G51" s="91">
        <v>5</v>
      </c>
      <c r="H51" s="81" t="s">
        <v>754</v>
      </c>
      <c r="I51" s="34" t="s">
        <v>591</v>
      </c>
      <c r="J51" s="88" t="s">
        <v>578</v>
      </c>
      <c r="K51" s="193" t="s">
        <v>31</v>
      </c>
      <c r="L51" s="82">
        <v>-14.076874999999999</v>
      </c>
      <c r="M51" s="66">
        <v>-72.537222999999997</v>
      </c>
    </row>
    <row r="52" spans="1:13" s="322" customFormat="1" ht="76.5">
      <c r="A52" s="151">
        <v>108</v>
      </c>
      <c r="B52" s="187" t="s">
        <v>564</v>
      </c>
      <c r="C52" s="89">
        <v>45783</v>
      </c>
      <c r="D52" s="90" t="s">
        <v>562</v>
      </c>
      <c r="E52" s="80" t="s">
        <v>563</v>
      </c>
      <c r="F52" s="94" t="s">
        <v>12</v>
      </c>
      <c r="G52" s="249" t="s">
        <v>106</v>
      </c>
      <c r="H52" s="97" t="s">
        <v>756</v>
      </c>
      <c r="I52" s="87" t="s">
        <v>28</v>
      </c>
      <c r="J52" s="88" t="s">
        <v>351</v>
      </c>
      <c r="K52" s="193" t="s">
        <v>31</v>
      </c>
      <c r="L52" s="250">
        <v>-10.890098</v>
      </c>
      <c r="M52" s="251">
        <v>-74.954255000000003</v>
      </c>
    </row>
    <row r="53" spans="1:13" s="322" customFormat="1" ht="89.25">
      <c r="A53" s="151">
        <v>107</v>
      </c>
      <c r="B53" s="186" t="s">
        <v>557</v>
      </c>
      <c r="C53" s="89">
        <v>45783</v>
      </c>
      <c r="D53" s="90" t="s">
        <v>556</v>
      </c>
      <c r="E53" s="80" t="s">
        <v>560</v>
      </c>
      <c r="F53" s="94" t="s">
        <v>12</v>
      </c>
      <c r="G53" s="91">
        <v>900</v>
      </c>
      <c r="H53" s="81" t="s">
        <v>755</v>
      </c>
      <c r="I53" s="87" t="s">
        <v>28</v>
      </c>
      <c r="J53" s="88" t="s">
        <v>168</v>
      </c>
      <c r="K53" s="194" t="s">
        <v>31</v>
      </c>
      <c r="L53" s="82">
        <v>-3.7630479999999999</v>
      </c>
      <c r="M53" s="66">
        <v>-80.793040000000005</v>
      </c>
    </row>
    <row r="54" spans="1:13" s="322" customFormat="1" ht="76.5">
      <c r="A54" s="151">
        <v>106</v>
      </c>
      <c r="B54" s="187" t="s">
        <v>555</v>
      </c>
      <c r="C54" s="89">
        <v>45783</v>
      </c>
      <c r="D54" s="79" t="s">
        <v>362</v>
      </c>
      <c r="E54" s="80" t="s">
        <v>554</v>
      </c>
      <c r="F54" s="94" t="s">
        <v>12</v>
      </c>
      <c r="G54" s="91" t="s">
        <v>106</v>
      </c>
      <c r="H54" s="81" t="s">
        <v>757</v>
      </c>
      <c r="I54" s="87" t="s">
        <v>99</v>
      </c>
      <c r="J54" s="88" t="s">
        <v>371</v>
      </c>
      <c r="K54" s="194" t="s">
        <v>31</v>
      </c>
      <c r="L54" s="82">
        <v>-5.7980400000000003</v>
      </c>
      <c r="M54" s="66">
        <v>-79.377009999999999</v>
      </c>
    </row>
    <row r="55" spans="1:13" s="322" customFormat="1" ht="76.5">
      <c r="A55" s="151">
        <v>105</v>
      </c>
      <c r="B55" s="187" t="s">
        <v>553</v>
      </c>
      <c r="C55" s="89">
        <v>45783</v>
      </c>
      <c r="D55" s="79" t="s">
        <v>362</v>
      </c>
      <c r="E55" s="80" t="s">
        <v>568</v>
      </c>
      <c r="F55" s="94" t="s">
        <v>12</v>
      </c>
      <c r="G55" s="91" t="s">
        <v>106</v>
      </c>
      <c r="H55" s="81" t="s">
        <v>853</v>
      </c>
      <c r="I55" s="87" t="s">
        <v>99</v>
      </c>
      <c r="J55" s="88" t="s">
        <v>371</v>
      </c>
      <c r="K55" s="194" t="s">
        <v>31</v>
      </c>
      <c r="L55" s="82">
        <v>-5.7992600000000003</v>
      </c>
      <c r="M55" s="66">
        <v>-79.337509999999995</v>
      </c>
    </row>
    <row r="56" spans="1:13" s="322" customFormat="1" ht="102.75" customHeight="1">
      <c r="A56" s="151">
        <v>104</v>
      </c>
      <c r="B56" s="187" t="s">
        <v>548</v>
      </c>
      <c r="C56" s="89">
        <v>45782</v>
      </c>
      <c r="D56" s="90" t="s">
        <v>549</v>
      </c>
      <c r="E56" s="80" t="s">
        <v>550</v>
      </c>
      <c r="F56" s="94" t="s">
        <v>12</v>
      </c>
      <c r="G56" s="91">
        <v>600</v>
      </c>
      <c r="H56" s="81" t="s">
        <v>854</v>
      </c>
      <c r="I56" s="87" t="s">
        <v>566</v>
      </c>
      <c r="J56" s="86" t="s">
        <v>368</v>
      </c>
      <c r="K56" s="194" t="s">
        <v>31</v>
      </c>
      <c r="L56" s="82">
        <v>-7.7010930000000002</v>
      </c>
      <c r="M56" s="66">
        <v>-76.667962000000003</v>
      </c>
    </row>
    <row r="57" spans="1:13" s="322" customFormat="1" ht="102">
      <c r="A57" s="151">
        <v>103</v>
      </c>
      <c r="B57" s="187" t="s">
        <v>547</v>
      </c>
      <c r="C57" s="89">
        <v>45782</v>
      </c>
      <c r="D57" s="90" t="s">
        <v>133</v>
      </c>
      <c r="E57" s="80" t="s">
        <v>546</v>
      </c>
      <c r="F57" s="94" t="s">
        <v>12</v>
      </c>
      <c r="G57" s="243">
        <v>10</v>
      </c>
      <c r="H57" s="81" t="s">
        <v>855</v>
      </c>
      <c r="I57" s="87" t="s">
        <v>567</v>
      </c>
      <c r="J57" s="88" t="s">
        <v>367</v>
      </c>
      <c r="K57" s="194" t="s">
        <v>31</v>
      </c>
      <c r="L57" s="244">
        <v>-5.1044710000000002</v>
      </c>
      <c r="M57" s="245">
        <v>-78.364018999999999</v>
      </c>
    </row>
    <row r="58" spans="1:13" s="322" customFormat="1" ht="89.25">
      <c r="A58" s="151">
        <v>102</v>
      </c>
      <c r="B58" s="193" t="s">
        <v>538</v>
      </c>
      <c r="C58" s="89">
        <v>45778</v>
      </c>
      <c r="D58" s="90" t="s">
        <v>333</v>
      </c>
      <c r="E58" s="80" t="s">
        <v>540</v>
      </c>
      <c r="F58" s="94" t="s">
        <v>12</v>
      </c>
      <c r="G58" s="172">
        <v>50</v>
      </c>
      <c r="H58" s="81" t="s">
        <v>763</v>
      </c>
      <c r="I58" s="87" t="s">
        <v>541</v>
      </c>
      <c r="J58" s="88" t="s">
        <v>121</v>
      </c>
      <c r="K58" s="193" t="s">
        <v>31</v>
      </c>
      <c r="L58" s="132">
        <v>-6.5538777777777701</v>
      </c>
      <c r="M58" s="133">
        <v>-78.751011111111097</v>
      </c>
    </row>
    <row r="59" spans="1:13" s="322" customFormat="1" ht="102">
      <c r="A59" s="151">
        <v>101</v>
      </c>
      <c r="B59" s="193" t="s">
        <v>537</v>
      </c>
      <c r="C59" s="89">
        <v>45778</v>
      </c>
      <c r="D59" s="241" t="s">
        <v>545</v>
      </c>
      <c r="E59" s="92" t="s">
        <v>544</v>
      </c>
      <c r="F59" s="94" t="s">
        <v>12</v>
      </c>
      <c r="G59" s="172">
        <v>80</v>
      </c>
      <c r="H59" s="81" t="s">
        <v>763</v>
      </c>
      <c r="I59" s="87" t="s">
        <v>504</v>
      </c>
      <c r="J59" s="88" t="s">
        <v>121</v>
      </c>
      <c r="K59" s="193" t="s">
        <v>31</v>
      </c>
      <c r="L59" s="132">
        <v>-6.50305</v>
      </c>
      <c r="M59" s="133">
        <v>-78.812124999999995</v>
      </c>
    </row>
    <row r="60" spans="1:13" s="322" customFormat="1" ht="102">
      <c r="A60" s="151">
        <v>100</v>
      </c>
      <c r="B60" s="193" t="s">
        <v>536</v>
      </c>
      <c r="C60" s="89">
        <v>45777</v>
      </c>
      <c r="D60" s="90" t="s">
        <v>119</v>
      </c>
      <c r="E60" s="80" t="s">
        <v>539</v>
      </c>
      <c r="F60" s="94" t="s">
        <v>12</v>
      </c>
      <c r="G60" s="172">
        <v>80</v>
      </c>
      <c r="H60" s="81" t="s">
        <v>759</v>
      </c>
      <c r="I60" s="87" t="s">
        <v>504</v>
      </c>
      <c r="J60" s="88" t="s">
        <v>121</v>
      </c>
      <c r="K60" s="193" t="s">
        <v>31</v>
      </c>
      <c r="L60" s="132">
        <v>-6.5020027777777702</v>
      </c>
      <c r="M60" s="133">
        <v>-78.814266666666597</v>
      </c>
    </row>
    <row r="61" spans="1:13" s="322" customFormat="1" ht="102">
      <c r="A61" s="151">
        <v>99</v>
      </c>
      <c r="B61" s="186" t="s">
        <v>526</v>
      </c>
      <c r="C61" s="89">
        <v>45777</v>
      </c>
      <c r="D61" s="83" t="s">
        <v>524</v>
      </c>
      <c r="E61" s="80" t="s">
        <v>525</v>
      </c>
      <c r="F61" s="94" t="s">
        <v>12</v>
      </c>
      <c r="G61" s="235">
        <v>40</v>
      </c>
      <c r="H61" s="81" t="s">
        <v>758</v>
      </c>
      <c r="I61" s="87" t="s">
        <v>28</v>
      </c>
      <c r="J61" s="88" t="s">
        <v>208</v>
      </c>
      <c r="K61" s="193" t="s">
        <v>31</v>
      </c>
      <c r="L61" s="236">
        <v>-13.370086000000001</v>
      </c>
      <c r="M61" s="237">
        <v>-75.447986</v>
      </c>
    </row>
    <row r="62" spans="1:13" s="322" customFormat="1" ht="76.5">
      <c r="A62" s="151">
        <v>98</v>
      </c>
      <c r="B62" s="186" t="s">
        <v>523</v>
      </c>
      <c r="C62" s="89">
        <v>45777</v>
      </c>
      <c r="D62" s="83" t="s">
        <v>606</v>
      </c>
      <c r="E62" s="80" t="s">
        <v>522</v>
      </c>
      <c r="F62" s="94" t="s">
        <v>12</v>
      </c>
      <c r="G62" s="91">
        <v>600</v>
      </c>
      <c r="H62" s="81" t="s">
        <v>760</v>
      </c>
      <c r="I62" s="87" t="s">
        <v>542</v>
      </c>
      <c r="J62" s="88" t="s">
        <v>234</v>
      </c>
      <c r="K62" s="193" t="s">
        <v>31</v>
      </c>
      <c r="L62" s="82">
        <v>-14.427738</v>
      </c>
      <c r="M62" s="66">
        <v>-69.505979999999994</v>
      </c>
    </row>
    <row r="63" spans="1:13" s="322" customFormat="1" ht="76.5">
      <c r="A63" s="151">
        <v>97</v>
      </c>
      <c r="B63" s="186" t="s">
        <v>518</v>
      </c>
      <c r="C63" s="89">
        <v>45776</v>
      </c>
      <c r="D63" s="83" t="s">
        <v>516</v>
      </c>
      <c r="E63" s="80" t="s">
        <v>517</v>
      </c>
      <c r="F63" s="94" t="s">
        <v>12</v>
      </c>
      <c r="G63" s="122">
        <v>25</v>
      </c>
      <c r="H63" s="81" t="s">
        <v>761</v>
      </c>
      <c r="I63" s="87" t="s">
        <v>28</v>
      </c>
      <c r="J63" s="88" t="s">
        <v>351</v>
      </c>
      <c r="K63" s="193" t="s">
        <v>31</v>
      </c>
      <c r="L63" s="210">
        <v>-11.05847</v>
      </c>
      <c r="M63" s="211">
        <v>-75.331942999999995</v>
      </c>
    </row>
    <row r="64" spans="1:13" s="322" customFormat="1" ht="76.5">
      <c r="A64" s="151">
        <v>96</v>
      </c>
      <c r="B64" s="187" t="s">
        <v>515</v>
      </c>
      <c r="C64" s="89">
        <v>45775</v>
      </c>
      <c r="D64" s="90" t="s">
        <v>514</v>
      </c>
      <c r="E64" s="80" t="s">
        <v>584</v>
      </c>
      <c r="F64" s="94" t="s">
        <v>12</v>
      </c>
      <c r="G64" s="213">
        <v>16</v>
      </c>
      <c r="H64" s="81" t="s">
        <v>762</v>
      </c>
      <c r="I64" s="87" t="s">
        <v>139</v>
      </c>
      <c r="J64" s="86" t="s">
        <v>368</v>
      </c>
      <c r="K64" s="194" t="s">
        <v>31</v>
      </c>
      <c r="L64" s="214">
        <v>-6.2358419999999999</v>
      </c>
      <c r="M64" s="215">
        <v>-77.196231999999995</v>
      </c>
    </row>
    <row r="65" spans="1:13" s="322" customFormat="1" ht="102">
      <c r="A65" s="151">
        <v>95</v>
      </c>
      <c r="B65" s="187" t="s">
        <v>511</v>
      </c>
      <c r="C65" s="89">
        <v>45775</v>
      </c>
      <c r="D65" s="90" t="s">
        <v>136</v>
      </c>
      <c r="E65" s="80" t="s">
        <v>512</v>
      </c>
      <c r="F65" s="94" t="s">
        <v>12</v>
      </c>
      <c r="G65" s="213">
        <v>130</v>
      </c>
      <c r="H65" s="81" t="s">
        <v>765</v>
      </c>
      <c r="I65" s="87" t="s">
        <v>513</v>
      </c>
      <c r="J65" s="86" t="s">
        <v>197</v>
      </c>
      <c r="K65" s="194" t="s">
        <v>31</v>
      </c>
      <c r="L65" s="214">
        <v>-7.8206540000000002</v>
      </c>
      <c r="M65" s="215">
        <v>-77.658400999999998</v>
      </c>
    </row>
    <row r="66" spans="1:13" s="322" customFormat="1" ht="102.75" customHeight="1">
      <c r="A66" s="151">
        <v>94</v>
      </c>
      <c r="B66" s="186" t="s">
        <v>508</v>
      </c>
      <c r="C66" s="89">
        <v>45773</v>
      </c>
      <c r="D66" s="90" t="s">
        <v>509</v>
      </c>
      <c r="E66" s="80" t="s">
        <v>510</v>
      </c>
      <c r="F66" s="94" t="s">
        <v>12</v>
      </c>
      <c r="G66" s="173">
        <v>100</v>
      </c>
      <c r="H66" s="81" t="s">
        <v>764</v>
      </c>
      <c r="I66" s="85" t="s">
        <v>565</v>
      </c>
      <c r="J66" s="88" t="s">
        <v>247</v>
      </c>
      <c r="K66" s="193" t="s">
        <v>31</v>
      </c>
      <c r="L66" s="174">
        <v>-6.8484610000000004</v>
      </c>
      <c r="M66" s="175">
        <v>-77.955292999999998</v>
      </c>
    </row>
    <row r="67" spans="1:13" s="322" customFormat="1" ht="76.5">
      <c r="A67" s="151">
        <v>93</v>
      </c>
      <c r="B67" s="193" t="s">
        <v>505</v>
      </c>
      <c r="C67" s="89">
        <v>45772</v>
      </c>
      <c r="D67" s="90" t="s">
        <v>132</v>
      </c>
      <c r="E67" s="80" t="s">
        <v>506</v>
      </c>
      <c r="F67" s="94" t="s">
        <v>12</v>
      </c>
      <c r="G67" s="172">
        <v>35</v>
      </c>
      <c r="H67" s="81" t="s">
        <v>766</v>
      </c>
      <c r="I67" s="87" t="s">
        <v>507</v>
      </c>
      <c r="J67" s="88" t="s">
        <v>121</v>
      </c>
      <c r="K67" s="193" t="s">
        <v>31</v>
      </c>
      <c r="L67" s="132">
        <v>-6.3264888888888802</v>
      </c>
      <c r="M67" s="133">
        <v>-78.830383333333302</v>
      </c>
    </row>
    <row r="68" spans="1:13" s="322" customFormat="1" ht="76.5">
      <c r="A68" s="151">
        <v>92</v>
      </c>
      <c r="B68" s="186" t="s">
        <v>484</v>
      </c>
      <c r="C68" s="89">
        <v>45772</v>
      </c>
      <c r="D68" s="83" t="s">
        <v>129</v>
      </c>
      <c r="E68" s="80" t="s">
        <v>483</v>
      </c>
      <c r="F68" s="94" t="s">
        <v>12</v>
      </c>
      <c r="G68" s="122">
        <v>120</v>
      </c>
      <c r="H68" s="81" t="s">
        <v>768</v>
      </c>
      <c r="I68" s="87" t="s">
        <v>543</v>
      </c>
      <c r="J68" s="86" t="s">
        <v>197</v>
      </c>
      <c r="K68" s="193" t="s">
        <v>31</v>
      </c>
      <c r="L68" s="210">
        <v>-7.9349379999999998</v>
      </c>
      <c r="M68" s="211">
        <v>-77.561670000000007</v>
      </c>
    </row>
    <row r="69" spans="1:13" s="322" customFormat="1" ht="102">
      <c r="A69" s="151">
        <v>91</v>
      </c>
      <c r="B69" s="186" t="s">
        <v>532</v>
      </c>
      <c r="C69" s="89">
        <v>45771</v>
      </c>
      <c r="D69" s="83" t="s">
        <v>530</v>
      </c>
      <c r="E69" s="80" t="s">
        <v>531</v>
      </c>
      <c r="F69" s="94" t="s">
        <v>12</v>
      </c>
      <c r="G69" s="91">
        <v>45</v>
      </c>
      <c r="H69" s="81" t="s">
        <v>767</v>
      </c>
      <c r="I69" s="87" t="s">
        <v>28</v>
      </c>
      <c r="J69" s="86" t="s">
        <v>182</v>
      </c>
      <c r="K69" s="193" t="s">
        <v>31</v>
      </c>
      <c r="L69" s="82">
        <v>-8.5288500000000003</v>
      </c>
      <c r="M69" s="66">
        <v>-77.399497999999994</v>
      </c>
    </row>
    <row r="70" spans="1:13" s="322" customFormat="1" ht="76.5">
      <c r="A70" s="151">
        <v>90</v>
      </c>
      <c r="B70" s="186" t="s">
        <v>491</v>
      </c>
      <c r="C70" s="89">
        <v>45771</v>
      </c>
      <c r="D70" s="83" t="s">
        <v>489</v>
      </c>
      <c r="E70" s="80" t="s">
        <v>490</v>
      </c>
      <c r="F70" s="94" t="s">
        <v>12</v>
      </c>
      <c r="G70" s="122">
        <v>150</v>
      </c>
      <c r="H70" s="81" t="s">
        <v>769</v>
      </c>
      <c r="I70" s="87" t="s">
        <v>28</v>
      </c>
      <c r="J70" s="88" t="s">
        <v>351</v>
      </c>
      <c r="K70" s="193" t="s">
        <v>31</v>
      </c>
      <c r="L70" s="210">
        <v>-11.517265999999999</v>
      </c>
      <c r="M70" s="211">
        <v>-74.449680999999998</v>
      </c>
    </row>
    <row r="71" spans="1:13" s="322" customFormat="1" ht="76.5">
      <c r="A71" s="151">
        <v>89</v>
      </c>
      <c r="B71" s="186" t="s">
        <v>488</v>
      </c>
      <c r="C71" s="89">
        <v>45771</v>
      </c>
      <c r="D71" s="83" t="s">
        <v>424</v>
      </c>
      <c r="E71" s="80" t="s">
        <v>487</v>
      </c>
      <c r="F71" s="94" t="s">
        <v>12</v>
      </c>
      <c r="G71" s="91">
        <v>80</v>
      </c>
      <c r="H71" s="81" t="s">
        <v>769</v>
      </c>
      <c r="I71" s="87" t="s">
        <v>28</v>
      </c>
      <c r="J71" s="88" t="s">
        <v>351</v>
      </c>
      <c r="K71" s="193" t="s">
        <v>31</v>
      </c>
      <c r="L71" s="210">
        <v>-11.268234439949801</v>
      </c>
      <c r="M71" s="211">
        <v>-74.424197673797593</v>
      </c>
    </row>
    <row r="72" spans="1:13" s="322" customFormat="1" ht="76.5">
      <c r="A72" s="151">
        <v>88</v>
      </c>
      <c r="B72" s="186" t="s">
        <v>486</v>
      </c>
      <c r="C72" s="89">
        <v>45771</v>
      </c>
      <c r="D72" s="83" t="s">
        <v>485</v>
      </c>
      <c r="E72" s="80" t="s">
        <v>629</v>
      </c>
      <c r="F72" s="94" t="s">
        <v>12</v>
      </c>
      <c r="G72" s="209">
        <v>50</v>
      </c>
      <c r="H72" s="84" t="s">
        <v>770</v>
      </c>
      <c r="I72" s="87" t="s">
        <v>28</v>
      </c>
      <c r="J72" s="86" t="s">
        <v>182</v>
      </c>
      <c r="K72" s="193" t="s">
        <v>31</v>
      </c>
      <c r="L72" s="210">
        <v>-8.5007839999999995</v>
      </c>
      <c r="M72" s="211">
        <v>-77.298874999999995</v>
      </c>
    </row>
    <row r="73" spans="1:13" s="322" customFormat="1" ht="89.25">
      <c r="A73" s="151">
        <v>87</v>
      </c>
      <c r="B73" s="186" t="s">
        <v>477</v>
      </c>
      <c r="C73" s="89">
        <v>45770</v>
      </c>
      <c r="D73" s="83" t="s">
        <v>318</v>
      </c>
      <c r="E73" s="80" t="s">
        <v>476</v>
      </c>
      <c r="F73" s="94" t="s">
        <v>12</v>
      </c>
      <c r="G73" s="91">
        <v>135</v>
      </c>
      <c r="H73" s="81" t="s">
        <v>771</v>
      </c>
      <c r="I73" s="87" t="s">
        <v>28</v>
      </c>
      <c r="J73" s="88" t="s">
        <v>187</v>
      </c>
      <c r="K73" s="193" t="s">
        <v>31</v>
      </c>
      <c r="L73" s="82">
        <v>-14.3927</v>
      </c>
      <c r="M73" s="66">
        <v>-75.598640000000003</v>
      </c>
    </row>
    <row r="74" spans="1:13" s="322" customFormat="1" ht="102">
      <c r="A74" s="151">
        <v>86</v>
      </c>
      <c r="B74" s="186" t="s">
        <v>480</v>
      </c>
      <c r="C74" s="89">
        <v>45770</v>
      </c>
      <c r="D74" s="83" t="s">
        <v>478</v>
      </c>
      <c r="E74" s="80" t="s">
        <v>479</v>
      </c>
      <c r="F74" s="94" t="s">
        <v>12</v>
      </c>
      <c r="G74" s="91">
        <v>30</v>
      </c>
      <c r="H74" s="81" t="s">
        <v>772</v>
      </c>
      <c r="I74" s="87" t="s">
        <v>28</v>
      </c>
      <c r="J74" s="88" t="s">
        <v>168</v>
      </c>
      <c r="K74" s="193" t="s">
        <v>31</v>
      </c>
      <c r="L74" s="206">
        <v>-5.4047900000000002</v>
      </c>
      <c r="M74" s="207">
        <v>-79.621875000000003</v>
      </c>
    </row>
    <row r="75" spans="1:13" s="322" customFormat="1" ht="89.25">
      <c r="A75" s="151">
        <v>85</v>
      </c>
      <c r="B75" s="186" t="s">
        <v>465</v>
      </c>
      <c r="C75" s="89">
        <v>45770</v>
      </c>
      <c r="D75" s="90" t="s">
        <v>140</v>
      </c>
      <c r="E75" s="80" t="s">
        <v>463</v>
      </c>
      <c r="F75" s="94" t="s">
        <v>12</v>
      </c>
      <c r="G75" s="91">
        <v>100</v>
      </c>
      <c r="H75" s="81" t="s">
        <v>774</v>
      </c>
      <c r="I75" s="85" t="s">
        <v>464</v>
      </c>
      <c r="J75" s="88" t="s">
        <v>184</v>
      </c>
      <c r="K75" s="193" t="s">
        <v>31</v>
      </c>
      <c r="L75" s="174">
        <v>-4.670223</v>
      </c>
      <c r="M75" s="175">
        <v>-79.600038999999995</v>
      </c>
    </row>
    <row r="76" spans="1:13" s="322" customFormat="1" ht="102.75" customHeight="1">
      <c r="A76" s="151">
        <v>84</v>
      </c>
      <c r="B76" s="186" t="s">
        <v>472</v>
      </c>
      <c r="C76" s="89">
        <v>45770</v>
      </c>
      <c r="D76" s="83" t="s">
        <v>473</v>
      </c>
      <c r="E76" s="80" t="s">
        <v>474</v>
      </c>
      <c r="F76" s="94" t="s">
        <v>12</v>
      </c>
      <c r="G76" s="91">
        <v>70</v>
      </c>
      <c r="H76" s="81" t="s">
        <v>773</v>
      </c>
      <c r="I76" s="87" t="s">
        <v>28</v>
      </c>
      <c r="J76" s="88" t="s">
        <v>187</v>
      </c>
      <c r="K76" s="194" t="s">
        <v>31</v>
      </c>
      <c r="L76" s="82">
        <v>-13.283485000000001</v>
      </c>
      <c r="M76" s="66">
        <v>-74.325410000000005</v>
      </c>
    </row>
    <row r="77" spans="1:13" s="322" customFormat="1" ht="102.75" customHeight="1">
      <c r="A77" s="151">
        <v>83</v>
      </c>
      <c r="B77" s="186" t="s">
        <v>457</v>
      </c>
      <c r="C77" s="89">
        <v>45768</v>
      </c>
      <c r="D77" s="83" t="s">
        <v>455</v>
      </c>
      <c r="E77" s="80" t="s">
        <v>456</v>
      </c>
      <c r="F77" s="94" t="s">
        <v>12</v>
      </c>
      <c r="G77" s="91" t="s">
        <v>106</v>
      </c>
      <c r="H77" s="81" t="s">
        <v>775</v>
      </c>
      <c r="I77" s="87" t="s">
        <v>28</v>
      </c>
      <c r="J77" s="88" t="s">
        <v>295</v>
      </c>
      <c r="K77" s="194" t="s">
        <v>31</v>
      </c>
      <c r="L77" s="82">
        <v>-12.679361</v>
      </c>
      <c r="M77" s="66">
        <v>-73.686762000000002</v>
      </c>
    </row>
    <row r="78" spans="1:13" s="322" customFormat="1" ht="102.75" customHeight="1">
      <c r="A78" s="151">
        <v>82</v>
      </c>
      <c r="B78" s="186" t="s">
        <v>466</v>
      </c>
      <c r="C78" s="89">
        <v>45762</v>
      </c>
      <c r="D78" s="83" t="s">
        <v>467</v>
      </c>
      <c r="E78" s="80" t="s">
        <v>468</v>
      </c>
      <c r="F78" s="94" t="s">
        <v>12</v>
      </c>
      <c r="G78" s="91">
        <v>150</v>
      </c>
      <c r="H78" s="81" t="s">
        <v>776</v>
      </c>
      <c r="I78" s="87" t="s">
        <v>469</v>
      </c>
      <c r="J78" s="88" t="s">
        <v>184</v>
      </c>
      <c r="K78" s="194" t="s">
        <v>31</v>
      </c>
      <c r="L78" s="198">
        <v>-4.7083000000000004</v>
      </c>
      <c r="M78" s="199">
        <v>-79.818700000000007</v>
      </c>
    </row>
    <row r="79" spans="1:13" s="322" customFormat="1" ht="76.5">
      <c r="A79" s="151">
        <v>81</v>
      </c>
      <c r="B79" s="186" t="s">
        <v>442</v>
      </c>
      <c r="C79" s="89">
        <v>45762</v>
      </c>
      <c r="D79" s="83" t="s">
        <v>440</v>
      </c>
      <c r="E79" s="80" t="s">
        <v>441</v>
      </c>
      <c r="F79" s="94" t="s">
        <v>12</v>
      </c>
      <c r="G79" s="91">
        <v>28</v>
      </c>
      <c r="H79" s="84" t="s">
        <v>856</v>
      </c>
      <c r="I79" s="87" t="s">
        <v>28</v>
      </c>
      <c r="J79" s="86" t="s">
        <v>182</v>
      </c>
      <c r="K79" s="193" t="s">
        <v>31</v>
      </c>
      <c r="L79" s="82">
        <v>-8.3244369999999996</v>
      </c>
      <c r="M79" s="66">
        <v>-77.970228000000006</v>
      </c>
    </row>
    <row r="80" spans="1:13" s="322" customFormat="1" ht="89.25">
      <c r="A80" s="151">
        <v>80</v>
      </c>
      <c r="B80" s="186" t="s">
        <v>438</v>
      </c>
      <c r="C80" s="89">
        <v>45762</v>
      </c>
      <c r="D80" s="83" t="s">
        <v>436</v>
      </c>
      <c r="E80" s="80" t="s">
        <v>437</v>
      </c>
      <c r="F80" s="94" t="s">
        <v>12</v>
      </c>
      <c r="G80" s="197">
        <v>300</v>
      </c>
      <c r="H80" s="97" t="s">
        <v>777</v>
      </c>
      <c r="I80" s="87" t="s">
        <v>28</v>
      </c>
      <c r="J80" s="86" t="s">
        <v>368</v>
      </c>
      <c r="K80" s="193" t="s">
        <v>31</v>
      </c>
      <c r="L80" s="198">
        <v>-7.2650750000000004</v>
      </c>
      <c r="M80" s="199">
        <v>-76.735725000000002</v>
      </c>
    </row>
    <row r="81" spans="1:13" s="322" customFormat="1" ht="102">
      <c r="A81" s="151">
        <v>79</v>
      </c>
      <c r="B81" s="186" t="s">
        <v>432</v>
      </c>
      <c r="C81" s="89">
        <v>45761</v>
      </c>
      <c r="D81" s="83" t="s">
        <v>435</v>
      </c>
      <c r="E81" s="80" t="s">
        <v>447</v>
      </c>
      <c r="F81" s="94" t="s">
        <v>12</v>
      </c>
      <c r="G81" s="91">
        <v>50</v>
      </c>
      <c r="H81" s="81" t="s">
        <v>778</v>
      </c>
      <c r="I81" s="87" t="s">
        <v>433</v>
      </c>
      <c r="J81" s="86" t="s">
        <v>434</v>
      </c>
      <c r="K81" s="194" t="s">
        <v>31</v>
      </c>
      <c r="L81" s="82">
        <v>-11.789118</v>
      </c>
      <c r="M81" s="66">
        <v>-75.690263999999999</v>
      </c>
    </row>
    <row r="82" spans="1:13" s="322" customFormat="1" ht="114.75">
      <c r="A82" s="151">
        <v>78</v>
      </c>
      <c r="B82" s="186" t="s">
        <v>431</v>
      </c>
      <c r="C82" s="89">
        <v>45761</v>
      </c>
      <c r="D82" s="83" t="s">
        <v>117</v>
      </c>
      <c r="E82" s="80" t="s">
        <v>430</v>
      </c>
      <c r="F82" s="94" t="s">
        <v>12</v>
      </c>
      <c r="G82" s="91">
        <v>100</v>
      </c>
      <c r="H82" s="81" t="s">
        <v>779</v>
      </c>
      <c r="I82" s="87" t="s">
        <v>131</v>
      </c>
      <c r="J82" s="88" t="s">
        <v>224</v>
      </c>
      <c r="K82" s="194" t="s">
        <v>31</v>
      </c>
      <c r="L82" s="156">
        <v>-7.6089560000000001</v>
      </c>
      <c r="M82" s="157">
        <v>-76.680706999999998</v>
      </c>
    </row>
    <row r="83" spans="1:13" s="322" customFormat="1" ht="114.75">
      <c r="A83" s="151">
        <v>77</v>
      </c>
      <c r="B83" s="186" t="s">
        <v>429</v>
      </c>
      <c r="C83" s="89">
        <v>45761</v>
      </c>
      <c r="D83" s="83" t="s">
        <v>117</v>
      </c>
      <c r="E83" s="80" t="s">
        <v>428</v>
      </c>
      <c r="F83" s="94" t="s">
        <v>12</v>
      </c>
      <c r="G83" s="91">
        <v>200</v>
      </c>
      <c r="H83" s="81" t="s">
        <v>780</v>
      </c>
      <c r="I83" s="87" t="s">
        <v>131</v>
      </c>
      <c r="J83" s="88" t="s">
        <v>224</v>
      </c>
      <c r="K83" s="194" t="s">
        <v>31</v>
      </c>
      <c r="L83" s="156">
        <v>-7.6093390000000003</v>
      </c>
      <c r="M83" s="157">
        <v>-76.680835999999999</v>
      </c>
    </row>
    <row r="84" spans="1:13" s="322" customFormat="1" ht="114.75">
      <c r="A84" s="151">
        <v>76</v>
      </c>
      <c r="B84" s="187" t="s">
        <v>420</v>
      </c>
      <c r="C84" s="89">
        <v>45759</v>
      </c>
      <c r="D84" s="79" t="s">
        <v>419</v>
      </c>
      <c r="E84" s="80" t="s">
        <v>421</v>
      </c>
      <c r="F84" s="94" t="s">
        <v>12</v>
      </c>
      <c r="G84" s="91">
        <v>100</v>
      </c>
      <c r="H84" s="81" t="s">
        <v>781</v>
      </c>
      <c r="I84" s="87" t="s">
        <v>552</v>
      </c>
      <c r="J84" s="88" t="s">
        <v>371</v>
      </c>
      <c r="K84" s="194" t="s">
        <v>31</v>
      </c>
      <c r="L84" s="191">
        <v>-5.8245511958332701</v>
      </c>
      <c r="M84" s="192">
        <v>-78.257423043250995</v>
      </c>
    </row>
    <row r="85" spans="1:13" s="322" customFormat="1" ht="76.5">
      <c r="A85" s="151">
        <v>75</v>
      </c>
      <c r="B85" s="186" t="s">
        <v>425</v>
      </c>
      <c r="C85" s="89">
        <v>45758</v>
      </c>
      <c r="D85" s="83" t="s">
        <v>424</v>
      </c>
      <c r="E85" s="80" t="s">
        <v>423</v>
      </c>
      <c r="F85" s="94" t="s">
        <v>12</v>
      </c>
      <c r="G85" s="91" t="s">
        <v>106</v>
      </c>
      <c r="H85" s="81" t="s">
        <v>784</v>
      </c>
      <c r="I85" s="87" t="s">
        <v>658</v>
      </c>
      <c r="J85" s="88" t="s">
        <v>351</v>
      </c>
      <c r="K85" s="194" t="s">
        <v>31</v>
      </c>
      <c r="L85" s="82">
        <v>-11.291700000000001</v>
      </c>
      <c r="M85" s="66">
        <v>-74.434454000000002</v>
      </c>
    </row>
    <row r="86" spans="1:13" s="322" customFormat="1" ht="89.25">
      <c r="A86" s="151">
        <v>74</v>
      </c>
      <c r="B86" s="186" t="s">
        <v>414</v>
      </c>
      <c r="C86" s="89">
        <v>45758</v>
      </c>
      <c r="D86" s="83" t="s">
        <v>352</v>
      </c>
      <c r="E86" s="80" t="s">
        <v>415</v>
      </c>
      <c r="F86" s="94" t="s">
        <v>12</v>
      </c>
      <c r="G86" s="91" t="s">
        <v>106</v>
      </c>
      <c r="H86" s="81" t="s">
        <v>783</v>
      </c>
      <c r="I86" s="92" t="s">
        <v>365</v>
      </c>
      <c r="J86" s="88" t="s">
        <v>187</v>
      </c>
      <c r="K86" s="194" t="s">
        <v>31</v>
      </c>
      <c r="L86" s="82">
        <v>-13.4526520316583</v>
      </c>
      <c r="M86" s="66">
        <v>-74.997353553771902</v>
      </c>
    </row>
    <row r="87" spans="1:13" s="322" customFormat="1" ht="76.5">
      <c r="A87" s="151">
        <v>73</v>
      </c>
      <c r="B87" s="186" t="s">
        <v>408</v>
      </c>
      <c r="C87" s="89">
        <v>45756</v>
      </c>
      <c r="D87" s="83" t="s">
        <v>407</v>
      </c>
      <c r="E87" s="134" t="s">
        <v>495</v>
      </c>
      <c r="F87" s="94" t="s">
        <v>12</v>
      </c>
      <c r="G87" s="91">
        <v>415</v>
      </c>
      <c r="H87" s="81" t="s">
        <v>782</v>
      </c>
      <c r="I87" s="87" t="s">
        <v>28</v>
      </c>
      <c r="J87" s="88" t="s">
        <v>168</v>
      </c>
      <c r="K87" s="194" t="s">
        <v>31</v>
      </c>
      <c r="L87" s="82">
        <v>-3.5743510000000001</v>
      </c>
      <c r="M87" s="66">
        <v>-80.463727000000006</v>
      </c>
    </row>
    <row r="88" spans="1:13" s="322" customFormat="1" ht="76.5">
      <c r="A88" s="151">
        <v>72</v>
      </c>
      <c r="B88" s="186" t="s">
        <v>406</v>
      </c>
      <c r="C88" s="89">
        <v>45755</v>
      </c>
      <c r="D88" s="83" t="s">
        <v>407</v>
      </c>
      <c r="E88" s="134" t="s">
        <v>496</v>
      </c>
      <c r="F88" s="94" t="s">
        <v>12</v>
      </c>
      <c r="G88" s="91" t="s">
        <v>106</v>
      </c>
      <c r="H88" s="81" t="s">
        <v>782</v>
      </c>
      <c r="I88" s="87" t="s">
        <v>28</v>
      </c>
      <c r="J88" s="88" t="s">
        <v>168</v>
      </c>
      <c r="K88" s="193" t="s">
        <v>31</v>
      </c>
      <c r="L88" s="82">
        <v>-3.6095060000000001</v>
      </c>
      <c r="M88" s="66">
        <v>-80.506831000000005</v>
      </c>
    </row>
    <row r="89" spans="1:13" s="322" customFormat="1" ht="76.5">
      <c r="A89" s="151">
        <v>71</v>
      </c>
      <c r="B89" s="186" t="s">
        <v>404</v>
      </c>
      <c r="C89" s="89">
        <v>45755</v>
      </c>
      <c r="D89" s="83" t="s">
        <v>305</v>
      </c>
      <c r="E89" s="80" t="s">
        <v>405</v>
      </c>
      <c r="F89" s="94" t="s">
        <v>12</v>
      </c>
      <c r="G89" s="91">
        <v>200</v>
      </c>
      <c r="H89" s="81" t="s">
        <v>775</v>
      </c>
      <c r="I89" s="87" t="s">
        <v>28</v>
      </c>
      <c r="J89" s="88" t="s">
        <v>295</v>
      </c>
      <c r="K89" s="193" t="s">
        <v>31</v>
      </c>
      <c r="L89" s="184">
        <v>-12.618480999999999</v>
      </c>
      <c r="M89" s="185">
        <v>-72.839072999999999</v>
      </c>
    </row>
    <row r="90" spans="1:13" s="322" customFormat="1" ht="102">
      <c r="A90" s="151">
        <v>70</v>
      </c>
      <c r="B90" s="186" t="s">
        <v>393</v>
      </c>
      <c r="C90" s="89">
        <v>45754</v>
      </c>
      <c r="D90" s="90" t="s">
        <v>391</v>
      </c>
      <c r="E90" s="80" t="s">
        <v>392</v>
      </c>
      <c r="F90" s="94" t="s">
        <v>12</v>
      </c>
      <c r="G90" s="91">
        <v>50</v>
      </c>
      <c r="H90" s="81" t="s">
        <v>786</v>
      </c>
      <c r="I90" s="85" t="s">
        <v>28</v>
      </c>
      <c r="J90" s="86" t="s">
        <v>182</v>
      </c>
      <c r="K90" s="193" t="s">
        <v>31</v>
      </c>
      <c r="L90" s="174">
        <v>-8.4742669999999993</v>
      </c>
      <c r="M90" s="175">
        <v>-78.017394999999993</v>
      </c>
    </row>
    <row r="91" spans="1:13" s="322" customFormat="1" ht="76.5">
      <c r="A91" s="151">
        <v>69</v>
      </c>
      <c r="B91" s="187" t="s">
        <v>411</v>
      </c>
      <c r="C91" s="89">
        <v>45754</v>
      </c>
      <c r="D91" s="32" t="s">
        <v>409</v>
      </c>
      <c r="E91" s="182" t="s">
        <v>410</v>
      </c>
      <c r="F91" s="94" t="s">
        <v>12</v>
      </c>
      <c r="G91" s="36" t="s">
        <v>106</v>
      </c>
      <c r="H91" s="31" t="s">
        <v>785</v>
      </c>
      <c r="I91" s="34" t="s">
        <v>28</v>
      </c>
      <c r="J91" s="88" t="s">
        <v>187</v>
      </c>
      <c r="K91" s="193" t="s">
        <v>31</v>
      </c>
      <c r="L91" s="82">
        <v>-13.186222000000001</v>
      </c>
      <c r="M91" s="66">
        <v>-74.260788000000005</v>
      </c>
    </row>
    <row r="92" spans="1:13" s="322" customFormat="1" ht="76.5">
      <c r="A92" s="151">
        <v>68</v>
      </c>
      <c r="B92" s="187" t="s">
        <v>401</v>
      </c>
      <c r="C92" s="89">
        <v>45754</v>
      </c>
      <c r="D92" s="79" t="s">
        <v>362</v>
      </c>
      <c r="E92" s="80" t="s">
        <v>400</v>
      </c>
      <c r="F92" s="94" t="s">
        <v>12</v>
      </c>
      <c r="G92" s="91" t="s">
        <v>106</v>
      </c>
      <c r="H92" s="81" t="s">
        <v>787</v>
      </c>
      <c r="I92" s="87" t="s">
        <v>99</v>
      </c>
      <c r="J92" s="88" t="s">
        <v>371</v>
      </c>
      <c r="K92" s="194"/>
      <c r="L92" s="82">
        <v>-5.8129</v>
      </c>
      <c r="M92" s="66">
        <v>-79.376999999999995</v>
      </c>
    </row>
    <row r="93" spans="1:13" s="322" customFormat="1" ht="76.5">
      <c r="A93" s="151">
        <v>67</v>
      </c>
      <c r="B93" s="186" t="s">
        <v>384</v>
      </c>
      <c r="C93" s="89">
        <v>45754</v>
      </c>
      <c r="D93" s="83" t="s">
        <v>382</v>
      </c>
      <c r="E93" s="80" t="s">
        <v>385</v>
      </c>
      <c r="F93" s="94" t="s">
        <v>12</v>
      </c>
      <c r="G93" s="91" t="s">
        <v>106</v>
      </c>
      <c r="H93" s="81" t="s">
        <v>790</v>
      </c>
      <c r="I93" s="87" t="s">
        <v>383</v>
      </c>
      <c r="J93" s="88" t="s">
        <v>367</v>
      </c>
      <c r="K93" s="193" t="s">
        <v>31</v>
      </c>
      <c r="L93" s="82">
        <v>-6.7148770000000004</v>
      </c>
      <c r="M93" s="66">
        <v>-77.818928999999997</v>
      </c>
    </row>
    <row r="94" spans="1:13" s="322" customFormat="1" ht="102">
      <c r="A94" s="151">
        <v>66</v>
      </c>
      <c r="B94" s="186" t="s">
        <v>380</v>
      </c>
      <c r="C94" s="89">
        <v>45754</v>
      </c>
      <c r="D94" s="83" t="s">
        <v>381</v>
      </c>
      <c r="E94" s="135" t="s">
        <v>390</v>
      </c>
      <c r="F94" s="94" t="s">
        <v>12</v>
      </c>
      <c r="G94" s="116">
        <v>60</v>
      </c>
      <c r="H94" s="84" t="s">
        <v>788</v>
      </c>
      <c r="I94" s="87" t="s">
        <v>402</v>
      </c>
      <c r="J94" s="86" t="s">
        <v>266</v>
      </c>
      <c r="K94" s="193" t="s">
        <v>31</v>
      </c>
      <c r="L94" s="117">
        <v>-17.497316000000001</v>
      </c>
      <c r="M94" s="118">
        <v>-70.032859000000002</v>
      </c>
    </row>
    <row r="95" spans="1:13" s="322" customFormat="1" ht="102">
      <c r="A95" s="151">
        <v>65</v>
      </c>
      <c r="B95" s="186" t="s">
        <v>377</v>
      </c>
      <c r="C95" s="89">
        <v>45753</v>
      </c>
      <c r="D95" s="32" t="s">
        <v>376</v>
      </c>
      <c r="E95" s="182" t="s">
        <v>378</v>
      </c>
      <c r="F95" s="94" t="s">
        <v>12</v>
      </c>
      <c r="G95" s="36">
        <v>100</v>
      </c>
      <c r="H95" s="31" t="s">
        <v>789</v>
      </c>
      <c r="I95" s="34" t="s">
        <v>379</v>
      </c>
      <c r="J95" s="88" t="s">
        <v>574</v>
      </c>
      <c r="K95" s="194" t="s">
        <v>31</v>
      </c>
      <c r="L95" s="82">
        <v>-9.7617139999999996</v>
      </c>
      <c r="M95" s="66">
        <v>-76.798074</v>
      </c>
    </row>
    <row r="96" spans="1:13" s="322" customFormat="1" ht="76.5">
      <c r="A96" s="151">
        <v>64</v>
      </c>
      <c r="B96" s="186" t="s">
        <v>372</v>
      </c>
      <c r="C96" s="89">
        <v>45750</v>
      </c>
      <c r="D96" s="83" t="s">
        <v>370</v>
      </c>
      <c r="E96" s="80" t="s">
        <v>373</v>
      </c>
      <c r="F96" s="94" t="s">
        <v>12</v>
      </c>
      <c r="G96" s="91">
        <v>100</v>
      </c>
      <c r="H96" s="81" t="s">
        <v>791</v>
      </c>
      <c r="I96" s="87" t="s">
        <v>28</v>
      </c>
      <c r="J96" s="88" t="s">
        <v>168</v>
      </c>
      <c r="K96" s="193" t="s">
        <v>31</v>
      </c>
      <c r="L96" s="82">
        <v>-4.4947999999999997</v>
      </c>
      <c r="M96" s="66">
        <v>-80.410566000000003</v>
      </c>
    </row>
    <row r="97" spans="1:13" s="322" customFormat="1" ht="102.75" customHeight="1">
      <c r="A97" s="151">
        <v>63</v>
      </c>
      <c r="B97" s="187" t="s">
        <v>361</v>
      </c>
      <c r="C97" s="89">
        <v>45748</v>
      </c>
      <c r="D97" s="79" t="s">
        <v>362</v>
      </c>
      <c r="E97" s="80" t="s">
        <v>363</v>
      </c>
      <c r="F97" s="94" t="s">
        <v>12</v>
      </c>
      <c r="G97" s="91" t="s">
        <v>106</v>
      </c>
      <c r="H97" s="81" t="s">
        <v>792</v>
      </c>
      <c r="I97" s="87" t="s">
        <v>366</v>
      </c>
      <c r="J97" s="88" t="s">
        <v>371</v>
      </c>
      <c r="K97" s="194" t="s">
        <v>31</v>
      </c>
      <c r="L97" s="82">
        <v>5.7949000000000002</v>
      </c>
      <c r="M97" s="66">
        <v>-79.3857</v>
      </c>
    </row>
    <row r="98" spans="1:13" s="322" customFormat="1" ht="89.25">
      <c r="A98" s="151">
        <v>62</v>
      </c>
      <c r="B98" s="186" t="s">
        <v>360</v>
      </c>
      <c r="C98" s="89">
        <v>45748</v>
      </c>
      <c r="D98" s="90" t="s">
        <v>358</v>
      </c>
      <c r="E98" s="80" t="s">
        <v>359</v>
      </c>
      <c r="F98" s="94" t="s">
        <v>12</v>
      </c>
      <c r="G98" s="91">
        <v>80</v>
      </c>
      <c r="H98" s="81" t="s">
        <v>793</v>
      </c>
      <c r="I98" s="87" t="s">
        <v>256</v>
      </c>
      <c r="J98" s="86" t="s">
        <v>197</v>
      </c>
      <c r="K98" s="193" t="s">
        <v>31</v>
      </c>
      <c r="L98" s="180">
        <v>-7.7879589999999999</v>
      </c>
      <c r="M98" s="181">
        <v>-77.901156</v>
      </c>
    </row>
    <row r="99" spans="1:13" s="322" customFormat="1" ht="89.25">
      <c r="A99" s="151">
        <v>61</v>
      </c>
      <c r="B99" s="186" t="s">
        <v>356</v>
      </c>
      <c r="C99" s="89">
        <v>45748</v>
      </c>
      <c r="D99" s="83" t="s">
        <v>140</v>
      </c>
      <c r="E99" s="80" t="s">
        <v>355</v>
      </c>
      <c r="F99" s="94" t="s">
        <v>12</v>
      </c>
      <c r="G99" s="177">
        <v>100</v>
      </c>
      <c r="H99" s="81" t="s">
        <v>794</v>
      </c>
      <c r="I99" s="87" t="s">
        <v>354</v>
      </c>
      <c r="J99" s="88" t="s">
        <v>184</v>
      </c>
      <c r="K99" s="194" t="s">
        <v>31</v>
      </c>
      <c r="L99" s="178">
        <v>-4.6405479999999999</v>
      </c>
      <c r="M99" s="179">
        <v>-79.612014000000002</v>
      </c>
    </row>
    <row r="100" spans="1:13" s="322" customFormat="1" ht="76.5">
      <c r="A100" s="151">
        <v>60</v>
      </c>
      <c r="B100" s="186" t="s">
        <v>343</v>
      </c>
      <c r="C100" s="89">
        <v>45745</v>
      </c>
      <c r="D100" s="83" t="s">
        <v>346</v>
      </c>
      <c r="E100" s="80" t="s">
        <v>470</v>
      </c>
      <c r="F100" s="94" t="s">
        <v>12</v>
      </c>
      <c r="G100" s="91">
        <v>10</v>
      </c>
      <c r="H100" s="81" t="s">
        <v>795</v>
      </c>
      <c r="I100" s="87" t="s">
        <v>28</v>
      </c>
      <c r="J100" s="88" t="s">
        <v>351</v>
      </c>
      <c r="K100" s="194" t="s">
        <v>31</v>
      </c>
      <c r="L100" s="82">
        <v>-12.121062999999999</v>
      </c>
      <c r="M100" s="66">
        <v>-75.177858000000001</v>
      </c>
    </row>
    <row r="101" spans="1:13" s="322" customFormat="1" ht="76.5">
      <c r="A101" s="151">
        <v>59</v>
      </c>
      <c r="B101" s="186" t="s">
        <v>342</v>
      </c>
      <c r="C101" s="89">
        <v>45745</v>
      </c>
      <c r="D101" s="83" t="s">
        <v>344</v>
      </c>
      <c r="E101" s="80" t="s">
        <v>345</v>
      </c>
      <c r="F101" s="94" t="s">
        <v>12</v>
      </c>
      <c r="G101" s="91">
        <v>50</v>
      </c>
      <c r="H101" s="81" t="s">
        <v>797</v>
      </c>
      <c r="I101" s="87" t="s">
        <v>28</v>
      </c>
      <c r="J101" s="88" t="s">
        <v>351</v>
      </c>
      <c r="K101" s="194" t="s">
        <v>31</v>
      </c>
      <c r="L101" s="82">
        <v>-11.189406</v>
      </c>
      <c r="M101" s="66">
        <v>-75.466669699999997</v>
      </c>
    </row>
    <row r="102" spans="1:13" s="322" customFormat="1" ht="102.75" customHeight="1">
      <c r="A102" s="151">
        <v>58</v>
      </c>
      <c r="B102" s="186" t="s">
        <v>341</v>
      </c>
      <c r="C102" s="89">
        <v>45745</v>
      </c>
      <c r="D102" s="83" t="s">
        <v>337</v>
      </c>
      <c r="E102" s="80" t="s">
        <v>340</v>
      </c>
      <c r="F102" s="94" t="s">
        <v>12</v>
      </c>
      <c r="G102" s="91">
        <v>300</v>
      </c>
      <c r="H102" s="84" t="s">
        <v>796</v>
      </c>
      <c r="I102" s="87" t="s">
        <v>115</v>
      </c>
      <c r="J102" s="86" t="s">
        <v>182</v>
      </c>
      <c r="K102" s="193" t="s">
        <v>31</v>
      </c>
      <c r="L102" s="82">
        <v>-10.143331</v>
      </c>
      <c r="M102" s="66">
        <v>-77.418736999999993</v>
      </c>
    </row>
    <row r="103" spans="1:13" s="322" customFormat="1" ht="76.5">
      <c r="A103" s="151">
        <v>57</v>
      </c>
      <c r="B103" s="186" t="s">
        <v>375</v>
      </c>
      <c r="C103" s="183">
        <v>45744</v>
      </c>
      <c r="D103" s="90" t="s">
        <v>136</v>
      </c>
      <c r="E103" s="80" t="s">
        <v>389</v>
      </c>
      <c r="F103" s="94" t="s">
        <v>12</v>
      </c>
      <c r="G103" s="91">
        <v>186</v>
      </c>
      <c r="H103" s="81" t="s">
        <v>798</v>
      </c>
      <c r="I103" s="87" t="s">
        <v>418</v>
      </c>
      <c r="J103" s="86" t="s">
        <v>197</v>
      </c>
      <c r="K103" s="193" t="s">
        <v>31</v>
      </c>
      <c r="L103" s="82">
        <v>-7.8278540000000003</v>
      </c>
      <c r="M103" s="66">
        <v>-77.639292999999995</v>
      </c>
    </row>
    <row r="104" spans="1:13" s="322" customFormat="1" ht="76.5">
      <c r="A104" s="151">
        <v>56</v>
      </c>
      <c r="B104" s="186" t="s">
        <v>449</v>
      </c>
      <c r="C104" s="89">
        <v>45743</v>
      </c>
      <c r="D104" s="90" t="s">
        <v>135</v>
      </c>
      <c r="E104" s="80" t="s">
        <v>448</v>
      </c>
      <c r="F104" s="94" t="s">
        <v>12</v>
      </c>
      <c r="G104" s="91">
        <v>63</v>
      </c>
      <c r="H104" s="97" t="s">
        <v>799</v>
      </c>
      <c r="I104" s="92" t="s">
        <v>28</v>
      </c>
      <c r="J104" s="88" t="s">
        <v>252</v>
      </c>
      <c r="K104" s="193" t="s">
        <v>31</v>
      </c>
      <c r="L104" s="200">
        <v>-4.1072790000000001</v>
      </c>
      <c r="M104" s="201">
        <v>-81.056887000000003</v>
      </c>
    </row>
    <row r="105" spans="1:13" s="322" customFormat="1" ht="102.75" customHeight="1">
      <c r="A105" s="151">
        <v>55</v>
      </c>
      <c r="B105" s="186" t="s">
        <v>374</v>
      </c>
      <c r="C105" s="89">
        <v>45743</v>
      </c>
      <c r="D105" s="90" t="s">
        <v>135</v>
      </c>
      <c r="E105" s="80" t="s">
        <v>439</v>
      </c>
      <c r="F105" s="94" t="s">
        <v>12</v>
      </c>
      <c r="G105" s="91">
        <v>200</v>
      </c>
      <c r="H105" s="97" t="s">
        <v>799</v>
      </c>
      <c r="I105" s="92" t="s">
        <v>28</v>
      </c>
      <c r="J105" s="88" t="s">
        <v>252</v>
      </c>
      <c r="K105" s="194" t="s">
        <v>31</v>
      </c>
      <c r="L105" s="82">
        <v>-4.1048220000000004</v>
      </c>
      <c r="M105" s="66">
        <v>-81.040464999999998</v>
      </c>
    </row>
    <row r="106" spans="1:13" s="322" customFormat="1" ht="102">
      <c r="A106" s="151">
        <v>54</v>
      </c>
      <c r="B106" s="186" t="s">
        <v>369</v>
      </c>
      <c r="C106" s="115">
        <v>45743</v>
      </c>
      <c r="D106" s="83" t="s">
        <v>185</v>
      </c>
      <c r="E106" s="135" t="s">
        <v>353</v>
      </c>
      <c r="F106" s="94" t="s">
        <v>12</v>
      </c>
      <c r="G106" s="116">
        <v>25</v>
      </c>
      <c r="H106" s="84" t="s">
        <v>800</v>
      </c>
      <c r="I106" s="87" t="s">
        <v>28</v>
      </c>
      <c r="J106" s="86" t="s">
        <v>227</v>
      </c>
      <c r="K106" s="193" t="s">
        <v>31</v>
      </c>
      <c r="L106" s="117">
        <v>-16.621767999999999</v>
      </c>
      <c r="M106" s="118">
        <v>-71.071156999999999</v>
      </c>
    </row>
    <row r="107" spans="1:13" s="322" customFormat="1" ht="127.5">
      <c r="A107" s="151">
        <v>53</v>
      </c>
      <c r="B107" s="186" t="s">
        <v>396</v>
      </c>
      <c r="C107" s="89">
        <v>45743</v>
      </c>
      <c r="D107" s="79" t="s">
        <v>376</v>
      </c>
      <c r="E107" s="80" t="s">
        <v>397</v>
      </c>
      <c r="F107" s="94" t="s">
        <v>12</v>
      </c>
      <c r="G107" s="91">
        <v>60</v>
      </c>
      <c r="H107" s="81" t="s">
        <v>801</v>
      </c>
      <c r="I107" s="87" t="s">
        <v>398</v>
      </c>
      <c r="J107" s="88" t="s">
        <v>575</v>
      </c>
      <c r="K107" s="194" t="s">
        <v>31</v>
      </c>
      <c r="L107" s="82">
        <v>-9.7791340000000009</v>
      </c>
      <c r="M107" s="66">
        <v>-76.805539999999993</v>
      </c>
    </row>
    <row r="108" spans="1:13" s="322" customFormat="1" ht="127.5">
      <c r="A108" s="151">
        <v>52</v>
      </c>
      <c r="B108" s="186" t="s">
        <v>413</v>
      </c>
      <c r="C108" s="89">
        <v>45742</v>
      </c>
      <c r="D108" s="90" t="s">
        <v>357</v>
      </c>
      <c r="E108" s="80" t="s">
        <v>329</v>
      </c>
      <c r="F108" s="94" t="s">
        <v>12</v>
      </c>
      <c r="G108" s="173">
        <v>100</v>
      </c>
      <c r="H108" s="81" t="s">
        <v>802</v>
      </c>
      <c r="I108" s="85" t="s">
        <v>412</v>
      </c>
      <c r="J108" s="88" t="s">
        <v>247</v>
      </c>
      <c r="K108" s="194" t="s">
        <v>31</v>
      </c>
      <c r="L108" s="174">
        <v>-6.9159829999999998</v>
      </c>
      <c r="M108" s="175">
        <v>-78.186800000000005</v>
      </c>
    </row>
    <row r="109" spans="1:13" s="322" customFormat="1" ht="76.5">
      <c r="A109" s="151">
        <v>51</v>
      </c>
      <c r="B109" s="186" t="s">
        <v>336</v>
      </c>
      <c r="C109" s="89">
        <v>45742</v>
      </c>
      <c r="D109" s="90" t="s">
        <v>333</v>
      </c>
      <c r="E109" s="80" t="s">
        <v>334</v>
      </c>
      <c r="F109" s="94" t="s">
        <v>12</v>
      </c>
      <c r="G109" s="91" t="s">
        <v>106</v>
      </c>
      <c r="H109" s="81" t="s">
        <v>803</v>
      </c>
      <c r="I109" s="92" t="s">
        <v>458</v>
      </c>
      <c r="J109" s="88" t="s">
        <v>335</v>
      </c>
      <c r="K109" s="193" t="s">
        <v>31</v>
      </c>
      <c r="L109" s="82">
        <v>-6.5590590000000004</v>
      </c>
      <c r="M109" s="66">
        <v>-78.737170000000006</v>
      </c>
    </row>
    <row r="110" spans="1:13" s="322" customFormat="1" ht="89.25">
      <c r="A110" s="151">
        <v>50</v>
      </c>
      <c r="B110" s="193" t="s">
        <v>328</v>
      </c>
      <c r="C110" s="89">
        <v>45742</v>
      </c>
      <c r="D110" s="90" t="s">
        <v>327</v>
      </c>
      <c r="E110" s="80" t="s">
        <v>459</v>
      </c>
      <c r="F110" s="94" t="s">
        <v>12</v>
      </c>
      <c r="G110" s="91">
        <v>50</v>
      </c>
      <c r="H110" s="97" t="s">
        <v>804</v>
      </c>
      <c r="I110" s="85" t="s">
        <v>28</v>
      </c>
      <c r="J110" s="88" t="s">
        <v>208</v>
      </c>
      <c r="K110" s="193" t="s">
        <v>31</v>
      </c>
      <c r="L110" s="82">
        <v>-12.688105999999999</v>
      </c>
      <c r="M110" s="66">
        <v>-74.588984999999994</v>
      </c>
    </row>
    <row r="111" spans="1:13" s="322" customFormat="1" ht="89.25">
      <c r="A111" s="151">
        <v>49</v>
      </c>
      <c r="B111" s="193" t="s">
        <v>325</v>
      </c>
      <c r="C111" s="89">
        <v>45741</v>
      </c>
      <c r="D111" s="90" t="s">
        <v>324</v>
      </c>
      <c r="E111" s="80" t="s">
        <v>326</v>
      </c>
      <c r="F111" s="94" t="s">
        <v>12</v>
      </c>
      <c r="G111" s="91">
        <v>30</v>
      </c>
      <c r="H111" s="97" t="s">
        <v>805</v>
      </c>
      <c r="I111" s="87" t="s">
        <v>28</v>
      </c>
      <c r="J111" s="88" t="s">
        <v>208</v>
      </c>
      <c r="K111" s="193" t="s">
        <v>31</v>
      </c>
      <c r="L111" s="82">
        <v>-12.796348999999999</v>
      </c>
      <c r="M111" s="66">
        <v>-74.476848000000004</v>
      </c>
    </row>
    <row r="112" spans="1:13" s="322" customFormat="1" ht="102.75" customHeight="1">
      <c r="A112" s="151">
        <v>48</v>
      </c>
      <c r="B112" s="186" t="s">
        <v>323</v>
      </c>
      <c r="C112" s="89">
        <v>45741</v>
      </c>
      <c r="D112" s="79" t="s">
        <v>320</v>
      </c>
      <c r="E112" s="80" t="s">
        <v>322</v>
      </c>
      <c r="F112" s="94" t="s">
        <v>12</v>
      </c>
      <c r="G112" s="91">
        <v>30</v>
      </c>
      <c r="H112" s="97" t="s">
        <v>807</v>
      </c>
      <c r="I112" s="87" t="s">
        <v>28</v>
      </c>
      <c r="J112" s="88" t="s">
        <v>331</v>
      </c>
      <c r="K112" s="193" t="s">
        <v>31</v>
      </c>
      <c r="L112" s="82">
        <v>-6.2105487999999998</v>
      </c>
      <c r="M112" s="66">
        <v>-78.286106000000004</v>
      </c>
    </row>
    <row r="113" spans="1:13" s="322" customFormat="1" ht="132" customHeight="1">
      <c r="A113" s="151">
        <v>47</v>
      </c>
      <c r="B113" s="186" t="s">
        <v>321</v>
      </c>
      <c r="C113" s="89">
        <v>45741</v>
      </c>
      <c r="D113" s="79" t="s">
        <v>320</v>
      </c>
      <c r="E113" s="80" t="s">
        <v>319</v>
      </c>
      <c r="F113" s="94" t="s">
        <v>12</v>
      </c>
      <c r="G113" s="91">
        <v>35</v>
      </c>
      <c r="H113" s="97" t="s">
        <v>806</v>
      </c>
      <c r="I113" s="87" t="s">
        <v>332</v>
      </c>
      <c r="J113" s="88" t="s">
        <v>331</v>
      </c>
      <c r="K113" s="193" t="s">
        <v>31</v>
      </c>
      <c r="L113" s="82">
        <v>-6.2105701</v>
      </c>
      <c r="M113" s="66">
        <v>-78.285870000000003</v>
      </c>
    </row>
    <row r="114" spans="1:13" s="322" customFormat="1" ht="89.25">
      <c r="A114" s="151">
        <v>46</v>
      </c>
      <c r="B114" s="186" t="s">
        <v>309</v>
      </c>
      <c r="C114" s="89">
        <v>45739</v>
      </c>
      <c r="D114" s="90" t="s">
        <v>310</v>
      </c>
      <c r="E114" s="80" t="s">
        <v>311</v>
      </c>
      <c r="F114" s="94" t="s">
        <v>12</v>
      </c>
      <c r="G114" s="169">
        <v>120</v>
      </c>
      <c r="H114" s="81" t="s">
        <v>808</v>
      </c>
      <c r="I114" s="87" t="s">
        <v>330</v>
      </c>
      <c r="J114" s="86" t="s">
        <v>182</v>
      </c>
      <c r="K114" s="193" t="s">
        <v>31</v>
      </c>
      <c r="L114" s="170">
        <v>-8.9705159999999999</v>
      </c>
      <c r="M114" s="171">
        <v>-77.363794999999996</v>
      </c>
    </row>
    <row r="115" spans="1:13" s="322" customFormat="1" ht="102">
      <c r="A115" s="151">
        <v>45</v>
      </c>
      <c r="B115" s="186" t="s">
        <v>298</v>
      </c>
      <c r="C115" s="89">
        <v>45736</v>
      </c>
      <c r="D115" s="79" t="s">
        <v>35</v>
      </c>
      <c r="E115" s="80" t="s">
        <v>312</v>
      </c>
      <c r="F115" s="94" t="s">
        <v>12</v>
      </c>
      <c r="G115" s="91">
        <v>50</v>
      </c>
      <c r="H115" s="81" t="s">
        <v>811</v>
      </c>
      <c r="I115" s="87" t="s">
        <v>30</v>
      </c>
      <c r="J115" s="88" t="s">
        <v>158</v>
      </c>
      <c r="K115" s="194" t="s">
        <v>31</v>
      </c>
      <c r="L115" s="82">
        <v>-17.076312000000001</v>
      </c>
      <c r="M115" s="66">
        <v>-70.840873000000002</v>
      </c>
    </row>
    <row r="116" spans="1:13" s="322" customFormat="1" ht="102">
      <c r="A116" s="151">
        <v>44</v>
      </c>
      <c r="B116" s="186" t="s">
        <v>317</v>
      </c>
      <c r="C116" s="89">
        <v>45735</v>
      </c>
      <c r="D116" s="90" t="s">
        <v>315</v>
      </c>
      <c r="E116" s="80" t="s">
        <v>316</v>
      </c>
      <c r="F116" s="94" t="s">
        <v>12</v>
      </c>
      <c r="G116" s="172">
        <v>5</v>
      </c>
      <c r="H116" s="81" t="s">
        <v>809</v>
      </c>
      <c r="I116" s="87" t="s">
        <v>28</v>
      </c>
      <c r="J116" s="86" t="s">
        <v>227</v>
      </c>
      <c r="K116" s="194" t="s">
        <v>31</v>
      </c>
      <c r="L116" s="132">
        <v>-16.998090999999999</v>
      </c>
      <c r="M116" s="133">
        <v>-69.454730999999995</v>
      </c>
    </row>
    <row r="117" spans="1:13" s="322" customFormat="1" ht="89.25">
      <c r="A117" s="151">
        <v>43</v>
      </c>
      <c r="B117" s="186" t="s">
        <v>307</v>
      </c>
      <c r="C117" s="89">
        <v>45735</v>
      </c>
      <c r="D117" s="90" t="s">
        <v>308</v>
      </c>
      <c r="E117" s="80" t="s">
        <v>313</v>
      </c>
      <c r="F117" s="94" t="s">
        <v>12</v>
      </c>
      <c r="G117" s="91">
        <v>10</v>
      </c>
      <c r="H117" s="81" t="s">
        <v>810</v>
      </c>
      <c r="I117" s="87" t="s">
        <v>28</v>
      </c>
      <c r="J117" s="86" t="s">
        <v>182</v>
      </c>
      <c r="K117" s="193" t="s">
        <v>31</v>
      </c>
      <c r="L117" s="82">
        <v>-9.1105710000000002</v>
      </c>
      <c r="M117" s="66">
        <v>-77.315596999999997</v>
      </c>
    </row>
    <row r="118" spans="1:13" s="322" customFormat="1" ht="89.25">
      <c r="A118" s="151">
        <v>42</v>
      </c>
      <c r="B118" s="186" t="s">
        <v>306</v>
      </c>
      <c r="C118" s="89">
        <v>45735</v>
      </c>
      <c r="D118" s="90" t="s">
        <v>137</v>
      </c>
      <c r="E118" s="80" t="s">
        <v>303</v>
      </c>
      <c r="F118" s="94" t="s">
        <v>12</v>
      </c>
      <c r="G118" s="169">
        <v>15</v>
      </c>
      <c r="H118" s="81" t="s">
        <v>814</v>
      </c>
      <c r="I118" s="87" t="s">
        <v>28</v>
      </c>
      <c r="J118" s="86" t="s">
        <v>182</v>
      </c>
      <c r="K118" s="193" t="s">
        <v>31</v>
      </c>
      <c r="L118" s="170">
        <v>-9.0419610000000006</v>
      </c>
      <c r="M118" s="171">
        <v>-77.362418000000005</v>
      </c>
    </row>
    <row r="119" spans="1:13" s="322" customFormat="1" ht="76.5">
      <c r="A119" s="151">
        <v>41</v>
      </c>
      <c r="B119" s="186" t="s">
        <v>304</v>
      </c>
      <c r="C119" s="89">
        <v>45735</v>
      </c>
      <c r="D119" s="90" t="s">
        <v>302</v>
      </c>
      <c r="E119" s="80" t="s">
        <v>314</v>
      </c>
      <c r="F119" s="94" t="s">
        <v>12</v>
      </c>
      <c r="G119" s="169">
        <v>12</v>
      </c>
      <c r="H119" s="81" t="s">
        <v>813</v>
      </c>
      <c r="I119" s="87" t="s">
        <v>28</v>
      </c>
      <c r="J119" s="86" t="s">
        <v>182</v>
      </c>
      <c r="K119" s="193" t="s">
        <v>31</v>
      </c>
      <c r="L119" s="170">
        <v>-8.8485910000000008</v>
      </c>
      <c r="M119" s="171">
        <v>-77.406182999999999</v>
      </c>
    </row>
    <row r="120" spans="1:13" s="322" customFormat="1" ht="89.25">
      <c r="A120" s="151">
        <v>40</v>
      </c>
      <c r="B120" s="186" t="s">
        <v>301</v>
      </c>
      <c r="C120" s="89">
        <v>45735</v>
      </c>
      <c r="D120" s="90" t="s">
        <v>299</v>
      </c>
      <c r="E120" s="80" t="s">
        <v>300</v>
      </c>
      <c r="F120" s="94" t="s">
        <v>12</v>
      </c>
      <c r="G120" s="91">
        <v>16</v>
      </c>
      <c r="H120" s="81" t="s">
        <v>812</v>
      </c>
      <c r="I120" s="87" t="s">
        <v>28</v>
      </c>
      <c r="J120" s="86" t="s">
        <v>182</v>
      </c>
      <c r="K120" s="194" t="s">
        <v>31</v>
      </c>
      <c r="L120" s="166">
        <v>-8.9195620000000009</v>
      </c>
      <c r="M120" s="167">
        <v>-77.353319999999997</v>
      </c>
    </row>
    <row r="121" spans="1:13" s="322" customFormat="1" ht="102.75" customHeight="1">
      <c r="A121" s="151">
        <v>39</v>
      </c>
      <c r="B121" s="186" t="s">
        <v>289</v>
      </c>
      <c r="C121" s="89">
        <v>45730</v>
      </c>
      <c r="D121" s="90" t="s">
        <v>278</v>
      </c>
      <c r="E121" s="80" t="s">
        <v>290</v>
      </c>
      <c r="F121" s="94" t="s">
        <v>12</v>
      </c>
      <c r="G121" s="91">
        <v>600</v>
      </c>
      <c r="H121" s="81" t="s">
        <v>817</v>
      </c>
      <c r="I121" s="87" t="s">
        <v>256</v>
      </c>
      <c r="J121" s="86" t="s">
        <v>197</v>
      </c>
      <c r="K121" s="193" t="s">
        <v>31</v>
      </c>
      <c r="L121" s="82">
        <v>-7.7816000000000001</v>
      </c>
      <c r="M121" s="66">
        <v>-77.863200000000006</v>
      </c>
    </row>
    <row r="122" spans="1:13" s="322" customFormat="1" ht="102.75" customHeight="1">
      <c r="A122" s="151">
        <v>38</v>
      </c>
      <c r="B122" s="186" t="s">
        <v>293</v>
      </c>
      <c r="C122" s="89">
        <v>45729</v>
      </c>
      <c r="D122" s="96" t="s">
        <v>291</v>
      </c>
      <c r="E122" s="134" t="s">
        <v>297</v>
      </c>
      <c r="F122" s="94" t="s">
        <v>12</v>
      </c>
      <c r="G122" s="91">
        <v>50</v>
      </c>
      <c r="H122" s="81" t="s">
        <v>816</v>
      </c>
      <c r="I122" s="87" t="s">
        <v>28</v>
      </c>
      <c r="J122" s="88" t="s">
        <v>576</v>
      </c>
      <c r="K122" s="193" t="s">
        <v>31</v>
      </c>
      <c r="L122" s="82">
        <v>-14.013590000000001</v>
      </c>
      <c r="M122" s="66">
        <v>-72.363420000000005</v>
      </c>
    </row>
    <row r="123" spans="1:13" s="322" customFormat="1" ht="102.75" customHeight="1">
      <c r="A123" s="151">
        <v>37</v>
      </c>
      <c r="B123" s="186" t="s">
        <v>283</v>
      </c>
      <c r="C123" s="89">
        <v>45728</v>
      </c>
      <c r="D123" s="83" t="s">
        <v>117</v>
      </c>
      <c r="E123" s="80" t="s">
        <v>284</v>
      </c>
      <c r="F123" s="94" t="s">
        <v>12</v>
      </c>
      <c r="G123" s="91">
        <v>150</v>
      </c>
      <c r="H123" s="81" t="s">
        <v>815</v>
      </c>
      <c r="I123" s="92" t="s">
        <v>28</v>
      </c>
      <c r="J123" s="88" t="s">
        <v>224</v>
      </c>
      <c r="K123" s="194" t="s">
        <v>31</v>
      </c>
      <c r="L123" s="156">
        <v>-7.5290169999999996</v>
      </c>
      <c r="M123" s="157">
        <v>-76.671807999999999</v>
      </c>
    </row>
    <row r="124" spans="1:13" s="322" customFormat="1" ht="76.5">
      <c r="A124" s="151">
        <v>36</v>
      </c>
      <c r="B124" s="187" t="s">
        <v>281</v>
      </c>
      <c r="C124" s="89">
        <v>45723</v>
      </c>
      <c r="D124" s="90" t="s">
        <v>134</v>
      </c>
      <c r="E124" s="80" t="s">
        <v>497</v>
      </c>
      <c r="F124" s="94" t="s">
        <v>12</v>
      </c>
      <c r="G124" s="91" t="s">
        <v>106</v>
      </c>
      <c r="H124" s="97" t="s">
        <v>818</v>
      </c>
      <c r="I124" s="92" t="s">
        <v>28</v>
      </c>
      <c r="J124" s="88" t="s">
        <v>252</v>
      </c>
      <c r="K124" s="194" t="s">
        <v>31</v>
      </c>
      <c r="L124" s="82">
        <v>-4.2067969999999999</v>
      </c>
      <c r="M124" s="66">
        <v>-81.157694000000006</v>
      </c>
    </row>
    <row r="125" spans="1:13" s="322" customFormat="1" ht="76.5">
      <c r="A125" s="151">
        <v>35</v>
      </c>
      <c r="B125" s="187" t="s">
        <v>282</v>
      </c>
      <c r="C125" s="89">
        <v>45723</v>
      </c>
      <c r="D125" s="90" t="s">
        <v>134</v>
      </c>
      <c r="E125" s="80" t="s">
        <v>498</v>
      </c>
      <c r="F125" s="94" t="s">
        <v>12</v>
      </c>
      <c r="G125" s="91">
        <v>50</v>
      </c>
      <c r="H125" s="97" t="s">
        <v>819</v>
      </c>
      <c r="I125" s="92" t="s">
        <v>28</v>
      </c>
      <c r="J125" s="88" t="s">
        <v>252</v>
      </c>
      <c r="K125" s="194" t="s">
        <v>31</v>
      </c>
      <c r="L125" s="82">
        <v>-4.1789940000000003</v>
      </c>
      <c r="M125" s="66">
        <v>-81.129051000000004</v>
      </c>
    </row>
    <row r="126" spans="1:13" s="322" customFormat="1" ht="114.75">
      <c r="A126" s="151">
        <v>34</v>
      </c>
      <c r="B126" s="187" t="s">
        <v>273</v>
      </c>
      <c r="C126" s="89">
        <v>45723</v>
      </c>
      <c r="D126" s="96" t="s">
        <v>274</v>
      </c>
      <c r="E126" s="134" t="s">
        <v>275</v>
      </c>
      <c r="F126" s="94" t="s">
        <v>12</v>
      </c>
      <c r="G126" s="91">
        <v>200</v>
      </c>
      <c r="H126" s="84" t="s">
        <v>820</v>
      </c>
      <c r="I126" s="85" t="s">
        <v>276</v>
      </c>
      <c r="J126" s="86" t="s">
        <v>163</v>
      </c>
      <c r="K126" s="194" t="s">
        <v>31</v>
      </c>
      <c r="L126" s="82">
        <v>-10.473235000000001</v>
      </c>
      <c r="M126" s="66">
        <v>-77.162779999999998</v>
      </c>
    </row>
    <row r="127" spans="1:13" s="322" customFormat="1" ht="76.5">
      <c r="A127" s="151">
        <v>33</v>
      </c>
      <c r="B127" s="186" t="s">
        <v>287</v>
      </c>
      <c r="C127" s="125">
        <v>45722</v>
      </c>
      <c r="D127" s="79" t="s">
        <v>292</v>
      </c>
      <c r="E127" s="80" t="s">
        <v>286</v>
      </c>
      <c r="F127" s="94" t="s">
        <v>12</v>
      </c>
      <c r="G127" s="126">
        <v>50</v>
      </c>
      <c r="H127" s="84" t="s">
        <v>821</v>
      </c>
      <c r="I127" s="85" t="s">
        <v>183</v>
      </c>
      <c r="J127" s="88" t="s">
        <v>576</v>
      </c>
      <c r="K127" s="193" t="s">
        <v>31</v>
      </c>
      <c r="L127" s="123">
        <v>-13.768611</v>
      </c>
      <c r="M127" s="124">
        <v>-72.353055999999995</v>
      </c>
    </row>
    <row r="128" spans="1:13" s="322" customFormat="1" ht="76.5">
      <c r="A128" s="151">
        <v>32</v>
      </c>
      <c r="B128" s="186" t="s">
        <v>427</v>
      </c>
      <c r="C128" s="89">
        <v>45720</v>
      </c>
      <c r="D128" s="83" t="s">
        <v>118</v>
      </c>
      <c r="E128" s="80" t="s">
        <v>426</v>
      </c>
      <c r="F128" s="94" t="s">
        <v>12</v>
      </c>
      <c r="G128" s="91">
        <v>950</v>
      </c>
      <c r="H128" s="84" t="s">
        <v>822</v>
      </c>
      <c r="I128" s="87" t="s">
        <v>115</v>
      </c>
      <c r="J128" s="86" t="s">
        <v>182</v>
      </c>
      <c r="K128" s="193" t="s">
        <v>31</v>
      </c>
      <c r="L128" s="82">
        <v>-8.6627340000000004</v>
      </c>
      <c r="M128" s="66">
        <v>-78.292974999999998</v>
      </c>
    </row>
    <row r="129" spans="1:13" s="322" customFormat="1" ht="102">
      <c r="A129" s="151">
        <v>31</v>
      </c>
      <c r="B129" s="187" t="s">
        <v>261</v>
      </c>
      <c r="C129" s="89">
        <v>45720</v>
      </c>
      <c r="D129" s="79" t="s">
        <v>241</v>
      </c>
      <c r="E129" s="80" t="s">
        <v>262</v>
      </c>
      <c r="F129" s="94" t="s">
        <v>12</v>
      </c>
      <c r="G129" s="91"/>
      <c r="H129" s="81" t="s">
        <v>824</v>
      </c>
      <c r="I129" s="87" t="s">
        <v>99</v>
      </c>
      <c r="J129" s="88" t="s">
        <v>371</v>
      </c>
      <c r="K129" s="194" t="s">
        <v>31</v>
      </c>
      <c r="L129" s="82">
        <v>-5.8907970000000001</v>
      </c>
      <c r="M129" s="66">
        <v>-78.170940000000002</v>
      </c>
    </row>
    <row r="130" spans="1:13" s="322" customFormat="1" ht="114.75">
      <c r="A130" s="151">
        <v>30</v>
      </c>
      <c r="B130" s="187" t="s">
        <v>263</v>
      </c>
      <c r="C130" s="89">
        <v>45719</v>
      </c>
      <c r="D130" s="83" t="s">
        <v>267</v>
      </c>
      <c r="E130" s="80" t="s">
        <v>264</v>
      </c>
      <c r="F130" s="94" t="s">
        <v>12</v>
      </c>
      <c r="G130" s="91">
        <v>15</v>
      </c>
      <c r="H130" s="84" t="s">
        <v>823</v>
      </c>
      <c r="I130" s="87" t="s">
        <v>265</v>
      </c>
      <c r="J130" s="86" t="s">
        <v>266</v>
      </c>
      <c r="K130" s="193" t="s">
        <v>31</v>
      </c>
      <c r="L130" s="82">
        <v>-17.529775000000001</v>
      </c>
      <c r="M130" s="66">
        <v>-70.035994000000002</v>
      </c>
    </row>
    <row r="131" spans="1:13" s="322" customFormat="1" ht="102.75" customHeight="1">
      <c r="A131" s="151">
        <v>29</v>
      </c>
      <c r="B131" s="186" t="s">
        <v>258</v>
      </c>
      <c r="C131" s="89">
        <v>45719</v>
      </c>
      <c r="D131" s="79" t="s">
        <v>259</v>
      </c>
      <c r="E131" s="80" t="s">
        <v>260</v>
      </c>
      <c r="F131" s="94" t="s">
        <v>12</v>
      </c>
      <c r="G131" s="91">
        <v>16</v>
      </c>
      <c r="H131" s="97" t="s">
        <v>826</v>
      </c>
      <c r="I131" s="87" t="s">
        <v>191</v>
      </c>
      <c r="J131" s="88" t="s">
        <v>247</v>
      </c>
      <c r="K131" s="193" t="s">
        <v>31</v>
      </c>
      <c r="L131" s="82">
        <v>-6.3433950000000001</v>
      </c>
      <c r="M131" s="66">
        <v>-77.930058000000002</v>
      </c>
    </row>
    <row r="132" spans="1:13" s="322" customFormat="1" ht="102.75" customHeight="1">
      <c r="A132" s="151">
        <v>28</v>
      </c>
      <c r="B132" s="186" t="s">
        <v>250</v>
      </c>
      <c r="C132" s="89">
        <v>45719</v>
      </c>
      <c r="D132" s="96" t="s">
        <v>246</v>
      </c>
      <c r="E132" s="134" t="s">
        <v>249</v>
      </c>
      <c r="F132" s="94" t="s">
        <v>12</v>
      </c>
      <c r="G132" s="91">
        <v>30</v>
      </c>
      <c r="H132" s="84" t="s">
        <v>825</v>
      </c>
      <c r="I132" s="141" t="s">
        <v>268</v>
      </c>
      <c r="J132" s="88" t="s">
        <v>247</v>
      </c>
      <c r="K132" s="193" t="s">
        <v>31</v>
      </c>
      <c r="L132" s="82">
        <v>-5.4831269999999996</v>
      </c>
      <c r="M132" s="66">
        <v>-78.822682999999998</v>
      </c>
    </row>
    <row r="133" spans="1:13" s="322" customFormat="1" ht="102">
      <c r="A133" s="151">
        <v>27</v>
      </c>
      <c r="B133" s="186" t="s">
        <v>251</v>
      </c>
      <c r="C133" s="89">
        <v>45718</v>
      </c>
      <c r="D133" s="90" t="s">
        <v>135</v>
      </c>
      <c r="E133" s="80" t="s">
        <v>450</v>
      </c>
      <c r="F133" s="94" t="s">
        <v>12</v>
      </c>
      <c r="G133" s="91">
        <v>184</v>
      </c>
      <c r="H133" s="97" t="s">
        <v>828</v>
      </c>
      <c r="I133" s="92" t="s">
        <v>28</v>
      </c>
      <c r="J133" s="88" t="s">
        <v>252</v>
      </c>
      <c r="K133" s="193" t="s">
        <v>31</v>
      </c>
      <c r="L133" s="82">
        <v>-4.1054079999999997</v>
      </c>
      <c r="M133" s="66">
        <v>-81.043093999999996</v>
      </c>
    </row>
    <row r="134" spans="1:13" s="322" customFormat="1" ht="89.25">
      <c r="A134" s="151">
        <v>26</v>
      </c>
      <c r="B134" s="187" t="s">
        <v>243</v>
      </c>
      <c r="C134" s="89">
        <v>45718</v>
      </c>
      <c r="D134" s="79" t="s">
        <v>241</v>
      </c>
      <c r="E134" s="80" t="s">
        <v>240</v>
      </c>
      <c r="F134" s="94" t="s">
        <v>12</v>
      </c>
      <c r="G134" s="91"/>
      <c r="H134" s="81" t="s">
        <v>827</v>
      </c>
      <c r="I134" s="87" t="s">
        <v>242</v>
      </c>
      <c r="J134" s="88" t="s">
        <v>371</v>
      </c>
      <c r="K134" s="194"/>
      <c r="L134" s="82">
        <v>-5.8842872880251802</v>
      </c>
      <c r="M134" s="66">
        <v>-78.173367977142306</v>
      </c>
    </row>
    <row r="135" spans="1:13" s="322" customFormat="1" ht="278.25" customHeight="1">
      <c r="A135" s="151">
        <v>25</v>
      </c>
      <c r="B135" s="187" t="s">
        <v>245</v>
      </c>
      <c r="C135" s="89">
        <v>45718</v>
      </c>
      <c r="D135" s="79" t="s">
        <v>241</v>
      </c>
      <c r="E135" s="80" t="s">
        <v>244</v>
      </c>
      <c r="F135" s="94" t="s">
        <v>12</v>
      </c>
      <c r="G135" s="91"/>
      <c r="H135" s="81" t="s">
        <v>829</v>
      </c>
      <c r="I135" s="87" t="s">
        <v>242</v>
      </c>
      <c r="J135" s="88" t="s">
        <v>371</v>
      </c>
      <c r="K135" s="194"/>
      <c r="L135" s="82">
        <v>-5.8835402261386696</v>
      </c>
      <c r="M135" s="66">
        <v>-78.174462318420396</v>
      </c>
    </row>
    <row r="136" spans="1:13" s="322" customFormat="1" ht="89.25">
      <c r="A136" s="151">
        <v>24</v>
      </c>
      <c r="B136" s="186" t="s">
        <v>238</v>
      </c>
      <c r="C136" s="89">
        <v>45716</v>
      </c>
      <c r="D136" s="79" t="s">
        <v>239</v>
      </c>
      <c r="E136" s="80" t="s">
        <v>257</v>
      </c>
      <c r="F136" s="94" t="s">
        <v>12</v>
      </c>
      <c r="G136" s="56">
        <v>250</v>
      </c>
      <c r="H136" s="81" t="s">
        <v>830</v>
      </c>
      <c r="I136" s="87" t="s">
        <v>288</v>
      </c>
      <c r="J136" s="88" t="s">
        <v>121</v>
      </c>
      <c r="K136" s="194" t="s">
        <v>31</v>
      </c>
      <c r="L136" s="82">
        <v>-7.2686000000000002</v>
      </c>
      <c r="M136" s="66">
        <v>-78.514700000000005</v>
      </c>
    </row>
    <row r="137" spans="1:13" s="322" customFormat="1" ht="89.25">
      <c r="A137" s="151">
        <v>23</v>
      </c>
      <c r="B137" s="186" t="s">
        <v>228</v>
      </c>
      <c r="C137" s="89">
        <v>45709</v>
      </c>
      <c r="D137" s="96" t="s">
        <v>231</v>
      </c>
      <c r="E137" s="134" t="s">
        <v>229</v>
      </c>
      <c r="F137" s="94" t="s">
        <v>12</v>
      </c>
      <c r="G137" s="91">
        <v>20</v>
      </c>
      <c r="H137" s="81" t="s">
        <v>857</v>
      </c>
      <c r="I137" s="87" t="s">
        <v>230</v>
      </c>
      <c r="J137" s="88" t="s">
        <v>234</v>
      </c>
      <c r="K137" s="194" t="s">
        <v>31</v>
      </c>
      <c r="L137" s="82">
        <v>-16.091723000000002</v>
      </c>
      <c r="M137" s="66">
        <v>-69.632259000000005</v>
      </c>
    </row>
    <row r="138" spans="1:13" s="322" customFormat="1" ht="89.25">
      <c r="A138" s="151">
        <v>22</v>
      </c>
      <c r="B138" s="186" t="s">
        <v>236</v>
      </c>
      <c r="C138" s="89">
        <v>45709</v>
      </c>
      <c r="D138" s="96" t="s">
        <v>235</v>
      </c>
      <c r="E138" s="134" t="s">
        <v>499</v>
      </c>
      <c r="F138" s="94" t="s">
        <v>12</v>
      </c>
      <c r="G138" s="131">
        <v>40</v>
      </c>
      <c r="H138" s="81" t="s">
        <v>834</v>
      </c>
      <c r="I138" s="92" t="s">
        <v>28</v>
      </c>
      <c r="J138" s="88" t="s">
        <v>168</v>
      </c>
      <c r="K138" s="193" t="s">
        <v>31</v>
      </c>
      <c r="L138" s="132">
        <v>-3.5451000000000001</v>
      </c>
      <c r="M138" s="133">
        <v>-80.394999999999996</v>
      </c>
    </row>
    <row r="139" spans="1:13" s="322" customFormat="1" ht="102.75" customHeight="1">
      <c r="A139" s="151">
        <v>21</v>
      </c>
      <c r="B139" s="186" t="s">
        <v>219</v>
      </c>
      <c r="C139" s="89">
        <v>45707</v>
      </c>
      <c r="D139" s="79" t="s">
        <v>210</v>
      </c>
      <c r="E139" s="80" t="s">
        <v>220</v>
      </c>
      <c r="F139" s="94" t="s">
        <v>12</v>
      </c>
      <c r="G139" s="91">
        <v>300</v>
      </c>
      <c r="H139" s="84" t="s">
        <v>833</v>
      </c>
      <c r="I139" s="92" t="s">
        <v>128</v>
      </c>
      <c r="J139" s="88" t="s">
        <v>187</v>
      </c>
      <c r="K139" s="194" t="s">
        <v>31</v>
      </c>
      <c r="L139" s="82">
        <v>-14.68004</v>
      </c>
      <c r="M139" s="66">
        <v>-75.139840000000007</v>
      </c>
    </row>
    <row r="140" spans="1:13" s="322" customFormat="1" ht="267.75">
      <c r="A140" s="151">
        <v>20</v>
      </c>
      <c r="B140" s="186" t="s">
        <v>214</v>
      </c>
      <c r="C140" s="89">
        <v>45701</v>
      </c>
      <c r="D140" s="96" t="s">
        <v>211</v>
      </c>
      <c r="E140" s="134" t="s">
        <v>217</v>
      </c>
      <c r="F140" s="94" t="s">
        <v>12</v>
      </c>
      <c r="G140" s="91">
        <v>50</v>
      </c>
      <c r="H140" s="84" t="s">
        <v>831</v>
      </c>
      <c r="I140" s="85" t="s">
        <v>212</v>
      </c>
      <c r="J140" s="86" t="s">
        <v>213</v>
      </c>
      <c r="K140" s="194" t="s">
        <v>31</v>
      </c>
      <c r="L140" s="139">
        <v>-11.6073</v>
      </c>
      <c r="M140" s="140">
        <v>-77.239900000000006</v>
      </c>
    </row>
    <row r="141" spans="1:13" s="322" customFormat="1" ht="76.5">
      <c r="A141" s="151">
        <v>19</v>
      </c>
      <c r="B141" s="186" t="s">
        <v>206</v>
      </c>
      <c r="C141" s="89">
        <v>45688</v>
      </c>
      <c r="D141" s="90" t="s">
        <v>204</v>
      </c>
      <c r="E141" s="80" t="s">
        <v>205</v>
      </c>
      <c r="F141" s="94" t="s">
        <v>12</v>
      </c>
      <c r="G141" s="91">
        <v>15</v>
      </c>
      <c r="H141" s="81" t="s">
        <v>832</v>
      </c>
      <c r="I141" s="85" t="s">
        <v>191</v>
      </c>
      <c r="J141" s="88" t="s">
        <v>181</v>
      </c>
      <c r="K141" s="193" t="s">
        <v>31</v>
      </c>
      <c r="L141" s="129">
        <v>-6.8551000000000002</v>
      </c>
      <c r="M141" s="130">
        <v>-78.066299999999998</v>
      </c>
    </row>
    <row r="142" spans="1:13" s="322" customFormat="1" ht="102">
      <c r="A142" s="151">
        <v>18</v>
      </c>
      <c r="B142" s="186" t="s">
        <v>201</v>
      </c>
      <c r="C142" s="89">
        <v>45687</v>
      </c>
      <c r="D142" s="90" t="s">
        <v>123</v>
      </c>
      <c r="E142" s="80" t="s">
        <v>202</v>
      </c>
      <c r="F142" s="94" t="s">
        <v>12</v>
      </c>
      <c r="G142" s="91">
        <v>36</v>
      </c>
      <c r="H142" s="81" t="s">
        <v>837</v>
      </c>
      <c r="I142" s="87" t="s">
        <v>120</v>
      </c>
      <c r="J142" s="88" t="s">
        <v>121</v>
      </c>
      <c r="K142" s="193" t="s">
        <v>31</v>
      </c>
      <c r="L142" s="82">
        <v>-7.9260000000000002</v>
      </c>
      <c r="M142" s="66">
        <v>-78.575999999999993</v>
      </c>
    </row>
    <row r="143" spans="1:13" s="322" customFormat="1" ht="102">
      <c r="A143" s="151">
        <v>17</v>
      </c>
      <c r="B143" s="186" t="s">
        <v>200</v>
      </c>
      <c r="C143" s="115">
        <v>45687</v>
      </c>
      <c r="D143" s="96" t="s">
        <v>199</v>
      </c>
      <c r="E143" s="134" t="s">
        <v>500</v>
      </c>
      <c r="F143" s="94" t="s">
        <v>12</v>
      </c>
      <c r="G143" s="131">
        <v>13</v>
      </c>
      <c r="H143" s="81" t="s">
        <v>836</v>
      </c>
      <c r="I143" s="85" t="s">
        <v>28</v>
      </c>
      <c r="J143" s="88" t="s">
        <v>168</v>
      </c>
      <c r="K143" s="193" t="s">
        <v>31</v>
      </c>
      <c r="L143" s="132">
        <v>-3.576508</v>
      </c>
      <c r="M143" s="133">
        <v>-80.465653000000003</v>
      </c>
    </row>
    <row r="144" spans="1:13" s="322" customFormat="1" ht="114.75">
      <c r="A144" s="151">
        <v>16</v>
      </c>
      <c r="B144" s="186" t="s">
        <v>192</v>
      </c>
      <c r="C144" s="115">
        <v>45677</v>
      </c>
      <c r="D144" s="90" t="s">
        <v>190</v>
      </c>
      <c r="E144" s="80" t="s">
        <v>195</v>
      </c>
      <c r="F144" s="94" t="s">
        <v>12</v>
      </c>
      <c r="G144" s="91">
        <v>2</v>
      </c>
      <c r="H144" s="81" t="s">
        <v>835</v>
      </c>
      <c r="I144" s="85" t="s">
        <v>191</v>
      </c>
      <c r="J144" s="88" t="s">
        <v>181</v>
      </c>
      <c r="K144" s="193" t="s">
        <v>31</v>
      </c>
      <c r="L144" s="117">
        <v>-6.7638400000000001</v>
      </c>
      <c r="M144" s="118">
        <v>-78.533422999999999</v>
      </c>
    </row>
    <row r="145" spans="1:13" s="322" customFormat="1" ht="140.25">
      <c r="A145" s="151">
        <v>15</v>
      </c>
      <c r="B145" s="193" t="s">
        <v>171</v>
      </c>
      <c r="C145" s="89">
        <v>45595</v>
      </c>
      <c r="D145" s="96" t="s">
        <v>172</v>
      </c>
      <c r="E145" s="80" t="s">
        <v>501</v>
      </c>
      <c r="F145" s="94" t="s">
        <v>12</v>
      </c>
      <c r="G145" s="91">
        <v>130</v>
      </c>
      <c r="H145" s="81" t="s">
        <v>849</v>
      </c>
      <c r="I145" s="92" t="s">
        <v>28</v>
      </c>
      <c r="J145" s="88" t="s">
        <v>168</v>
      </c>
      <c r="K145" s="193" t="s">
        <v>31</v>
      </c>
      <c r="L145" s="82">
        <v>-4.8320970000000001</v>
      </c>
      <c r="M145" s="66">
        <v>-80.901155000000003</v>
      </c>
    </row>
    <row r="146" spans="1:13" s="322" customFormat="1" ht="127.5">
      <c r="A146" s="151">
        <v>14</v>
      </c>
      <c r="B146" s="193" t="s">
        <v>170</v>
      </c>
      <c r="C146" s="89">
        <v>45595</v>
      </c>
      <c r="D146" s="96" t="s">
        <v>169</v>
      </c>
      <c r="E146" s="80" t="s">
        <v>502</v>
      </c>
      <c r="F146" s="94" t="s">
        <v>12</v>
      </c>
      <c r="G146" s="91">
        <v>11</v>
      </c>
      <c r="H146" s="81" t="s">
        <v>838</v>
      </c>
      <c r="I146" s="92" t="s">
        <v>28</v>
      </c>
      <c r="J146" s="88" t="s">
        <v>168</v>
      </c>
      <c r="K146" s="193" t="s">
        <v>31</v>
      </c>
      <c r="L146" s="82">
        <v>-3.5291060000000001</v>
      </c>
      <c r="M146" s="66">
        <v>-80.363461000000001</v>
      </c>
    </row>
    <row r="147" spans="1:13" s="322" customFormat="1" ht="89.25">
      <c r="A147" s="151">
        <v>13</v>
      </c>
      <c r="B147" s="193" t="s">
        <v>153</v>
      </c>
      <c r="C147" s="89">
        <v>45391</v>
      </c>
      <c r="D147" s="90" t="s">
        <v>32</v>
      </c>
      <c r="E147" s="80" t="s">
        <v>155</v>
      </c>
      <c r="F147" s="94" t="s">
        <v>12</v>
      </c>
      <c r="G147" s="91">
        <v>283</v>
      </c>
      <c r="H147" s="97" t="s">
        <v>839</v>
      </c>
      <c r="I147" s="87" t="s">
        <v>84</v>
      </c>
      <c r="J147" s="88" t="s">
        <v>601</v>
      </c>
      <c r="K147" s="193" t="s">
        <v>31</v>
      </c>
      <c r="L147" s="82">
        <v>-9.0373579999999993</v>
      </c>
      <c r="M147" s="66">
        <v>-75.505527999999998</v>
      </c>
    </row>
    <row r="148" spans="1:13" s="322" customFormat="1" ht="76.5">
      <c r="A148" s="151">
        <v>12</v>
      </c>
      <c r="B148" s="193" t="s">
        <v>107</v>
      </c>
      <c r="C148" s="89">
        <v>45024</v>
      </c>
      <c r="D148" s="90" t="s">
        <v>108</v>
      </c>
      <c r="E148" s="80" t="s">
        <v>116</v>
      </c>
      <c r="F148" s="94" t="s">
        <v>12</v>
      </c>
      <c r="G148" s="91">
        <v>30</v>
      </c>
      <c r="H148" s="81" t="s">
        <v>850</v>
      </c>
      <c r="I148" s="87" t="s">
        <v>99</v>
      </c>
      <c r="J148" s="88" t="s">
        <v>371</v>
      </c>
      <c r="K148" s="323"/>
      <c r="L148" s="82">
        <v>-5.9253954853169102</v>
      </c>
      <c r="M148" s="66">
        <v>-79.551036357879596</v>
      </c>
    </row>
    <row r="149" spans="1:13" s="322" customFormat="1" ht="111" customHeight="1">
      <c r="A149" s="151">
        <v>11</v>
      </c>
      <c r="B149" s="193" t="s">
        <v>102</v>
      </c>
      <c r="C149" s="89">
        <v>45024</v>
      </c>
      <c r="D149" s="90" t="s">
        <v>145</v>
      </c>
      <c r="E149" s="80" t="s">
        <v>157</v>
      </c>
      <c r="F149" s="94" t="s">
        <v>12</v>
      </c>
      <c r="G149" s="91">
        <v>200</v>
      </c>
      <c r="H149" s="136" t="s">
        <v>841</v>
      </c>
      <c r="I149" s="87" t="s">
        <v>99</v>
      </c>
      <c r="J149" s="88" t="s">
        <v>371</v>
      </c>
      <c r="K149" s="323"/>
      <c r="L149" s="82">
        <v>-6.4113724456344103</v>
      </c>
      <c r="M149" s="66">
        <v>-76.619019806384998</v>
      </c>
    </row>
    <row r="150" spans="1:13" s="322" customFormat="1" ht="63.75">
      <c r="A150" s="151">
        <v>10</v>
      </c>
      <c r="B150" s="193" t="s">
        <v>112</v>
      </c>
      <c r="C150" s="89">
        <v>45021</v>
      </c>
      <c r="D150" s="90" t="s">
        <v>113</v>
      </c>
      <c r="E150" s="95" t="s">
        <v>114</v>
      </c>
      <c r="F150" s="94" t="s">
        <v>12</v>
      </c>
      <c r="G150" s="91">
        <v>20</v>
      </c>
      <c r="H150" s="81" t="s">
        <v>840</v>
      </c>
      <c r="I150" s="87" t="s">
        <v>551</v>
      </c>
      <c r="J150" s="88" t="s">
        <v>371</v>
      </c>
      <c r="K150" s="323"/>
      <c r="L150" s="82">
        <v>-5.6072516903480301</v>
      </c>
      <c r="M150" s="66">
        <v>-79.897191524505601</v>
      </c>
    </row>
    <row r="151" spans="1:13" s="322" customFormat="1" ht="76.5">
      <c r="A151" s="151">
        <v>9</v>
      </c>
      <c r="B151" s="193" t="s">
        <v>101</v>
      </c>
      <c r="C151" s="89">
        <v>45014</v>
      </c>
      <c r="D151" s="90" t="s">
        <v>126</v>
      </c>
      <c r="E151" s="95" t="s">
        <v>144</v>
      </c>
      <c r="F151" s="94" t="s">
        <v>12</v>
      </c>
      <c r="G151" s="91">
        <v>45</v>
      </c>
      <c r="H151" s="81" t="s">
        <v>842</v>
      </c>
      <c r="I151" s="87" t="s">
        <v>99</v>
      </c>
      <c r="J151" s="88" t="s">
        <v>371</v>
      </c>
      <c r="K151" s="323"/>
      <c r="L151" s="82">
        <v>-5.8556340786628898</v>
      </c>
      <c r="M151" s="66">
        <v>-77.985540926456395</v>
      </c>
    </row>
    <row r="152" spans="1:13" s="322" customFormat="1" ht="63.75">
      <c r="A152" s="151">
        <v>8</v>
      </c>
      <c r="B152" s="193" t="s">
        <v>109</v>
      </c>
      <c r="C152" s="89">
        <v>45010</v>
      </c>
      <c r="D152" s="90" t="s">
        <v>110</v>
      </c>
      <c r="E152" s="80" t="s">
        <v>147</v>
      </c>
      <c r="F152" s="94" t="s">
        <v>12</v>
      </c>
      <c r="G152" s="91" t="s">
        <v>106</v>
      </c>
      <c r="H152" s="81" t="s">
        <v>843</v>
      </c>
      <c r="I152" s="87" t="s">
        <v>99</v>
      </c>
      <c r="J152" s="88" t="s">
        <v>371</v>
      </c>
      <c r="K152" s="323"/>
      <c r="L152" s="82">
        <v>-5.88631502237057</v>
      </c>
      <c r="M152" s="66">
        <v>-78.180116415023804</v>
      </c>
    </row>
    <row r="153" spans="1:13" s="322" customFormat="1" ht="76.5">
      <c r="A153" s="151">
        <v>7</v>
      </c>
      <c r="B153" s="193" t="s">
        <v>111</v>
      </c>
      <c r="C153" s="89">
        <v>44999</v>
      </c>
      <c r="D153" s="90" t="s">
        <v>110</v>
      </c>
      <c r="E153" s="80" t="s">
        <v>146</v>
      </c>
      <c r="F153" s="94" t="s">
        <v>12</v>
      </c>
      <c r="G153" s="91">
        <v>15</v>
      </c>
      <c r="H153" s="81" t="s">
        <v>844</v>
      </c>
      <c r="I153" s="87" t="s">
        <v>99</v>
      </c>
      <c r="J153" s="88" t="s">
        <v>371</v>
      </c>
      <c r="K153" s="323"/>
      <c r="L153" s="82">
        <v>-5.8581101753540397</v>
      </c>
      <c r="M153" s="66">
        <v>-78.225035369396196</v>
      </c>
    </row>
    <row r="154" spans="1:13" s="322" customFormat="1" ht="89.25">
      <c r="A154" s="151">
        <v>6</v>
      </c>
      <c r="B154" s="193" t="s">
        <v>105</v>
      </c>
      <c r="C154" s="89">
        <v>44963</v>
      </c>
      <c r="D154" s="79" t="s">
        <v>33</v>
      </c>
      <c r="E154" s="80" t="s">
        <v>141</v>
      </c>
      <c r="F154" s="94" t="s">
        <v>12</v>
      </c>
      <c r="G154" s="91">
        <v>141</v>
      </c>
      <c r="H154" s="81" t="s">
        <v>846</v>
      </c>
      <c r="I154" s="87" t="s">
        <v>84</v>
      </c>
      <c r="J154" s="88" t="s">
        <v>601</v>
      </c>
      <c r="K154" s="193" t="s">
        <v>31</v>
      </c>
      <c r="L154" s="82">
        <v>-8.827</v>
      </c>
      <c r="M154" s="66">
        <v>-75.227999999999994</v>
      </c>
    </row>
    <row r="155" spans="1:13" s="322" customFormat="1" ht="89.25">
      <c r="A155" s="151">
        <v>5</v>
      </c>
      <c r="B155" s="193" t="s">
        <v>104</v>
      </c>
      <c r="C155" s="89">
        <v>44963</v>
      </c>
      <c r="D155" s="79" t="s">
        <v>32</v>
      </c>
      <c r="E155" s="80" t="s">
        <v>142</v>
      </c>
      <c r="F155" s="94" t="s">
        <v>12</v>
      </c>
      <c r="G155" s="91">
        <v>81</v>
      </c>
      <c r="H155" s="81" t="s">
        <v>845</v>
      </c>
      <c r="I155" s="87" t="s">
        <v>84</v>
      </c>
      <c r="J155" s="88" t="s">
        <v>571</v>
      </c>
      <c r="K155" s="193" t="s">
        <v>31</v>
      </c>
      <c r="L155" s="82">
        <v>-9.1059999999999999</v>
      </c>
      <c r="M155" s="66">
        <v>-75.745000000000005</v>
      </c>
    </row>
    <row r="156" spans="1:13" s="322" customFormat="1" ht="102.75" customHeight="1">
      <c r="A156" s="151">
        <v>4</v>
      </c>
      <c r="B156" s="193" t="s">
        <v>36</v>
      </c>
      <c r="C156" s="89">
        <v>44240</v>
      </c>
      <c r="D156" s="79" t="s">
        <v>35</v>
      </c>
      <c r="E156" s="80" t="s">
        <v>269</v>
      </c>
      <c r="F156" s="94" t="s">
        <v>12</v>
      </c>
      <c r="G156" s="91">
        <v>40</v>
      </c>
      <c r="H156" s="81" t="s">
        <v>811</v>
      </c>
      <c r="I156" s="87" t="s">
        <v>30</v>
      </c>
      <c r="J156" s="88" t="s">
        <v>158</v>
      </c>
      <c r="K156" s="193" t="s">
        <v>31</v>
      </c>
      <c r="L156" s="82">
        <v>-17.07</v>
      </c>
      <c r="M156" s="66">
        <v>-70.850999999999999</v>
      </c>
    </row>
    <row r="157" spans="1:13" s="322" customFormat="1" ht="153">
      <c r="A157" s="151">
        <v>3</v>
      </c>
      <c r="B157" s="193" t="s">
        <v>34</v>
      </c>
      <c r="C157" s="89">
        <v>43889</v>
      </c>
      <c r="D157" s="79" t="s">
        <v>35</v>
      </c>
      <c r="E157" s="80" t="s">
        <v>270</v>
      </c>
      <c r="F157" s="94" t="s">
        <v>12</v>
      </c>
      <c r="G157" s="91">
        <v>63</v>
      </c>
      <c r="H157" s="81" t="s">
        <v>847</v>
      </c>
      <c r="I157" s="87" t="s">
        <v>30</v>
      </c>
      <c r="J157" s="88" t="s">
        <v>158</v>
      </c>
      <c r="K157" s="193" t="s">
        <v>31</v>
      </c>
      <c r="L157" s="82">
        <v>-17.068999999999999</v>
      </c>
      <c r="M157" s="66">
        <v>-70.849999999999994</v>
      </c>
    </row>
    <row r="158" spans="1:13" s="322" customFormat="1" ht="84" customHeight="1">
      <c r="A158" s="151">
        <v>2</v>
      </c>
      <c r="B158" s="193" t="s">
        <v>122</v>
      </c>
      <c r="C158" s="89">
        <v>43539</v>
      </c>
      <c r="D158" s="79" t="s">
        <v>123</v>
      </c>
      <c r="E158" s="80" t="s">
        <v>124</v>
      </c>
      <c r="F158" s="94" t="s">
        <v>12</v>
      </c>
      <c r="G158" s="93" t="s">
        <v>106</v>
      </c>
      <c r="H158" s="81" t="s">
        <v>848</v>
      </c>
      <c r="I158" s="87" t="s">
        <v>120</v>
      </c>
      <c r="J158" s="88" t="s">
        <v>121</v>
      </c>
      <c r="K158" s="193" t="s">
        <v>31</v>
      </c>
      <c r="L158" s="82">
        <v>-7.9779999999999998</v>
      </c>
      <c r="M158" s="66">
        <v>-78.646000000000001</v>
      </c>
    </row>
    <row r="159" spans="1:13" s="322" customFormat="1" ht="114.75">
      <c r="A159" s="151">
        <v>1</v>
      </c>
      <c r="B159" s="193" t="s">
        <v>37</v>
      </c>
      <c r="C159" s="89">
        <v>43531</v>
      </c>
      <c r="D159" s="79" t="s">
        <v>38</v>
      </c>
      <c r="E159" s="80" t="s">
        <v>271</v>
      </c>
      <c r="F159" s="94" t="s">
        <v>12</v>
      </c>
      <c r="G159" s="93">
        <v>60</v>
      </c>
      <c r="H159" s="81" t="s">
        <v>851</v>
      </c>
      <c r="I159" s="81" t="s">
        <v>19</v>
      </c>
      <c r="J159" s="87" t="s">
        <v>100</v>
      </c>
      <c r="K159" s="323"/>
      <c r="L159" s="82">
        <v>-13.802</v>
      </c>
      <c r="M159" s="66">
        <v>-70.474999999999994</v>
      </c>
    </row>
    <row r="160" spans="1:13" ht="18" customHeight="1">
      <c r="A160" s="295" t="s">
        <v>143</v>
      </c>
      <c r="B160" s="296"/>
      <c r="C160" s="296"/>
      <c r="D160" s="296"/>
      <c r="E160" s="296"/>
      <c r="F160" s="46"/>
      <c r="L160"/>
      <c r="M160"/>
    </row>
  </sheetData>
  <mergeCells count="3">
    <mergeCell ref="D1:K1"/>
    <mergeCell ref="D2:K2"/>
    <mergeCell ref="A160:E160"/>
  </mergeCells>
  <phoneticPr fontId="133" type="noConversion"/>
  <hyperlinks>
    <hyperlink ref="K154" r:id="rId1" xr:uid="{00000000-0004-0000-0400-000000000000}"/>
    <hyperlink ref="K157" r:id="rId2" xr:uid="{00000000-0004-0000-0400-000001000000}"/>
    <hyperlink ref="K156" r:id="rId3" xr:uid="{00000000-0004-0000-0400-000002000000}"/>
    <hyperlink ref="K155" r:id="rId4" xr:uid="{00000000-0004-0000-0400-000003000000}"/>
    <hyperlink ref="K146" r:id="rId5" xr:uid="{00000000-0004-0000-0400-000005000000}"/>
    <hyperlink ref="K158" r:id="rId6" xr:uid="{00000000-0004-0000-0400-000006000000}"/>
    <hyperlink ref="B9" r:id="rId7" xr:uid="{00000000-0004-0000-0400-000007000000}"/>
    <hyperlink ref="K9" r:id="rId8" xr:uid="{00000000-0004-0000-0400-000008000000}"/>
    <hyperlink ref="K144" r:id="rId9" xr:uid="{00000000-0004-0000-0400-000009000000}"/>
    <hyperlink ref="K143" r:id="rId10" xr:uid="{00000000-0004-0000-0400-00000B000000}"/>
    <hyperlink ref="K142" r:id="rId11" xr:uid="{00000000-0004-0000-0400-00000C000000}"/>
    <hyperlink ref="K141" r:id="rId12" xr:uid="{00000000-0004-0000-0400-00000D000000}"/>
    <hyperlink ref="A160" r:id="rId13" xr:uid="{00000000-0004-0000-0400-00000E000000}"/>
    <hyperlink ref="K147" r:id="rId14" xr:uid="{00000000-0004-0000-0400-000010000000}"/>
    <hyperlink ref="K140" r:id="rId15" xr:uid="{00000000-0004-0000-0400-000011000000}"/>
    <hyperlink ref="K139" r:id="rId16" xr:uid="{00000000-0004-0000-0400-000013000000}"/>
    <hyperlink ref="K137" r:id="rId17" xr:uid="{00000000-0004-0000-0400-000014000000}"/>
    <hyperlink ref="K138" r:id="rId18" xr:uid="{00000000-0004-0000-0400-000018000000}"/>
    <hyperlink ref="B8" r:id="rId19" xr:uid="{00000000-0004-0000-0400-000019000000}"/>
    <hyperlink ref="K129" r:id="rId20" xr:uid="{00000000-0004-0000-0400-00001A000000}"/>
    <hyperlink ref="K130" r:id="rId21" xr:uid="{00000000-0004-0000-0400-00001C000000}"/>
    <hyperlink ref="K131" r:id="rId22" xr:uid="{00000000-0004-0000-0400-00001E000000}"/>
    <hyperlink ref="K132" r:id="rId23" xr:uid="{00000000-0004-0000-0400-000020000000}"/>
    <hyperlink ref="K136" r:id="rId24" xr:uid="{00000000-0004-0000-0400-000022000000}"/>
    <hyperlink ref="K126" r:id="rId25" xr:uid="{00000000-0004-0000-0400-000025000000}"/>
    <hyperlink ref="B7" r:id="rId26" xr:uid="{00000000-0004-0000-0400-000027000000}"/>
    <hyperlink ref="K7" r:id="rId27" xr:uid="{00000000-0004-0000-0400-000028000000}"/>
    <hyperlink ref="K125" r:id="rId28" xr:uid="{00000000-0004-0000-0400-000029000000}"/>
    <hyperlink ref="K124" r:id="rId29" xr:uid="{00000000-0004-0000-0400-00002A000000}"/>
    <hyperlink ref="B123" r:id="rId30" xr:uid="{00000000-0004-0000-0400-00002D000000}"/>
    <hyperlink ref="K123" r:id="rId31" xr:uid="{00000000-0004-0000-0400-00002E000000}"/>
    <hyperlink ref="B121" r:id="rId32" xr:uid="{00000000-0004-0000-0400-000030000000}"/>
    <hyperlink ref="K121" r:id="rId33" xr:uid="{00000000-0004-0000-0400-000031000000}"/>
    <hyperlink ref="B122" r:id="rId34" xr:uid="{00000000-0004-0000-0400-000032000000}"/>
    <hyperlink ref="K122" r:id="rId35" xr:uid="{00000000-0004-0000-0400-000033000000}"/>
    <hyperlink ref="B115" r:id="rId36" xr:uid="{00000000-0004-0000-0400-00003A000000}"/>
    <hyperlink ref="B120" r:id="rId37" xr:uid="{00000000-0004-0000-0400-00003B000000}"/>
    <hyperlink ref="B119" r:id="rId38" xr:uid="{00000000-0004-0000-0400-00003D000000}"/>
    <hyperlink ref="B118" r:id="rId39" xr:uid="{00000000-0004-0000-0400-00003E000000}"/>
    <hyperlink ref="K120" r:id="rId40" xr:uid="{00000000-0004-0000-0400-000042000000}"/>
    <hyperlink ref="K119" r:id="rId41" xr:uid="{00000000-0004-0000-0400-000043000000}"/>
    <hyperlink ref="K118" r:id="rId42" xr:uid="{00000000-0004-0000-0400-000044000000}"/>
    <hyperlink ref="K117" r:id="rId43" xr:uid="{00000000-0004-0000-0400-000045000000}"/>
    <hyperlink ref="B114" r:id="rId44" xr:uid="{00000000-0004-0000-0400-000048000000}"/>
    <hyperlink ref="K114" r:id="rId45" xr:uid="{00000000-0004-0000-0400-000049000000}"/>
    <hyperlink ref="K115" r:id="rId46" xr:uid="{00000000-0004-0000-0400-00004A000000}"/>
    <hyperlink ref="K8" r:id="rId47" xr:uid="{00000000-0004-0000-0400-00004B000000}"/>
    <hyperlink ref="B116" r:id="rId48" xr:uid="{00000000-0004-0000-0400-000050000000}"/>
    <hyperlink ref="K116" r:id="rId49" xr:uid="{00000000-0004-0000-0400-000054000000}"/>
    <hyperlink ref="B113" r:id="rId50" xr:uid="{00000000-0004-0000-0400-00005B000000}"/>
    <hyperlink ref="B112" r:id="rId51" xr:uid="{00000000-0004-0000-0400-00005C000000}"/>
    <hyperlink ref="B111" r:id="rId52" xr:uid="{00000000-0004-0000-0400-00005E000000}"/>
    <hyperlink ref="B110" r:id="rId53" xr:uid="{00000000-0004-0000-0400-00005F000000}"/>
    <hyperlink ref="K110" r:id="rId54" xr:uid="{00000000-0004-0000-0400-000060000000}"/>
    <hyperlink ref="K111" r:id="rId55" xr:uid="{00000000-0004-0000-0400-000068000000}"/>
    <hyperlink ref="K113" r:id="rId56" xr:uid="{00000000-0004-0000-0400-00006A000000}"/>
    <hyperlink ref="K112" r:id="rId57" xr:uid="{00000000-0004-0000-0400-00006B000000}"/>
    <hyperlink ref="B109" r:id="rId58" xr:uid="{00000000-0004-0000-0400-00006E000000}"/>
    <hyperlink ref="K109" r:id="rId59" xr:uid="{00000000-0004-0000-0400-00006F000000}"/>
    <hyperlink ref="B102" r:id="rId60" xr:uid="{00000000-0004-0000-0400-000076000000}"/>
    <hyperlink ref="K102" r:id="rId61" xr:uid="{00000000-0004-0000-0400-000077000000}"/>
    <hyperlink ref="B101" r:id="rId62" xr:uid="{00000000-0004-0000-0400-000078000000}"/>
    <hyperlink ref="K101" r:id="rId63" xr:uid="{00000000-0004-0000-0400-000079000000}"/>
    <hyperlink ref="B100" r:id="rId64" xr:uid="{00000000-0004-0000-0400-00007A000000}"/>
    <hyperlink ref="K100" r:id="rId65" xr:uid="{00000000-0004-0000-0400-00007B000000}"/>
    <hyperlink ref="B106" r:id="rId66" display="VIALES-003560" xr:uid="{00000000-0004-0000-0400-000082000000}"/>
    <hyperlink ref="K106" r:id="rId67" xr:uid="{00000000-0004-0000-0400-000083000000}"/>
    <hyperlink ref="B99" r:id="rId68" xr:uid="{00000000-0004-0000-0400-000086000000}"/>
    <hyperlink ref="B98" r:id="rId69" xr:uid="{00000000-0004-0000-0400-00008C000000}"/>
    <hyperlink ref="B97" r:id="rId70" xr:uid="{00000000-0004-0000-0400-000091000000}"/>
    <hyperlink ref="K99" r:id="rId71" xr:uid="{00000000-0004-0000-0400-000097000000}"/>
    <hyperlink ref="K98" r:id="rId72" xr:uid="{00000000-0004-0000-0400-00009C000000}"/>
    <hyperlink ref="K97" r:id="rId73" xr:uid="{00000000-0004-0000-0400-00009F000000}"/>
    <hyperlink ref="B96" r:id="rId74" xr:uid="{00000000-0004-0000-0400-0000A7000000}"/>
    <hyperlink ref="B105" r:id="rId75" xr:uid="{00000000-0004-0000-0400-0000A8000000}"/>
    <hyperlink ref="K105" r:id="rId76" xr:uid="{00000000-0004-0000-0400-0000A9000000}"/>
    <hyperlink ref="B108" r:id="rId77" xr:uid="{00000000-0004-0000-0400-0000AF000000}"/>
    <hyperlink ref="B103" r:id="rId78" xr:uid="{00000000-0004-0000-0400-0000B5000000}"/>
    <hyperlink ref="K103" r:id="rId79" xr:uid="{00000000-0004-0000-0400-0000B8000000}"/>
    <hyperlink ref="B95" r:id="rId80" xr:uid="{00000000-0004-0000-0400-0000BA000000}"/>
    <hyperlink ref="K95" r:id="rId81" xr:uid="{00000000-0004-0000-0400-0000BB000000}"/>
    <hyperlink ref="B94" r:id="rId82" xr:uid="{00000000-0004-0000-0400-0000C0000000}"/>
    <hyperlink ref="K108" r:id="rId83" xr:uid="{00000000-0004-0000-0400-0000C4000000}"/>
    <hyperlink ref="K94" r:id="rId84" xr:uid="{00000000-0004-0000-0400-0000C8000000}"/>
    <hyperlink ref="K96" r:id="rId85" xr:uid="{00000000-0004-0000-0400-0000CB000000}"/>
    <hyperlink ref="B90" r:id="rId86" xr:uid="{00000000-0004-0000-0400-0000D0000000}"/>
    <hyperlink ref="K90" r:id="rId87" xr:uid="{00000000-0004-0000-0400-0000D1000000}"/>
    <hyperlink ref="B107" r:id="rId88" xr:uid="{00000000-0004-0000-0400-0000D2000000}"/>
    <hyperlink ref="K107" r:id="rId89" xr:uid="{00000000-0004-0000-0400-0000D3000000}"/>
    <hyperlink ref="B92" r:id="rId90" xr:uid="{00000000-0004-0000-0400-0000D4000000}"/>
    <hyperlink ref="K93" r:id="rId91" xr:uid="{00000000-0004-0000-0400-0000D5000000}"/>
    <hyperlink ref="B93" r:id="rId92" xr:uid="{00000000-0004-0000-0400-0000D6000000}"/>
    <hyperlink ref="B150" r:id="rId93" xr:uid="{00000000-0004-0000-0400-0000DB000000}"/>
    <hyperlink ref="B152" r:id="rId94" xr:uid="{00000000-0004-0000-0400-0000DC000000}"/>
    <hyperlink ref="B153" r:id="rId95" xr:uid="{00000000-0004-0000-0400-0000DD000000}"/>
    <hyperlink ref="B149" r:id="rId96" xr:uid="{00000000-0004-0000-0400-0000DE000000}"/>
    <hyperlink ref="B155" r:id="rId97" xr:uid="{00000000-0004-0000-0400-0000DF000000}"/>
    <hyperlink ref="B154" r:id="rId98" xr:uid="{00000000-0004-0000-0400-0000E0000000}"/>
    <hyperlink ref="B157" r:id="rId99" xr:uid="{00000000-0004-0000-0400-0000E1000000}"/>
    <hyperlink ref="B156" r:id="rId100" xr:uid="{00000000-0004-0000-0400-0000E2000000}"/>
    <hyperlink ref="B151" r:id="rId101" xr:uid="{00000000-0004-0000-0400-0000E3000000}"/>
    <hyperlink ref="B158" r:id="rId102" xr:uid="{00000000-0004-0000-0400-0000E4000000}"/>
    <hyperlink ref="B159" r:id="rId103" xr:uid="{00000000-0004-0000-0400-0000E5000000}"/>
    <hyperlink ref="B148" r:id="rId104" xr:uid="{00000000-0004-0000-0400-0000E6000000}"/>
    <hyperlink ref="B147" r:id="rId105" xr:uid="{00000000-0004-0000-0400-0000E7000000}"/>
    <hyperlink ref="B146" r:id="rId106" xr:uid="{00000000-0004-0000-0400-0000E8000000}"/>
    <hyperlink ref="B145" r:id="rId107" xr:uid="{00000000-0004-0000-0400-0000E9000000}"/>
    <hyperlink ref="B144" r:id="rId108" xr:uid="{00000000-0004-0000-0400-0000EA000000}"/>
    <hyperlink ref="B143" r:id="rId109" xr:uid="{00000000-0004-0000-0400-0000EC000000}"/>
    <hyperlink ref="B142" r:id="rId110" xr:uid="{00000000-0004-0000-0400-0000ED000000}"/>
    <hyperlink ref="B141" r:id="rId111" xr:uid="{00000000-0004-0000-0400-0000EE000000}"/>
    <hyperlink ref="B140" r:id="rId112" xr:uid="{00000000-0004-0000-0400-0000F0000000}"/>
    <hyperlink ref="B139" r:id="rId113" xr:uid="{00000000-0004-0000-0400-0000F3000000}"/>
    <hyperlink ref="B137" r:id="rId114" xr:uid="{00000000-0004-0000-0400-0000F4000000}"/>
    <hyperlink ref="B138" r:id="rId115" xr:uid="{00000000-0004-0000-0400-0000F5000000}"/>
    <hyperlink ref="B136" r:id="rId116" xr:uid="{00000000-0004-0000-0400-0000F6000000}"/>
    <hyperlink ref="B134" r:id="rId117" xr:uid="{00000000-0004-0000-0400-0000F8000000}"/>
    <hyperlink ref="B135" r:id="rId118" xr:uid="{00000000-0004-0000-0400-0000F9000000}"/>
    <hyperlink ref="B132" r:id="rId119" xr:uid="{00000000-0004-0000-0400-0000FA000000}"/>
    <hyperlink ref="B133" r:id="rId120" xr:uid="{00000000-0004-0000-0400-0000FC000000}"/>
    <hyperlink ref="B131" r:id="rId121" xr:uid="{00000000-0004-0000-0400-0000FD000000}"/>
    <hyperlink ref="B130" r:id="rId122" xr:uid="{00000000-0004-0000-0400-0000FF000000}"/>
    <hyperlink ref="B129" r:id="rId123" xr:uid="{00000000-0004-0000-0400-000000010000}"/>
    <hyperlink ref="B127" r:id="rId124" xr:uid="{00000000-0004-0000-0400-000005010000}"/>
    <hyperlink ref="B125" r:id="rId125" xr:uid="{00000000-0004-0000-0400-000006010000}"/>
    <hyperlink ref="B124" r:id="rId126" xr:uid="{00000000-0004-0000-0400-000007010000}"/>
    <hyperlink ref="B126" r:id="rId127" xr:uid="{00000000-0004-0000-0400-000008010000}"/>
    <hyperlink ref="B89" r:id="rId128" xr:uid="{00000000-0004-0000-0400-00000F010000}"/>
    <hyperlink ref="B88" r:id="rId129" xr:uid="{00000000-0004-0000-0400-000011010000}"/>
    <hyperlink ref="B87" r:id="rId130" xr:uid="{00000000-0004-0000-0400-000015010000}"/>
    <hyperlink ref="B91" r:id="rId131" xr:uid="{00000000-0004-0000-0400-000016010000}"/>
    <hyperlink ref="B86" r:id="rId132" xr:uid="{00000000-0004-0000-0400-00001C010000}"/>
    <hyperlink ref="K86" r:id="rId133" xr:uid="{00000000-0004-0000-0400-00001D010000}"/>
    <hyperlink ref="K91" r:id="rId134" xr:uid="{00000000-0004-0000-0400-000021010000}"/>
    <hyperlink ref="K89" r:id="rId135" xr:uid="{00000000-0004-0000-0400-000022010000}"/>
    <hyperlink ref="K88" r:id="rId136" xr:uid="{00000000-0004-0000-0400-000023010000}"/>
    <hyperlink ref="K87" r:id="rId137" xr:uid="{00000000-0004-0000-0400-000025010000}"/>
    <hyperlink ref="K84" r:id="rId138" xr:uid="{00000000-0004-0000-0400-00002E010000}"/>
    <hyperlink ref="B84" r:id="rId139" xr:uid="{00000000-0004-0000-0400-00002F010000}"/>
    <hyperlink ref="B85" r:id="rId140" xr:uid="{00000000-0004-0000-0400-00003B010000}"/>
    <hyperlink ref="B128" r:id="rId141" xr:uid="{00000000-0004-0000-0400-00003C010000}"/>
    <hyperlink ref="B83" r:id="rId142" xr:uid="{00000000-0004-0000-0400-00003D010000}"/>
    <hyperlink ref="K83" r:id="rId143" xr:uid="{00000000-0004-0000-0400-00003E010000}"/>
    <hyperlink ref="B82" r:id="rId144" xr:uid="{00000000-0004-0000-0400-00003F010000}"/>
    <hyperlink ref="K82" r:id="rId145" xr:uid="{00000000-0004-0000-0400-000040010000}"/>
    <hyperlink ref="B80" r:id="rId146" xr:uid="{00000000-0004-0000-0400-000045010000}"/>
    <hyperlink ref="B79" r:id="rId147" xr:uid="{00000000-0004-0000-0400-00004A010000}"/>
    <hyperlink ref="K79" r:id="rId148" xr:uid="{00000000-0004-0000-0400-00004B010000}"/>
    <hyperlink ref="B81" r:id="rId149" xr:uid="{00000000-0004-0000-0400-00004C010000}"/>
    <hyperlink ref="K81" r:id="rId150" xr:uid="{00000000-0004-0000-0400-00004D010000}"/>
    <hyperlink ref="B104" r:id="rId151" xr:uid="{00000000-0004-0000-0400-000051010000}"/>
    <hyperlink ref="K104" r:id="rId152" xr:uid="{00000000-0004-0000-0400-000052010000}"/>
    <hyperlink ref="K80" r:id="rId153" xr:uid="{00000000-0004-0000-0400-000058010000}"/>
    <hyperlink ref="K85" r:id="rId154" xr:uid="{00000000-0004-0000-0400-00005E010000}"/>
    <hyperlink ref="K133" r:id="rId155" xr:uid="{00000000-0004-0000-0400-000063010000}"/>
    <hyperlink ref="K128" r:id="rId156" xr:uid="{00000000-0004-0000-0400-000064010000}"/>
    <hyperlink ref="B77" r:id="rId157" xr:uid="{E344A6B5-286C-4BD8-AC7D-4FDA2E39F58F}"/>
    <hyperlink ref="K77" r:id="rId158" xr:uid="{D67C5215-85BE-41D5-80B2-D094B6EDA1A5}"/>
    <hyperlink ref="B117" r:id="rId159" xr:uid="{729F65E9-1AE0-4D14-86DD-514F6A9BD84B}"/>
    <hyperlink ref="K127" r:id="rId160" xr:uid="{C150B516-4015-4B52-8AE1-CFF78EE82077}"/>
    <hyperlink ref="B75" r:id="rId161" xr:uid="{A08F1C29-72A7-4F44-9208-CA2133A893E4}"/>
    <hyperlink ref="B78" r:id="rId162" xr:uid="{23F47771-AD45-4C7B-BF81-EE82DB604965}"/>
    <hyperlink ref="K78" r:id="rId163" xr:uid="{977ED29F-6095-4BC1-8EEA-22E8CC4FF82D}"/>
    <hyperlink ref="B76" r:id="rId164" xr:uid="{227A758C-14C2-4B65-B343-9483DF6FCA08}"/>
    <hyperlink ref="K76" r:id="rId165" xr:uid="{6CEC3C65-E6A3-4F63-9F31-EE1A74B6C3B0}"/>
    <hyperlink ref="K75" r:id="rId166" xr:uid="{202857DC-AC57-465A-8019-948A817B0253}"/>
    <hyperlink ref="B73" r:id="rId167" xr:uid="{33807A9D-A5D7-455A-8E39-4E036C48E2A6}"/>
    <hyperlink ref="B74" r:id="rId168" xr:uid="{6FE6C53E-E5AD-4EB8-A935-FAC31B67E897}"/>
    <hyperlink ref="B68" r:id="rId169" xr:uid="{604825DA-DBE2-470E-9BB3-3F83225F2E1B}"/>
    <hyperlink ref="B72" r:id="rId170" xr:uid="{341E0508-EC4D-4F7D-B437-698AC71C862E}"/>
    <hyperlink ref="B71" r:id="rId171" xr:uid="{77CB9978-DC60-4DDA-902D-525587BCC130}"/>
    <hyperlink ref="B70" r:id="rId172" xr:uid="{55378A49-6E15-4A72-A528-3EDF6A2FAE4E}"/>
    <hyperlink ref="K68" r:id="rId173" xr:uid="{4E09AFA5-4FDF-46A1-925B-B2D5B4724E8C}"/>
    <hyperlink ref="K70" r:id="rId174" xr:uid="{62D044EA-F23D-47E4-907B-69E112A497DA}"/>
    <hyperlink ref="K71" r:id="rId175" xr:uid="{D4B748BC-C0B6-4D84-AFE9-E75C8C5059E5}"/>
    <hyperlink ref="K72" r:id="rId176" xr:uid="{7C3725E6-C53B-4B14-8002-C5803A448166}"/>
    <hyperlink ref="K74" r:id="rId177" xr:uid="{F91BC24B-BBC3-4985-ADBC-3B2732543F8B}"/>
    <hyperlink ref="K73" r:id="rId178" xr:uid="{E1BA9E79-B83C-4F7E-A26E-19101D9369FE}"/>
    <hyperlink ref="B67" r:id="rId179" xr:uid="{733666DB-74C7-4909-99A7-2D947379EDE8}"/>
    <hyperlink ref="K67" r:id="rId180" xr:uid="{8620876C-4A50-40A1-A45B-D2C4919550F6}"/>
    <hyperlink ref="B66" r:id="rId181" xr:uid="{563FD97E-69EC-44FE-8FCB-A6A09D0D81CC}"/>
    <hyperlink ref="K66" r:id="rId182" xr:uid="{6E6DF0B1-AC29-4246-8862-EEE5C4ED7175}"/>
    <hyperlink ref="B65" r:id="rId183" xr:uid="{8AEB1A03-C5C6-4780-AF1E-B36A213468FA}"/>
    <hyperlink ref="B64" r:id="rId184" xr:uid="{7910FA57-AAB3-4EF6-81E1-2131E82DA4CA}"/>
    <hyperlink ref="K64" r:id="rId185" xr:uid="{4A2EB28E-6EF8-4C80-AEF3-3144C223B508}"/>
    <hyperlink ref="K65" r:id="rId186" xr:uid="{AFF2D086-4105-43AD-974C-E6A1179645F9}"/>
    <hyperlink ref="B63" r:id="rId187" xr:uid="{ED6AD9BD-DC98-4A5D-BB6A-0C5A89D32734}"/>
    <hyperlink ref="K63" r:id="rId188" xr:uid="{683C88C4-217D-47C7-8C54-6C56FFED8DEB}"/>
    <hyperlink ref="B62" r:id="rId189" xr:uid="{344C7A97-4DB4-4802-A191-0706166E60A2}"/>
    <hyperlink ref="B61" r:id="rId190" xr:uid="{42052296-E819-4296-8540-0A09312E50C8}"/>
    <hyperlink ref="K62" r:id="rId191" xr:uid="{5424F7F0-2C56-45FA-BEB2-69B9CCE19AD3}"/>
    <hyperlink ref="K61" r:id="rId192" xr:uid="{A2EE41B3-D760-4975-81E9-21F93541019F}"/>
    <hyperlink ref="B69" r:id="rId193" xr:uid="{B9D1B892-852B-49D8-903A-9DB62A6F6148}"/>
    <hyperlink ref="B59" r:id="rId194" xr:uid="{394C875B-49E2-4179-964E-6DA4B89094BF}"/>
    <hyperlink ref="K59" r:id="rId195" xr:uid="{27664E5F-B215-4961-AD13-CB3333C6B7AF}"/>
    <hyperlink ref="B60" r:id="rId196" xr:uid="{A5A4E074-0034-4AC5-9E20-0E15E7474D56}"/>
    <hyperlink ref="K60" r:id="rId197" xr:uid="{F0BBB2DA-69AA-4706-8F74-754722B7AF16}"/>
    <hyperlink ref="B58" r:id="rId198" xr:uid="{61D690A3-5A4A-4870-A23A-889A2E67D752}"/>
    <hyperlink ref="K58" r:id="rId199" xr:uid="{7C0B8701-9561-4E96-B586-B1DA68AAD75E}"/>
    <hyperlink ref="K69" r:id="rId200" xr:uid="{9EB88A72-26E3-4BEB-9589-C035E64845EF}"/>
    <hyperlink ref="B57" r:id="rId201" xr:uid="{9DEAD408-F771-4490-8EE8-46AA473321B7}"/>
    <hyperlink ref="B56" r:id="rId202" xr:uid="{FC3F069D-D508-4F7E-BC64-658093FFBE9C}"/>
    <hyperlink ref="B55" r:id="rId203" xr:uid="{ED573692-2BFC-4ABB-AFEF-F3BEA15BB68F}"/>
    <hyperlink ref="B54" r:id="rId204" xr:uid="{99DA7085-A7E4-4531-A916-87EDEC062582}"/>
    <hyperlink ref="K54" r:id="rId205" xr:uid="{46D3C6EA-67CD-461B-8A4D-6F56C60BEC47}"/>
    <hyperlink ref="K55" r:id="rId206" xr:uid="{24D30687-307C-4180-95E2-E55B0979802F}"/>
    <hyperlink ref="B53" r:id="rId207" xr:uid="{7E3C3CC3-30EE-41EA-967F-C068E0BF6852}"/>
    <hyperlink ref="K56" r:id="rId208" xr:uid="{675DA10D-9043-4DB5-A206-E3F93DCDE013}"/>
    <hyperlink ref="K57" r:id="rId209" xr:uid="{B5CEFF87-819A-448A-BBEA-0E2F7C5E700A}"/>
    <hyperlink ref="B50" r:id="rId210" xr:uid="{5131EE49-71AF-4288-8006-91598987F1DA}"/>
    <hyperlink ref="K53" r:id="rId211" xr:uid="{4682DDC2-FFB1-4F68-9C71-121667DE63AA}"/>
    <hyperlink ref="B52" r:id="rId212" xr:uid="{59525D7C-48B8-436B-B3E6-564DDFDAC249}"/>
    <hyperlink ref="K52" r:id="rId213" xr:uid="{2168B2E3-9E7E-4773-88CA-4CE413E11182}"/>
    <hyperlink ref="B48" r:id="rId214" xr:uid="{8886AE3C-C9AB-442D-9848-A6BF56F1F36E}"/>
    <hyperlink ref="K48" r:id="rId215" xr:uid="{E99ED0C0-8095-470F-9B3D-D3A78A1BB034}"/>
    <hyperlink ref="B47" r:id="rId216" xr:uid="{38142EC1-570F-4CE2-964F-4FC94ECAF957}"/>
    <hyperlink ref="K47" r:id="rId217" xr:uid="{30409E3C-1327-4A97-BE4F-0A83EB7F832A}"/>
    <hyperlink ref="B51" r:id="rId218" xr:uid="{85456652-5FC3-40AF-A790-21541AB95ECC}"/>
    <hyperlink ref="K46" r:id="rId219" xr:uid="{3764B2C0-7BB4-4376-B4FB-83BEDE40DE11}"/>
    <hyperlink ref="B46" r:id="rId220" xr:uid="{1BDC83E9-A5BA-4B2F-9C7D-0761972A059C}"/>
    <hyperlink ref="K51" r:id="rId221" xr:uid="{77700ECB-6322-47EE-B8BE-E1B9E435EECB}"/>
    <hyperlink ref="B49" r:id="rId222" xr:uid="{A93F3FF2-B2F3-4913-82EE-5C6790B40CBC}"/>
    <hyperlink ref="K49" r:id="rId223" xr:uid="{96C63ECC-7644-4A07-AE8B-683AB1717CA8}"/>
    <hyperlink ref="B45" r:id="rId224" xr:uid="{20047922-93D6-44EE-A2A6-72CD77479155}"/>
    <hyperlink ref="K45" r:id="rId225" xr:uid="{B40566A3-8C05-4AAD-9757-98505981AE36}"/>
    <hyperlink ref="B41" r:id="rId226" xr:uid="{92941C2C-A27B-4F87-839B-8C771D8C96C3}"/>
    <hyperlink ref="B43" r:id="rId227" xr:uid="{98015C8A-D6B9-4081-B73F-CD0624DEB54B}"/>
    <hyperlink ref="K43" r:id="rId228" xr:uid="{D0D0E7F1-C12E-43A3-9E4D-6DD66CA4A2B4}"/>
    <hyperlink ref="B40" r:id="rId229" xr:uid="{638C98CF-7D8F-463E-9CD6-574ACDDBE386}"/>
    <hyperlink ref="K145" r:id="rId230" xr:uid="{00000000-0004-0000-0400-000004000000}"/>
    <hyperlink ref="B39" r:id="rId231" xr:uid="{0C2B484D-F4DB-4F00-8206-70F26CBDD95B}"/>
    <hyperlink ref="K39" r:id="rId232" xr:uid="{41028F58-F11E-4331-971D-0556FCD5E369}"/>
    <hyperlink ref="K40" r:id="rId233" xr:uid="{D1EEE253-23AE-44D9-BB70-36DFA8C19D9A}"/>
    <hyperlink ref="K41" r:id="rId234" xr:uid="{477E4E75-9EBE-448E-8534-70F62AB4C9AC}"/>
    <hyperlink ref="B37" r:id="rId235" xr:uid="{51CD16F2-57EF-476C-8E43-BB584D3DF5C9}"/>
    <hyperlink ref="K37" r:id="rId236" xr:uid="{006979FC-AEA2-4F32-A652-9D6136DA745F}"/>
    <hyperlink ref="B38" r:id="rId237" xr:uid="{4FDC5407-964A-462F-B4AF-A997987050C6}"/>
    <hyperlink ref="K38" r:id="rId238" xr:uid="{8C4DD6D1-A2A7-43F1-8615-D065E3EC703E}"/>
    <hyperlink ref="B35" r:id="rId239" display="VIALES-004004" xr:uid="{3AAD95F3-F1E2-4BFE-B0B7-6E6C0714B05E}"/>
    <hyperlink ref="B36" r:id="rId240" xr:uid="{8223D711-19AC-4D74-B8BA-2A29B56DD0A4}"/>
    <hyperlink ref="B6" r:id="rId241" xr:uid="{319AD337-316F-4167-89BC-0D8729F048C6}"/>
    <hyperlink ref="K35" r:id="rId242" xr:uid="{5E5BB715-B1AE-4FFC-B358-51ACAEA93C2F}"/>
    <hyperlink ref="B44" r:id="rId243" xr:uid="{DDAE54ED-3AAF-472B-A8E6-699FF22B63D6}"/>
    <hyperlink ref="K44" r:id="rId244" xr:uid="{3551B86D-3BC8-409E-B565-1AAC300FDAC2}"/>
    <hyperlink ref="K42" r:id="rId245" xr:uid="{76346364-6CA4-4324-A3F3-E3A6FEEABA08}"/>
    <hyperlink ref="B42" r:id="rId246" xr:uid="{AC658C2E-B94D-4CD3-AC4F-69BCF0BB76FA}"/>
    <hyperlink ref="K6" r:id="rId247" xr:uid="{AE70CE30-CE08-4568-BBF4-1BFDF1742A21}"/>
    <hyperlink ref="K36" r:id="rId248" xr:uid="{322A9694-686C-4766-9F17-0C10A1C7A097}"/>
    <hyperlink ref="K34" r:id="rId249" xr:uid="{EB091778-91B7-4E6B-8B67-4E5AF8D72ADF}"/>
    <hyperlink ref="B34" r:id="rId250" xr:uid="{9432901D-B001-4EBF-A56D-1E23636C52F8}"/>
    <hyperlink ref="B33" r:id="rId251" xr:uid="{66F2225D-F632-4E3C-BB3F-84C2A816E38B}"/>
    <hyperlink ref="B32" r:id="rId252" xr:uid="{218785C2-AC97-4AA5-8471-C83514A39A10}"/>
    <hyperlink ref="B31" r:id="rId253" xr:uid="{A287B05B-1AAA-43F8-8434-A56EC12C647C}"/>
    <hyperlink ref="B30" r:id="rId254" xr:uid="{0B5F69E9-3EFA-465D-828B-4ECD876BA174}"/>
    <hyperlink ref="B29" r:id="rId255" xr:uid="{912519E2-58BC-4868-9792-B331ED26DCF1}"/>
    <hyperlink ref="B5" r:id="rId256" xr:uid="{7B48C8D7-ABFB-427B-9A92-515B5E27780C}"/>
    <hyperlink ref="K32" r:id="rId257" xr:uid="{97254AA0-5503-4CBC-8072-C79F1773A259}"/>
    <hyperlink ref="K33" r:id="rId258" xr:uid="{20E329D2-5B8C-4021-B61E-6FC08CC60707}"/>
    <hyperlink ref="K5" r:id="rId259" xr:uid="{B9EB7440-B82E-4183-88F4-9B0B4F3B1C44}"/>
    <hyperlink ref="K29" r:id="rId260" xr:uid="{5F61C29B-C9D8-4A6C-B054-CE802FD6619F}"/>
    <hyperlink ref="K30" r:id="rId261" xr:uid="{8887060F-17B5-46B3-A0A6-EC6C163E80D5}"/>
    <hyperlink ref="K31" r:id="rId262" xr:uid="{76A31A71-E1E1-473F-B42C-CCC6A7E620E7}"/>
    <hyperlink ref="B27" r:id="rId263" xr:uid="{EA45CD8D-D00E-414E-825C-6BE098544B9E}"/>
    <hyperlink ref="B26" r:id="rId264" xr:uid="{C723A593-D9FB-47DB-B565-764C7197C280}"/>
    <hyperlink ref="B24" r:id="rId265" xr:uid="{F4264D5F-FB81-40BC-B5C1-24AE2592327F}"/>
    <hyperlink ref="B25" r:id="rId266" xr:uid="{53E5BF69-07FC-4BAB-8D38-7018C86E12C2}"/>
    <hyperlink ref="B28" r:id="rId267" xr:uid="{7D7058E3-9D26-4121-8916-F5A0C3D44E99}"/>
    <hyperlink ref="K28" r:id="rId268" xr:uid="{F0D31606-FA68-4902-942E-D886690A7B5F}"/>
    <hyperlink ref="K24" r:id="rId269" xr:uid="{1C4C367D-1658-4ECF-9AB1-6E8D4C682865}"/>
    <hyperlink ref="K25" r:id="rId270" xr:uid="{564A35FC-6A54-4798-BA9B-51DCC8B81656}"/>
    <hyperlink ref="K26" r:id="rId271" xr:uid="{70FF2CA9-7D8C-4B27-8931-D44B2C5CA496}"/>
    <hyperlink ref="K27" r:id="rId272" xr:uid="{4B34D629-4A31-40A7-A65A-A6DC02D4A576}"/>
    <hyperlink ref="B23" r:id="rId273" xr:uid="{ABECFCAB-AB82-426F-916E-396175B14BEA}"/>
    <hyperlink ref="B22" r:id="rId274" xr:uid="{9624C027-5F21-407E-B6E7-7E30145677CB}"/>
    <hyperlink ref="B21" r:id="rId275" display="VIALES-003738" xr:uid="{9ABDCBD7-892A-4B65-892C-32E9B6697F9E}"/>
    <hyperlink ref="B20" r:id="rId276" xr:uid="{7DD52710-65B1-47F0-BADC-544DE39332C7}"/>
    <hyperlink ref="B19" r:id="rId277" display="VIALES-004045" xr:uid="{6E20DA78-8F8F-43C6-BE9A-458E21CECF86}"/>
    <hyperlink ref="B18" r:id="rId278" xr:uid="{A1B152DA-0E0C-4881-9FDE-2C5847067623}"/>
    <hyperlink ref="K23" r:id="rId279" xr:uid="{D35F6FD7-2E43-46B9-BCA0-04EB21958382}"/>
    <hyperlink ref="K21" r:id="rId280" xr:uid="{5E9014D3-CBDC-42CA-9830-1EF7E494301F}"/>
    <hyperlink ref="K22" r:id="rId281" xr:uid="{1EFC0B15-0926-45CF-B58E-EB12A3B95D51}"/>
    <hyperlink ref="K20" r:id="rId282" xr:uid="{062367FC-508B-417E-B751-C7C319135570}"/>
    <hyperlink ref="K19" r:id="rId283" xr:uid="{DF2C5D1A-DB34-4BAE-9865-AABB84CE5B02}"/>
    <hyperlink ref="K18" r:id="rId284" xr:uid="{0DC4C4DB-EB4B-448A-8446-077B644A72CF}"/>
    <hyperlink ref="B17" r:id="rId285" xr:uid="{C6F88101-5856-4047-BA24-5CD560FBE2BE}"/>
    <hyperlink ref="B14" r:id="rId286" xr:uid="{68742672-C7C2-4A65-8601-530FA0115F1A}"/>
    <hyperlink ref="K14" r:id="rId287" xr:uid="{1634F03B-C65E-411B-AAE6-37C2774B686F}"/>
    <hyperlink ref="B13" r:id="rId288" xr:uid="{AE138EAB-F5A2-4300-8563-8B2555123E12}"/>
    <hyperlink ref="B12" r:id="rId289" xr:uid="{AB45C493-AFA9-4284-857E-D0AD7FC6CE05}"/>
    <hyperlink ref="B16" r:id="rId290" xr:uid="{07A99CE0-574B-4371-B8E1-88D72FA165B7}"/>
    <hyperlink ref="B11" r:id="rId291" xr:uid="{FA8ECE74-E1DF-4E86-BCED-F0CD021E0B4B}"/>
    <hyperlink ref="K12" r:id="rId292" xr:uid="{68527749-33E5-41DE-BB60-9841D114755E}"/>
    <hyperlink ref="K13" r:id="rId293" xr:uid="{E47663E3-39E9-4498-BDAA-9FC9212107B1}"/>
    <hyperlink ref="K17" r:id="rId294" xr:uid="{0EE71A37-3AEB-4830-A331-7CC8DFAB19C0}"/>
    <hyperlink ref="K16" r:id="rId295" xr:uid="{8A10FBE7-92D0-493E-A8CD-3267F76F9116}"/>
    <hyperlink ref="B15" r:id="rId296" xr:uid="{4160243F-6054-4421-904F-A9B66985C8F1}"/>
    <hyperlink ref="B10" r:id="rId297" xr:uid="{55430AB5-DBE7-4979-9295-5E02A5C11CE2}"/>
  </hyperlinks>
  <pageMargins left="0.7" right="0.7" top="0.75" bottom="0.75" header="0.3" footer="0.3"/>
  <pageSetup paperSize="9" scale="43" fitToHeight="0" orientation="landscape" horizontalDpi="300" verticalDpi="300" r:id="rId298"/>
  <drawing r:id="rId299"/>
  <tableParts count="1">
    <tablePart r:id="rId30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FJ326"/>
  <sheetViews>
    <sheetView zoomScale="112" zoomScaleNormal="112" workbookViewId="0">
      <selection activeCell="B6" sqref="B6"/>
    </sheetView>
  </sheetViews>
  <sheetFormatPr baseColWidth="10" defaultColWidth="9.625" defaultRowHeight="15"/>
  <cols>
    <col min="1" max="1" width="4.625" style="37" customWidth="1"/>
    <col min="2" max="2" width="16.125" style="44" customWidth="1"/>
    <col min="3" max="3" width="14.5" style="44" customWidth="1"/>
    <col min="4" max="4" width="53.62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29.25" customHeight="1">
      <c r="A2" s="297" t="s">
        <v>20</v>
      </c>
      <c r="B2" s="298"/>
      <c r="C2" s="298"/>
      <c r="D2" s="298"/>
      <c r="E2" s="298"/>
      <c r="F2" s="298"/>
      <c r="EZ2" s="44"/>
      <c r="FA2" s="44"/>
      <c r="FB2" s="44"/>
      <c r="FC2" s="44"/>
      <c r="FD2" s="44"/>
      <c r="FE2" s="44"/>
      <c r="FF2" s="44"/>
      <c r="FG2" s="44"/>
      <c r="FH2" s="44"/>
      <c r="FI2" s="44"/>
      <c r="FJ2" s="44"/>
    </row>
    <row r="3" spans="1:166" s="38" customFormat="1" ht="21">
      <c r="A3" s="299" t="s">
        <v>13</v>
      </c>
      <c r="B3" s="300"/>
      <c r="C3" s="300"/>
      <c r="D3" s="300"/>
      <c r="E3" s="300"/>
      <c r="F3" s="300"/>
      <c r="EZ3" s="44"/>
      <c r="FA3" s="44"/>
      <c r="FB3" s="44"/>
      <c r="FC3" s="44"/>
      <c r="FD3" s="44"/>
      <c r="FE3" s="44"/>
      <c r="FF3" s="44"/>
      <c r="FG3" s="44"/>
      <c r="FH3" s="44"/>
      <c r="FI3" s="44"/>
      <c r="FJ3" s="44"/>
    </row>
    <row r="4" spans="1:166" s="38" customFormat="1" ht="22.5" customHeight="1">
      <c r="A4" s="40"/>
      <c r="B4" s="41" t="s">
        <v>14</v>
      </c>
      <c r="C4" s="47" t="s">
        <v>858</v>
      </c>
      <c r="D4" s="42"/>
      <c r="E4" s="43"/>
      <c r="F4" s="42"/>
      <c r="EZ4" s="44"/>
      <c r="FA4" s="44"/>
      <c r="FB4" s="44"/>
      <c r="FC4" s="44"/>
      <c r="FD4" s="44"/>
      <c r="FE4" s="44"/>
      <c r="FF4" s="44"/>
      <c r="FG4" s="44"/>
      <c r="FH4" s="44"/>
      <c r="FI4" s="44"/>
      <c r="FJ4" s="44"/>
    </row>
    <row r="5" spans="1:166" s="38" customFormat="1" ht="45" customHeight="1">
      <c r="A5" s="29" t="s">
        <v>2</v>
      </c>
      <c r="B5" s="26" t="s">
        <v>4</v>
      </c>
      <c r="C5" s="26" t="s">
        <v>5</v>
      </c>
      <c r="D5" s="26" t="s">
        <v>6</v>
      </c>
      <c r="E5" s="26" t="s">
        <v>7</v>
      </c>
      <c r="F5" s="27" t="s">
        <v>8</v>
      </c>
      <c r="EZ5" s="44"/>
      <c r="FA5" s="44"/>
      <c r="FB5" s="44"/>
      <c r="FC5" s="44"/>
      <c r="FD5" s="44"/>
      <c r="FE5" s="44"/>
      <c r="FF5" s="44"/>
      <c r="FG5" s="44"/>
      <c r="FH5" s="44"/>
      <c r="FI5" s="44"/>
      <c r="FJ5" s="44"/>
    </row>
    <row r="6" spans="1:166" ht="286.5" customHeight="1">
      <c r="A6" s="267">
        <v>4</v>
      </c>
      <c r="B6" s="316" t="s">
        <v>713</v>
      </c>
      <c r="C6" s="317" t="s">
        <v>159</v>
      </c>
      <c r="D6" s="318" t="s">
        <v>862</v>
      </c>
      <c r="E6" s="268" t="s">
        <v>186</v>
      </c>
      <c r="F6" s="269" t="s">
        <v>179</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53">
      <c r="A7" s="270">
        <v>3</v>
      </c>
      <c r="B7" s="316" t="s">
        <v>695</v>
      </c>
      <c r="C7" s="319" t="s">
        <v>160</v>
      </c>
      <c r="D7" s="318" t="s">
        <v>861</v>
      </c>
      <c r="E7" s="268" t="s">
        <v>186</v>
      </c>
      <c r="F7" s="271" t="s">
        <v>175</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65.75">
      <c r="A8" s="267">
        <v>2</v>
      </c>
      <c r="B8" s="316" t="s">
        <v>714</v>
      </c>
      <c r="C8" s="319" t="s">
        <v>416</v>
      </c>
      <c r="D8" s="318" t="s">
        <v>860</v>
      </c>
      <c r="E8" s="268" t="s">
        <v>186</v>
      </c>
      <c r="F8" s="272" t="s">
        <v>453</v>
      </c>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row>
    <row r="9" spans="1:166" ht="140.25">
      <c r="A9" s="270">
        <v>1</v>
      </c>
      <c r="B9" s="316" t="s">
        <v>651</v>
      </c>
      <c r="C9" s="320" t="s">
        <v>161</v>
      </c>
      <c r="D9" s="318" t="s">
        <v>859</v>
      </c>
      <c r="E9" s="273" t="s">
        <v>650</v>
      </c>
      <c r="F9" s="271" t="s">
        <v>676</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3"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I52"/>
  <sheetViews>
    <sheetView zoomScaleNormal="100" workbookViewId="0">
      <selection activeCell="F34" sqref="F3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01"/>
      <c r="D1" s="301"/>
      <c r="E1" s="301"/>
      <c r="F1" s="301"/>
      <c r="G1" s="301"/>
      <c r="H1" s="301"/>
    </row>
    <row r="2" spans="1:9" ht="48" customHeight="1">
      <c r="C2" s="30" t="s">
        <v>85</v>
      </c>
      <c r="D2" s="303" t="s">
        <v>86</v>
      </c>
      <c r="E2" s="303"/>
      <c r="F2" s="303"/>
      <c r="G2" s="303"/>
      <c r="H2" s="303"/>
    </row>
    <row r="3" spans="1:9" ht="29.25" customHeight="1">
      <c r="A3" s="11"/>
      <c r="B3" s="11"/>
      <c r="C3" s="302" t="s">
        <v>15</v>
      </c>
      <c r="D3" s="302"/>
      <c r="E3" s="302"/>
      <c r="F3" s="302"/>
      <c r="G3" s="302"/>
      <c r="H3" s="302"/>
    </row>
    <row r="4" spans="1:9" ht="21" customHeight="1">
      <c r="A4" s="10"/>
      <c r="B4" s="9" t="s">
        <v>14</v>
      </c>
      <c r="C4" s="2" t="s">
        <v>865</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218</v>
      </c>
      <c r="C50" s="26" t="s">
        <v>162</v>
      </c>
      <c r="D50" s="26" t="s">
        <v>14</v>
      </c>
      <c r="E50" s="26" t="s">
        <v>5</v>
      </c>
      <c r="F50" s="26" t="s">
        <v>6</v>
      </c>
      <c r="G50" s="26" t="s">
        <v>7</v>
      </c>
      <c r="H50" s="168" t="s">
        <v>8</v>
      </c>
    </row>
    <row r="51" spans="1:8" ht="120" customHeight="1">
      <c r="A51" s="152">
        <v>2</v>
      </c>
      <c r="B51" s="153" t="s">
        <v>364</v>
      </c>
      <c r="C51" s="142" t="s">
        <v>386</v>
      </c>
      <c r="D51" s="143">
        <v>45749</v>
      </c>
      <c r="E51" s="144" t="s">
        <v>165</v>
      </c>
      <c r="F51" s="154" t="s">
        <v>863</v>
      </c>
      <c r="G51" s="145" t="s">
        <v>180</v>
      </c>
      <c r="H51" s="86" t="s">
        <v>166</v>
      </c>
    </row>
    <row r="52" spans="1:8" ht="111" customHeight="1">
      <c r="A52" s="152">
        <v>1</v>
      </c>
      <c r="B52" s="153" t="s">
        <v>209</v>
      </c>
      <c r="C52" s="142" t="s">
        <v>164</v>
      </c>
      <c r="D52" s="143">
        <v>45542</v>
      </c>
      <c r="E52" s="144" t="s">
        <v>165</v>
      </c>
      <c r="F52" s="154" t="s">
        <v>864</v>
      </c>
      <c r="G52" s="145" t="s">
        <v>180</v>
      </c>
      <c r="H52" s="86" t="s">
        <v>166</v>
      </c>
    </row>
  </sheetData>
  <mergeCells count="3">
    <mergeCell ref="C1:H1"/>
    <mergeCell ref="C3:H3"/>
    <mergeCell ref="D2:H2"/>
  </mergeCells>
  <phoneticPr fontId="133"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60"/>
  <sheetViews>
    <sheetView showGridLines="0" zoomScaleNormal="100" workbookViewId="0">
      <selection activeCell="G65" sqref="G65"/>
    </sheetView>
  </sheetViews>
  <sheetFormatPr baseColWidth="10" defaultColWidth="11" defaultRowHeight="14.25"/>
  <cols>
    <col min="1" max="1" width="5.625" customWidth="1"/>
    <col min="2" max="2" width="13.375" customWidth="1"/>
    <col min="3" max="3" width="18" customWidth="1"/>
    <col min="4" max="4" width="12.25" customWidth="1"/>
    <col min="5" max="5" width="14.5" customWidth="1"/>
    <col min="6" max="6" width="41.5" bestFit="1" customWidth="1"/>
    <col min="7" max="7" width="13.25" customWidth="1"/>
    <col min="8" max="8" width="18.625" customWidth="1"/>
    <col min="9" max="9" width="25.625" style="3" customWidth="1"/>
    <col min="10" max="10" width="5.625" customWidth="1"/>
  </cols>
  <sheetData>
    <row r="1" spans="1:23" ht="14.25" customHeight="1">
      <c r="A1" s="256"/>
      <c r="B1" s="256"/>
      <c r="C1" s="256"/>
      <c r="E1" s="256"/>
      <c r="F1" s="256"/>
      <c r="G1" s="256"/>
      <c r="H1" s="256"/>
      <c r="J1" s="3"/>
      <c r="K1" s="3"/>
      <c r="L1" s="3"/>
      <c r="M1" s="3"/>
      <c r="N1" s="3"/>
      <c r="O1" s="3"/>
      <c r="P1" s="3"/>
      <c r="Q1" s="3"/>
      <c r="R1" s="3"/>
      <c r="S1" s="3"/>
      <c r="T1" s="3"/>
      <c r="U1" s="3"/>
      <c r="V1" s="3"/>
      <c r="W1" s="3"/>
    </row>
    <row r="2" spans="1:23" ht="54" customHeight="1">
      <c r="A2" s="304" t="s">
        <v>39</v>
      </c>
      <c r="B2" s="305"/>
      <c r="C2" s="305"/>
      <c r="D2" s="305"/>
      <c r="E2" s="305"/>
      <c r="F2" s="305"/>
      <c r="G2" s="305"/>
      <c r="H2" s="305"/>
      <c r="J2" s="3"/>
      <c r="K2" s="3"/>
      <c r="L2" s="3"/>
      <c r="M2" s="3"/>
      <c r="N2" s="3"/>
      <c r="O2" s="3"/>
      <c r="P2" s="3"/>
      <c r="Q2" s="3"/>
      <c r="R2" s="3"/>
      <c r="S2" s="3"/>
      <c r="T2" s="3"/>
      <c r="U2" s="3"/>
      <c r="V2" s="3"/>
      <c r="W2" s="3"/>
    </row>
    <row r="3" spans="1:23" ht="21">
      <c r="A3" s="306" t="s">
        <v>40</v>
      </c>
      <c r="B3" s="306"/>
      <c r="C3" s="306"/>
      <c r="D3" s="306"/>
      <c r="E3" s="306"/>
      <c r="F3" s="306"/>
      <c r="G3" s="306"/>
      <c r="H3" s="306"/>
      <c r="J3" s="3"/>
      <c r="K3" s="3"/>
      <c r="L3" s="3"/>
      <c r="M3" s="3"/>
      <c r="N3" s="3"/>
      <c r="O3" s="3"/>
      <c r="P3" s="3"/>
      <c r="Q3" s="3"/>
      <c r="R3" s="3"/>
      <c r="S3" s="3"/>
      <c r="T3" s="3"/>
      <c r="U3" s="3"/>
      <c r="V3" s="3"/>
      <c r="W3" s="3"/>
    </row>
    <row r="4" spans="1:23" ht="18.75" customHeight="1">
      <c r="B4" s="54" t="s">
        <v>14</v>
      </c>
      <c r="C4" s="47" t="s">
        <v>865</v>
      </c>
      <c r="D4" s="257"/>
      <c r="E4" s="256"/>
      <c r="F4" s="256"/>
      <c r="G4" s="256"/>
      <c r="H4" s="256"/>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58"/>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07"/>
      <c r="B50" s="307"/>
      <c r="C50" s="307"/>
      <c r="D50" s="307"/>
      <c r="E50" s="307"/>
      <c r="F50" s="307"/>
    </row>
    <row r="56" spans="1:9" ht="29.25" customHeight="1">
      <c r="A56" s="202" t="s">
        <v>460</v>
      </c>
      <c r="B56" s="26" t="s">
        <v>218</v>
      </c>
      <c r="C56" s="26" t="s">
        <v>18</v>
      </c>
      <c r="D56" s="26" t="s">
        <v>162</v>
      </c>
      <c r="E56" s="26" t="s">
        <v>5</v>
      </c>
      <c r="F56" s="26" t="s">
        <v>6</v>
      </c>
      <c r="G56" s="26" t="s">
        <v>7</v>
      </c>
      <c r="H56" s="26" t="s">
        <v>461</v>
      </c>
      <c r="I56" s="27" t="s">
        <v>8</v>
      </c>
    </row>
    <row r="57" spans="1:9" ht="97.5" customHeight="1">
      <c r="A57" s="239">
        <v>4</v>
      </c>
      <c r="B57" s="261" t="s">
        <v>875</v>
      </c>
      <c r="C57" s="203">
        <v>45797</v>
      </c>
      <c r="D57" s="204" t="s">
        <v>42</v>
      </c>
      <c r="E57" s="205" t="s">
        <v>870</v>
      </c>
      <c r="F57" s="252" t="s">
        <v>872</v>
      </c>
      <c r="G57" s="145" t="s">
        <v>180</v>
      </c>
      <c r="H57" s="26"/>
      <c r="I57" s="253" t="s">
        <v>462</v>
      </c>
    </row>
    <row r="58" spans="1:9" ht="78.75" customHeight="1">
      <c r="A58" s="239">
        <v>3</v>
      </c>
      <c r="B58" s="176" t="s">
        <v>874</v>
      </c>
      <c r="C58" s="203">
        <v>45797</v>
      </c>
      <c r="D58" s="204" t="s">
        <v>42</v>
      </c>
      <c r="E58" s="205" t="s">
        <v>871</v>
      </c>
      <c r="F58" s="252" t="s">
        <v>873</v>
      </c>
      <c r="G58" s="145" t="s">
        <v>180</v>
      </c>
      <c r="H58" s="168"/>
      <c r="I58" s="253" t="s">
        <v>462</v>
      </c>
    </row>
    <row r="59" spans="1:9" ht="127.5">
      <c r="A59" s="239">
        <v>2</v>
      </c>
      <c r="B59" s="176" t="s">
        <v>654</v>
      </c>
      <c r="C59" s="203">
        <v>45794</v>
      </c>
      <c r="D59" s="204" t="s">
        <v>41</v>
      </c>
      <c r="E59" s="205" t="s">
        <v>653</v>
      </c>
      <c r="F59" s="252" t="s">
        <v>866</v>
      </c>
      <c r="G59" s="208" t="s">
        <v>475</v>
      </c>
      <c r="H59" s="26"/>
      <c r="I59" s="253" t="s">
        <v>462</v>
      </c>
    </row>
    <row r="60" spans="1:9" ht="102">
      <c r="A60" s="239">
        <v>1</v>
      </c>
      <c r="B60" s="261" t="s">
        <v>644</v>
      </c>
      <c r="C60" s="203">
        <v>45792</v>
      </c>
      <c r="D60" s="204" t="s">
        <v>41</v>
      </c>
      <c r="E60" s="205" t="s">
        <v>643</v>
      </c>
      <c r="F60" s="252" t="s">
        <v>868</v>
      </c>
      <c r="G60" s="321" t="s">
        <v>869</v>
      </c>
      <c r="H60" s="26"/>
      <c r="I60" s="253" t="s">
        <v>462</v>
      </c>
    </row>
  </sheetData>
  <mergeCells count="3">
    <mergeCell ref="A2:H2"/>
    <mergeCell ref="A3:H3"/>
    <mergeCell ref="A50:F50"/>
  </mergeCells>
  <phoneticPr fontId="133"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67"/>
  <sheetViews>
    <sheetView topLeftCell="A34" zoomScaleNormal="100" workbookViewId="0">
      <selection activeCell="H42" sqref="H42"/>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08" t="s">
        <v>23</v>
      </c>
      <c r="D2" s="308"/>
      <c r="E2" s="308"/>
      <c r="F2" s="308"/>
      <c r="G2" s="308"/>
      <c r="H2" s="308"/>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09" t="s">
        <v>21</v>
      </c>
      <c r="F3" s="309"/>
      <c r="G3" s="309"/>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865</v>
      </c>
      <c r="E4" s="309"/>
      <c r="F4" s="309"/>
      <c r="G4" s="309"/>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242"/>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18</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27</v>
      </c>
      <c r="C56" s="71">
        <v>43454</v>
      </c>
      <c r="D56" s="72" t="s">
        <v>22</v>
      </c>
      <c r="E56" s="73" t="s">
        <v>25</v>
      </c>
      <c r="F56" s="74" t="s">
        <v>12</v>
      </c>
      <c r="G56" s="75" t="s">
        <v>867</v>
      </c>
      <c r="H56" s="76" t="s">
        <v>26</v>
      </c>
      <c r="I56" s="76"/>
      <c r="J56" s="77" t="s">
        <v>148</v>
      </c>
      <c r="K56" s="78" t="s">
        <v>149</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3"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0.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9.xml>��< ? x m l   v e r s i o n = " 1 . 0 "   e n c o d i n g = " U T F - 1 6 " ? > < G e m i n i   x m l n s = " h t t p : / / g e m i n i / p i v o t c u s t o m i z a t i o n / C l i e n t W i n d o w X M L " > < C u s t o m C o n t e n t > < ! [ C D A T A [ T a b l a 4 4 - 0 0 3 3 c 9 b 4 - f b c 5 - 4 2 a 9 - 8 f 4 e - 9 2 b 0 2 f a b 1 6 b 5 ] ] > < / C u s t o m C o n t e n t > < / G e m i n i > 
</file>

<file path=customXml/item2.xml>��< ? x m l   v e r s i o n = " 1 . 0 "   e n c o d i n g = " U T F - 1 6 " ? > < G e m i n i   x m l n s = " h t t p : / / g e m i n i / p i v o t c u s t o m i z a t i o n / S a n d b o x N o n E m p t y " > < C u s t o m C o n t e n t > < ! [ C D A T A [ 1 ] ] > < / C u s t o m C o n t e n t > < / G e m i n i > 
</file>

<file path=customXml/item3.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C o u n t I n S a n d b o x " > < C u s t o m C o n t e n t > < ! [ C D A T A [ 4 ] ] > < / 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S h o w H i d d e n " > < 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Props1.xml><?xml version="1.0" encoding="utf-8"?>
<ds:datastoreItem xmlns:ds="http://schemas.openxmlformats.org/officeDocument/2006/customXml" ds:itemID="{F6D7CB4A-0242-4934-8079-EA0FFD4F9AEC}">
  <ds:schemaRefs/>
</ds:datastoreItem>
</file>

<file path=customXml/itemProps10.xml><?xml version="1.0" encoding="utf-8"?>
<ds:datastoreItem xmlns:ds="http://schemas.openxmlformats.org/officeDocument/2006/customXml" ds:itemID="{B4C28FA2-4938-485F-9D52-B1FFCAD550E2}">
  <ds:schemaRefs/>
</ds:datastoreItem>
</file>

<file path=customXml/itemProps11.xml><?xml version="1.0" encoding="utf-8"?>
<ds:datastoreItem xmlns:ds="http://schemas.openxmlformats.org/officeDocument/2006/customXml" ds:itemID="{BF961A73-91DE-46DF-A08D-6F6FEAED216D}">
  <ds:schemaRefs/>
</ds:datastoreItem>
</file>

<file path=customXml/itemProps12.xml><?xml version="1.0" encoding="utf-8"?>
<ds:datastoreItem xmlns:ds="http://schemas.openxmlformats.org/officeDocument/2006/customXml" ds:itemID="{AE82DAE6-89F1-4EC4-8445-2E73E9F21F79}">
  <ds:schemaRefs/>
</ds:datastoreItem>
</file>

<file path=customXml/itemProps13.xml><?xml version="1.0" encoding="utf-8"?>
<ds:datastoreItem xmlns:ds="http://schemas.openxmlformats.org/officeDocument/2006/customXml" ds:itemID="{28249FC2-C963-4A7F-B9FA-C5FD6B63336D}">
  <ds:schemaRefs/>
</ds:datastoreItem>
</file>

<file path=customXml/itemProps14.xml><?xml version="1.0" encoding="utf-8"?>
<ds:datastoreItem xmlns:ds="http://schemas.openxmlformats.org/officeDocument/2006/customXml" ds:itemID="{47806E59-B666-4E4F-A9EF-515835BDA5CC}">
  <ds:schemaRefs/>
</ds:datastoreItem>
</file>

<file path=customXml/itemProps15.xml><?xml version="1.0" encoding="utf-8"?>
<ds:datastoreItem xmlns:ds="http://schemas.openxmlformats.org/officeDocument/2006/customXml" ds:itemID="{69873A09-A0B6-469D-A8AD-6D3DDFCE584C}">
  <ds:schemaRefs/>
</ds:datastoreItem>
</file>

<file path=customXml/itemProps16.xml><?xml version="1.0" encoding="utf-8"?>
<ds:datastoreItem xmlns:ds="http://schemas.openxmlformats.org/officeDocument/2006/customXml" ds:itemID="{B1D91E2A-9BF8-4484-8D97-AF9F15BA4DCF}">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89A2FFA1-8A53-4480-8F71-57C7875DFE23}">
  <ds:schemaRefs/>
</ds:datastoreItem>
</file>

<file path=customXml/itemProps19.xml><?xml version="1.0" encoding="utf-8"?>
<ds:datastoreItem xmlns:ds="http://schemas.openxmlformats.org/officeDocument/2006/customXml" ds:itemID="{AFCC17EF-CF5E-4D30-B67D-6235BF54EF22}">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A6C4CC20-07D0-4FAB-90BA-AA3AF71D0C83}">
  <ds:schemaRefs/>
</ds:datastoreItem>
</file>

<file path=customXml/itemProps4.xml><?xml version="1.0" encoding="utf-8"?>
<ds:datastoreItem xmlns:ds="http://schemas.openxmlformats.org/officeDocument/2006/customXml" ds:itemID="{FA6A0B5C-5758-43AB-A084-60139027D6CB}">
  <ds:schemaRefs/>
</ds:datastoreItem>
</file>

<file path=customXml/itemProps5.xml><?xml version="1.0" encoding="utf-8"?>
<ds:datastoreItem xmlns:ds="http://schemas.openxmlformats.org/officeDocument/2006/customXml" ds:itemID="{218715B1-4521-4E8A-BF8B-0FBD9ED46596}">
  <ds:schemaRefs/>
</ds:datastoreItem>
</file>

<file path=customXml/itemProps6.xml><?xml version="1.0" encoding="utf-8"?>
<ds:datastoreItem xmlns:ds="http://schemas.openxmlformats.org/officeDocument/2006/customXml" ds:itemID="{4B388139-D34D-4941-981B-5D321C889B8A}">
  <ds:schemaRefs/>
</ds:datastoreItem>
</file>

<file path=customXml/itemProps7.xml><?xml version="1.0" encoding="utf-8"?>
<ds:datastoreItem xmlns:ds="http://schemas.openxmlformats.org/officeDocument/2006/customXml" ds:itemID="{01826096-6DAC-4512-946B-92569085B7AC}">
  <ds:schemaRefs/>
</ds:datastoreItem>
</file>

<file path=customXml/itemProps8.xml><?xml version="1.0" encoding="utf-8"?>
<ds:datastoreItem xmlns:ds="http://schemas.openxmlformats.org/officeDocument/2006/customXml" ds:itemID="{897101B1-B533-42A6-9CF8-E0A2774842EC}">
  <ds:schemaRefs/>
</ds:datastoreItem>
</file>

<file path=customXml/itemProps9.xml><?xml version="1.0" encoding="utf-8"?>
<ds:datastoreItem xmlns:ds="http://schemas.openxmlformats.org/officeDocument/2006/customXml" ds:itemID="{4EF338B6-8AB7-45AA-8780-DD415674FA3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2025-05-21T12:31:54Z</dcterms:modified>
</cp:coreProperties>
</file>