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Z:\Data\2025\02.M.Operaciones\02. Reporte de Eventos Diarios\05 Mayo\"/>
    </mc:Choice>
  </mc:AlternateContent>
  <xr:revisionPtr revIDLastSave="0" documentId="13_ncr:1_{1022A8EE-0AFE-40B7-9D9F-CF817B501181}"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Resumen!$F$14:$K$41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U5" i="78" l="1"/>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K17" i="78"/>
  <c r="G41" i="78"/>
  <c r="K30" i="78"/>
  <c r="K26" i="78"/>
  <c r="K18" i="78"/>
  <c r="K19" i="78"/>
  <c r="K20" i="78"/>
  <c r="K21" i="78"/>
  <c r="I41" i="78"/>
  <c r="K27" i="78"/>
  <c r="K40" i="78"/>
  <c r="K22" i="78"/>
  <c r="N21" i="78"/>
  <c r="I11" i="78"/>
  <c r="I10" i="78"/>
  <c r="I9" i="78"/>
  <c r="I8" i="78"/>
  <c r="K41" i="78" l="1"/>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G7" i="78"/>
  <c r="P20" i="78"/>
  <c r="P35" i="78"/>
  <c r="P25" i="78"/>
  <c r="P27" i="78"/>
  <c r="O41" i="78"/>
  <c r="P32" i="78"/>
  <c r="P40" i="78"/>
  <c r="P37" i="78"/>
  <c r="P26" i="78"/>
  <c r="G12" i="78" l="1"/>
  <c r="H7" i="78"/>
  <c r="H12" i="78" s="1"/>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<sst xmlns="http://schemas.openxmlformats.org/spreadsheetml/2006/main" count="1665" uniqueCount="930">
  <si>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</si>
  <si>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</si>
  <si>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</si>
  <si>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</si>
  <si>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</si>
  <si>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</si>
  <si>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</si>
  <si>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</si>
  <si>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</si>
  <si>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</si>
  <si>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</si>
  <si>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</si>
  <si>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</si>
  <si>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</si>
  <si>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</si>
  <si>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</si>
  <si>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</si>
  <si>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</si>
  <si>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</si>
  <si>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</si>
  <si>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</si>
  <si>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</si>
  <si>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</si>
  <si>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</si>
  <si>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</si>
  <si>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</si>
  <si>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</si>
  <si>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</si>
  <si>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</si>
  <si>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</si>
  <si>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</si>
  <si>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</si>
  <si>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</si>
  <si>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</si>
  <si>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</si>
  <si>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</si>
  <si>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</si>
  <si>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</si>
  <si>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</si>
  <si>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</si>
  <si>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</si>
  <si>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</si>
  <si>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</si>
  <si>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</si>
  <si>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</si>
  <si>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</si>
  <si>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</si>
  <si>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</si>
  <si>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</si>
  <si>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</si>
  <si>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</si>
  <si>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</si>
  <si>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</si>
  <si>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</si>
  <si>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</si>
  <si>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</si>
  <si>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</si>
  <si>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</si>
  <si>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</si>
  <si>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</si>
  <si>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</si>
  <si>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</si>
  <si>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</si>
  <si>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</si>
  <si>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</si>
  <si>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</si>
  <si>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</si>
  <si>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</si>
  <si>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</si>
  <si>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</si>
  <si>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</si>
  <si>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</si>
  <si>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</si>
  <si>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</si>
  <si>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</si>
  <si>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</si>
  <si>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</si>
  <si>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</si>
  <si>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</si>
  <si>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</si>
  <si>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</si>
  <si>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</si>
  <si>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</si>
  <si>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</si>
  <si>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</si>
  <si>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</si>
  <si>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</si>
  <si>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</si>
  <si>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</si>
  <si>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</si>
  <si>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</si>
  <si>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</si>
  <si>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</si>
  <si>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</si>
  <si>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</si>
  <si>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</si>
  <si>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</si>
  <si>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</si>
  <si>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</si>
  <si>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r>
      <rPr>
        <b/>
        <sz val="10"/>
        <rFont val="Arial"/>
        <family val="2"/>
      </rPr>
      <t>IIRSA NORTE</t>
    </r>
    <r>
      <rPr>
        <sz val="10"/>
        <rFont val="Arial"/>
        <family val="2"/>
      </rPr>
      <t xml:space="preserve">
Comunicación vía correo:
Centro de Control de Operaciones
Correo: cco.norte@iirsanorte.com.pe
</t>
    </r>
  </si>
  <si>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</si>
  <si>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</si>
  <si>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</si>
  <si>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</si>
  <si>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</si>
  <si>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</si>
  <si>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</si>
  <si>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</si>
  <si>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</si>
  <si>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</si>
  <si>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</si>
  <si>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</si>
  <si>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</si>
  <si>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</si>
  <si>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Áncash
</t>
    </r>
    <r>
      <rPr>
        <sz val="10"/>
        <color theme="1"/>
        <rFont val="Arial"/>
        <family val="2"/>
      </rPr>
      <t>Santa / Chimbote</t>
    </r>
  </si>
  <si>
    <r>
      <t xml:space="preserve">Cajamarca
</t>
    </r>
    <r>
      <rPr>
        <sz val="10"/>
        <color theme="1"/>
        <rFont val="Arial"/>
        <family val="2"/>
      </rPr>
      <t>Chota / Cochabamba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</si>
  <si>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</si>
  <si>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</si>
  <si>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</si>
  <si>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</si>
  <si>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</si>
  <si>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</si>
  <si>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</si>
  <si>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</si>
  <si>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</si>
  <si>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</si>
  <si>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r>
      <t xml:space="preserve">Cajamarca
</t>
    </r>
    <r>
      <rPr>
        <sz val="10"/>
        <color theme="1"/>
        <rFont val="Arial"/>
        <family val="2"/>
      </rPr>
      <t>Cutervo / Pimpingos</t>
    </r>
  </si>
  <si>
    <t>Maquinaria de PVN
01 Excavadora</t>
  </si>
  <si>
    <r>
      <t xml:space="preserve">Cajamarca
</t>
    </r>
    <r>
      <rPr>
        <sz val="10"/>
        <color theme="1"/>
        <rFont val="Arial"/>
        <family val="2"/>
      </rPr>
      <t>Cutervo / Cutervo</t>
    </r>
  </si>
  <si>
    <r>
      <t xml:space="preserve">Amazonas
</t>
    </r>
    <r>
      <rPr>
        <sz val="10"/>
        <color theme="1"/>
        <rFont val="Arial"/>
        <family val="2"/>
      </rPr>
      <t>Bagua / Imaza</t>
    </r>
  </si>
  <si>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</si>
  <si>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</si>
  <si>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</si>
  <si>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</si>
  <si>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r>
      <t xml:space="preserve">Piura
</t>
    </r>
    <r>
      <rPr>
        <sz val="10"/>
        <color theme="1"/>
        <rFont val="Arial"/>
        <family val="2"/>
      </rPr>
      <t>Huancabamba / Huarmaca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</si>
  <si>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</si>
  <si>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</si>
  <si>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</si>
  <si>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</si>
  <si>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</si>
  <si>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</si>
  <si>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</si>
  <si>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</si>
  <si>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</si>
  <si>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</si>
  <si>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</si>
  <si>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</si>
  <si>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</si>
  <si>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</si>
  <si>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</si>
  <si>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</si>
  <si>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</si>
  <si>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</si>
  <si>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</si>
  <si>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</si>
  <si>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</si>
  <si>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</si>
  <si>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</si>
  <si>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</si>
  <si>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</si>
  <si>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</si>
  <si>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</si>
  <si>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</si>
  <si>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</si>
  <si>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</si>
  <si>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</si>
  <si>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</si>
  <si>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</si>
  <si>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</si>
  <si>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</si>
  <si>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</si>
  <si>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</si>
  <si>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</si>
  <si>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</si>
  <si>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</si>
  <si>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</si>
  <si>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</si>
  <si>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</si>
  <si>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</si>
  <si>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</si>
  <si>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</si>
  <si>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</si>
  <si>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</si>
  <si>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</si>
  <si>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</si>
  <si>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</si>
  <si>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</si>
  <si>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</si>
  <si>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</si>
  <si>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</si>
  <si>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</si>
  <si>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</si>
  <si>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</si>
  <si>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</si>
  <si>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</si>
  <si>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</si>
  <si>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</si>
  <si>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</si>
  <si>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</si>
  <si>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</si>
  <si>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</si>
  <si>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</si>
  <si>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</si>
  <si>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</si>
  <si>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</si>
  <si>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</si>
  <si>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</si>
  <si>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</si>
  <si>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</si>
  <si>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</si>
  <si>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</si>
  <si>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</si>
  <si>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</si>
  <si>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</si>
  <si>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</si>
  <si>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</si>
  <si>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</si>
  <si>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</si>
  <si>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</si>
  <si>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</si>
  <si>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</si>
  <si>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</si>
  <si>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</si>
  <si>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</si>
  <si>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</si>
  <si>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</si>
  <si>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</si>
  <si>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</si>
  <si>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</si>
  <si>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</si>
  <si>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</si>
  <si>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</si>
  <si>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</si>
  <si>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t xml:space="preserve">Red Vial Nacional: PE-5N, 
Tramo: </t>
    </r>
    <r>
      <rPr>
        <sz val="10"/>
        <rFont val="Arial"/>
        <family val="2"/>
      </rPr>
      <t>Naranjitos - El Tingo</t>
    </r>
    <r>
      <rPr>
        <b/>
        <sz val="10"/>
        <rFont val="Arial"/>
        <family val="2"/>
      </rPr>
      <t>,
Sector:</t>
    </r>
    <r>
      <rPr>
        <sz val="10"/>
        <rFont val="Arial"/>
        <family val="2"/>
      </rPr>
      <t xml:space="preserve"> Variante Aserradero Km 1287+700 (Local Km 268+700)</t>
    </r>
  </si>
  <si>
    <r>
      <t>Amazonas</t>
    </r>
    <r>
      <rPr>
        <sz val="10"/>
        <color theme="1"/>
        <rFont val="Arial"/>
        <family val="2"/>
      </rPr>
      <t xml:space="preserve"> 
Utcubamba / Jamalca</t>
    </r>
  </si>
  <si>
    <t>Maquinaria IIRSA NORTE
01 Excavadora</t>
  </si>
  <si>
    <t>VIALES-003303</t>
  </si>
  <si>
    <r>
      <t xml:space="preserve">Red Vial Nacional: PE-5N, 
Tramo: </t>
    </r>
    <r>
      <rPr>
        <sz val="10"/>
        <rFont val="Arial"/>
        <family val="2"/>
      </rPr>
      <t>Naranjitos - El Tingo</t>
    </r>
    <r>
      <rPr>
        <b/>
        <sz val="10"/>
        <rFont val="Arial"/>
        <family val="2"/>
      </rPr>
      <t>,
Sector:</t>
    </r>
    <r>
      <rPr>
        <sz val="10"/>
        <rFont val="Arial"/>
        <family val="2"/>
      </rPr>
      <t xml:space="preserve"> Variante Aserradero Km 1287+600 (Local Km 268+600)</t>
    </r>
  </si>
  <si>
    <t>VIALES-003304</t>
  </si>
  <si>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</si>
  <si>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</si>
  <si>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</si>
  <si>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</si>
  <si>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</si>
  <si>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</si>
  <si>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</si>
  <si>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</si>
  <si>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</si>
  <si>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</si>
  <si>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</si>
  <si>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</si>
  <si>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</si>
  <si>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</si>
  <si>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</si>
  <si>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VIALES-003330</t>
  </si>
  <si>
    <r>
      <t xml:space="preserve">Red Vial Nacional: PE-5N, 
Tramo: </t>
    </r>
    <r>
      <rPr>
        <sz val="10"/>
        <rFont val="Arial"/>
        <family val="2"/>
      </rPr>
      <t>Naranjitos - El Tingo</t>
    </r>
    <r>
      <rPr>
        <b/>
        <sz val="10"/>
        <rFont val="Arial"/>
        <family val="2"/>
      </rPr>
      <t>,
Sector:</t>
    </r>
    <r>
      <rPr>
        <sz val="10"/>
        <rFont val="Arial"/>
        <family val="2"/>
      </rPr>
      <t xml:space="preserve"> Km 1288+100 (Local Km 269+100)</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</si>
  <si>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</si>
  <si>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</si>
  <si>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</si>
  <si>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</si>
  <si>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</si>
  <si>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</si>
  <si>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</si>
  <si>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</si>
  <si>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</si>
  <si>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</si>
  <si>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Huánuco
</t>
    </r>
    <r>
      <rPr>
        <sz val="10"/>
        <color theme="1"/>
        <rFont val="Arial"/>
        <family val="2"/>
      </rPr>
      <t>Puerto Inca / Yuyapichis</t>
    </r>
  </si>
  <si>
    <r>
      <t xml:space="preserve">La Libertad
</t>
    </r>
    <r>
      <rPr>
        <sz val="10"/>
        <color theme="1"/>
        <rFont val="Arial"/>
        <family val="2"/>
      </rPr>
      <t>Sánchez Carrión / Chugay</t>
    </r>
  </si>
  <si>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37+640 - Km 37+900</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</si>
  <si>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</si>
  <si>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</si>
  <si>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</si>
  <si>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</si>
  <si>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 xml:space="preserve">Maquinaria del Contratista Conservador Consorcio Calemar
01 Cargador frontal
</t>
  </si>
  <si>
    <t>Maquinaria de la Concesionaria CONVIAL SIERRA NORTE
01 Retroxcavadora
01 Excavadora
04 Camión volquete</t>
  </si>
  <si>
    <t>VIALES-003483</t>
  </si>
  <si>
    <r>
      <t>Red Vial Nacional: PE-10C, 
Tramo:</t>
    </r>
    <r>
      <rPr>
        <sz val="10"/>
        <rFont val="Arial"/>
        <family val="2"/>
      </rPr>
      <t xml:space="preserve"> Puente Pallar - Puente Chagual,
</t>
    </r>
    <r>
      <rPr>
        <b/>
        <sz val="10"/>
        <rFont val="Arial"/>
        <family val="2"/>
      </rPr>
      <t xml:space="preserve">Sector: </t>
    </r>
    <r>
      <rPr>
        <sz val="10"/>
        <rFont val="Arial"/>
        <family val="2"/>
      </rPr>
      <t>Chugay Km 20+000 - Km 22+600</t>
    </r>
  </si>
  <si>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</si>
  <si>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</si>
  <si>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</si>
  <si>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</si>
  <si>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</si>
  <si>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</si>
  <si>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</si>
  <si>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</si>
  <si>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</si>
  <si>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</si>
  <si>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</si>
  <si>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</si>
  <si>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</si>
  <si>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</si>
  <si>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</si>
  <si>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</si>
  <si>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</si>
  <si>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</si>
  <si>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</si>
  <si>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</si>
  <si>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</si>
  <si>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</si>
  <si>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</si>
  <si>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Puno
</t>
    </r>
    <r>
      <rPr>
        <sz val="10"/>
        <color theme="1"/>
        <rFont val="Arial"/>
        <family val="2"/>
      </rPr>
      <t>Chucuito / Pisacoma</t>
    </r>
  </si>
  <si>
    <r>
      <t xml:space="preserve">Red Vial Nacional: PE-36E,
Tramo: </t>
    </r>
    <r>
      <rPr>
        <sz val="10"/>
        <rFont val="Arial"/>
        <family val="2"/>
      </rPr>
      <t>Pizacoma - Capazo,</t>
    </r>
    <r>
      <rPr>
        <b/>
        <sz val="10"/>
        <rFont val="Arial"/>
        <family val="2"/>
      </rPr>
      <t xml:space="preserve">
Sector: </t>
    </r>
    <r>
      <rPr>
        <sz val="10"/>
        <rFont val="Arial"/>
        <family val="2"/>
      </rPr>
      <t>Pizacoma Km 60+540 - Km 60+545</t>
    </r>
  </si>
  <si>
    <t>VIALES-003576</t>
  </si>
  <si>
    <r>
      <t xml:space="preserve">Ica
</t>
    </r>
    <r>
      <rPr>
        <sz val="10"/>
        <color theme="1"/>
        <rFont val="Arial"/>
        <family val="2"/>
      </rPr>
      <t>Ica / Santiago</t>
    </r>
  </si>
  <si>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153+800 - Km 153+835</t>
    </r>
  </si>
  <si>
    <r>
      <t xml:space="preserve">Amazonas
</t>
    </r>
    <r>
      <rPr>
        <sz val="10"/>
        <color theme="1"/>
        <rFont val="Arial"/>
        <family val="2"/>
      </rPr>
      <t>Luya / Ocalli</t>
    </r>
  </si>
  <si>
    <t>VIALES-003593</t>
  </si>
  <si>
    <r>
      <t>Red Vial Nacional: PE-05NG</t>
    </r>
    <r>
      <rPr>
        <sz val="10"/>
        <rFont val="Arial"/>
        <family val="2"/>
      </rPr>
      <t xml:space="preserve">, 
</t>
    </r>
    <r>
      <rPr>
        <b/>
        <sz val="10"/>
        <rFont val="Arial"/>
        <family val="2"/>
      </rPr>
      <t>Tramo:</t>
    </r>
    <r>
      <rPr>
        <sz val="10"/>
        <rFont val="Arial"/>
        <family val="2"/>
      </rPr>
      <t xml:space="preserve"> Lonya Grande - Ocalli,
</t>
    </r>
    <r>
      <rPr>
        <b/>
        <sz val="10"/>
        <rFont val="Arial"/>
        <family val="2"/>
      </rPr>
      <t>Sector:</t>
    </r>
    <r>
      <rPr>
        <sz val="10"/>
        <rFont val="Arial"/>
        <family val="2"/>
      </rPr>
      <t xml:space="preserve"> Quispe Km 153+900 - Km 153+930</t>
    </r>
  </si>
  <si>
    <t>VIALES-003594</t>
  </si>
  <si>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</si>
  <si>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</si>
  <si>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</si>
  <si>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</si>
  <si>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</si>
  <si>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</si>
  <si>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rPr>
        <b/>
        <sz val="10"/>
        <rFont val="Arial"/>
        <family val="2"/>
      </rPr>
      <t>PVN</t>
    </r>
    <r>
      <rPr>
        <sz val="10"/>
        <rFont val="Arial"/>
        <family val="2"/>
      </rPr>
      <t xml:space="preserve">
Administración directa
Jefatura zonal Amazonas
Jose Carlos Torres Coronado - Jefe zonal
Correo: jtorres@pvn.gob.pe</t>
    </r>
  </si>
  <si>
    <t>Maquinaria de PVN
01 Excavadora
01 Camión volquete
01 Cargador frontal
01 Retroexcavadora</t>
  </si>
  <si>
    <r>
      <t xml:space="preserve">Cajamarca
</t>
    </r>
    <r>
      <rPr>
        <sz val="10"/>
        <color theme="1"/>
        <rFont val="Arial"/>
        <family val="2"/>
      </rPr>
      <t>Chota / Lajas</t>
    </r>
  </si>
  <si>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</si>
  <si>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</si>
  <si>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VIALES-003620</t>
  </si>
  <si>
    <r>
      <t xml:space="preserve">Áncash
</t>
    </r>
    <r>
      <rPr>
        <sz val="10"/>
        <color theme="1"/>
        <rFont val="Arial"/>
        <family val="2"/>
      </rPr>
      <t>Bolognesi / Cajacay</t>
    </r>
  </si>
  <si>
    <t>Áncash</t>
  </si>
  <si>
    <t>28.03.25</t>
  </si>
  <si>
    <r>
      <t xml:space="preserve">Red Vial Nacional: PE-16,
Tramo: </t>
    </r>
    <r>
      <rPr>
        <sz val="10"/>
        <rFont val="Arial"/>
        <family val="2"/>
      </rPr>
      <t>Pativilca - Conococha,</t>
    </r>
    <r>
      <rPr>
        <b/>
        <sz val="10"/>
        <rFont val="Arial"/>
        <family val="2"/>
      </rPr>
      <t xml:space="preserve">
Sector:</t>
    </r>
    <r>
      <rPr>
        <sz val="10"/>
        <rFont val="Arial"/>
        <family val="2"/>
      </rPr>
      <t xml:space="preserve"> Cajacay Km 94+800 - Km 95+100</t>
    </r>
  </si>
  <si>
    <t>VIALES-003651</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</si>
  <si>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</si>
  <si>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</si>
  <si>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</si>
  <si>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t>Junín</t>
  </si>
  <si>
    <r>
      <rPr>
        <b/>
        <sz val="10"/>
        <rFont val="Arial"/>
        <family val="2"/>
      </rPr>
      <t xml:space="preserve">PVN
</t>
    </r>
    <r>
      <rPr>
        <sz val="10"/>
        <rFont val="Arial"/>
        <family val="2"/>
      </rPr>
      <t>Administración directa
Jefatura zonal Junín - Pasco 
Ronald Blanco Gonzales - Jefe zonal Correo:rblanco@pvn.gob.pe</t>
    </r>
  </si>
  <si>
    <r>
      <t xml:space="preserve">Huancavelica
</t>
    </r>
    <r>
      <rPr>
        <sz val="10"/>
        <color theme="1"/>
        <rFont val="Arial"/>
        <family val="2"/>
      </rPr>
      <t>Huaytará / Pilpichaca</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</si>
  <si>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</si>
  <si>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</si>
  <si>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</si>
  <si>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</si>
  <si>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r>
      <t xml:space="preserve">La Libertad
</t>
    </r>
    <r>
      <rPr>
        <sz val="10"/>
        <color theme="1"/>
        <rFont val="Arial"/>
        <family val="2"/>
      </rPr>
      <t>Sánchez Carrión / Huamachuco</t>
    </r>
  </si>
  <si>
    <r>
      <t>Red Vial Nacional: PE-10B, 
Tramo:</t>
    </r>
    <r>
      <rPr>
        <sz val="10"/>
        <rFont val="Arial"/>
        <family val="2"/>
      </rPr>
      <t xml:space="preserve"> Puente Pallar -Fundo Convento,
</t>
    </r>
    <r>
      <rPr>
        <b/>
        <sz val="10"/>
        <rFont val="Arial"/>
        <family val="2"/>
      </rPr>
      <t>Sector:</t>
    </r>
    <r>
      <rPr>
        <sz val="10"/>
        <rFont val="Arial"/>
        <family val="2"/>
      </rPr>
      <t xml:space="preserve"> El Pallar Km 19+480 - Km 19+560</t>
    </r>
  </si>
  <si>
    <t>VIALES-003690</t>
  </si>
  <si>
    <t>VIALES-003699</t>
  </si>
  <si>
    <r>
      <t xml:space="preserve">Cajamarca
</t>
    </r>
    <r>
      <rPr>
        <sz val="10"/>
        <color theme="1"/>
        <rFont val="Arial"/>
        <family val="2"/>
      </rPr>
      <t>Jaén / San Felipe</t>
    </r>
  </si>
  <si>
    <r>
      <t xml:space="preserve">Red Vial Nacional: PE-3N, 
Tramo: </t>
    </r>
    <r>
      <rPr>
        <sz val="10"/>
        <rFont val="Arial"/>
        <family val="2"/>
      </rPr>
      <t>Dv. Olmos - Corral Quemado</t>
    </r>
    <r>
      <rPr>
        <b/>
        <sz val="10"/>
        <rFont val="Arial"/>
        <family val="2"/>
      </rPr>
      <t>,
Sector:</t>
    </r>
    <r>
      <rPr>
        <sz val="10"/>
        <rFont val="Arial"/>
        <family val="2"/>
      </rPr>
      <t xml:space="preserve"> Km 1625+850 (Local Km 66+850)</t>
    </r>
  </si>
  <si>
    <t>AEROPUERTO-0032</t>
  </si>
  <si>
    <t>Maquinaria de PVN
01 Motoniveladora</t>
  </si>
  <si>
    <t>Maquinaria IIRSA NORTE
01 Cargador frontal</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</si>
  <si>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</si>
  <si>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</si>
  <si>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</si>
  <si>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</si>
  <si>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</si>
  <si>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</si>
  <si>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</si>
  <si>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</si>
  <si>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</si>
  <si>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</si>
  <si>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t>VIALES-003765</t>
  </si>
  <si>
    <r>
      <t xml:space="preserve">Tacna
</t>
    </r>
    <r>
      <rPr>
        <sz val="10"/>
        <color theme="1"/>
        <rFont val="Arial"/>
        <family val="2"/>
      </rPr>
      <t>Tarata / Tarata</t>
    </r>
  </si>
  <si>
    <r>
      <t xml:space="preserve">Amazonas
</t>
    </r>
    <r>
      <rPr>
        <sz val="10"/>
        <color theme="1"/>
        <rFont val="Arial"/>
        <family val="2"/>
      </rPr>
      <t>Chachapoyas / Leimebamba</t>
    </r>
  </si>
  <si>
    <t>Maquinaria del Conservador Consorcio Sierra Centro</t>
  </si>
  <si>
    <t>VIALES-003770</t>
  </si>
  <si>
    <r>
      <t xml:space="preserve">Red Vial Nacional: PE-08B,
Tramo: </t>
    </r>
    <r>
      <rPr>
        <sz val="10"/>
        <rFont val="Arial"/>
        <family val="2"/>
      </rPr>
      <t>Abra Barro Negro - DV. Leymebamba,</t>
    </r>
    <r>
      <rPr>
        <b/>
        <sz val="10"/>
        <rFont val="Arial"/>
        <family val="2"/>
      </rPr>
      <t xml:space="preserve">
Sector:</t>
    </r>
    <r>
      <rPr>
        <sz val="10"/>
        <rFont val="Arial"/>
        <family val="2"/>
      </rPr>
      <t xml:space="preserve"> Ishpingo Km 240+000 - Km 244+000</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</si>
  <si>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</si>
  <si>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</si>
  <si>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</si>
  <si>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</si>
  <si>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Cupicucho Km 84+570 - Km 84+630</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</si>
  <si>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</si>
  <si>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</si>
  <si>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</si>
  <si>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</si>
  <si>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</si>
  <si>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</si>
  <si>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</si>
  <si>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</si>
  <si>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</si>
  <si>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r>
      <t xml:space="preserve">Red Vial Nacional: PE-3N, 
Tramo: </t>
    </r>
    <r>
      <rPr>
        <sz val="10"/>
        <rFont val="Arial"/>
        <family val="2"/>
      </rPr>
      <t>Dv. Olmos - Corral Quemado</t>
    </r>
    <r>
      <rPr>
        <b/>
        <sz val="10"/>
        <rFont val="Arial"/>
        <family val="2"/>
      </rPr>
      <t>,
Sector:</t>
    </r>
    <r>
      <rPr>
        <sz val="10"/>
        <rFont val="Arial"/>
        <family val="2"/>
      </rPr>
      <t xml:space="preserve"> Km 1621+340 (Local Km 70+340)</t>
    </r>
  </si>
  <si>
    <t>VIALES-003779</t>
  </si>
  <si>
    <t>Maquinaria del Contratista Conservador Consorcio Conservación Vial Mazocruz
01 Excavadora</t>
  </si>
  <si>
    <r>
      <t xml:space="preserve">Pasco
</t>
    </r>
    <r>
      <rPr>
        <sz val="10"/>
        <color theme="1"/>
        <rFont val="Arial"/>
        <family val="2"/>
      </rPr>
      <t>Oxapampa / Huancabamba</t>
    </r>
  </si>
  <si>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</si>
  <si>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</si>
  <si>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</si>
  <si>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</si>
  <si>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</si>
  <si>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t>VIALES-003812</t>
  </si>
  <si>
    <r>
      <t xml:space="preserve">Red Vial Nacional: PE-28A,
Tramo: </t>
    </r>
    <r>
      <rPr>
        <sz val="10"/>
        <rFont val="Arial"/>
        <family val="2"/>
      </rPr>
      <t xml:space="preserve">Rumichaca - Pampano,
</t>
    </r>
    <r>
      <rPr>
        <b/>
        <sz val="10"/>
        <rFont val="Arial"/>
        <family val="2"/>
      </rPr>
      <t xml:space="preserve">Sector: </t>
    </r>
    <r>
      <rPr>
        <sz val="10"/>
        <rFont val="Arial"/>
        <family val="2"/>
      </rPr>
      <t>Chaupi Km 170+100 - Km 175+500</t>
    </r>
  </si>
  <si>
    <r>
      <t xml:space="preserve">BITEL:
</t>
    </r>
    <r>
      <rPr>
        <sz val="10"/>
        <color theme="1"/>
        <rFont val="Arial"/>
        <family val="2"/>
      </rPr>
      <t>Telefonía móvil Internet móvil</t>
    </r>
  </si>
  <si>
    <t>Maquinaria del Contratista Construcción y Administración S.A. (Casa Constructores)</t>
  </si>
  <si>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</si>
  <si>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</si>
  <si>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</si>
  <si>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</si>
  <si>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</si>
  <si>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Red Vial Nacional: PE-5S,
Tramo: </t>
    </r>
    <r>
      <rPr>
        <sz val="10"/>
        <rFont val="Arial"/>
        <family val="2"/>
      </rPr>
      <t>Mazamari - Puerto Ocopa ,</t>
    </r>
    <r>
      <rPr>
        <b/>
        <sz val="10"/>
        <rFont val="Arial"/>
        <family val="2"/>
      </rPr>
      <t xml:space="preserve">
Sector:</t>
    </r>
    <r>
      <rPr>
        <sz val="10"/>
        <rFont val="Arial"/>
        <family val="2"/>
      </rPr>
      <t xml:space="preserve"> Sonomoro Km 148+000 - Km 186+500</t>
    </r>
  </si>
  <si>
    <r>
      <t xml:space="preserve">Junín
</t>
    </r>
    <r>
      <rPr>
        <sz val="10"/>
        <color theme="1"/>
        <rFont val="Arial"/>
        <family val="2"/>
      </rPr>
      <t>Satipo / Mazamari</t>
    </r>
  </si>
  <si>
    <t>VIALES-003834</t>
  </si>
  <si>
    <r>
      <t xml:space="preserve">Red Vial Nacional: PE-12,
Tramo: </t>
    </r>
    <r>
      <rPr>
        <sz val="10"/>
        <rFont val="Arial"/>
        <family val="2"/>
      </rPr>
      <t>Santa-Chuquicara,</t>
    </r>
    <r>
      <rPr>
        <b/>
        <sz val="10"/>
        <rFont val="Arial"/>
        <family val="2"/>
      </rPr>
      <t xml:space="preserve">
Sector:</t>
    </r>
    <r>
      <rPr>
        <sz val="10"/>
        <rFont val="Arial"/>
        <family val="2"/>
      </rPr>
      <t xml:space="preserve"> Bocatoma Chinecas Km 59+300 - Km 60+250</t>
    </r>
  </si>
  <si>
    <t>VIALES-003836</t>
  </si>
  <si>
    <r>
      <t xml:space="preserve">Red Vial Nacional: PE-5N,
Tramo: </t>
    </r>
    <r>
      <rPr>
        <sz val="10"/>
        <rFont val="Arial"/>
        <family val="2"/>
      </rPr>
      <t>Campanilla - Pizana,</t>
    </r>
    <r>
      <rPr>
        <b/>
        <sz val="10"/>
        <rFont val="Arial"/>
        <family val="2"/>
      </rPr>
      <t xml:space="preserve">
Sector: </t>
    </r>
    <r>
      <rPr>
        <sz val="10"/>
        <rFont val="Arial"/>
        <family val="2"/>
      </rPr>
      <t>Perlamayo Km 737+900 - Km 738+100</t>
    </r>
  </si>
  <si>
    <t>VIALES-003837</t>
  </si>
  <si>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</si>
  <si>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</si>
  <si>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</si>
  <si>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</si>
  <si>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</si>
  <si>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</si>
  <si>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</si>
  <si>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</si>
  <si>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</si>
  <si>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</si>
  <si>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r>
      <t xml:space="preserve">Áncash
</t>
    </r>
    <r>
      <rPr>
        <sz val="10"/>
        <color theme="1"/>
        <rFont val="Arial"/>
        <family val="2"/>
      </rPr>
      <t>Pallasca / Huandoval</t>
    </r>
  </si>
  <si>
    <r>
      <t xml:space="preserve">Red Vial Nacional: PE-3N,
Tramo: </t>
    </r>
    <r>
      <rPr>
        <sz val="10"/>
        <rFont val="Arial"/>
        <family val="2"/>
      </rPr>
      <t>Tauca - Pallasca,</t>
    </r>
    <r>
      <rPr>
        <b/>
        <sz val="10"/>
        <rFont val="Arial"/>
        <family val="2"/>
      </rPr>
      <t xml:space="preserve">
Sector:</t>
    </r>
    <r>
      <rPr>
        <sz val="10"/>
        <rFont val="Arial"/>
        <family val="2"/>
      </rPr>
      <t xml:space="preserve"> Quebrada Huambisha Km 862+900 - Km 862+928</t>
    </r>
  </si>
  <si>
    <t>VIALES-003847</t>
  </si>
  <si>
    <t>15.04.25</t>
  </si>
  <si>
    <t>Huayabamba</t>
  </si>
  <si>
    <t>San Martin</t>
  </si>
  <si>
    <t>PE-3N</t>
  </si>
  <si>
    <r>
      <t xml:space="preserve">Red Vial Nacional: PE- 3S,
Tramo: </t>
    </r>
    <r>
      <rPr>
        <sz val="10"/>
        <rFont val="Arial"/>
        <family val="2"/>
      </rPr>
      <t xml:space="preserve">La Oroya - Huancayo,
</t>
    </r>
    <r>
      <rPr>
        <b/>
        <sz val="10"/>
        <rFont val="Arial"/>
        <family val="2"/>
      </rPr>
      <t>Sector:</t>
    </r>
    <r>
      <rPr>
        <sz val="10"/>
        <rFont val="Arial"/>
        <family val="2"/>
      </rPr>
      <t xml:space="preserve"> El Rosario Km 46+150 - Km 46+200</t>
    </r>
  </si>
  <si>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</si>
  <si>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</si>
  <si>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</si>
  <si>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</si>
  <si>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t>Huambisha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</si>
  <si>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</si>
  <si>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Cusco
</t>
    </r>
    <r>
      <rPr>
        <sz val="10"/>
        <color theme="1"/>
        <rFont val="Arial"/>
        <family val="2"/>
      </rPr>
      <t>La Convención / Quimbiri</t>
    </r>
  </si>
  <si>
    <r>
      <t>Red Vial Nacional: PE-28B, 
Tramo:</t>
    </r>
    <r>
      <rPr>
        <sz val="10"/>
        <rFont val="Arial"/>
        <family val="2"/>
      </rPr>
      <t xml:space="preserve"> Kimbiri - Chirumpiari,
</t>
    </r>
    <r>
      <rPr>
        <b/>
        <sz val="10"/>
        <rFont val="Arial"/>
        <family val="2"/>
      </rPr>
      <t>Sector:</t>
    </r>
    <r>
      <rPr>
        <sz val="10"/>
        <rFont val="Arial"/>
        <family val="2"/>
      </rPr>
      <t xml:space="preserve"> Puerto Rico – Pte Mapitunari   Km 187+880 - Km 197+880</t>
    </r>
  </si>
  <si>
    <t>VIALES-003872</t>
  </si>
  <si>
    <t>Maquinaria de PVN
01 Motoniveladora
01 Rodillo Liso</t>
  </si>
  <si>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</si>
  <si>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t>N</t>
  </si>
  <si>
    <t>TERMINAL ABIERTO</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</si>
  <si>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</si>
  <si>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</si>
  <si>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</si>
  <si>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</si>
  <si>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</si>
  <si>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</si>
  <si>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t>Maquinaria del Contratista Conservador MOTA - ENGIL ENGENHARIA E CONSTRUCAO AFRICA SA</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</si>
  <si>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</si>
  <si>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PARCIAL</t>
  </si>
  <si>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</si>
  <si>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</si>
  <si>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</si>
  <si>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</si>
  <si>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</si>
  <si>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</si>
  <si>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</si>
  <si>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</si>
  <si>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</si>
  <si>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</si>
  <si>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</si>
  <si>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</si>
  <si>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</si>
  <si>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</si>
  <si>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</si>
  <si>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</si>
  <si>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</si>
  <si>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</si>
  <si>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</si>
  <si>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</si>
  <si>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</si>
  <si>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</si>
  <si>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</si>
  <si>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</si>
  <si>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</si>
  <si>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Maquinaria de la Concesionaria CONVIAL SIERRA NORTE
01 Retroexcavadora
01 Camión volquete
01 Excavadora
05 Camión volquete</t>
  </si>
  <si>
    <t>VIALES-003913</t>
  </si>
  <si>
    <r>
      <t xml:space="preserve">Red Vial Nacional: PE-3N,
Tramo: </t>
    </r>
    <r>
      <rPr>
        <sz val="10"/>
        <rFont val="Arial"/>
        <family val="2"/>
      </rPr>
      <t>Chiple - Cutervo,</t>
    </r>
    <r>
      <rPr>
        <b/>
        <sz val="10"/>
        <rFont val="Arial"/>
        <family val="2"/>
      </rPr>
      <t xml:space="preserve">
Sector: </t>
    </r>
    <r>
      <rPr>
        <sz val="10"/>
        <rFont val="Arial"/>
        <family val="2"/>
      </rPr>
      <t>Pindoc Km 1495+185 - Km 1495+220 (Km local Km 42+185 - Km 42+220)</t>
    </r>
  </si>
  <si>
    <t>Maquinaria de la Concesionaria CONVIAL SIERRA NORTE
01 Cargador frontal</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</si>
  <si>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</si>
  <si>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</si>
  <si>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</si>
  <si>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r>
      <t xml:space="preserve">Amazonas
</t>
    </r>
    <r>
      <rPr>
        <sz val="10"/>
        <color theme="1"/>
        <rFont val="Arial"/>
        <family val="2"/>
      </rPr>
      <t>Rodríguez de Mendoza/ Vista Alegre</t>
    </r>
  </si>
  <si>
    <t>VIALES-003924</t>
  </si>
  <si>
    <r>
      <t xml:space="preserve">Junín
</t>
    </r>
    <r>
      <rPr>
        <sz val="10"/>
        <color theme="1"/>
        <rFont val="Arial"/>
        <family val="2"/>
      </rPr>
      <t>Chanchamayo / Chanchamayo</t>
    </r>
  </si>
  <si>
    <r>
      <t xml:space="preserve">Red Vial Nacional: PE-28C,
Tramo: </t>
    </r>
    <r>
      <rPr>
        <sz val="10"/>
        <rFont val="Arial"/>
        <family val="2"/>
      </rPr>
      <t>Puerto Villa - Cubantia,</t>
    </r>
    <r>
      <rPr>
        <b/>
        <sz val="10"/>
        <rFont val="Arial"/>
        <family val="2"/>
      </rPr>
      <t xml:space="preserve">
Sector:</t>
    </r>
    <r>
      <rPr>
        <sz val="10"/>
        <rFont val="Arial"/>
        <family val="2"/>
      </rPr>
      <t xml:space="preserve"> Puente Ajos Km 190+712 - Km 190+737</t>
    </r>
  </si>
  <si>
    <t>VIALES-003932</t>
  </si>
  <si>
    <t>Ajos</t>
  </si>
  <si>
    <t>PE-28C</t>
  </si>
  <si>
    <t>29.04.25</t>
  </si>
  <si>
    <r>
      <t xml:space="preserve">Red Vial Nacional: PE-34H,
Tramo: </t>
    </r>
    <r>
      <rPr>
        <sz val="10"/>
        <rFont val="Arial"/>
        <family val="2"/>
      </rPr>
      <t>Dv. Chuquine - Sandia,</t>
    </r>
    <r>
      <rPr>
        <b/>
        <sz val="10"/>
        <rFont val="Arial"/>
        <family val="2"/>
      </rPr>
      <t xml:space="preserve">
Sector:</t>
    </r>
    <r>
      <rPr>
        <sz val="10"/>
        <rFont val="Arial"/>
        <family val="2"/>
      </rPr>
      <t xml:space="preserve"> Ñacoreque Chico Km 204+300 - Km 204+900</t>
    </r>
  </si>
  <si>
    <t>VIALES-003935</t>
  </si>
  <si>
    <r>
      <t xml:space="preserve">Huancavelica
</t>
    </r>
    <r>
      <rPr>
        <sz val="10"/>
        <color theme="1"/>
        <rFont val="Arial"/>
        <family val="2"/>
      </rPr>
      <t>Castrovirreina /Ticrapo</t>
    </r>
  </si>
  <si>
    <r>
      <t xml:space="preserve">Red Vial Nacional: PE-26A,
Tramo: </t>
    </r>
    <r>
      <rPr>
        <sz val="10"/>
        <rFont val="Arial"/>
        <family val="2"/>
      </rPr>
      <t>Huachos - Dv. Ticrapo,</t>
    </r>
    <r>
      <rPr>
        <b/>
        <sz val="10"/>
        <rFont val="Arial"/>
        <family val="2"/>
      </rPr>
      <t xml:space="preserve">
Sector:</t>
    </r>
    <r>
      <rPr>
        <sz val="10"/>
        <rFont val="Arial"/>
        <family val="2"/>
      </rPr>
      <t xml:space="preserve"> Puente Larano Km 78+640 - Km 78+680</t>
    </r>
  </si>
  <si>
    <t>VIALES-003940</t>
  </si>
  <si>
    <t>Larano</t>
  </si>
  <si>
    <t>PE-26A</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</si>
  <si>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</si>
  <si>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</si>
  <si>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</si>
  <si>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</si>
  <si>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</si>
  <si>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</si>
  <si>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Maquinaria del Contratista Conservador Consorcio Corredor Vial
01 Excavadora</t>
  </si>
  <si>
    <t>VIALES-003946</t>
  </si>
  <si>
    <t>VIALES-003947</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</si>
  <si>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</si>
  <si>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t>
    </r>
    <r>
      <rPr>
        <b/>
        <sz val="10"/>
        <rFont val="Arial"/>
        <family val="2"/>
      </rPr>
      <t xml:space="preserve"> </t>
    </r>
    <r>
      <rPr>
        <sz val="10"/>
        <rFont val="Arial"/>
        <family val="2"/>
      </rPr>
      <t>Km 1442+320 - Km 1442+400 Local (Km 129+320 - Km 129+400)</t>
    </r>
  </si>
  <si>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</si>
  <si>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</si>
  <si>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 xml:space="preserve">Maquinaria del Contratista Conservador Mota Engil
01 Excavadora </t>
  </si>
  <si>
    <t>Maquinaria del Contratista Conservador Calemar
02 Excavadora
01 Cargador frontal
02 Camión volquete</t>
  </si>
  <si>
    <r>
      <rPr>
        <b/>
        <sz val="10"/>
        <rFont val="Arial"/>
        <family val="2"/>
      </rPr>
      <t>Red Vial Nacional: PE-3N,</t>
    </r>
    <r>
      <rPr>
        <sz val="10"/>
        <rFont val="Arial"/>
        <family val="2"/>
      </rPr>
      <t xml:space="preserve">
</t>
    </r>
    <r>
      <rPr>
        <b/>
        <sz val="10"/>
        <rFont val="Arial"/>
        <family val="2"/>
      </rPr>
      <t>Tramo:</t>
    </r>
    <r>
      <rPr>
        <sz val="10"/>
        <rFont val="Arial"/>
        <family val="2"/>
      </rPr>
      <t xml:space="preserve"> Cochabamba - Chota,
</t>
    </r>
    <r>
      <rPr>
        <b/>
        <sz val="10"/>
        <rFont val="Arial"/>
        <family val="2"/>
      </rPr>
      <t>Sector:</t>
    </r>
    <r>
      <rPr>
        <sz val="10"/>
        <rFont val="Arial"/>
        <family val="2"/>
      </rPr>
      <t xml:space="preserve"> Peña de Loros Km 1442+590 - Km 1442+670 Local (Km 129+590 - Km 129+670)</t>
    </r>
  </si>
  <si>
    <r>
      <rPr>
        <b/>
        <sz val="10"/>
        <color theme="1"/>
        <rFont val="Arial"/>
        <family val="2"/>
      </rPr>
      <t>Cajamarca</t>
    </r>
    <r>
      <rPr>
        <sz val="10"/>
        <color theme="1"/>
        <rFont val="Arial"/>
        <family val="2"/>
      </rPr>
      <t xml:space="preserve">
Chota / Cochabamba</t>
    </r>
  </si>
  <si>
    <r>
      <t>Red Vial Nacional: PE-5NC, 
Tramo:</t>
    </r>
    <r>
      <rPr>
        <sz val="10"/>
        <rFont val="Arial"/>
        <family val="2"/>
      </rPr>
      <t xml:space="preserve"> Entrada Chiriaco - Wawico,
</t>
    </r>
    <r>
      <rPr>
        <b/>
        <sz val="10"/>
        <rFont val="Arial"/>
        <family val="2"/>
      </rPr>
      <t>Sector:</t>
    </r>
    <r>
      <rPr>
        <sz val="10"/>
        <rFont val="Arial"/>
        <family val="2"/>
      </rPr>
      <t xml:space="preserve"> Nazareth Km 116+570 - Km 116+580</t>
    </r>
  </si>
  <si>
    <t>VIALES-003957</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</si>
  <si>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</si>
  <si>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</si>
  <si>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</si>
  <si>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</si>
  <si>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</si>
  <si>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t>VIALES-003963</t>
  </si>
  <si>
    <t>VIALES-003964</t>
  </si>
  <si>
    <r>
      <t xml:space="preserve">Tumbes
</t>
    </r>
    <r>
      <rPr>
        <sz val="10"/>
        <color theme="1"/>
        <rFont val="Arial"/>
        <family val="2"/>
      </rPr>
      <t>Contralmirante Villar / Zorritos</t>
    </r>
  </si>
  <si>
    <t>VIALES-003969</t>
  </si>
  <si>
    <t>VIALES-003968</t>
  </si>
  <si>
    <r>
      <t xml:space="preserve">Red Vial Nacional: PE-3N, 
Tramo: </t>
    </r>
    <r>
      <rPr>
        <sz val="10"/>
        <rFont val="Arial"/>
        <family val="2"/>
      </rPr>
      <t>Dv. Olmos - Corral Quemado</t>
    </r>
    <r>
      <rPr>
        <b/>
        <sz val="10"/>
        <rFont val="Arial"/>
        <family val="2"/>
      </rPr>
      <t>,
Sector:</t>
    </r>
    <r>
      <rPr>
        <sz val="10"/>
        <rFont val="Arial"/>
        <family val="2"/>
      </rPr>
      <t xml:space="preserve"> Km 1625+400 (Local Km 66+400)</t>
    </r>
  </si>
  <si>
    <r>
      <t>Red Vial Nacional: PE-1N, (Panamericana Norte) 
Tramo:</t>
    </r>
    <r>
      <rPr>
        <sz val="10"/>
        <rFont val="Arial"/>
        <family val="2"/>
      </rPr>
      <t xml:space="preserve"> Máncora - Tumbes - Puente La Paz,
</t>
    </r>
    <r>
      <rPr>
        <b/>
        <sz val="10"/>
        <rFont val="Arial"/>
        <family val="2"/>
      </rPr>
      <t xml:space="preserve">Sector: </t>
    </r>
    <r>
      <rPr>
        <sz val="10"/>
        <rFont val="Arial"/>
        <family val="2"/>
      </rPr>
      <t>Nuevo Paraíso Km 1231+744 - Km 1232+844 (Km 201+000 - Km 201+900)</t>
    </r>
  </si>
  <si>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</si>
  <si>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</si>
  <si>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</si>
  <si>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</si>
  <si>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</si>
  <si>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t>Maquinaria del Contratista Conservador Consorcio Vial Nieva</t>
  </si>
  <si>
    <r>
      <t xml:space="preserve">Red Vial Nacional: PE-3N, 
Tramo: </t>
    </r>
    <r>
      <rPr>
        <sz val="10"/>
        <rFont val="Arial"/>
        <family val="2"/>
      </rPr>
      <t>Dv. Olmos - Corral Quemado</t>
    </r>
    <r>
      <rPr>
        <b/>
        <sz val="10"/>
        <rFont val="Arial"/>
        <family val="2"/>
      </rPr>
      <t>,
Sector:</t>
    </r>
    <r>
      <rPr>
        <sz val="10"/>
        <rFont val="Arial"/>
        <family val="2"/>
      </rPr>
      <t xml:space="preserve"> Km 1623+990 (Local Km 68+990)</t>
    </r>
  </si>
  <si>
    <t>VIALES-003976</t>
  </si>
  <si>
    <r>
      <t>Red Vial Nacional: PE-5NA, 
Tramo:</t>
    </r>
    <r>
      <rPr>
        <sz val="10"/>
        <rFont val="Arial"/>
        <family val="2"/>
      </rPr>
      <t xml:space="preserve"> Huancabamba - Pozuzo,
</t>
    </r>
    <r>
      <rPr>
        <b/>
        <sz val="10"/>
        <rFont val="Arial"/>
        <family val="2"/>
      </rPr>
      <t>Sector:</t>
    </r>
    <r>
      <rPr>
        <sz val="10"/>
        <rFont val="Arial"/>
        <family val="2"/>
      </rPr>
      <t xml:space="preserve"> Purumayo Km 71+770 - Km 71+890</t>
    </r>
  </si>
  <si>
    <r>
      <rPr>
        <b/>
        <sz val="10"/>
        <rFont val="Arial"/>
        <family val="2"/>
      </rPr>
      <t>PVN</t>
    </r>
    <r>
      <rPr>
        <sz val="10"/>
        <rFont val="Arial"/>
        <family val="2"/>
      </rPr>
      <t xml:space="preserve">
Administración por contrato
Jefatura zonal Ucayali
Carlos Dávila Rivadeneyra  - Jefe zonal
Correo: Cdávila@pvn.gob.pe</t>
    </r>
  </si>
  <si>
    <t>VIALES-003977</t>
  </si>
  <si>
    <r>
      <t>Red Vial Nacional: PE-3N, 
Tramo:</t>
    </r>
    <r>
      <rPr>
        <sz val="10"/>
        <rFont val="Arial"/>
        <family val="2"/>
      </rPr>
      <t xml:space="preserve"> Hualapampa - Sondor,
</t>
    </r>
    <r>
      <rPr>
        <b/>
        <sz val="10"/>
        <rFont val="Arial"/>
        <family val="2"/>
      </rPr>
      <t>Sector:</t>
    </r>
    <r>
      <rPr>
        <sz val="10"/>
        <rFont val="Arial"/>
        <family val="2"/>
      </rPr>
      <t xml:space="preserve"> Tunaspampa Km 1652+740 - Km 1652+790</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</si>
  <si>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</si>
  <si>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</si>
  <si>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</si>
  <si>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t xml:space="preserve">Cajamarca
</t>
    </r>
    <r>
      <rPr>
        <sz val="10"/>
        <color theme="1"/>
        <rFont val="Arial"/>
        <family val="2"/>
      </rPr>
      <t>Cutervo / Callayuc</t>
    </r>
  </si>
  <si>
    <r>
      <rPr>
        <b/>
        <sz val="10"/>
        <rFont val="Arial"/>
        <family val="2"/>
      </rPr>
      <t>PVN</t>
    </r>
    <r>
      <rPr>
        <sz val="10"/>
        <rFont val="Arial"/>
        <family val="2"/>
      </rPr>
      <t xml:space="preserve">
Administración por contrato
Jefatura zonal Cusco - Apurímac
Jimmy Eric Pairazaman Murrugarra- Jefe zonal
Correo:Cdávila@pvn.gob.pe</t>
    </r>
  </si>
  <si>
    <r>
      <rPr>
        <b/>
        <sz val="10"/>
        <color theme="1"/>
        <rFont val="Arial"/>
        <family val="2"/>
      </rPr>
      <t>Apurímac</t>
    </r>
    <r>
      <rPr>
        <sz val="10"/>
        <color theme="1"/>
        <rFont val="Arial"/>
        <family val="2"/>
      </rPr>
      <t xml:space="preserve">
Grau / Curasco</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</si>
  <si>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</si>
  <si>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</si>
  <si>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</si>
  <si>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t>Red Vial Nacional: PE-08B, 
Tramo:</t>
    </r>
    <r>
      <rPr>
        <sz val="10"/>
        <rFont val="Arial"/>
        <family val="2"/>
      </rPr>
      <t xml:space="preserve"> Soritor - Selva Alegre, 
</t>
    </r>
    <r>
      <rPr>
        <b/>
        <sz val="10"/>
        <rFont val="Arial"/>
        <family val="2"/>
      </rPr>
      <t>Sector:</t>
    </r>
    <r>
      <rPr>
        <sz val="10"/>
        <rFont val="Arial"/>
        <family val="2"/>
      </rPr>
      <t xml:space="preserve"> Cruce Salas  Km 517+250 - Km 517+266 (Km 34+350 - Km 34+366)</t>
    </r>
  </si>
  <si>
    <t>VIALES-003989</t>
  </si>
  <si>
    <t>Maquinaria de la Concesionaria CONVIAL SIERRA NORTE
02 Excavadora
05 Camión volquete</t>
  </si>
  <si>
    <r>
      <t xml:space="preserve">Red Vial Nacional: PE-3N,
Tramo: </t>
    </r>
    <r>
      <rPr>
        <sz val="10"/>
        <rFont val="Arial"/>
        <family val="2"/>
      </rPr>
      <t>Chiple - Cutervo,</t>
    </r>
    <r>
      <rPr>
        <b/>
        <sz val="10"/>
        <rFont val="Arial"/>
        <family val="2"/>
      </rPr>
      <t xml:space="preserve">
Sector: </t>
    </r>
    <r>
      <rPr>
        <sz val="10"/>
        <rFont val="Arial"/>
        <family val="2"/>
      </rPr>
      <t>Santa Isolina</t>
    </r>
    <r>
      <rPr>
        <b/>
        <sz val="10"/>
        <rFont val="Arial"/>
        <family val="2"/>
      </rPr>
      <t xml:space="preserve"> </t>
    </r>
    <r>
      <rPr>
        <sz val="10"/>
        <rFont val="Arial"/>
        <family val="2"/>
      </rPr>
      <t>Km 1448+800 - Km 1448+860 Local (Km 123+800 - Km 123+860)</t>
    </r>
  </si>
  <si>
    <t>VIALES-003991</t>
  </si>
  <si>
    <r>
      <t xml:space="preserve">Huánuco
</t>
    </r>
    <r>
      <rPr>
        <sz val="10"/>
        <color theme="1"/>
        <rFont val="Arial"/>
        <family val="2"/>
      </rPr>
      <t>Huánuco / Pillco Marca</t>
    </r>
  </si>
  <si>
    <r>
      <t xml:space="preserve">Red Vial Nacional: PE-3N,
Tramo: </t>
    </r>
    <r>
      <rPr>
        <sz val="10"/>
        <rFont val="Arial"/>
        <family val="2"/>
      </rPr>
      <t>Dv. Cerro de Pasco - Huánuco</t>
    </r>
    <r>
      <rPr>
        <b/>
        <sz val="10"/>
        <rFont val="Arial"/>
        <family val="2"/>
      </rPr>
      <t xml:space="preserve">,
Sector: </t>
    </r>
    <r>
      <rPr>
        <sz val="10"/>
        <rFont val="Arial"/>
        <family val="2"/>
      </rPr>
      <t>Cayhuayna Km 230+500 - Km 231+750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</si>
  <si>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34+550</t>
    </r>
    <r>
      <rPr>
        <b/>
        <sz val="10"/>
        <rFont val="Arial"/>
        <family val="2"/>
      </rPr>
      <t xml:space="preserve"> </t>
    </r>
    <r>
      <rPr>
        <sz val="10"/>
        <rFont val="Arial"/>
        <family val="2"/>
      </rPr>
      <t>- Km 34+600</t>
    </r>
  </si>
  <si>
    <t>Maquinaria IIRSA NORTE
01 Retroexcavadora</t>
  </si>
  <si>
    <r>
      <rPr>
        <b/>
        <sz val="10"/>
        <rFont val="Arial"/>
        <family val="2"/>
      </rPr>
      <t>PVN</t>
    </r>
    <r>
      <rPr>
        <sz val="10"/>
        <rFont val="Arial"/>
        <family val="2"/>
      </rPr>
      <t xml:space="preserve">
Administración por contrato
Jefatura zonal Ucayali
Carlos Dávila Rivadeneyra - Jefe zonal
Correo: Cdávila@pvn.gob.pe</t>
    </r>
  </si>
  <si>
    <t>VIALES-004001</t>
  </si>
  <si>
    <t>VIALES-004002</t>
  </si>
  <si>
    <r>
      <t xml:space="preserve">Red Vial Nacional: PE-3N,
Tramo: </t>
    </r>
    <r>
      <rPr>
        <sz val="10"/>
        <rFont val="Arial"/>
        <family val="2"/>
      </rPr>
      <t>Chiple - Cutervo,</t>
    </r>
    <r>
      <rPr>
        <b/>
        <sz val="10"/>
        <rFont val="Arial"/>
        <family val="2"/>
      </rPr>
      <t xml:space="preserve">
Sector: </t>
    </r>
    <r>
      <rPr>
        <sz val="10"/>
        <rFont val="Arial"/>
        <family val="2"/>
      </rPr>
      <t>Ladrillera</t>
    </r>
    <r>
      <rPr>
        <b/>
        <sz val="10"/>
        <rFont val="Arial"/>
        <family val="2"/>
      </rPr>
      <t xml:space="preserve"> </t>
    </r>
    <r>
      <rPr>
        <sz val="10"/>
        <rFont val="Arial"/>
        <family val="2"/>
      </rPr>
      <t>Km 1543+070 - Km 1543+130 Local (Km 90+070 - Km 90+130)</t>
    </r>
  </si>
  <si>
    <r>
      <t xml:space="preserve">Puno
</t>
    </r>
    <r>
      <rPr>
        <sz val="10"/>
        <color theme="1"/>
        <rFont val="Arial"/>
        <family val="2"/>
      </rPr>
      <t>Sandia / Cuyo Cuyo</t>
    </r>
  </si>
  <si>
    <r>
      <rPr>
        <b/>
        <sz val="10"/>
        <color theme="1"/>
        <rFont val="Arial"/>
        <family val="2"/>
      </rPr>
      <t>Piura</t>
    </r>
    <r>
      <rPr>
        <sz val="10"/>
        <color theme="1"/>
        <rFont val="Arial"/>
        <family val="2"/>
      </rPr>
      <t xml:space="preserve">
Ayabaca / Pacaipampa</t>
    </r>
  </si>
  <si>
    <r>
      <t>Red Vial Nacional: PE-1NR, 
Tramo:</t>
    </r>
    <r>
      <rPr>
        <sz val="10"/>
        <rFont val="Arial"/>
        <family val="2"/>
      </rPr>
      <t xml:space="preserve"> Salida Pacaipampa - Entrada Curilcas,
</t>
    </r>
    <r>
      <rPr>
        <b/>
        <sz val="10"/>
        <rFont val="Arial"/>
        <family val="2"/>
      </rPr>
      <t>Sector:</t>
    </r>
    <r>
      <rPr>
        <sz val="10"/>
        <rFont val="Arial"/>
        <family val="2"/>
      </rPr>
      <t xml:space="preserve"> El Limo Km 161+340 - Km 161+352</t>
    </r>
  </si>
  <si>
    <t>VIALES-004006</t>
  </si>
  <si>
    <t>VIALES-004007</t>
  </si>
  <si>
    <r>
      <t xml:space="preserve">Áncash
</t>
    </r>
    <r>
      <rPr>
        <sz val="10"/>
        <color theme="1"/>
        <rFont val="Arial"/>
        <family val="2"/>
      </rPr>
      <t>Corongo / Cusca</t>
    </r>
  </si>
  <si>
    <r>
      <t xml:space="preserve">Red Vial Nacional: PE-12A,
Tramo: </t>
    </r>
    <r>
      <rPr>
        <sz val="10"/>
        <rFont val="Arial"/>
        <family val="2"/>
      </rPr>
      <t>Dv. Sihuas - Pasacancha,</t>
    </r>
    <r>
      <rPr>
        <b/>
        <sz val="10"/>
        <rFont val="Arial"/>
        <family val="2"/>
      </rPr>
      <t xml:space="preserve">
Sector:</t>
    </r>
    <r>
      <rPr>
        <sz val="10"/>
        <rFont val="Arial"/>
        <family val="2"/>
      </rPr>
      <t xml:space="preserve"> Cahuacona Km 43+000 - Km 65+000</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</si>
  <si>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</si>
  <si>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</si>
  <si>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</si>
  <si>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</si>
  <si>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</si>
  <si>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</si>
  <si>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</si>
  <si>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</si>
  <si>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</si>
  <si>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</si>
  <si>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</si>
  <si>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</si>
  <si>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</si>
  <si>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</si>
  <si>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t>Maquinaria de PVN
01 Motoniveladora
01 Rodillo Liso Bermero</t>
  </si>
  <si>
    <t>Maquinaria del Contratista Conservador Consorcio China Railway 20 Bereau Group Corporation
01 Camión volquete
01 Retroexcavadora</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</si>
  <si>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</si>
  <si>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t xml:space="preserve">Red Vial Nacional: PE-3SF,
Tramo: </t>
    </r>
    <r>
      <rPr>
        <sz val="10"/>
        <color theme="1"/>
        <rFont val="Arial"/>
        <family val="2"/>
      </rPr>
      <t>Curasco - Challhuahuacho,</t>
    </r>
    <r>
      <rPr>
        <b/>
        <sz val="10"/>
        <color theme="1"/>
        <rFont val="Arial"/>
        <family val="2"/>
      </rPr>
      <t xml:space="preserve">
Sector: </t>
    </r>
    <r>
      <rPr>
        <sz val="10"/>
        <color theme="1"/>
        <rFont val="Arial"/>
        <family val="2"/>
      </rPr>
      <t>San Miguel Km 155+100 - Km 155+105</t>
    </r>
  </si>
  <si>
    <r>
      <rPr>
        <b/>
        <sz val="10"/>
        <color theme="1"/>
        <rFont val="Arial"/>
        <family val="2"/>
      </rPr>
      <t>Piura</t>
    </r>
    <r>
      <rPr>
        <sz val="10"/>
        <color theme="1"/>
        <rFont val="Arial"/>
        <family val="2"/>
      </rPr>
      <t xml:space="preserve">
Ayabaca / Ayabaca</t>
    </r>
  </si>
  <si>
    <r>
      <t xml:space="preserve">Cusco
</t>
    </r>
    <r>
      <rPr>
        <sz val="10"/>
        <color theme="1"/>
        <rFont val="Arial"/>
        <family val="2"/>
      </rPr>
      <t>La Convención/ Santa Ana</t>
    </r>
  </si>
  <si>
    <r>
      <t xml:space="preserve">Red Vial Nacional: PE-28B, 
Tramo: </t>
    </r>
    <r>
      <rPr>
        <sz val="10"/>
        <rFont val="Arial"/>
        <family val="2"/>
      </rPr>
      <t>Quillabamba -Alfamayo-Abra Malaga,</t>
    </r>
    <r>
      <rPr>
        <b/>
        <sz val="10"/>
        <rFont val="Arial"/>
        <family val="2"/>
      </rPr>
      <t xml:space="preserve">
Sector:</t>
    </r>
    <r>
      <rPr>
        <sz val="10"/>
        <rFont val="Arial"/>
        <family val="2"/>
      </rPr>
      <t xml:space="preserve"> Mazapata Km 221+500 - Km 221+600</t>
    </r>
  </si>
  <si>
    <t>VIALES-004013</t>
  </si>
  <si>
    <r>
      <rPr>
        <b/>
        <sz val="10"/>
        <color theme="1"/>
        <rFont val="Arial"/>
        <family val="2"/>
      </rPr>
      <t>Cajamarca</t>
    </r>
    <r>
      <rPr>
        <sz val="10"/>
        <color theme="1"/>
        <rFont val="Arial"/>
        <family val="2"/>
      </rPr>
      <t xml:space="preserve">
Cutervo / Socota</t>
    </r>
  </si>
  <si>
    <r>
      <t>Red Vial Nacional: PE-3ND, 
Tramo:</t>
    </r>
    <r>
      <rPr>
        <sz val="10"/>
        <rFont val="Arial"/>
        <family val="2"/>
      </rPr>
      <t xml:space="preserve"> Cutervo - Socota,
</t>
    </r>
    <r>
      <rPr>
        <b/>
        <sz val="10"/>
        <rFont val="Arial"/>
        <family val="2"/>
      </rPr>
      <t>Sector:</t>
    </r>
    <r>
      <rPr>
        <sz val="10"/>
        <rFont val="Arial"/>
        <family val="2"/>
      </rPr>
      <t xml:space="preserve"> Socota Km 22+495 - Km 22+525</t>
    </r>
  </si>
  <si>
    <t>VIALES-004028</t>
  </si>
  <si>
    <r>
      <t>Red Vial Nacional: PE-3N, 
Tramo:</t>
    </r>
    <r>
      <rPr>
        <sz val="10"/>
        <rFont val="Arial"/>
        <family val="2"/>
      </rPr>
      <t xml:space="preserve"> Dv. Curilcas - Socchabamba,
</t>
    </r>
    <r>
      <rPr>
        <b/>
        <sz val="10"/>
        <rFont val="Arial"/>
        <family val="2"/>
      </rPr>
      <t>Sector:</t>
    </r>
    <r>
      <rPr>
        <sz val="10"/>
        <rFont val="Arial"/>
        <family val="2"/>
      </rPr>
      <t xml:space="preserve"> Pacainio Km 1941+284 - Km 1941+324</t>
    </r>
  </si>
  <si>
    <t>VIALES-004029</t>
  </si>
  <si>
    <t>SERVICIO NORMAL</t>
  </si>
  <si>
    <t>Nacional</t>
  </si>
  <si>
    <t>VIALES-004032</t>
  </si>
  <si>
    <t>Aquia</t>
  </si>
  <si>
    <t>15.05.25</t>
  </si>
  <si>
    <t>Maquinaria de PVN
01 Cargador frontal
02 Camión volquete</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</si>
  <si>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</si>
  <si>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t>VIALES-004035</t>
  </si>
  <si>
    <r>
      <t>Red Vial Nacional: PE-3N, 
Tramo:</t>
    </r>
    <r>
      <rPr>
        <sz val="10"/>
        <rFont val="Arial"/>
        <family val="2"/>
      </rPr>
      <t xml:space="preserve"> Dv. Curilcas - Socchabamba,
</t>
    </r>
    <r>
      <rPr>
        <b/>
        <sz val="10"/>
        <rFont val="Arial"/>
        <family val="2"/>
      </rPr>
      <t>Sector:</t>
    </r>
    <r>
      <rPr>
        <sz val="10"/>
        <rFont val="Arial"/>
        <family val="2"/>
      </rPr>
      <t xml:space="preserve"> Pacainio Km 1884+380 - Km 1884+420</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</si>
  <si>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</si>
  <si>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</si>
  <si>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</si>
  <si>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</si>
  <si>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</si>
  <si>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</si>
  <si>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Red Vial Nacional: PE-3SF,
Tramo: </t>
    </r>
    <r>
      <rPr>
        <sz val="10"/>
        <color theme="1"/>
        <rFont val="Arial"/>
        <family val="2"/>
      </rPr>
      <t>Curasco - Challhuahuacho,</t>
    </r>
    <r>
      <rPr>
        <b/>
        <sz val="10"/>
        <color theme="1"/>
        <rFont val="Arial"/>
        <family val="2"/>
      </rPr>
      <t xml:space="preserve">
Sector: </t>
    </r>
    <r>
      <rPr>
        <sz val="10"/>
        <color theme="1"/>
        <rFont val="Arial"/>
        <family val="2"/>
      </rPr>
      <t>San Miguel Km 157+420 - Km 157+425</t>
    </r>
  </si>
  <si>
    <t>VIALES-004038</t>
  </si>
  <si>
    <t xml:space="preserve">Maquinaria del Contratista Conservador Construcción y Administración
01 Excavadora
</t>
  </si>
  <si>
    <t>VIALES-004039</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</si>
  <si>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</si>
  <si>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t>Red Vial Nacional: PE-5ND, 
Tramo:</t>
    </r>
    <r>
      <rPr>
        <sz val="10"/>
        <rFont val="Arial"/>
        <family val="2"/>
      </rPr>
      <t xml:space="preserve"> Entrada Chiriaco - Wawiko, 
</t>
    </r>
    <r>
      <rPr>
        <b/>
        <sz val="10"/>
        <rFont val="Arial"/>
        <family val="2"/>
      </rPr>
      <t>Sector:</t>
    </r>
    <r>
      <rPr>
        <sz val="10"/>
        <rFont val="Arial"/>
        <family val="2"/>
      </rPr>
      <t xml:space="preserve"> Nazareth Km 116+196 - Km 116+216</t>
    </r>
  </si>
  <si>
    <t>VIALES-004042</t>
  </si>
  <si>
    <t xml:space="preserve">Maquinaria del Contratista Construcción y Administración S.A. (Casa Constructores)
</t>
  </si>
  <si>
    <r>
      <t xml:space="preserve">Red Vial Nacional: PE-3ND,
Tramo: </t>
    </r>
    <r>
      <rPr>
        <sz val="10"/>
        <rFont val="Arial"/>
        <family val="2"/>
      </rPr>
      <t>Cutervo - Socota,</t>
    </r>
    <r>
      <rPr>
        <b/>
        <sz val="10"/>
        <rFont val="Arial"/>
        <family val="2"/>
      </rPr>
      <t xml:space="preserve">
Sector:</t>
    </r>
    <r>
      <rPr>
        <sz val="10"/>
        <rFont val="Arial"/>
        <family val="2"/>
      </rPr>
      <t xml:space="preserve"> Tres Cruces Km 3+015 - Km 3+025</t>
    </r>
  </si>
  <si>
    <t>VIALES-004046</t>
  </si>
  <si>
    <t>VIALES-004047</t>
  </si>
  <si>
    <r>
      <t>Red Vial Nacional: PE-10B, 
Tramo:</t>
    </r>
    <r>
      <rPr>
        <sz val="10"/>
        <rFont val="Arial"/>
        <family val="2"/>
      </rPr>
      <t xml:space="preserve"> Puente Pallar - Fundo Convento,
</t>
    </r>
    <r>
      <rPr>
        <b/>
        <sz val="10"/>
        <rFont val="Arial"/>
        <family val="2"/>
      </rPr>
      <t xml:space="preserve">Sector: </t>
    </r>
    <r>
      <rPr>
        <sz val="10"/>
        <rFont val="Arial"/>
        <family val="2"/>
      </rPr>
      <t>Ramada Km 35+920 - Km 35+980</t>
    </r>
  </si>
  <si>
    <t xml:space="preserve">Maquinaria del Contratista Conservador Consorcio Calemar
01 Excavadora 
02 Camión volquete
01 Cargador frontal
</t>
  </si>
  <si>
    <r>
      <t xml:space="preserve">Red Vial Nacional: PE-3SF,
Tramo: </t>
    </r>
    <r>
      <rPr>
        <sz val="10"/>
        <color theme="1"/>
        <rFont val="Arial"/>
        <family val="2"/>
      </rPr>
      <t>Curasco - Challhuahuacho,</t>
    </r>
    <r>
      <rPr>
        <b/>
        <sz val="10"/>
        <color theme="1"/>
        <rFont val="Arial"/>
        <family val="2"/>
      </rPr>
      <t xml:space="preserve">
Sector: </t>
    </r>
    <r>
      <rPr>
        <sz val="10"/>
        <color theme="1"/>
        <rFont val="Arial"/>
        <family val="2"/>
      </rPr>
      <t>Yauriquilla Km 151+040 - Km 151+045</t>
    </r>
  </si>
  <si>
    <t>VIALES-004049</t>
  </si>
  <si>
    <r>
      <rPr>
        <b/>
        <sz val="10"/>
        <color theme="1"/>
        <rFont val="Arial"/>
        <family val="2"/>
      </rPr>
      <t>Puno</t>
    </r>
    <r>
      <rPr>
        <sz val="10"/>
        <color theme="1"/>
        <rFont val="Arial"/>
        <family val="2"/>
      </rPr>
      <t xml:space="preserve">
Sandia / Sandia</t>
    </r>
  </si>
  <si>
    <r>
      <t>Red Vial Nacional: PE-34H, 
Tramo:</t>
    </r>
    <r>
      <rPr>
        <sz val="10"/>
        <rFont val="Arial"/>
        <family val="2"/>
      </rPr>
      <t xml:space="preserve"> Dv. Chuquine - Sandia,
</t>
    </r>
    <r>
      <rPr>
        <b/>
        <sz val="10"/>
        <rFont val="Arial"/>
        <family val="2"/>
      </rPr>
      <t>Sector:</t>
    </r>
    <r>
      <rPr>
        <sz val="10"/>
        <rFont val="Arial"/>
        <family val="2"/>
      </rPr>
      <t xml:space="preserve"> Ayo Km 215+150 - Km 215+190</t>
    </r>
  </si>
  <si>
    <t>VIALES-004050</t>
  </si>
  <si>
    <t>VIALES-004051</t>
  </si>
  <si>
    <r>
      <t xml:space="preserve">Red Vial Nacional: PE-3ND,
Tramo: </t>
    </r>
    <r>
      <rPr>
        <sz val="10"/>
        <rFont val="Arial"/>
        <family val="2"/>
      </rPr>
      <t>Santo Tomás - Pimpingos,</t>
    </r>
    <r>
      <rPr>
        <b/>
        <sz val="10"/>
        <rFont val="Arial"/>
        <family val="2"/>
      </rPr>
      <t xml:space="preserve">
Sector:</t>
    </r>
    <r>
      <rPr>
        <sz val="10"/>
        <rFont val="Arial"/>
        <family val="2"/>
      </rPr>
      <t xml:space="preserve"> Vista Florida Km 91+610 - Km 91+630</t>
    </r>
  </si>
  <si>
    <r>
      <t xml:space="preserve">Ayacucho
</t>
    </r>
    <r>
      <rPr>
        <sz val="10"/>
        <color theme="1"/>
        <rFont val="Arial"/>
        <family val="2"/>
      </rPr>
      <t>Lucanas / Chaviña</t>
    </r>
  </si>
  <si>
    <r>
      <t xml:space="preserve">Red Vial Nacional: PE-32,
Tramo: </t>
    </r>
    <r>
      <rPr>
        <sz val="10"/>
        <rFont val="Arial"/>
        <family val="2"/>
      </rPr>
      <t>Coracora - Chaviña,</t>
    </r>
    <r>
      <rPr>
        <b/>
        <sz val="10"/>
        <rFont val="Arial"/>
        <family val="2"/>
      </rPr>
      <t xml:space="preserve">
Sector: </t>
    </r>
    <r>
      <rPr>
        <sz val="10"/>
        <rFont val="Arial"/>
        <family val="2"/>
      </rPr>
      <t>Chaviña Km 212+190 - Km 212+210</t>
    </r>
  </si>
  <si>
    <t>VIALES-004052</t>
  </si>
  <si>
    <r>
      <rPr>
        <b/>
        <sz val="10"/>
        <color theme="1"/>
        <rFont val="Arial"/>
        <family val="2"/>
      </rPr>
      <t>Pasco</t>
    </r>
    <r>
      <rPr>
        <sz val="10"/>
        <color theme="1"/>
        <rFont val="Arial"/>
        <family val="2"/>
      </rPr>
      <t xml:space="preserve">
Pasco / Yanacancha</t>
    </r>
  </si>
  <si>
    <r>
      <t>Red Vial Nacional: PE-3N, 
Tramo:</t>
    </r>
    <r>
      <rPr>
        <sz val="10"/>
        <rFont val="Arial"/>
        <family val="2"/>
      </rPr>
      <t xml:space="preserve"> Dv. Cerro de Pasco - Huánuco
</t>
    </r>
    <r>
      <rPr>
        <b/>
        <sz val="10"/>
        <rFont val="Arial"/>
        <family val="2"/>
      </rPr>
      <t>Sector:</t>
    </r>
    <r>
      <rPr>
        <sz val="10"/>
        <rFont val="Arial"/>
        <family val="2"/>
      </rPr>
      <t xml:space="preserve">  La Quinua Km 146+300 - Km 146+350</t>
    </r>
  </si>
  <si>
    <t>VIALES-004053</t>
  </si>
  <si>
    <r>
      <t xml:space="preserve">Huánuco
</t>
    </r>
    <r>
      <rPr>
        <sz val="10"/>
        <color theme="1"/>
        <rFont val="Arial"/>
        <family val="2"/>
      </rPr>
      <t>Puerto Inca / Puerto Inca</t>
    </r>
  </si>
  <si>
    <r>
      <t xml:space="preserve">Red Vial Nacional: PE-5NA,
Tramo: </t>
    </r>
    <r>
      <rPr>
        <sz val="10"/>
        <rFont val="Arial"/>
        <family val="2"/>
      </rPr>
      <t>Codo del Pozuzo - Emp.5N,</t>
    </r>
    <r>
      <rPr>
        <b/>
        <sz val="10"/>
        <rFont val="Arial"/>
        <family val="2"/>
      </rPr>
      <t xml:space="preserve">
Sector:</t>
    </r>
    <r>
      <rPr>
        <sz val="10"/>
        <rFont val="Arial"/>
        <family val="2"/>
      </rPr>
      <t xml:space="preserve"> Codo del Pozuzo Km 226+110 - Km 226+140</t>
    </r>
  </si>
  <si>
    <t>VIALES-004054</t>
  </si>
  <si>
    <t>Puerto de San Nicolás</t>
  </si>
  <si>
    <t>Puerto de San Juan de Marcona</t>
  </si>
  <si>
    <t>PUERTO-00512</t>
  </si>
  <si>
    <t>PUERTO-00513</t>
  </si>
  <si>
    <t>Maquinaria del Contratista Conservador Consorcio Vial Puquio
01 Camión volquete
01 Retroexcavadora</t>
  </si>
  <si>
    <t xml:space="preserve">Maquinaria del Contratista Conservador Consorcio China Railway 20 Bereau Group Corporation
01 Camión volquete
01 Camión baranda
01 Retroexcavadora
02 Compactador Vibrador
</t>
  </si>
  <si>
    <t>VIALES-004056</t>
  </si>
  <si>
    <t>Puerto de Ilo</t>
  </si>
  <si>
    <t>PUERTO-00518</t>
  </si>
  <si>
    <r>
      <rPr>
        <b/>
        <sz val="10"/>
        <color theme="1"/>
        <rFont val="Arial"/>
        <family val="2"/>
      </rPr>
      <t>Puno</t>
    </r>
    <r>
      <rPr>
        <sz val="10"/>
        <color theme="1"/>
        <rFont val="Arial"/>
        <family val="2"/>
      </rPr>
      <t xml:space="preserve">
Sandia / Yanahuaya</t>
    </r>
  </si>
  <si>
    <t>VIALES-004058</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</si>
  <si>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</si>
  <si>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</si>
  <si>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r>
      <t xml:space="preserve">Red Vial Nacional: PE-34H, 
Tramo: </t>
    </r>
    <r>
      <rPr>
        <sz val="10"/>
        <rFont val="Arial"/>
        <family val="2"/>
      </rPr>
      <t xml:space="preserve">Quiquira - Putina Punco,
</t>
    </r>
    <r>
      <rPr>
        <b/>
        <sz val="10"/>
        <rFont val="Arial"/>
        <family val="2"/>
      </rPr>
      <t>Sector:</t>
    </r>
    <r>
      <rPr>
        <sz val="10"/>
        <rFont val="Arial"/>
        <family val="2"/>
      </rPr>
      <t xml:space="preserve"> San Martín de Tambopata Km 297+200 - Km 297+240</t>
    </r>
  </si>
  <si>
    <t>Puerto de Talara</t>
  </si>
  <si>
    <t>PUERTO-00520</t>
  </si>
  <si>
    <t>Puerto de Huacho</t>
  </si>
  <si>
    <t>PUERTO-00524</t>
  </si>
  <si>
    <t>Puerto de Pacasmayo</t>
  </si>
  <si>
    <t>Puerto de Malabrigo</t>
  </si>
  <si>
    <t>PUERTO-00525</t>
  </si>
  <si>
    <t>PUERTO-00526</t>
  </si>
  <si>
    <t>VIALES-004060</t>
  </si>
  <si>
    <t>Maquinaria del Contratista Conservador Consorcio Vial Sondor Vado Grande
01 Retroexcavadora</t>
  </si>
  <si>
    <t>Maquinaria del Contratista Conservador Mota Engil</t>
  </si>
  <si>
    <t>Maquinaria de Consorcio Vial Pimentel</t>
  </si>
  <si>
    <r>
      <t xml:space="preserve">Cajamarca
</t>
    </r>
    <r>
      <rPr>
        <sz val="10"/>
        <color theme="1"/>
        <rFont val="Arial"/>
        <family val="2"/>
      </rPr>
      <t>Chota / Chota</t>
    </r>
  </si>
  <si>
    <t>PUERTO-00527</t>
  </si>
  <si>
    <t>Puerto de Melchorita</t>
  </si>
  <si>
    <t>PUERTO-00528</t>
  </si>
  <si>
    <t>Puerto de Salaverry</t>
  </si>
  <si>
    <r>
      <t xml:space="preserve">Ayacucho
</t>
    </r>
    <r>
      <rPr>
        <sz val="10"/>
        <color theme="1"/>
        <rFont val="Arial"/>
        <family val="2"/>
      </rPr>
      <t>Parinacochas / Coracora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</si>
  <si>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</si>
  <si>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</si>
  <si>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</si>
  <si>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r>
      <t xml:space="preserve">Cajamarca
</t>
    </r>
    <r>
      <rPr>
        <sz val="10"/>
        <color theme="1"/>
        <rFont val="Arial"/>
        <family val="2"/>
      </rPr>
      <t>Cutervo / Santo Tomás</t>
    </r>
  </si>
  <si>
    <r>
      <t xml:space="preserve">Red Vial Nacional: PE-3ND,
Tramo: </t>
    </r>
    <r>
      <rPr>
        <sz val="10"/>
        <rFont val="Arial"/>
        <family val="2"/>
      </rPr>
      <t>San Andrés -</t>
    </r>
    <r>
      <rPr>
        <b/>
        <sz val="10"/>
        <rFont val="Arial"/>
        <family val="2"/>
      </rPr>
      <t xml:space="preserve"> </t>
    </r>
    <r>
      <rPr>
        <sz val="10"/>
        <rFont val="Arial"/>
        <family val="2"/>
      </rPr>
      <t>Santo Tomás,</t>
    </r>
    <r>
      <rPr>
        <b/>
        <sz val="10"/>
        <rFont val="Arial"/>
        <family val="2"/>
      </rPr>
      <t xml:space="preserve">
Sector:</t>
    </r>
    <r>
      <rPr>
        <sz val="10"/>
        <rFont val="Arial"/>
        <family val="2"/>
      </rPr>
      <t xml:space="preserve"> Cerro Gavilán Km 58+260 - Km 58+270</t>
    </r>
  </si>
  <si>
    <t>VIALES-004063</t>
  </si>
  <si>
    <t>PUERTO-00529</t>
  </si>
  <si>
    <t>Puerto de Chimbote</t>
  </si>
  <si>
    <t>PUERTO-00530</t>
  </si>
  <si>
    <t>Puerto de Huarmey</t>
  </si>
  <si>
    <t>VIALES-004064</t>
  </si>
  <si>
    <r>
      <t xml:space="preserve">Red Vial Nacional: PE-5N,
Tramo: </t>
    </r>
    <r>
      <rPr>
        <sz val="10"/>
        <rFont val="Arial"/>
        <family val="2"/>
      </rPr>
      <t>San Juan Cacazu -</t>
    </r>
    <r>
      <rPr>
        <b/>
        <sz val="10"/>
        <rFont val="Arial"/>
        <family val="2"/>
      </rPr>
      <t xml:space="preserve"> </t>
    </r>
    <r>
      <rPr>
        <sz val="10"/>
        <rFont val="Arial"/>
        <family val="2"/>
      </rPr>
      <t>Puerto Bermúdez,</t>
    </r>
    <r>
      <rPr>
        <b/>
        <sz val="10"/>
        <rFont val="Arial"/>
        <family val="2"/>
      </rPr>
      <t xml:space="preserve">
Sector:</t>
    </r>
    <r>
      <rPr>
        <sz val="10"/>
        <rFont val="Arial"/>
        <family val="2"/>
      </rPr>
      <t xml:space="preserve"> San Juan de Cacazu Km 78+730 - Km 78+750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</si>
  <si>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</si>
  <si>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</si>
  <si>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</si>
  <si>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</si>
  <si>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</si>
  <si>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</si>
  <si>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</si>
  <si>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</si>
  <si>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</si>
  <si>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VIALES-004067</t>
  </si>
  <si>
    <r>
      <t xml:space="preserve">Áncash
</t>
    </r>
    <r>
      <rPr>
        <sz val="10"/>
        <color theme="1"/>
        <rFont val="Arial"/>
        <family val="2"/>
      </rPr>
      <t>Huari / Anra</t>
    </r>
  </si>
  <si>
    <r>
      <t xml:space="preserve">Red Vial Nacional: PE-14D,
Tramo: </t>
    </r>
    <r>
      <rPr>
        <sz val="10"/>
        <rFont val="Arial"/>
        <family val="2"/>
      </rPr>
      <t>Allpash - Puchca,</t>
    </r>
    <r>
      <rPr>
        <b/>
        <sz val="10"/>
        <rFont val="Arial"/>
        <family val="2"/>
      </rPr>
      <t xml:space="preserve">
Sector:</t>
    </r>
    <r>
      <rPr>
        <sz val="10"/>
        <rFont val="Arial"/>
        <family val="2"/>
      </rPr>
      <t xml:space="preserve"> Maraypampa Km 01+200 - Km 01+240</t>
    </r>
  </si>
  <si>
    <t>Cirato</t>
  </si>
  <si>
    <t>PE-06B</t>
  </si>
  <si>
    <t>16.05.25</t>
  </si>
  <si>
    <r>
      <t>Red Vial Nacional: PE-3N, 
Tramo:</t>
    </r>
    <r>
      <rPr>
        <sz val="10"/>
        <rFont val="Arial"/>
        <family val="2"/>
      </rPr>
      <t xml:space="preserve"> Dv. Curilcas - Socchabamba,
</t>
    </r>
    <r>
      <rPr>
        <b/>
        <sz val="10"/>
        <rFont val="Arial"/>
        <family val="2"/>
      </rPr>
      <t>Sector:</t>
    </r>
    <r>
      <rPr>
        <sz val="10"/>
        <rFont val="Arial"/>
        <family val="2"/>
      </rPr>
      <t xml:space="preserve"> Angurco Km 1909+467 - Km 1909+497 (Progresivas según TDR Km 1963+560 - k m 1963+590)</t>
    </r>
  </si>
  <si>
    <r>
      <t xml:space="preserve">Lima
</t>
    </r>
    <r>
      <rPr>
        <sz val="10"/>
        <color theme="1"/>
        <rFont val="Arial"/>
        <family val="2"/>
      </rPr>
      <t>Cajatambo / Copa</t>
    </r>
  </si>
  <si>
    <r>
      <t xml:space="preserve">Red Vial Nacional: PE-16A,
Tramo: </t>
    </r>
    <r>
      <rPr>
        <sz val="10"/>
        <rFont val="Arial"/>
        <family val="2"/>
      </rPr>
      <t>Pamplona - Cajatambo,</t>
    </r>
    <r>
      <rPr>
        <b/>
        <sz val="10"/>
        <rFont val="Arial"/>
        <family val="2"/>
      </rPr>
      <t xml:space="preserve">
Sector:</t>
    </r>
    <r>
      <rPr>
        <sz val="10"/>
        <rFont val="Arial"/>
        <family val="2"/>
      </rPr>
      <t xml:space="preserve"> Huancapon Km 91+560 - Km 91+600</t>
    </r>
  </si>
  <si>
    <t>VIALES-004068</t>
  </si>
  <si>
    <t>Puerto de Paita</t>
  </si>
  <si>
    <t>PUERTO-00532</t>
  </si>
  <si>
    <t>VIALES-004069</t>
  </si>
  <si>
    <r>
      <t xml:space="preserve">Cusco
</t>
    </r>
    <r>
      <rPr>
        <sz val="10"/>
        <color theme="1"/>
        <rFont val="Arial"/>
        <family val="2"/>
      </rPr>
      <t>Chumbivilcas / Santo Tomás</t>
    </r>
  </si>
  <si>
    <r>
      <t xml:space="preserve">Red Vial Nacional: PE-3SG,
Tramo: </t>
    </r>
    <r>
      <rPr>
        <sz val="10"/>
        <rFont val="Arial"/>
        <family val="2"/>
      </rPr>
      <t>Challhuahuacho - Velille,</t>
    </r>
    <r>
      <rPr>
        <b/>
        <sz val="10"/>
        <rFont val="Arial"/>
        <family val="2"/>
      </rPr>
      <t xml:space="preserve">
Sector:</t>
    </r>
    <r>
      <rPr>
        <sz val="10"/>
        <rFont val="Arial"/>
        <family val="2"/>
      </rPr>
      <t xml:space="preserve"> Santo Tomás Km 113+090 - Km 113+110</t>
    </r>
  </si>
  <si>
    <r>
      <t xml:space="preserve">Red Vial Nacional: PE-5N, 
Tramo: </t>
    </r>
    <r>
      <rPr>
        <sz val="10"/>
        <rFont val="Arial"/>
        <family val="2"/>
      </rPr>
      <t>Puente Chino - Aguaytia,</t>
    </r>
    <r>
      <rPr>
        <b/>
        <sz val="10"/>
        <rFont val="Arial"/>
        <family val="2"/>
      </rPr>
      <t xml:space="preserve"> 
Sector: </t>
    </r>
    <r>
      <rPr>
        <sz val="10"/>
        <rFont val="Arial"/>
        <family val="2"/>
      </rPr>
      <t>Juan Velazco Km 460+840 - Km 430+940</t>
    </r>
  </si>
  <si>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</si>
  <si>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VIALES-004070</t>
  </si>
  <si>
    <r>
      <t xml:space="preserve">Red Vial Nacional: PE-3ND,
Tramo: </t>
    </r>
    <r>
      <rPr>
        <sz val="10"/>
        <rFont val="Arial"/>
        <family val="2"/>
      </rPr>
      <t>San Andrés - Santo Tomás,</t>
    </r>
    <r>
      <rPr>
        <b/>
        <sz val="10"/>
        <rFont val="Arial"/>
        <family val="2"/>
      </rPr>
      <t xml:space="preserve">
Sector:</t>
    </r>
    <r>
      <rPr>
        <sz val="10"/>
        <rFont val="Arial"/>
        <family val="2"/>
      </rPr>
      <t xml:space="preserve"> Cerro Gavilán Km 58+350 - Km 58+360</t>
    </r>
  </si>
  <si>
    <t>Maquinaria del Contratista China Railway Tunnel Group Co. LTD Sucursal del Perú
01 Retroexcavadora
01 Cargador frontal</t>
  </si>
  <si>
    <t>Maquinaria del Contratista Conservador Mota - Engil Perú S.A.
01 Excavadora
06 Camión volquete
01 Retroexcavadora
01 Rodillo Liso
01 Motoniveladora</t>
  </si>
  <si>
    <r>
      <t xml:space="preserve">Amazonas
</t>
    </r>
    <r>
      <rPr>
        <sz val="10"/>
        <color theme="1"/>
        <rFont val="Arial"/>
        <family val="2"/>
      </rPr>
      <t>Condorcanqui / Nieva</t>
    </r>
  </si>
  <si>
    <r>
      <t>Red Vial Nacional: PE-5ND, 
Tramo:</t>
    </r>
    <r>
      <rPr>
        <sz val="10"/>
        <rFont val="Arial"/>
        <family val="2"/>
      </rPr>
      <t xml:space="preserve"> Wawiko -Km 58, 
</t>
    </r>
    <r>
      <rPr>
        <b/>
        <sz val="10"/>
        <rFont val="Arial"/>
        <family val="2"/>
      </rPr>
      <t>Sector:</t>
    </r>
    <r>
      <rPr>
        <sz val="10"/>
        <rFont val="Arial"/>
        <family val="2"/>
      </rPr>
      <t xml:space="preserve"> Kayants Km 35+040 - Km 35+051</t>
    </r>
  </si>
  <si>
    <t>VIALES-004071</t>
  </si>
  <si>
    <r>
      <t xml:space="preserve">Red Vial Nacional: PE-32,
Tramo: </t>
    </r>
    <r>
      <rPr>
        <sz val="10"/>
        <rFont val="Arial"/>
        <family val="2"/>
      </rPr>
      <t>Chaviña - Puquio,</t>
    </r>
    <r>
      <rPr>
        <b/>
        <sz val="10"/>
        <rFont val="Arial"/>
        <family val="2"/>
      </rPr>
      <t xml:space="preserve">
Sector: </t>
    </r>
    <r>
      <rPr>
        <sz val="10"/>
        <rFont val="Arial"/>
        <family val="2"/>
      </rPr>
      <t>Chaviña Km 224+500 - Km 236+800</t>
    </r>
  </si>
  <si>
    <t>Maquinaria del Contratista Conservador Consorcio Vial Puquio</t>
  </si>
  <si>
    <t>VIALES-004072</t>
  </si>
  <si>
    <r>
      <t xml:space="preserve">Red Vial Nacional: PE-32,
Tramo: </t>
    </r>
    <r>
      <rPr>
        <sz val="10"/>
        <rFont val="Arial"/>
        <family val="2"/>
      </rPr>
      <t>Coracora - Chaviña,</t>
    </r>
    <r>
      <rPr>
        <b/>
        <sz val="10"/>
        <rFont val="Arial"/>
        <family val="2"/>
      </rPr>
      <t xml:space="preserve">
Sector: </t>
    </r>
    <r>
      <rPr>
        <sz val="10"/>
        <rFont val="Arial"/>
        <family val="2"/>
      </rPr>
      <t>Aycara Km 209+900 - Km 209+920</t>
    </r>
  </si>
  <si>
    <t>VIALES-004073</t>
  </si>
  <si>
    <t>Puerto de Eten</t>
  </si>
  <si>
    <t>PUERTO-00535</t>
  </si>
  <si>
    <r>
      <t xml:space="preserve">Red Vial Nacional: PE-5NA,
Tramo: </t>
    </r>
    <r>
      <rPr>
        <sz val="10"/>
        <rFont val="Arial"/>
        <family val="2"/>
      </rPr>
      <t>Codo del Pozuzo - Emp.5N,</t>
    </r>
    <r>
      <rPr>
        <b/>
        <sz val="10"/>
        <rFont val="Arial"/>
        <family val="2"/>
      </rPr>
      <t xml:space="preserve">
Sector:</t>
    </r>
    <r>
      <rPr>
        <sz val="10"/>
        <rFont val="Arial"/>
        <family val="2"/>
      </rPr>
      <t xml:space="preserve"> Codo de Pozuzo Km 246+080 - Km 246+200</t>
    </r>
  </si>
  <si>
    <t xml:space="preserve">Maquinaria del Contratista Conservador Consorcio Corredor Vial
01 Excavadora
</t>
  </si>
  <si>
    <t>VIALES-004074</t>
  </si>
  <si>
    <r>
      <t xml:space="preserve">Red Vial Nacional: PE-16A,
Tramo: </t>
    </r>
    <r>
      <rPr>
        <sz val="10"/>
        <rFont val="Arial"/>
        <family val="2"/>
      </rPr>
      <t>Pamplona - Cajatambo,</t>
    </r>
    <r>
      <rPr>
        <b/>
        <sz val="10"/>
        <rFont val="Arial"/>
        <family val="2"/>
      </rPr>
      <t xml:space="preserve">
Sector:</t>
    </r>
    <r>
      <rPr>
        <sz val="10"/>
        <rFont val="Arial"/>
        <family val="2"/>
      </rPr>
      <t xml:space="preserve"> Huancapon Km 88+580 - Km 88+605</t>
    </r>
  </si>
  <si>
    <t>VIALES-004075</t>
  </si>
  <si>
    <t>Puerto deSupe</t>
  </si>
  <si>
    <t>ABIERTO</t>
  </si>
  <si>
    <t>PUERTO-00536</t>
  </si>
  <si>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</si>
  <si>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</si>
  <si>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</si>
  <si>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VIALES-004078</t>
  </si>
  <si>
    <t>VIALES-004079</t>
  </si>
  <si>
    <t>TRÁNSITO NORMAL</t>
  </si>
  <si>
    <t>MAQUINARIA
(Cantidad/tipo)</t>
  </si>
  <si>
    <r>
      <t xml:space="preserve">Red Vial Nacional: PE-3ND,
Tramo: </t>
    </r>
    <r>
      <rPr>
        <sz val="10"/>
        <rFont val="Arial"/>
        <family val="2"/>
      </rPr>
      <t>San Andrés - Santo Tomás,</t>
    </r>
    <r>
      <rPr>
        <b/>
        <sz val="10"/>
        <rFont val="Arial"/>
        <family val="2"/>
      </rPr>
      <t xml:space="preserve">
Sector:</t>
    </r>
    <r>
      <rPr>
        <sz val="10"/>
        <rFont val="Arial"/>
        <family val="2"/>
      </rPr>
      <t xml:space="preserve"> San Andrés Km 51+954 - Km 52+245</t>
    </r>
  </si>
  <si>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</si>
  <si>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t xml:space="preserve">27/05/2025   </t>
  </si>
  <si>
    <t>27/05/2025</t>
  </si>
  <si>
    <t xml:space="preserve">27/05/2025 </t>
  </si>
  <si>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27.05.25 PVN Zonal Áncash realiza actividades de señalización en el lugar afectado. Asimismo, coordinaciones administrativas tales como trámite del plan de trabajo y elaboración de los términos de referencia.</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</si>
  <si>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27.05.25 PVN Zonal Lambayeque informa que el Conservador realiza señalización del área de trabajo, levantamiento topográfico, trazo y replanteo del eje del desvío provisional, limpieza y roce de vegetación en el desvío provisional del puente Tumán (aguas arriba y aguas abajo), explanación de terreno en el desvío provisional, colocación y compactación de material OVER para capa nivelante. Asimismo, ha dispuesto la instalación de alcantarillas.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</si>
  <si>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27.05.25 PVN Zonal La Libertad informa que el Conservador reporta que los trabajos de emergencia se encuentran suspendidos debido a que la falla geológica es irreversible y no hay condiciones para seguir trabajando, se ha dispuesto recuperación de plataforma.</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</si>
  <si>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27.05.25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</si>
  <si>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27.05.25 PVN Zonal Arequipa informa que el Conservador monitorea la emergencia e indica que los vehículos se dirigen por la zona urbana de Dean Valdivia y de Cocachacra a través de las vías vecinales.</t>
    </r>
  </si>
  <si>
    <r>
      <rPr>
        <b/>
        <sz val="10"/>
        <rFont val="Arial"/>
        <family val="2"/>
      </rPr>
      <t>Precipitaciones pluviales - Erosión de plataforma</t>
    </r>
    <r>
      <rPr>
        <sz val="10"/>
        <rFont val="Arial"/>
        <family val="2"/>
      </rPr>
      <t xml:space="preserve">
Debido a las precipitaciones pluviales en el sector y acumulación de aguas superficiales en punto bajo de la vía, se produjo erosión de plataforma afectando la vía parcialmente.
27.05.25 PVN Zonal Lambayeque procede a la señalización en la zona de trabajo, asimismo, excavación, colocación de tubería, relleno y compactación. Dispone la construcción de un pase de agua y demás estructuras necesarias con la finalidad de drenar aguas superficiales que provocan daños en la carretera.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</si>
  <si>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27.05.25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</si>
  <si>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27.05.25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</si>
  <si>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27.05.25 PVN Zonal Lima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</si>
  <si>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27.05.25 PVN Zonal Ucayali informa que el Conservador realiza trabajos de instalación de dispositivos de seguridad y movilización de equipos para la atención de la emergencia vial, actualmente se encuentra movilizando 01 excavadora.</t>
    </r>
  </si>
  <si>
    <r>
      <rPr>
        <b/>
        <sz val="10"/>
        <rFont val="Arial"/>
        <family val="2"/>
      </rPr>
      <t>Precipitaciones pluviales - Pérdida de plataforma</t>
    </r>
    <r>
      <rPr>
        <sz val="10"/>
        <rFont val="Arial"/>
        <family val="2"/>
      </rPr>
      <t xml:space="preserve">
Debido a las precipitaciones pluviales en el sector, se produjo pérdida de plataforma afectando la vía parcialmente.
27.05.25 PVN Zonal Lima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</si>
  <si>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27.05.25 PVN Zonal Cusco - Apurímac informa que el Conservador realiza las actividades de señalización, selección y acopio de rocas, perfilado de plataforma con fines de ampliar el ancho de plataforma y dar el pase provisional.</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</si>
  <si>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27.05.25 PVN Zonal Junín - Pasco informa que el Conservador realiza los trabajos de señalización y dispone ejecutar un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</si>
  <si>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27.05.25 PVN Zonal Lambayeque informa que el Conservador programa trabajos de excavación para colocación de alcantarilla TMC, así como instalación de tubería TMC y relleno compactado en alcantarilla.</t>
    </r>
  </si>
  <si>
    <r>
      <rPr>
        <b/>
        <sz val="10"/>
        <rFont val="Arial"/>
        <family val="2"/>
      </rPr>
      <t>Precipitaciones pluviales - Inundación de plataforma</t>
    </r>
    <r>
      <rPr>
        <sz val="10"/>
        <rFont val="Arial"/>
        <family val="2"/>
      </rPr>
      <t xml:space="preserve">
Debido a las constantes precipitaciones pluviales en el sector, se produjo inundación, afectando el tránsito vehicular.
27.05.25 PVN Zonal Ucayali informa que el Conservador realiza trabajos de instalación de dispositivos de seguridad vial y movilización de equipos.</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</si>
  <si>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27.05.25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</si>
  <si>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27.05.25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</si>
  <si>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27.05.25 PVN Zonal Piura - Tumbes informa que el Conservador procede a colocar señalización, control de tránsito y trabajos de excavación para la colocación de muro bolsacreto.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</si>
  <si>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27.05.25 PVN Zonal Ica informa que el Conservador realiza el control del tránsito y movilización de maquinaria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</si>
  <si>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27.05.25 PVN Zonal Lambayeque informa que el Conservador realiza señalización preventiva, trabajos de perfilado y excavación manual para cimentación de base de muro. Asimismo, ha dispuesto construcción de muro para evitar socavación de la plataforma.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</si>
  <si>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27.05.25 PVN Zonal Huánuco informa que realiza gestiones para la contratación de los servicios.</t>
    </r>
  </si>
  <si>
    <r>
      <rPr>
        <b/>
        <sz val="10"/>
        <rFont val="Arial"/>
        <family val="2"/>
      </rPr>
      <t>Precipitaciones pluviales - Derrumbe</t>
    </r>
    <r>
      <rPr>
        <sz val="10"/>
        <rFont val="Arial"/>
        <family val="2"/>
      </rPr>
      <t xml:space="preserve">
Debido a las precipitaciones pluviales en el sector ocasionaron la inestabilidad del talud superior, lo que provocó un derrumbe de mayor magnitud que afectó parcialmente la vía.
27.05.25 PVN Zonal Puno informa que el Conservador realiza eliminación de material de derrumbe. Asimismo, se ha dispuesto recuperación de la calzada.</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</si>
  <si>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27.05.25 PVN Zonal La Libertad informa que el Conservador realiza la eliminación del derrumbe.</t>
    </r>
  </si>
  <si>
    <r>
      <rPr>
        <b/>
        <sz val="10"/>
        <rFont val="Arial"/>
        <family val="2"/>
      </rPr>
      <t>Precipitaciones pluviales - Colapso de alcantarilla</t>
    </r>
    <r>
      <rPr>
        <sz val="10"/>
        <rFont val="Arial"/>
        <family val="2"/>
      </rPr>
      <t xml:space="preserve">
Debido a las constantes precipitaciones pluviales en el sector, se produjo colapso de alcantarilla, afectando el tránsito vehicular.
27.05.25 PVN Zonal Cusco - Apurímac informa que el Conservador realiza actividades de señalización, excavación, sembrado de TMC 36”, relleno y compactado</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</si>
  <si>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27.05.25 PVN Zonal Lambayeque informa que el Conservador realiza la señalización en el sector afectado, asimismo se procede con los trabajos de perfilado y excavación manual en entrada y salida de alcantarilla</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</si>
  <si>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27.05.25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</si>
  <si>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27.05.25 PVN Zonal Piura - Tumbes informa que el Conservador realiza trabajos de señalización y movilización de equipos para la ejecución de los trabajos. Asimismo, ha dispuesto la colocación de muro de bolsacreto.</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</si>
  <si>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27.05.25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</si>
  <si>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27.05.25 PVN Zonal Amazonas informa que el Conservador realiza la señalización preventiva, del sector a intervenir</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</si>
  <si>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27.05.25 PVN Zonal Lambayeque informa que el Conservador programa trabajos de perfilado y excavación manual en salida de alcantarilla, asimismo complementación de cuerpos de TMC en salida de alcantarilla.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</si>
  <si>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27.05.25 PVN Zonal Cusco - Apurímac realiza la eliminación de material por derrumbe.</t>
    </r>
  </si>
  <si>
    <r>
      <rPr>
        <b/>
        <sz val="10"/>
        <rFont val="Arial"/>
        <family val="2"/>
      </rPr>
      <t>Precipitaciones pluviales - Ahuellamiento</t>
    </r>
    <r>
      <rPr>
        <sz val="10"/>
        <rFont val="Arial"/>
        <family val="2"/>
      </rPr>
      <t xml:space="preserve">
Debido a las constantes precipitaciones pluviales en la zona, se produjo deformaciones profundas de la plataforma en la vía, afectando la transitabilidad.
27.05.25 PVN Zonal Áncash informa que dispuso recuperación de calzada, mediante la reconformación de la plataforma, realiza las coordinaciones para recuperar los niveles de la plataforma.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</si>
  <si>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27.05.25 PVN Zonal Piura - Tumbes informa que el Conservador realiza trabajos de señalización preventiva, control de tráfico vehicular, corte y perfilado de talud inferior, levantamiento topográfico, ensayos de laboratorio en campo, transporte de material seleccionado de cantera, eliminación de material excedente.</t>
    </r>
  </si>
  <si>
    <r>
      <rPr>
        <b/>
        <sz val="10"/>
        <rFont val="Arial"/>
        <family val="2"/>
      </rPr>
      <t>Precipitaciones pluviales - Derrumbe</t>
    </r>
    <r>
      <rPr>
        <sz val="10"/>
        <rFont val="Arial"/>
        <family val="2"/>
      </rPr>
      <t xml:space="preserve">
Debido a las precipitaciones pluviales, se produjo derrumbe del talud superior interrumpiendo la vía parcialmente.
27.05.25 La Concesionaria comunica que volvió a caer material, se interrumpió la transitabilidad de la vía. Personal y maquinaria realizará la limpieza correspondiente. Se viene dando aviso mediante las unidades de peaje sobre el estado de la vía.</t>
    </r>
  </si>
  <si>
    <r>
      <rPr>
        <b/>
        <sz val="10"/>
        <rFont val="Arial"/>
        <family val="2"/>
      </rPr>
      <t>Precipitaciones pluviales - Derrumbe</t>
    </r>
    <r>
      <rPr>
        <sz val="10"/>
        <rFont val="Arial"/>
        <family val="2"/>
      </rPr>
      <t xml:space="preserve">
Debido a las precipitaciones pluviales en el sector, se produjo derrumbe, afectando la transitabilidad vehicular.
27.05.25 PVN Zonal Ica informa que realiza las coordinaciones para ejecutar las actividades de atención de la emergencia.</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</si>
  <si>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27.05.25 PVN Zonal Huánuco informa que gestiona la contratación de los servicios a fin de recuperar la transitabilidad vehicular.</t>
    </r>
  </si>
  <si>
    <r>
      <rPr>
        <b/>
        <sz val="10"/>
        <rFont val="Arial"/>
        <family val="2"/>
      </rPr>
      <t>Vientos fuertes - Arenamiento</t>
    </r>
    <r>
      <rPr>
        <sz val="10"/>
        <rFont val="Arial"/>
        <family val="2"/>
      </rPr>
      <t xml:space="preserve">
Debido a los vientos fuertes en el sector, se produjo arenamiento, afectando la transitabilidad vehicular.
27.05.25 PVN Zonal Ica realiza la gestión de recursos para atender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</si>
  <si>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27.05.25 PVN Zonal Cusco - Apurímac realiza la gestión de recursos para atender la emergencia.</t>
    </r>
  </si>
  <si>
    <r>
      <rPr>
        <b/>
        <sz val="10"/>
        <rFont val="Arial"/>
        <family val="2"/>
      </rPr>
      <t>Precipitaciones pluviales - Erosión de plataforma</t>
    </r>
    <r>
      <rPr>
        <sz val="10"/>
        <rFont val="Arial"/>
        <family val="2"/>
      </rPr>
      <t xml:space="preserve">
Debido a las constantes precipitaciones pluviales, se produjo la erosión de plataforma, afectando la vía parcialmente.
27.05.25 PVN Zonal Piura - Tumbes informa que el Conservador realiza trabajos de preparación y colocación de muro bolsacreto.</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</si>
  <si>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27.05.25 La Concesionaria informa que personal y maquinaria realizará la limpieza correspondiente.</t>
    </r>
  </si>
  <si>
    <r>
      <rPr>
        <b/>
        <sz val="10"/>
        <rFont val="Arial"/>
        <family val="2"/>
      </rPr>
      <t>Precipitaciones pluviales - Derrumbe</t>
    </r>
    <r>
      <rPr>
        <sz val="10"/>
        <rFont val="Arial"/>
        <family val="2"/>
      </rPr>
      <t xml:space="preserve">
Debido a las precipitaciones pluviales, se produjo derrumbe mayor de material, afectando la vía parcialmente. El 15.05.25 ocurrió derrumbe mayor de material suelto y roca.
27.05.25 La Concesionaría informa que realiza señalización preventiva, trabajos de limpieza con maquinaria y eliminación de material.</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</si>
  <si>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27.05.25 PVN Zonal Ucayali informa que el Conservador informa que realiza trabajos de instalación de dispositivos de seguridad vial.</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</si>
  <si>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27.05.25 PVN Zonal Junín - Pasco informa que realiza las gestiones para la contratación del servicio y atender dicha emergencia con acta de apoyo interinstitucional.</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</si>
  <si>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27.05.25 La Concesionaria informa que personal y maquinaria se encuentra en el lugar para realizar los trabajos de limpieza.</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</si>
  <si>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27.05.25 La Concesionaria informa que personal y maquinaria continúan con los trabajos de limpieza. se habilito una vía.</t>
    </r>
  </si>
  <si>
    <r>
      <rPr>
        <b/>
        <sz val="10"/>
        <rFont val="Arial"/>
        <family val="2"/>
      </rPr>
      <t>Precipitaciones pluviales - Colapso de alcantarilla</t>
    </r>
    <r>
      <rPr>
        <sz val="10"/>
        <rFont val="Arial"/>
        <family val="2"/>
      </rPr>
      <t xml:space="preserve">
Debido a las precipitaciones pluviales en el sector, se produjo colapso de alcantarilla afectando la transitabilidad.
27.05.25 PVN Zonal Amazonas informa que el Conservador realiza trabajos de señalización. Asimismo, ha dispuesto la reconstrucción de una alcantarilla, ha verificado que los TMC se encuentran corroídos, por los que es necesarios el reemplazo total de la alcantarilla.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</si>
  <si>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27.05.25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</si>
  <si>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27.05.25 La Concesionaría informa que realiza la señalización preventiva en el sector y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</si>
  <si>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27.05.25 PVN Zonal Áncash informa que realiza la instalación de un puente modular para recuperar la transitabilidad vehicular.</t>
    </r>
  </si>
  <si>
    <r>
      <rPr>
        <b/>
        <sz val="10"/>
        <rFont val="Arial"/>
        <family val="2"/>
      </rPr>
      <t>Deterioro de infraestructura - Daño en la estructura del puente</t>
    </r>
    <r>
      <rPr>
        <sz val="10"/>
        <rFont val="Arial"/>
        <family val="2"/>
      </rPr>
      <t xml:space="preserve">
Debido al impacto de rocas, se produjo daño en la estructura del puente modular.
27.05.25 PVN Zonal Huancavelica informa que realiza las gestiones y elaboración del terminó de referencias para la contratación de equipo mecánico y mano de obra. Asimismo, ha previsto cambio de elementos metálicos afectados.</t>
    </r>
  </si>
  <si>
    <r>
      <rPr>
        <b/>
        <sz val="10"/>
        <rFont val="Arial"/>
        <family val="2"/>
      </rPr>
      <t>Precipitaciones pluviales - Erosión de plataforma</t>
    </r>
    <r>
      <rPr>
        <sz val="10"/>
        <rFont val="Arial"/>
        <family val="2"/>
      </rPr>
      <t xml:space="preserve">
Debido a las precipitaciones pluviales, se produjo erosión de plataforma, afectando la vía totalmente.
27.05.25 La Concesionaría informa que realiza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</si>
  <si>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27.05.25 PVN Zonal Áncash informa que realiza las coordinaciones para recuperar la plataforma, por ello se procederá con la construcción de muro de mampostería.</t>
    </r>
  </si>
  <si>
    <r>
      <rPr>
        <b/>
        <sz val="10"/>
        <rFont val="Arial"/>
        <family val="2"/>
      </rPr>
      <t>Precipitaciones pluviales - Erosión en la estructura del puente</t>
    </r>
    <r>
      <rPr>
        <sz val="10"/>
        <rFont val="Arial"/>
        <family val="2"/>
      </rPr>
      <t xml:space="preserve">
Debido al peso del continuo tránsito vehicular del puente, se afectó la estructura, afectando la transitabilidad de manera parcial.
27.05.25 PVN Zonal Junín - Pasco informa que realiza recuperación de la socavación de la subestructura, limpieza y pintado de estructura.</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</si>
  <si>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27.05.25 PVN Zonal Puno informa que el Conservador realiza corte y perfilado de talud superior lado derecho para ensanchamiento de la vía.</t>
    </r>
  </si>
  <si>
    <r>
      <rPr>
        <b/>
        <sz val="10"/>
        <rFont val="Arial"/>
        <family val="2"/>
      </rPr>
      <t>Precipitaciones pluviales - Derrumbe</t>
    </r>
    <r>
      <rPr>
        <sz val="10"/>
        <rFont val="Arial"/>
        <family val="2"/>
      </rPr>
      <t xml:space="preserve">
Debido a las constantes precipitaciones pluviales en sector, se produjo derrumbe que afectó parcialmente la vía.
27.05.25 La Concesionaría informa que realiza los trabajos de limpieza de material de derrumbe mayor y posterior.</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</si>
  <si>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27.05.25 PVN Zonal La Libertad informa que el Conservador ha proyectado la estabilización del talud con banquetas con maquinarias.</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</si>
  <si>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27.05.25 PVN Zonal La Libertad informa que el Conservador realiza la eliminación del material deslizado del talud superior.</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</si>
  <si>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27.05.25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</si>
  <si>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27.05.25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</si>
  <si>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27.05.25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</si>
  <si>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27.05.25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</si>
  <si>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27.05.25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</si>
  <si>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27.05.25 PVN Zonal Piura - Tumbes informa que el Conservador realiza las actividades de señalización del área, control de tránsito con vigías, eliminación de material no clasificado en plataforma, bacheo en plataforma.</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</si>
  <si>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27.05.25 PVN Zonal VRAEM informa que evalúa la propuesta de solución para recuperar la plataforma afectada.</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</si>
  <si>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27.05.25 PVN Zonal Piura - Tumbes informa que el Conservador dispuso la señalización en la vía debido al asentamiento de plataforma, se habilitó la vía en un solo carril con apoyo de maquinaria.</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</si>
  <si>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27.05.25 PVN Zonal San Martín informa que realiza los trabajos de conformación de talud y eliminación de material excedente y conformación de plataforma para eliminación de rocas expuestas con alto riesgo de desprendimiento en el talud rocoso. </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</si>
  <si>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27.05.25 PVN Zonal San Martín informa que realiza los trabajos de conformación de talud y eliminación de material excedente, conformación de plataforma para eliminación de rocas expuestas con alto riesgo de desprendimiento en el talud rocoso</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</si>
  <si>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27.05.25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</si>
  <si>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27.05.25 La Concesionaria informa que habilitó el tránsito restringido por un acceso provisional.
Ruta Alterna: Puerto Naranjitos - Jamalca - La Caldera.</t>
    </r>
  </si>
  <si>
    <r>
      <rPr>
        <b/>
        <sz val="10"/>
        <rFont val="Arial"/>
        <family val="2"/>
      </rPr>
      <t>Precipitaciones pluviales - Derrumbe</t>
    </r>
    <r>
      <rPr>
        <sz val="10"/>
        <rFont val="Arial"/>
        <family val="2"/>
      </rPr>
      <t xml:space="preserve">
Debido a las constantes precipitaciones pluviales en la zona, se produjo el derrumbe bloqueando la vía parcialmente.
27.05.25 PVN Zonal Junín - Pasco informa que continúa los trabajos de eliminación de material de derrumbe</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</si>
  <si>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27.05.25 PVN Zonal Ica informa que realiza las coordinaciones y actividades de recuperación de niveles de la plataforma, se contará con equipos propios de la entidad, combustible y personal para el control de tránsito.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</si>
  <si>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27.05.25 PVN Zonal Piura - Tumbes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</si>
  <si>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27.05.25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</si>
  <si>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Deslizamiento</t>
    </r>
    <r>
      <rPr>
        <sz val="10"/>
        <rFont val="Arial"/>
        <family val="2"/>
      </rPr>
      <t xml:space="preserve">
Debido a las precipitaciones pluviales se produjo deslizamiento del talud superior, cubriendo la vía completamente.
27.05.25 La Concesionaria informa que personal y maquinaria realizó la limpieza en el lugar, habilitando el tránsito restringido.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</si>
  <si>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27.05.25 PVN Zonal San Martín informa que el Conservador procederá con la conformación de base y recuperación de plataforma.</t>
    </r>
  </si>
  <si>
    <r>
      <rPr>
        <b/>
        <sz val="10"/>
        <rFont val="Arial"/>
        <family val="2"/>
      </rPr>
      <t>Precipitaciones pluviales - Asentamiento de plataforma</t>
    </r>
    <r>
      <rPr>
        <sz val="10"/>
        <rFont val="Arial"/>
        <family val="2"/>
      </rPr>
      <t xml:space="preserve">
Debido a las precipitaciones pluviales en el sector, se produjo asentamiento de plataforma afectando la vía parcialmente.
27.05.25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</si>
  <si>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constantes precipitaciones pluviales en sector y acción de la naturaleza, produjo la erosión de plataforma, afectando la transitabilidad de la vía.
27.05.25 PVN Zonal La Libertad informa que el Conservador realiza el acopio de roca para recuperar la transitabilidad vehicular.</t>
    </r>
  </si>
  <si>
    <r>
      <rPr>
        <b/>
        <sz val="10"/>
        <rFont val="Arial"/>
        <family val="2"/>
      </rPr>
      <t>Precipitaciones pluviales - Activación de quebrada</t>
    </r>
    <r>
      <rPr>
        <sz val="10"/>
        <rFont val="Arial"/>
        <family val="2"/>
      </rPr>
      <t xml:space="preserve">
Debido a las precipitaciones pluviales se produjo una activación de quebrada, cubriendo la vía completamente.
27.05.25 La Concesionaria informa que realizó la limpieza de medio carril, habilitando el tránsito a restringido.</t>
    </r>
  </si>
  <si>
    <r>
      <rPr>
        <b/>
        <sz val="10"/>
        <rFont val="Arial"/>
        <family val="2"/>
      </rPr>
      <t>Precipitaciones pluviales - Derrumbe</t>
    </r>
    <r>
      <rPr>
        <sz val="10"/>
        <rFont val="Arial"/>
        <family val="2"/>
      </rPr>
      <t xml:space="preserve">
Debido a las constantes precipitaciones pluviales en la zona, se produjo el derrumbe bloqueando la vía totalmente.
27.05.25 PVN Zonal Huánuco informa que el Conservador continúa con los trabajos de limpieza de derrumbe a fin de recuperar la transitabilidad vehicular.</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</si>
  <si>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27.05.25 PVN Zonal Junín - Pasco informa que realiza el control de tránsito de la vía.</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</si>
  <si>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27.05.25 PVN Zonal Piura - Tumbes informa que el Conservador realiza limpieza y eliminación de material.</t>
    </r>
  </si>
  <si>
    <r>
      <rPr>
        <b/>
        <sz val="10"/>
        <rFont val="Arial"/>
        <family val="2"/>
      </rPr>
      <t>Precipitaciones pluviales - Derrumbe</t>
    </r>
    <r>
      <rPr>
        <sz val="10"/>
        <rFont val="Arial"/>
        <family val="2"/>
      </rPr>
      <t xml:space="preserve">
Debido a las constantes precipitaciones pluviales en la zona, se produjo derrumbe en la vía afectando la transitabilidad.
27.05.25 PVN Zonal Áncash realiza protección de calzada por posible deslizamiento de rocas.</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</si>
  <si>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27.05.25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</si>
  <si>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27.05.25 PVN Zonal Piura - Tumbes realiza las gestiones para la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</si>
  <si>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27.05.25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</si>
  <si>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27.05.25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</si>
  <si>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27.05.25 PVN Zonal Huancavelica informa que realiza las coordinaciones y gestiones para los requerimientos de adquisición de bienes y servicios para el enrocado de muro.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</si>
  <si>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27.05.25 PVN Zonal Cajamarca informa que realiza la conformación de base y recuperación de plataforma (pavimento básico).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</si>
  <si>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27.05.25 PVN Zonal Huancavelica informa que realiza las coordinaciones y gestiones para los requerimientos de adquisición de bienes y servicios para el enrocado de muro.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</si>
  <si>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27.05.25 PVN Zonal Amazonas informa que realiza las coordinaciones para la movilización de excavadora a la cantera para dar incio a las actividades de extracción, carguío, transporte de roca y material seleccionado.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</si>
  <si>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27.05.25 PVN Zonal Áncash informa que continúa el desprendimiento de talud. Asimismo, viene trasladando una excavadora alquilada para el desquinche de talud. </t>
    </r>
  </si>
  <si>
    <r>
      <rPr>
        <b/>
        <sz val="10"/>
        <rFont val="Arial"/>
        <family val="2"/>
      </rPr>
      <t>Precipitaciones pluviales - Deslizamiento</t>
    </r>
    <r>
      <rPr>
        <sz val="10"/>
        <rFont val="Arial"/>
        <family val="2"/>
      </rPr>
      <t xml:space="preserve">
Debido a la acción de la naturaleza, se produce deslizamiento continuo del talud inferior.
27.05.25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</si>
  <si>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27.05.25 PVN Zonal Amazonas informa que realiza las coordinaciones para la aprobación de la cobertura presupuestal para dar inicio a las actividades de extracción, carguío, transporte de roca, material seleccionado y conformación de muro seco a todo costo.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</si>
  <si>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27.05.25 PVN Zonal Áncash realiza trabajo de gabinete levantamiento topográfico. Asimismo, se ha previsto la instalación de muro de concreto ciclópeo y contratación de servicios de terceros.</t>
    </r>
  </si>
  <si>
    <r>
      <rPr>
        <b/>
        <sz val="10"/>
        <rFont val="Arial"/>
        <family val="2"/>
      </rPr>
      <t>Precipitaciones pluviales - Colapso de alcantarilla</t>
    </r>
    <r>
      <rPr>
        <sz val="10"/>
        <rFont val="Arial"/>
        <family val="2"/>
      </rPr>
      <t xml:space="preserve">
Debido a las constantes precipitaciones pluviales en el sector, se produjo afectación a la estructura de alcantarilla afectada en el cabezal y salida de alcantarilla lado izquierdo por erosión y socavación de terraplén de plataforma, afectando el tránsito vehicular.
27.05.25 PVN Tacna - Moquegua ha dispuesto la reposición de estructura del cabeza y salida de alcantarilla lado izquierdo.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</si>
  <si>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27.05.25 PVN Zonal Áncash realiza levantamiento topográfico. Asimismo, se ha previsto la instalación de muro de concreto ciclópeo y contratación de servicios de terceros.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</si>
  <si>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27.05.25 PVN Zonal La Libertad informa que el Conservador ha dispuesto el relleno de baches profundos con material granular en las zonas afectadas, asimismo, realiza los trabajos en cantera.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</si>
  <si>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27.05.25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</si>
  <si>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27.05.25 PVN Zonal Áncash realiza levantamiento topográfico. Asimismo, se ha previsto la instalación de muro de concreto ciclópeo.</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</si>
  <si>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27.05.25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</si>
  <si>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27.05.25 PVN Zonal Cusco - Apurímac realiza la vigilancia y control del tránsito en la zona afectada por la emergencia.</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</si>
  <si>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27.05.25 PVN Zonal Piura - Tumbes realiza las coordinaciones para recuperar la plataforma.</t>
    </r>
  </si>
  <si>
    <r>
      <rPr>
        <b/>
        <sz val="10"/>
        <rFont val="Arial"/>
        <family val="2"/>
      </rPr>
      <t>Precipitaciones pluviales - Derrumbe</t>
    </r>
    <r>
      <rPr>
        <sz val="10"/>
        <rFont val="Arial"/>
        <family val="2"/>
      </rPr>
      <t xml:space="preserve">
Debido a las precipitaciones pluviales, a las 09:00 horas se ha producido derrumbe de rocas que cayeron de gran altura en el talud superior, frente al restaurante El Cogollo interrumpiendo el tránsito vehicular.
27.05.25 La Concesionaria informa que auxilió a todos los afectados de la zona, su equipo continúa en la zona realizando las labores de limpieza para rehabilitar el tránsito vehicular.</t>
    </r>
  </si>
  <si>
    <r>
      <rPr>
        <b/>
        <sz val="10"/>
        <rFont val="Arial"/>
        <family val="2"/>
      </rPr>
      <t>Precipitaciones pluviales - Huaico</t>
    </r>
    <r>
      <rPr>
        <sz val="10"/>
        <rFont val="Arial"/>
        <family val="2"/>
      </rPr>
      <t xml:space="preserve">
Debido a las constantes precipitaciones pluviales en la zona, se produjo el huaico afectado la vía.
27.05.25 PVN Zonal Áncash realiza las gestiones para la atención de la emergencia.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</si>
  <si>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27.05.25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</si>
  <si>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27.05.25 PVN Zonal Cajamarca informa que el Conservador realiza la respectiva señalización en la zona, puesto que mantiene en pie la negatica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</si>
  <si>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27.05.25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</si>
  <si>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27.05.25 PVN Zonal Piura - Tumbes informa que realiza las coordinaciones y gestiones con la dirección de puentes para la solicitud de certificación presupuestal, debido a la aprobación para atención de esta emergencia.</t>
    </r>
  </si>
  <si>
    <r>
      <rPr>
        <b/>
        <sz val="10"/>
        <rFont val="Arial"/>
        <family val="2"/>
      </rPr>
      <t>Acción humana - Accidente de tránsito</t>
    </r>
    <r>
      <rPr>
        <sz val="10"/>
        <rFont val="Arial"/>
        <family val="2"/>
      </rPr>
      <t xml:space="preserve">
Debido a un camión cisterna que colisionó con la estructura del Puente Internacional Ilave.
27.05.25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</si>
  <si>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27.05.25 La Concesionaria informa que realiza trabajos de habilitación de accesos, conformación y compactación de plataforma, control topográfico. </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</si>
  <si>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27.05.25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</si>
  <si>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27.05.25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</si>
  <si>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27.05.25 PVN Zonal Cajamarca informa que el Conservador realiza la habilitación de materiales, así como el perfilado de talud.</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</si>
  <si>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27.05.25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</si>
  <si>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27.05.25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</si>
  <si>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Deterioro de infraestructura - Daño estructural de puente</t>
    </r>
    <r>
      <rPr>
        <sz val="10"/>
        <rFont val="Arial"/>
        <family val="2"/>
      </rPr>
      <t xml:space="preserve">
Debido a la exposición a las condiciones climatológicas adversas, ocasionaron el desprendimiento de la junta de trafico de goma armada en los estribos del puente.
27.05.25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</si>
  <si>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27.05.25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</si>
  <si>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Asentamiento de plataforma</t>
    </r>
    <r>
      <rPr>
        <sz val="10"/>
        <rFont val="Arial"/>
        <family val="2"/>
      </rPr>
      <t xml:space="preserve">
Debido a las intensas lluvias intensas se produjo hundimiento de la plataforma.
27.05.25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</si>
  <si>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27.05.25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</si>
  <si>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27.05.25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</si>
  <si>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27.05.25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</si>
  <si>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27.05.25 PVN Zonal Ucayali informa que el Conservador dispone realizar el control de tránsito vehicular, alternando el pase de vehículos pesados uno a la vez.</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</si>
  <si>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27.05.25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</si>
  <si>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27.05.25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</si>
  <si>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 la falla estructural del puente por exceso de carga y acción de la naturaleza.
27.05.25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</si>
  <si>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27.05.25 PVN Zonal Ucayali informa que el Conservador continúa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</si>
  <si>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27.05.25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</si>
  <si>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27.05.25 La Concesionaria en coordinación con el MTC proyectaron un túnel, se culminó las obras civiles y está en fase de adquisición e implementación de equipos electromecánicos para su reapertura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</si>
  <si>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27.05.25 PVN Zonal Amazonas informa que el Conservador  realiza la señalización preventiva del sector a intervenir, excavación manua. </t>
    </r>
  </si>
  <si>
    <r>
      <rPr>
        <b/>
        <sz val="10"/>
        <rFont val="Arial"/>
        <family val="2"/>
      </rPr>
      <t>Precipitaciones pluviales - Derrumbe</t>
    </r>
    <r>
      <rPr>
        <sz val="10"/>
        <rFont val="Arial"/>
        <family val="2"/>
      </rPr>
      <t xml:space="preserve">
Debido a las precipitaciones pluviales, se produjo derrumbe mayor de material, afectando la vía parcialmente.
27.05.25 La Concesionaría informa que realiza la eliminación de material por derrumbe.</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</si>
  <si>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el tránsito vehicular.
27.05.25 PVN Zonal Piura - Tumbes informa que se dispuso la señalización en la vía.</t>
    </r>
  </si>
  <si>
    <r>
      <rPr>
        <b/>
        <sz val="10"/>
        <rFont val="Arial"/>
        <family val="2"/>
      </rPr>
      <t>Precipitaciones pluviales - Erosión de plataforma</t>
    </r>
    <r>
      <rPr>
        <sz val="10"/>
        <rFont val="Arial"/>
        <family val="2"/>
      </rPr>
      <t xml:space="preserve">
Debido a las precipitaciones pluviales, se produjo erosión de plataforma que han afectado la transitabilidad.
27.05.25 PVN Zonal San Martín - Loreto realiza el carguío y transporte de piedra over para los gaviones</t>
    </r>
  </si>
  <si>
    <r>
      <rPr>
        <b/>
        <sz val="10"/>
        <rFont val="Arial"/>
        <family val="2"/>
      </rPr>
      <t>Precipitaciones pluviales - Daño en la estructura del puente</t>
    </r>
    <r>
      <rPr>
        <sz val="10"/>
        <rFont val="Arial"/>
        <family val="2"/>
      </rPr>
      <t xml:space="preserve">
Debido a las constantes precipitaciones pluviales y cauce del río se produjo daño en la estructura del puente Huambisha, afectando la transitabilidad de la vía.
27.05.25 PVN Zonal Áncash realiza se trabajos de desmontaje de puente</t>
    </r>
  </si>
  <si>
    <r>
      <rPr>
        <b/>
        <sz val="10"/>
        <rFont val="Arial"/>
        <family val="2"/>
      </rPr>
      <t>Acción humana - Deterioro de puente</t>
    </r>
    <r>
      <rPr>
        <sz val="10"/>
        <rFont val="Arial"/>
        <family val="2"/>
      </rPr>
      <t xml:space="preserve">
Debido a disturbios por vandalismo de las personas en el sector Juanjui, se prevé control de tránsito restringido.
27.05.25 PVN Zonal San Martín - Loreto realiza vigilancia del puente, esto para evitar vandalismo, prevé realizar los servicios de control de tránsito temporal y seguridad vial.</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</si>
  <si>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27.05.25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</si>
  <si>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Derrumbe</t>
    </r>
    <r>
      <rPr>
        <sz val="10"/>
        <rFont val="Arial"/>
        <family val="2"/>
      </rPr>
      <t xml:space="preserve">
Debido a las precipitaciones pluviales se ha producido derrumbe de material, interrumpiendo el tránsito.
27.05.25 La Concesionaria informa que personal y maquinaria realizaron la limpieza, habilitando el tránsito restringido por lo que en la zona continúan con los trabajos.</t>
    </r>
  </si>
  <si>
    <r>
      <rPr>
        <b/>
        <sz val="10"/>
        <rFont val="Arial"/>
        <family val="2"/>
      </rPr>
      <t>Precipitaciones pluviales - Derrumbe</t>
    </r>
    <r>
      <rPr>
        <sz val="10"/>
        <rFont val="Arial"/>
        <family val="2"/>
      </rPr>
      <t xml:space="preserve">
Debido a las precipitaciones pluviales se ha producido derrumbe de material, interrumpiendo el tránsito.
27.05.25 La Concesionaria informa que realiza la limpieza con maquinaria, viene comunicando a los usuarios mediante las UP para que tomen las precauciones del caso.</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</si>
  <si>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27.05.25 La Concesionaría informa que realiza la señalización preventiva con vigías, por ello dispone restringir el tránsito a un solo carril a fin de no someter carga en la sección afectada del puente.</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</si>
  <si>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27.05.25 La Concesionaria realiza la señalización preventiva con vigías; asimismo, dispuso restringir el tránsito a un solo carril.</t>
    </r>
  </si>
  <si>
    <r>
      <rPr>
        <b/>
        <sz val="10"/>
        <rFont val="Arial"/>
        <family val="2"/>
      </rPr>
      <t>Servicio Aéreo</t>
    </r>
    <r>
      <rPr>
        <sz val="10"/>
        <rFont val="Arial"/>
        <family val="2"/>
      </rPr>
      <t xml:space="preserve">
Debido a trabajos de mantenimiento en la pista de aterrizaje, se afectó los servicios de operatividad.
27.05.25 CORPAC informa que el Aeropuerto de Jauja ha cerrado las operaciones con NOTAM C-1639/25 hasta el 30/05/25 por seguridad de operaciones.</t>
    </r>
  </si>
  <si>
    <r>
      <rPr>
        <b/>
        <sz val="10"/>
        <rFont val="Arial"/>
        <family val="2"/>
      </rPr>
      <t>Servicio Aéreo</t>
    </r>
    <r>
      <rPr>
        <sz val="10"/>
        <rFont val="Arial"/>
        <family val="2"/>
      </rPr>
      <t xml:space="preserve">
Debido a trabajos de mantenimiento en la pista de aterrizaje, se afectó los servicios de operatividad.
27.05.25 CORPAC informa que el Aeropuerto de Jaén, cerrado las operaciones con NOTAM C-1819/25 al 30.06.25 por reparación de la pista de aterrizaje.</t>
    </r>
  </si>
  <si>
    <r>
      <rPr>
        <b/>
        <sz val="10"/>
        <rFont val="Arial"/>
        <family val="2"/>
      </rPr>
      <t>Oleaje anómalo.</t>
    </r>
    <r>
      <rPr>
        <sz val="10"/>
        <rFont val="Arial"/>
        <family val="2"/>
      </rPr>
      <t xml:space="preserve">
A las 22:00 horas, se cierra el puerto para toda actividad.
27.05.25 Terminal cerrado: TP Supe, Terminales del Perú - Supe, TM Quimpac, TM colpex</t>
    </r>
  </si>
  <si>
    <r>
      <rPr>
        <b/>
        <sz val="10"/>
        <rFont val="Arial"/>
        <family val="2"/>
      </rPr>
      <t>Oleaje anómalo.</t>
    </r>
    <r>
      <rPr>
        <sz val="10"/>
        <rFont val="Arial"/>
        <family val="2"/>
      </rPr>
      <t xml:space="preserve">
A las 12:00 horas, se cierra el puerto para toda actividad.
27.05.25 Terminales cerrados: Mina Justa.</t>
    </r>
  </si>
  <si>
    <r>
      <rPr>
        <b/>
        <sz val="10"/>
        <rFont val="Arial"/>
        <family val="2"/>
      </rPr>
      <t>Oleaje anómalo.</t>
    </r>
    <r>
      <rPr>
        <sz val="10"/>
        <rFont val="Arial"/>
        <family val="2"/>
      </rPr>
      <t xml:space="preserve">
A las 12:00 horas, se cierra el puerto para toda actividad.
27.05.25 Terminal cerrado: TP Shougan Hierro Perú.</t>
    </r>
  </si>
  <si>
    <r>
      <rPr>
        <b/>
        <sz val="10"/>
        <rFont val="Arial"/>
        <family val="2"/>
      </rPr>
      <t>Oleaje anómalo.</t>
    </r>
    <r>
      <rPr>
        <sz val="10"/>
        <rFont val="Arial"/>
        <family val="2"/>
      </rPr>
      <t xml:space="preserve">
A las 13:00 horas, se cierra el puerto para toda actividad.
27.05.25 Terminal cerrado: Muelle Carga Liquida PETROPERU, Muelle MU2, TM La Brea Negritos, TM Punta Arenas.</t>
    </r>
  </si>
  <si>
    <r>
      <rPr>
        <b/>
        <sz val="10"/>
        <rFont val="Arial"/>
        <family val="2"/>
      </rPr>
      <t>Oleaje anómalo.</t>
    </r>
    <r>
      <rPr>
        <sz val="10"/>
        <rFont val="Arial"/>
        <family val="2"/>
      </rPr>
      <t xml:space="preserve">
A las 18:00 horas, se cierra parcialmente el puerto para toda actividad.
27.05.25 Terminal con cierre parcial: TP Péru LNG Melchorita.</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</si>
  <si>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27.05.25 El Municipio de Acoria suspende los trabajos por falta de presupuesto y gestiona por continuidad operativa ante el MEF para culminar la carretera y los trabajos complementarios de perfilado de la carretera y los daños a la vía férrea.</t>
    </r>
  </si>
  <si>
    <r>
      <t xml:space="preserve">Ayacucho
</t>
    </r>
    <r>
      <rPr>
        <sz val="10"/>
        <color theme="1"/>
        <rFont val="Arial"/>
        <family val="2"/>
      </rPr>
      <t>Lucanas / Puquio</t>
    </r>
  </si>
  <si>
    <r>
      <t xml:space="preserve">Red Vial Nacional: PE-32,
Tramo: </t>
    </r>
    <r>
      <rPr>
        <sz val="10"/>
        <rFont val="Arial"/>
        <family val="2"/>
      </rPr>
      <t>Chaviña - Puquio,</t>
    </r>
    <r>
      <rPr>
        <b/>
        <sz val="10"/>
        <rFont val="Arial"/>
        <family val="2"/>
      </rPr>
      <t xml:space="preserve">
Sector: </t>
    </r>
    <r>
      <rPr>
        <sz val="10"/>
        <rFont val="Arial"/>
        <family val="2"/>
      </rPr>
      <t>Ccechempampa Km 251+000 - Km 252+600</t>
    </r>
  </si>
  <si>
    <t>VIALES-004080</t>
  </si>
  <si>
    <r>
      <rPr>
        <b/>
        <sz val="10"/>
        <rFont val="Arial"/>
        <family val="2"/>
      </rPr>
      <t>Precipitaciones pluviales - Colapso de alcantarilla</t>
    </r>
    <r>
      <rPr>
        <sz val="10"/>
        <rFont val="Arial"/>
        <family val="2"/>
      </rPr>
      <t xml:space="preserve">
Debido a las constantes precipitaciones pluviales en el sector, se produjo colapso de alcantarilla, afectando el tránsito vehicular.
27.05.25 PVN Zonal Cusco - Apurímac informa que el Conservador concluyó el día de ayer con la construcción de alcantarilla por lo que se restableció la transitabilidad vehicular.</t>
    </r>
  </si>
  <si>
    <r>
      <rPr>
        <b/>
        <sz val="10"/>
        <rFont val="Arial"/>
        <family val="2"/>
      </rPr>
      <t>Precipitaciones pluviales - Colapso de alcantarilla</t>
    </r>
    <r>
      <rPr>
        <sz val="10"/>
        <rFont val="Arial"/>
        <family val="2"/>
      </rPr>
      <t xml:space="preserve">
Debido a las constantes precipitaciones pluviales en el sector, se produjo colapso de alcantarilla, afectando el tránsito vehicular.
27.05.25 PVN Zonal Cusco - Apurímac informa que el Conservador culminó el día de ayer con la construcción de alcantarilla, recuperando la transitabilidad vehicular.</t>
    </r>
  </si>
  <si>
    <r>
      <rPr>
        <b/>
        <sz val="10"/>
        <rFont val="Arial"/>
        <family val="2"/>
      </rPr>
      <t>Precipitaciones pluviales - Ahuellamiento</t>
    </r>
    <r>
      <rPr>
        <sz val="10"/>
        <rFont val="Arial"/>
        <family val="2"/>
      </rPr>
      <t xml:space="preserve">
Debido a las constantes precipitaciones pluviales en la zona, se produjo un ahuellamiento en la vía afectando parcialmente la transitabilidad vehicular.
27.05.25 PVN Zonal Ica informa que el Conservador culminó el día de ayer con los trabajos de reconformación de plataforma, recuperando la transitabilidad vehicular.</t>
    </r>
  </si>
  <si>
    <t>Maquinaria del Contratista Conservador Consorcio Vial Puquio
01 Retroexcavadora
01 Camión volquete</t>
  </si>
  <si>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27.05.25 PVN Zonal Ica informa que el Conservador realiza los trabajos de construcción de muro de mampostería.</t>
    </r>
  </si>
  <si>
    <t>Maquinaria del Contratista Conservador Consorcio Vial Puquio
01 Motoniveladora
01 Rodillo Liso
02 Camión volquete</t>
  </si>
  <si>
    <r>
      <rPr>
        <b/>
        <sz val="10"/>
        <rFont val="Arial"/>
        <family val="2"/>
      </rPr>
      <t>Precipitaciones pluviales - Ahuellamiento</t>
    </r>
    <r>
      <rPr>
        <sz val="10"/>
        <rFont val="Arial"/>
        <family val="2"/>
      </rPr>
      <t xml:space="preserve">
Debido a las constantes precipitaciones pluviales en la zona, se produjo un ahuellamiento en la vía afectando parcialmente la transitabilidad vehicular.
27.05.25 PVN Zonal Ica informa que el Conservador realiza los trabajos de reconformación de plataforma con material,</t>
    </r>
  </si>
  <si>
    <t>Maquinaria del Contratista Conservador Construcción y Administración S.A. (Casa Constructores)</t>
  </si>
  <si>
    <t>Maquinaria del Contratista Conservador Consorcio Vial Pamplona Cajatambo
01 Retroexcavadora
01 Camión volquete</t>
  </si>
  <si>
    <t>Maquinaria del Contratista Conservador Consorcio Vial Pamplona Cajatambo
01 Excavadora
02 Camión volquete
01 Cargador frontal</t>
  </si>
  <si>
    <t>Maquinaria del Contratista Conservador Mota Engil
01 Excavadora 
02 Camión volquete</t>
  </si>
  <si>
    <r>
      <rPr>
        <b/>
        <sz val="10"/>
        <rFont val="Arial"/>
        <family val="2"/>
      </rPr>
      <t>Oleaje anómalo.</t>
    </r>
    <r>
      <rPr>
        <sz val="10"/>
        <rFont val="Arial"/>
        <family val="2"/>
      </rPr>
      <t xml:space="preserve">
A las 22:00 horas, se cierra el puerto para toda actividad.
27.05.25 Terminal abierto a partir de las 07:00 horas: TM Consorcio Terminales Eten.</t>
    </r>
  </si>
  <si>
    <r>
      <rPr>
        <b/>
        <sz val="10"/>
        <rFont val="Arial"/>
        <family val="2"/>
      </rPr>
      <t>Oleaje anómalo.</t>
    </r>
    <r>
      <rPr>
        <sz val="10"/>
        <rFont val="Arial"/>
        <family val="2"/>
      </rPr>
      <t xml:space="preserve">
A las 13:30 horas, se cierra el puerto para toda actividad.
27.05.25 Terminal abierto a partir de las 08:00 horas: Punta Lobitos.</t>
    </r>
  </si>
  <si>
    <r>
      <rPr>
        <b/>
        <sz val="10"/>
        <rFont val="Arial"/>
        <family val="2"/>
      </rPr>
      <t>Oleaje anómalo.</t>
    </r>
    <r>
      <rPr>
        <sz val="10"/>
        <rFont val="Arial"/>
        <family val="2"/>
      </rPr>
      <t xml:space="preserve">
A las 13:00 horas, se cierra el puerto para toda actividad.
27.05.25 Terminales abiertos a partir de las 09:00 horas: Consorcio Terminales - Chimbote, Siderperú, Terminal Multiboyas Colpex.</t>
    </r>
  </si>
  <si>
    <r>
      <rPr>
        <b/>
        <sz val="10"/>
        <rFont val="Arial"/>
        <family val="2"/>
      </rPr>
      <t>Oleaje anómalo.</t>
    </r>
    <r>
      <rPr>
        <sz val="10"/>
        <rFont val="Arial"/>
        <family val="2"/>
      </rPr>
      <t xml:space="preserve">
A las 12:00 horas, se cierra parcialmente el puerto para toda actividad.
27.05.25 Terminales abiertos a partir de las 09:00 horas: TP ENGIE,  T Multiboyas Tablones SPCC,  TP ENGIE, TP Ilo (ENAPU), TP Privado SPCC (Patio Puerto), TP Tablones SPCC (Marine Trestle), T Multiboyas TLT, T Multiboyas (PETROPERÚ).</t>
    </r>
  </si>
  <si>
    <r>
      <rPr>
        <b/>
        <sz val="10"/>
        <rFont val="Arial"/>
        <family val="2"/>
      </rPr>
      <t>Precipitaciones pluviales - Pérdida de plataforma</t>
    </r>
    <r>
      <rPr>
        <sz val="10"/>
        <rFont val="Arial"/>
        <family val="2"/>
      </rPr>
      <t xml:space="preserve">
Debido a las precipitaciones pluviales en el sector ocasionaron la inestabilidad del talud superior, lo que provocó un derrumbe de mayor magnitud que afectó parcialmente la vía.
27.05.25 PVN Zonal Puno informa que el Conservador culminó con los trabajos de corte y enrocado de talud, recuperando la transitabilidad vehicular.</t>
    </r>
  </si>
  <si>
    <t>Moquegua
Aeropuerto de Ilo</t>
  </si>
  <si>
    <r>
      <rPr>
        <b/>
        <sz val="10"/>
        <rFont val="Arial"/>
        <family val="2"/>
      </rPr>
      <t>Servicio Aéreo</t>
    </r>
    <r>
      <rPr>
        <sz val="10"/>
        <rFont val="Arial"/>
        <family val="2"/>
      </rPr>
      <t xml:space="preserve">
Debido a fallas técnicas del proveedor Electro Sur el aeropuerto de Ilo se quedó sin fluido eléctrico, por lo que se afectó los servicios de operatividad.
27.05.25 CORPAC informa que el Aeropuerto de Ilo ha cerrado las operaciones hasta el momento.</t>
    </r>
  </si>
  <si>
    <t>AEROPUERTO-0034</t>
  </si>
  <si>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</si>
  <si>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</si>
  <si>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VIALES-004081</t>
  </si>
  <si>
    <r>
      <t>Red Vial Nacional: PE-3N, 
Tramo:</t>
    </r>
    <r>
      <rPr>
        <sz val="10"/>
        <rFont val="Arial"/>
        <family val="2"/>
      </rPr>
      <t xml:space="preserve"> Hualapampa - Sondor,
</t>
    </r>
    <r>
      <rPr>
        <b/>
        <sz val="10"/>
        <rFont val="Arial"/>
        <family val="2"/>
      </rPr>
      <t>Sector:</t>
    </r>
    <r>
      <rPr>
        <sz val="10"/>
        <rFont val="Arial"/>
        <family val="2"/>
      </rPr>
      <t xml:space="preserve"> Alto Hualapampa Km 1631+889 - Km 1631+899</t>
    </r>
  </si>
  <si>
    <r>
      <rPr>
        <b/>
        <sz val="10"/>
        <rFont val="Arial"/>
        <family val="2"/>
      </rPr>
      <t>Precipitaciones pluviales - Erosión de plataforma</t>
    </r>
    <r>
      <rPr>
        <sz val="10"/>
        <rFont val="Arial"/>
        <family val="2"/>
      </rPr>
      <t xml:space="preserve">
Debido a las constantes precipitaciones pluviales, se produjo la erosión de plataforma, afectando la vía parcialmente.
27.05.25 PVN Zonal Piura - Tumbes informa que el Conservador construirá un muro de concreto y calzadura del alero de salida de la alcantarilla existente.</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</si>
  <si>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</si>
  <si>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</si>
  <si>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</si>
  <si>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r>
      <rPr>
        <b/>
        <sz val="10"/>
        <rFont val="Arial"/>
        <family val="2"/>
      </rPr>
      <t xml:space="preserve">Precipitaciones pluviales - Erosión de plataforma
</t>
    </r>
    <r>
      <rPr>
        <sz val="10"/>
        <rFont val="Arial"/>
        <family val="2"/>
      </rPr>
      <t>Debido a las constantes precipitaciones pluviales en sector, produjo la erosión y socavación de la plataforma, afectando la transitabilidad de la vía.</t>
    </r>
    <r>
      <rPr>
        <b/>
        <sz val="10"/>
        <rFont val="Arial"/>
        <family val="2"/>
      </rPr>
      <t xml:space="preserve">
</t>
    </r>
    <r>
      <rPr>
        <sz val="10"/>
        <rFont val="Arial"/>
        <family val="2"/>
      </rPr>
      <t xml:space="preserve">
27.05.25 PVN Zonal Ica informa que realiza las coordinaciones para la construcción de un muro de contención de concreto con una longitud de 15 metros lineales.</t>
    </r>
  </si>
  <si>
    <t>VIALES-004083</t>
  </si>
  <si>
    <r>
      <t xml:space="preserve">Junín
</t>
    </r>
    <r>
      <rPr>
        <sz val="10"/>
        <color theme="1"/>
        <rFont val="Arial"/>
        <family val="2"/>
      </rPr>
      <t>Yauli / Marcapomacocha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</si>
  <si>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27.05.25 PVN Zonal Junín - Pasco informa que realiza las gestiones para la contratación del servicio y atender dicha emergencia vial.</t>
    </r>
  </si>
  <si>
    <r>
      <t xml:space="preserve">Red Vial Nacional: PE-3NG,
Tramo: </t>
    </r>
    <r>
      <rPr>
        <sz val="10"/>
        <rFont val="Arial"/>
        <family val="2"/>
      </rPr>
      <t>Conocancha - Chinchán,</t>
    </r>
    <r>
      <rPr>
        <b/>
        <sz val="10"/>
        <rFont val="Arial"/>
        <family val="2"/>
      </rPr>
      <t xml:space="preserve">
Sector:</t>
    </r>
    <r>
      <rPr>
        <sz val="10"/>
        <rFont val="Arial"/>
        <family val="2"/>
      </rPr>
      <t xml:space="preserve"> Marcapomacocha Km 93+500 - Km 96+500</t>
    </r>
  </si>
  <si>
    <r>
      <rPr>
        <b/>
        <sz val="10"/>
        <rFont val="Arial"/>
        <family val="2"/>
      </rPr>
      <t>Oleaje anómalo.</t>
    </r>
    <r>
      <rPr>
        <sz val="10"/>
        <rFont val="Arial"/>
        <family val="2"/>
      </rPr>
      <t xml:space="preserve">
A las 08:30 horas, se cierra el puerto para toda actividad.
27.05.25 Terminales abiertos a partir de las 13:30 horas: Penta Tanks, TPE Marginal, Estación Naval de Paita, Terminal Portuario Euroandino,  TPE Epsigón Lado 1A, TPE Espigón Lado 1B, TPE Espigón Lado 1C, TPE Espigón Lado 1D.</t>
    </r>
  </si>
  <si>
    <r>
      <rPr>
        <b/>
        <sz val="10"/>
        <rFont val="Arial"/>
        <family val="2"/>
      </rPr>
      <t>Oleaje anómalo.</t>
    </r>
    <r>
      <rPr>
        <sz val="10"/>
        <rFont val="Arial"/>
        <family val="2"/>
      </rPr>
      <t xml:space="preserve">
A las 09:00 horas, se cierra parcialmente el puerto para toda actividad.
27.05.25 Terminal abierto a partir de las 12:30 horas: TP Huacho.</t>
    </r>
  </si>
  <si>
    <r>
      <rPr>
        <b/>
        <sz val="10"/>
        <rFont val="Arial"/>
        <family val="2"/>
      </rPr>
      <t>Oleaje anómalo.</t>
    </r>
    <r>
      <rPr>
        <sz val="10"/>
        <rFont val="Arial"/>
        <family val="2"/>
      </rPr>
      <t xml:space="preserve">
A las 18:30 horas, se cierra el puerto para toda actividad.
27.05.25 Terminal abierto a partir de las 10:00 horas: Muelle Municipal Pacasmayo.</t>
    </r>
  </si>
  <si>
    <r>
      <rPr>
        <b/>
        <sz val="10"/>
        <rFont val="Arial"/>
        <family val="2"/>
      </rPr>
      <t>Oleaje anómalo.</t>
    </r>
    <r>
      <rPr>
        <sz val="10"/>
        <rFont val="Arial"/>
        <family val="2"/>
      </rPr>
      <t xml:space="preserve">
A las 18:30 horas, se cierra el puerto para toda actividad.
27.05.25 Terminal abierto a partir de las 10:00 horas: TP - Chicama.</t>
    </r>
  </si>
  <si>
    <t>Huancavelica
Puno</t>
  </si>
  <si>
    <t>Debido a precipitaciones pluviales suscitados en el ámbito nacional, se presentó afectaciones de falla del proveedor de energía eléctrica / corte de Fibra Óptica, dejando inoperativa las estaciones bases.
27.05.25 A las 15:00 horas, el Centro de Monitoreo de OSIPTEL informó  que detectó afectación en 4 estaciones bases: Huancavelica (3), Puno (1).</t>
  </si>
  <si>
    <t xml:space="preserve"> Amazonas
Arequipa
Ayacucho
Cajamarca
Cusco
Huancavelica
Huánuco
Junín
La Libertad
Lima
Loreto
Piura
Puno</t>
  </si>
  <si>
    <t xml:space="preserve">Debido a precipitaciones pluviales suscitados en el ámbito nacional, se presente afectaciones de falla del proveedor de energía eléctrica / corte de Fibra Óptica, dejando inoperativa las estaciones bases.
27.05.25 A las 15:00 horas,  el Centro de Monitoreo de OSIPTEL informó que detectó afectación en 52 estaciones bases: Amazonas (3), Arequipa (1), Ayacucho (1), Cajamarca (2), Cusco (9), Huancavelica (6), Huánuco (7), Junín (2), Lima (1), Loreto (11), Piura (7), Puno (1), Tumbes (1).
Asimismo, se recibió información de 1  nodo afectado del servicio de Internet fijo según la información siguiente: Tumbes (1).
La Operadora informa que debido principalmente Falla del proveedor de energía eléctrica / corte de Fibra Óptica, personal técnico se encuentra desplazándose a las localidades a fin de restablecer el servicio.  </t>
  </si>
  <si>
    <t>Maquinaria de Consorcio Corredor Vial
01 Excavadora</t>
  </si>
  <si>
    <t>Maquinaria del Contratista Conservador Consorcio Pumahuasi
01 Excavadora
02 Camión volquete</t>
  </si>
  <si>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27.05.25 PVN Zonal Ucayali informa que el Conservador continúa trabajos de carguío y transporte de roca.</t>
    </r>
  </si>
  <si>
    <r>
      <t xml:space="preserve">Red Vial Nacional: PE-3N, 
Tramo: </t>
    </r>
    <r>
      <rPr>
        <sz val="10"/>
        <rFont val="Arial"/>
        <family val="2"/>
      </rPr>
      <t>Dv. Olmos - Corral Quemado</t>
    </r>
    <r>
      <rPr>
        <b/>
        <sz val="10"/>
        <rFont val="Arial"/>
        <family val="2"/>
      </rPr>
      <t>,
Sector:</t>
    </r>
    <r>
      <rPr>
        <sz val="10"/>
        <rFont val="Arial"/>
        <family val="2"/>
      </rPr>
      <t xml:space="preserve"> Km 1623+400 (Local Km 68+400)</t>
    </r>
  </si>
  <si>
    <t>Debido a precipitaciones pluviales suscitados en el ámbito nacional, se presentó afectaciones de falla del proveedor de energía eléctrica / corte de Fibra Óptica, dejando inoperativa las estaciones bases.
27.05.25 A las 15:00 horas, el Centro de Monitoreo de OSIPTEL informó  que no detectó afectación.</t>
  </si>
  <si>
    <r>
      <rPr>
        <b/>
        <sz val="10"/>
        <rFont val="Arial"/>
        <family val="2"/>
      </rPr>
      <t>Oleaje anómalo.</t>
    </r>
    <r>
      <rPr>
        <sz val="10"/>
        <rFont val="Arial"/>
        <family val="2"/>
      </rPr>
      <t xml:space="preserve">
A las 18:30 horas, se cierra parcialmente el puerto para toda actividad.El día 23 a las 12:00 se vuelve a cerrar.
27.05.25 Terminales abiertos a partir de las 16:30 horas: TPS - Espigón Lado 1A, TPS - Espigón Lado 1B, CT-Salaverry, TP-Salaverry, TPS - Espigón Lado 2B, TPS - Espigón Lado 2A.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</si>
</sst>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1">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b/>
      <sz val="10"/>
      <color theme="2" tint="-0.89999084444715716"/>
      <name val="Arial"/>
      <family val="2"/>
    </font>
    <font>
      <b/>
      <sz val="11"/>
      <color theme="1"/>
      <name val="Frutiger-Light"/>
      <family val="2"/>
    </font>
    <font>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u/>
      <sz val="10"/>
      <color theme="4" tint="-0.249977111117893"/>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b/>
      <u/>
      <sz val="10"/>
      <color rgb="FFFF000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4" fillId="0" borderId="0" applyNumberFormat="0" applyFill="0" applyBorder="0" applyProtection="0">
      <alignment horizontal="left" vertical="center"/>
    </xf>
    <xf numFmtId="0" fontId="96" fillId="0" borderId="0"/>
    <xf numFmtId="0" fontId="95" fillId="0" borderId="1" applyNumberFormat="0" applyFill="0" applyAlignment="0" applyProtection="0"/>
    <xf numFmtId="0" fontId="93" fillId="0" borderId="0"/>
    <xf numFmtId="43" fontId="97" fillId="0" borderId="0" applyFont="0" applyFill="0" applyBorder="0" applyAlignment="0" applyProtection="0"/>
    <xf numFmtId="0" fontId="104" fillId="0" borderId="1" applyNumberFormat="0" applyFill="0" applyAlignment="0" applyProtection="0"/>
    <xf numFmtId="0" fontId="106" fillId="0" borderId="0" applyNumberFormat="0" applyFill="0" applyBorder="0" applyAlignment="0" applyProtection="0"/>
    <xf numFmtId="0" fontId="92" fillId="0" borderId="0"/>
    <xf numFmtId="0" fontId="91" fillId="0" borderId="0"/>
    <xf numFmtId="0" fontId="90" fillId="0" borderId="0"/>
    <xf numFmtId="0" fontId="100" fillId="0" borderId="0"/>
    <xf numFmtId="0" fontId="100" fillId="0" borderId="0"/>
    <xf numFmtId="0" fontId="89" fillId="0" borderId="0"/>
    <xf numFmtId="43" fontId="97" fillId="0" borderId="0" applyFont="0" applyFill="0" applyBorder="0" applyAlignment="0" applyProtection="0"/>
    <xf numFmtId="0" fontId="89" fillId="0" borderId="0"/>
    <xf numFmtId="0" fontId="88" fillId="0" borderId="0"/>
    <xf numFmtId="0" fontId="88" fillId="0" borderId="0"/>
    <xf numFmtId="0" fontId="87" fillId="0" borderId="0"/>
    <xf numFmtId="0" fontId="87" fillId="0" borderId="0"/>
    <xf numFmtId="43" fontId="97" fillId="0" borderId="0" applyFont="0" applyFill="0" applyBorder="0" applyAlignment="0" applyProtection="0"/>
    <xf numFmtId="0" fontId="87" fillId="0" borderId="0"/>
    <xf numFmtId="0" fontId="87" fillId="0" borderId="0"/>
    <xf numFmtId="0" fontId="87" fillId="0" borderId="0"/>
    <xf numFmtId="0" fontId="87" fillId="0" borderId="0"/>
    <xf numFmtId="43" fontId="97"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43" fontId="97" fillId="0" borderId="0" applyFont="0" applyFill="0" applyBorder="0" applyAlignment="0" applyProtection="0"/>
    <xf numFmtId="0" fontId="86" fillId="0" borderId="0"/>
    <xf numFmtId="0" fontId="86" fillId="0" borderId="0"/>
    <xf numFmtId="0" fontId="86" fillId="0" borderId="0"/>
    <xf numFmtId="0" fontId="86" fillId="0" borderId="0"/>
    <xf numFmtId="43" fontId="97"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97" fillId="0" borderId="0" applyFont="0" applyFill="0" applyBorder="0" applyAlignment="0" applyProtection="0"/>
    <xf numFmtId="0" fontId="86" fillId="0" borderId="0"/>
    <xf numFmtId="0" fontId="86" fillId="0" borderId="0"/>
    <xf numFmtId="0" fontId="86" fillId="0" borderId="0"/>
    <xf numFmtId="0" fontId="86" fillId="0" borderId="0"/>
    <xf numFmtId="43" fontId="97" fillId="0" borderId="0" applyFont="0" applyFill="0" applyBorder="0" applyAlignment="0" applyProtection="0"/>
    <xf numFmtId="0" fontId="86" fillId="0" borderId="0"/>
    <xf numFmtId="0" fontId="86" fillId="0" borderId="0"/>
    <xf numFmtId="0" fontId="86" fillId="0" borderId="0"/>
    <xf numFmtId="0" fontId="85" fillId="0" borderId="0"/>
    <xf numFmtId="0" fontId="85" fillId="0" borderId="0"/>
    <xf numFmtId="43" fontId="97" fillId="0" borderId="0" applyFont="0" applyFill="0" applyBorder="0" applyAlignment="0" applyProtection="0"/>
    <xf numFmtId="0" fontId="85" fillId="0" borderId="0"/>
    <xf numFmtId="0" fontId="85" fillId="0" borderId="0"/>
    <xf numFmtId="0" fontId="85" fillId="0" borderId="0"/>
    <xf numFmtId="0" fontId="85" fillId="0" borderId="0"/>
    <xf numFmtId="43" fontId="97"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7" fillId="0" borderId="0" applyFont="0" applyFill="0" applyBorder="0" applyAlignment="0" applyProtection="0"/>
    <xf numFmtId="0" fontId="85" fillId="0" borderId="0"/>
    <xf numFmtId="0" fontId="85" fillId="0" borderId="0"/>
    <xf numFmtId="0" fontId="85" fillId="0" borderId="0"/>
    <xf numFmtId="0" fontId="85" fillId="0" borderId="0"/>
    <xf numFmtId="43" fontId="97"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7" fillId="0" borderId="0" applyFont="0" applyFill="0" applyBorder="0" applyAlignment="0" applyProtection="0"/>
    <xf numFmtId="0" fontId="85" fillId="0" borderId="0"/>
    <xf numFmtId="0" fontId="85" fillId="0" borderId="0"/>
    <xf numFmtId="0" fontId="85" fillId="0" borderId="0"/>
    <xf numFmtId="0" fontId="85" fillId="0" borderId="0"/>
    <xf numFmtId="43" fontId="97"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43" fontId="97" fillId="0" borderId="0" applyFont="0" applyFill="0" applyBorder="0" applyAlignment="0" applyProtection="0"/>
    <xf numFmtId="0" fontId="85" fillId="0" borderId="0"/>
    <xf numFmtId="0" fontId="85" fillId="0" borderId="0"/>
    <xf numFmtId="0" fontId="85" fillId="0" borderId="0"/>
    <xf numFmtId="0" fontId="85" fillId="0" borderId="0"/>
    <xf numFmtId="43" fontId="97" fillId="0" borderId="0" applyFont="0" applyFill="0" applyBorder="0" applyAlignment="0" applyProtection="0"/>
    <xf numFmtId="0" fontId="85" fillId="0" borderId="0"/>
    <xf numFmtId="0" fontId="85" fillId="0" borderId="0"/>
    <xf numFmtId="0" fontId="85" fillId="0" borderId="0"/>
    <xf numFmtId="0" fontId="84" fillId="0" borderId="0"/>
    <xf numFmtId="0" fontId="84"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43" fontId="9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43" fontId="9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43" fontId="97"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79" fillId="0" borderId="0"/>
    <xf numFmtId="0" fontId="78" fillId="0" borderId="0"/>
    <xf numFmtId="0" fontId="78" fillId="0" borderId="0"/>
    <xf numFmtId="0" fontId="78" fillId="0" borderId="0"/>
    <xf numFmtId="0" fontId="77" fillId="0" borderId="0"/>
    <xf numFmtId="0" fontId="76" fillId="0" borderId="0"/>
    <xf numFmtId="0" fontId="75" fillId="0" borderId="0"/>
    <xf numFmtId="0" fontId="74" fillId="0" borderId="0"/>
    <xf numFmtId="0" fontId="73" fillId="0" borderId="0"/>
    <xf numFmtId="0" fontId="106" fillId="0" borderId="0" applyNumberFormat="0" applyFill="0" applyBorder="0" applyAlignment="0" applyProtection="0"/>
    <xf numFmtId="0" fontId="72" fillId="0" borderId="0"/>
    <xf numFmtId="0" fontId="71" fillId="0" borderId="0"/>
    <xf numFmtId="0" fontId="70" fillId="0" borderId="0"/>
    <xf numFmtId="0" fontId="70" fillId="0" borderId="0"/>
    <xf numFmtId="0" fontId="70" fillId="0" borderId="0"/>
    <xf numFmtId="0" fontId="70" fillId="0" borderId="0"/>
    <xf numFmtId="0" fontId="70" fillId="0" borderId="0"/>
    <xf numFmtId="0" fontId="69"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43" fontId="97"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97" fillId="0" borderId="0" applyFont="0" applyFill="0" applyBorder="0" applyAlignment="0" applyProtection="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9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5" fillId="0" borderId="0"/>
    <xf numFmtId="0" fontId="54"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97"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1" fillId="0" borderId="0"/>
    <xf numFmtId="0" fontId="51"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97"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5" fillId="0" borderId="0"/>
    <xf numFmtId="0" fontId="34" fillId="0" borderId="0"/>
    <xf numFmtId="0" fontId="33" fillId="0" borderId="0"/>
    <xf numFmtId="0" fontId="33" fillId="0" borderId="0"/>
    <xf numFmtId="0" fontId="32" fillId="0" borderId="0"/>
    <xf numFmtId="0" fontId="31" fillId="0" borderId="0"/>
    <xf numFmtId="0" fontId="31" fillId="0" borderId="0"/>
    <xf numFmtId="0" fontId="30" fillId="0" borderId="0"/>
    <xf numFmtId="0" fontId="29" fillId="0" borderId="0"/>
    <xf numFmtId="0" fontId="29" fillId="0" borderId="0"/>
    <xf numFmtId="0" fontId="29" fillId="0" borderId="0"/>
    <xf numFmtId="0" fontId="29" fillId="0" borderId="0"/>
    <xf numFmtId="0" fontId="97" fillId="0" borderId="0"/>
    <xf numFmtId="0" fontId="28" fillId="0" borderId="0"/>
    <xf numFmtId="0" fontId="94" fillId="0" borderId="0" applyNumberFormat="0" applyFill="0" applyBorder="0" applyProtection="0">
      <alignment horizontal="left" vertical="center"/>
    </xf>
    <xf numFmtId="0" fontId="27" fillId="0" borderId="0"/>
    <xf numFmtId="0" fontId="26" fillId="0" borderId="0"/>
    <xf numFmtId="0" fontId="26" fillId="0" borderId="0"/>
    <xf numFmtId="0" fontId="19" fillId="0" borderId="0"/>
  </cellStyleXfs>
  <cellXfs count="330">
    <xf numFmtId="0" fontId="0" fillId="0" borderId="0" xfId="0"/>
    <xf numFmtId="0" fontId="99" fillId="0" borderId="0" xfId="0" applyFont="1" applyAlignment="1">
      <alignment horizontal="center" vertical="center" wrapText="1"/>
    </xf>
    <xf numFmtId="14" fontId="101" fillId="2" borderId="0" xfId="1" quotePrefix="1" applyNumberFormat="1" applyFont="1" applyFill="1" applyBorder="1" applyAlignment="1">
      <alignment horizontal="left" vertical="center" wrapText="1"/>
    </xf>
    <xf numFmtId="0" fontId="0" fillId="2" borderId="0" xfId="0" applyFill="1"/>
    <xf numFmtId="0" fontId="101" fillId="2" borderId="0" xfId="0" applyFont="1" applyFill="1" applyAlignment="1">
      <alignment horizontal="center" vertical="center"/>
    </xf>
    <xf numFmtId="1" fontId="98" fillId="2" borderId="0" xfId="0" applyNumberFormat="1" applyFont="1" applyFill="1" applyAlignment="1">
      <alignment horizontal="center" wrapText="1"/>
    </xf>
    <xf numFmtId="14" fontId="120" fillId="2" borderId="0" xfId="0" applyNumberFormat="1" applyFont="1" applyFill="1" applyAlignment="1">
      <alignment vertical="center" wrapText="1"/>
    </xf>
    <xf numFmtId="14" fontId="0" fillId="2" borderId="0" xfId="0" applyNumberFormat="1" applyFill="1"/>
    <xf numFmtId="0" fontId="110" fillId="2" borderId="0" xfId="0" applyFont="1" applyFill="1" applyAlignment="1">
      <alignment horizontal="center" vertical="center"/>
    </xf>
    <xf numFmtId="0" fontId="101" fillId="2" borderId="0" xfId="2840" applyFont="1" applyFill="1" applyAlignment="1">
      <alignment horizontal="center" vertical="center"/>
    </xf>
    <xf numFmtId="0" fontId="110" fillId="2" borderId="0" xfId="2841" applyFont="1" applyFill="1" applyAlignment="1">
      <alignment horizontal="center" vertical="center" wrapText="1"/>
    </xf>
    <xf numFmtId="0" fontId="113" fillId="2" borderId="0" xfId="2841" applyFont="1" applyFill="1" applyAlignment="1">
      <alignment horizontal="center" vertical="center" wrapText="1"/>
    </xf>
    <xf numFmtId="0" fontId="61" fillId="2" borderId="0" xfId="2841" applyFill="1"/>
    <xf numFmtId="14" fontId="100" fillId="0" borderId="0" xfId="1" applyNumberFormat="1" applyFont="1" applyFill="1" applyBorder="1" applyAlignment="1">
      <alignment horizontal="left" vertical="center" wrapText="1"/>
    </xf>
    <xf numFmtId="0" fontId="121" fillId="2" borderId="0" xfId="0" applyFont="1" applyFill="1" applyAlignment="1">
      <alignment horizontal="center" vertical="center" wrapText="1"/>
    </xf>
    <xf numFmtId="0" fontId="109" fillId="2" borderId="0" xfId="8152" applyFont="1" applyFill="1" applyAlignment="1">
      <alignment horizontal="center" vertical="center" wrapText="1"/>
    </xf>
    <xf numFmtId="0" fontId="55" fillId="0" borderId="0" xfId="8152"/>
    <xf numFmtId="0" fontId="55" fillId="0" borderId="0" xfId="8152" applyAlignment="1">
      <alignment wrapText="1"/>
    </xf>
    <xf numFmtId="0" fontId="55" fillId="2" borderId="0" xfId="8152" applyFill="1"/>
    <xf numFmtId="0" fontId="98" fillId="2" borderId="0" xfId="8152" applyFont="1" applyFill="1" applyAlignment="1">
      <alignment horizontal="center" vertical="center" wrapText="1"/>
    </xf>
    <xf numFmtId="0" fontId="108" fillId="2" borderId="0" xfId="8152" applyFont="1" applyFill="1"/>
    <xf numFmtId="0" fontId="108" fillId="2" borderId="0" xfId="8152" applyFont="1" applyFill="1" applyAlignment="1">
      <alignment wrapText="1"/>
    </xf>
    <xf numFmtId="14" fontId="55" fillId="2" borderId="0" xfId="8152" applyNumberFormat="1" applyFill="1"/>
    <xf numFmtId="0" fontId="55" fillId="2" borderId="0" xfId="8152" applyFill="1" applyAlignment="1">
      <alignment wrapText="1"/>
    </xf>
    <xf numFmtId="14" fontId="105" fillId="0" borderId="3" xfId="6" applyNumberFormat="1" applyFont="1" applyFill="1" applyBorder="1" applyAlignment="1">
      <alignment horizontal="center" vertical="center" wrapText="1"/>
    </xf>
    <xf numFmtId="164" fontId="105" fillId="0" borderId="3" xfId="6" applyNumberFormat="1" applyFont="1" applyFill="1" applyBorder="1" applyAlignment="1">
      <alignment horizontal="center" vertical="center" wrapText="1"/>
    </xf>
    <xf numFmtId="164" fontId="105" fillId="0" borderId="3" xfId="3" applyNumberFormat="1" applyFont="1" applyFill="1" applyBorder="1" applyAlignment="1">
      <alignment horizontal="center" vertical="center" wrapText="1"/>
    </xf>
    <xf numFmtId="164" fontId="105" fillId="0" borderId="6" xfId="3" applyNumberFormat="1" applyFont="1" applyFill="1" applyBorder="1" applyAlignment="1">
      <alignment horizontal="center" vertical="center" wrapText="1"/>
    </xf>
    <xf numFmtId="14" fontId="105" fillId="0" borderId="5" xfId="6" applyNumberFormat="1" applyFont="1" applyFill="1" applyBorder="1" applyAlignment="1">
      <alignment horizontal="center" vertical="center" wrapText="1"/>
    </xf>
    <xf numFmtId="0" fontId="105" fillId="0" borderId="5" xfId="3" applyNumberFormat="1" applyFont="1" applyFill="1" applyBorder="1" applyAlignment="1">
      <alignment horizontal="center" vertical="center" wrapText="1"/>
    </xf>
    <xf numFmtId="0" fontId="116" fillId="2" borderId="0" xfId="2842" applyFont="1" applyFill="1" applyAlignment="1">
      <alignment wrapText="1"/>
    </xf>
    <xf numFmtId="164" fontId="100" fillId="0" borderId="3" xfId="6" applyNumberFormat="1" applyFont="1" applyFill="1" applyBorder="1" applyAlignment="1" applyProtection="1">
      <alignment horizontal="justify" vertical="center" wrapText="1"/>
      <protection locked="0"/>
    </xf>
    <xf numFmtId="164" fontId="101" fillId="0" borderId="3" xfId="3" applyNumberFormat="1" applyFont="1" applyFill="1" applyBorder="1" applyAlignment="1" applyProtection="1">
      <alignment horizontal="left" vertical="center" wrapText="1"/>
      <protection locked="0"/>
    </xf>
    <xf numFmtId="0" fontId="124" fillId="3" borderId="3" xfId="0" applyFont="1" applyFill="1" applyBorder="1" applyAlignment="1">
      <alignment horizontal="center"/>
    </xf>
    <xf numFmtId="164" fontId="100" fillId="0" borderId="3" xfId="6" applyNumberFormat="1" applyFont="1" applyFill="1" applyBorder="1" applyAlignment="1" applyProtection="1">
      <alignment horizontal="left" vertical="center" wrapText="1"/>
      <protection locked="0"/>
    </xf>
    <xf numFmtId="0" fontId="131" fillId="0" borderId="0" xfId="0" applyFont="1"/>
    <xf numFmtId="1" fontId="103" fillId="0" borderId="3" xfId="5" applyNumberFormat="1" applyFont="1" applyFill="1" applyBorder="1" applyAlignment="1" applyProtection="1">
      <alignment horizontal="center" vertical="center" wrapText="1"/>
      <protection locked="0"/>
    </xf>
    <xf numFmtId="0" fontId="109" fillId="2" borderId="0" xfId="32614" applyFont="1" applyFill="1" applyAlignment="1">
      <alignment horizontal="center" vertical="center" wrapText="1"/>
    </xf>
    <xf numFmtId="0" fontId="36" fillId="2" borderId="0" xfId="32614" applyFill="1"/>
    <xf numFmtId="0" fontId="36" fillId="2" borderId="0" xfId="32614" applyFill="1" applyAlignment="1">
      <alignment wrapText="1"/>
    </xf>
    <xf numFmtId="0" fontId="98" fillId="2" borderId="0" xfId="32614" applyFont="1" applyFill="1" applyAlignment="1">
      <alignment horizontal="center" vertical="center" wrapText="1"/>
    </xf>
    <xf numFmtId="0" fontId="101" fillId="2" borderId="0" xfId="32614" applyFont="1" applyFill="1" applyAlignment="1">
      <alignment horizontal="center" vertical="center"/>
    </xf>
    <xf numFmtId="0" fontId="108" fillId="2" borderId="0" xfId="32614" applyFont="1" applyFill="1"/>
    <xf numFmtId="0" fontId="108" fillId="2" borderId="0" xfId="32614" applyFont="1" applyFill="1" applyAlignment="1">
      <alignment wrapText="1"/>
    </xf>
    <xf numFmtId="0" fontId="36" fillId="0" borderId="0" xfId="32614"/>
    <xf numFmtId="0" fontId="36" fillId="0" borderId="0" xfId="32614" applyAlignment="1">
      <alignment wrapText="1"/>
    </xf>
    <xf numFmtId="0" fontId="106" fillId="0" borderId="0" xfId="7" applyFill="1" applyBorder="1" applyAlignment="1">
      <alignment horizontal="left"/>
    </xf>
    <xf numFmtId="14" fontId="101" fillId="0" borderId="0" xfId="1" quotePrefix="1" applyNumberFormat="1" applyFont="1" applyFill="1" applyBorder="1" applyAlignment="1">
      <alignment horizontal="left" vertical="center" wrapText="1"/>
    </xf>
    <xf numFmtId="14" fontId="102" fillId="0" borderId="0" xfId="0" applyNumberFormat="1" applyFont="1" applyAlignment="1">
      <alignment vertical="center" wrapText="1"/>
    </xf>
    <xf numFmtId="14" fontId="119" fillId="0" borderId="0" xfId="0" applyNumberFormat="1" applyFont="1" applyAlignment="1">
      <alignment horizontal="center" vertical="center" wrapText="1"/>
    </xf>
    <xf numFmtId="1" fontId="103" fillId="0" borderId="0" xfId="0" applyNumberFormat="1" applyFont="1" applyAlignment="1">
      <alignment wrapText="1"/>
    </xf>
    <xf numFmtId="0" fontId="98" fillId="0" borderId="0" xfId="0" applyFont="1" applyAlignment="1">
      <alignment vertical="center" wrapText="1"/>
    </xf>
    <xf numFmtId="0" fontId="98" fillId="0" borderId="0" xfId="0" applyFont="1" applyAlignment="1">
      <alignment horizontal="center" wrapText="1"/>
    </xf>
    <xf numFmtId="1" fontId="0" fillId="0" borderId="0" xfId="0" applyNumberFormat="1"/>
    <xf numFmtId="0" fontId="101" fillId="0" borderId="0" xfId="0" applyFont="1" applyAlignment="1">
      <alignment horizontal="center" vertical="center"/>
    </xf>
    <xf numFmtId="0" fontId="115" fillId="0" borderId="0" xfId="0" applyFont="1"/>
    <xf numFmtId="1" fontId="103" fillId="0" borderId="3" xfId="5" quotePrefix="1" applyNumberFormat="1" applyFont="1" applyFill="1" applyBorder="1" applyAlignment="1" applyProtection="1">
      <alignment horizontal="center" vertical="center" wrapText="1"/>
      <protection locked="0"/>
    </xf>
    <xf numFmtId="164" fontId="105" fillId="0" borderId="3" xfId="0" applyNumberFormat="1" applyFont="1" applyBorder="1" applyAlignment="1">
      <alignment horizontal="center" vertical="center" wrapText="1"/>
    </xf>
    <xf numFmtId="1" fontId="105" fillId="0" borderId="3" xfId="0" applyNumberFormat="1" applyFont="1" applyBorder="1" applyAlignment="1">
      <alignment horizontal="center" vertical="center"/>
    </xf>
    <xf numFmtId="0" fontId="100" fillId="2" borderId="0" xfId="8152" applyFont="1" applyFill="1" applyAlignment="1">
      <alignment wrapText="1"/>
    </xf>
    <xf numFmtId="14" fontId="137" fillId="2" borderId="0" xfId="1" quotePrefix="1" applyNumberFormat="1" applyFont="1" applyFill="1" applyBorder="1" applyAlignment="1">
      <alignment horizontal="left" vertical="center" wrapText="1"/>
    </xf>
    <xf numFmtId="0" fontId="137" fillId="2" borderId="0" xfId="0" applyFont="1" applyFill="1" applyAlignment="1">
      <alignment horizontal="center" vertical="center"/>
    </xf>
    <xf numFmtId="0" fontId="99" fillId="2" borderId="0" xfId="0" applyFont="1" applyFill="1" applyAlignment="1">
      <alignment horizontal="center" vertical="center" wrapText="1"/>
    </xf>
    <xf numFmtId="0" fontId="106" fillId="0" borderId="0" xfId="7" applyFill="1" applyBorder="1" applyAlignment="1"/>
    <xf numFmtId="2" fontId="0" fillId="0" borderId="0" xfId="5" applyNumberFormat="1" applyFont="1" applyFill="1" applyAlignment="1">
      <alignment horizontal="center" vertical="center"/>
    </xf>
    <xf numFmtId="14" fontId="105" fillId="0" borderId="6" xfId="6" applyNumberFormat="1" applyFont="1" applyFill="1" applyBorder="1" applyAlignment="1">
      <alignment horizontal="center" vertical="center" wrapText="1"/>
    </xf>
    <xf numFmtId="167" fontId="98" fillId="0" borderId="4" xfId="3" applyNumberFormat="1" applyFont="1" applyFill="1" applyBorder="1" applyAlignment="1">
      <alignment horizontal="center" vertical="center" wrapText="1"/>
    </xf>
    <xf numFmtId="2" fontId="130" fillId="0" borderId="0" xfId="0" applyNumberFormat="1" applyFont="1"/>
    <xf numFmtId="165" fontId="100" fillId="0" borderId="0" xfId="5" applyNumberFormat="1" applyFont="1" applyFill="1" applyBorder="1" applyAlignment="1" applyProtection="1">
      <alignment horizontal="center" vertical="center"/>
      <protection locked="0"/>
    </xf>
    <xf numFmtId="1" fontId="100" fillId="0" borderId="8" xfId="6" applyNumberFormat="1" applyFont="1" applyFill="1" applyBorder="1" applyAlignment="1">
      <alignment horizontal="center" vertical="center" wrapText="1"/>
    </xf>
    <xf numFmtId="0" fontId="133" fillId="0" borderId="2" xfId="7" applyFont="1" applyFill="1" applyBorder="1" applyAlignment="1">
      <alignment horizontal="center" vertical="center" wrapText="1"/>
    </xf>
    <xf numFmtId="14" fontId="100" fillId="0" borderId="2" xfId="6" applyNumberFormat="1" applyFont="1" applyFill="1" applyBorder="1" applyAlignment="1">
      <alignment horizontal="center" vertical="center" wrapText="1"/>
    </xf>
    <xf numFmtId="164" fontId="101" fillId="0" borderId="2" xfId="6" applyNumberFormat="1" applyFont="1" applyFill="1" applyBorder="1" applyAlignment="1">
      <alignment horizontal="left" vertical="center" wrapText="1"/>
    </xf>
    <xf numFmtId="164" fontId="103" fillId="0" borderId="2" xfId="6" applyNumberFormat="1" applyFont="1" applyFill="1" applyBorder="1" applyAlignment="1">
      <alignment vertical="center" wrapText="1"/>
    </xf>
    <xf numFmtId="164" fontId="107" fillId="0" borderId="2" xfId="6" applyNumberFormat="1" applyFont="1" applyFill="1" applyBorder="1" applyAlignment="1">
      <alignment horizontal="center" vertical="center" wrapText="1"/>
    </xf>
    <xf numFmtId="164" fontId="100" fillId="0" borderId="2" xfId="6" applyNumberFormat="1" applyFont="1" applyFill="1" applyBorder="1" applyAlignment="1">
      <alignment horizontal="justify" vertical="center" wrapText="1"/>
    </xf>
    <xf numFmtId="164" fontId="103" fillId="0" borderId="2" xfId="6" applyNumberFormat="1" applyFont="1" applyFill="1" applyBorder="1" applyAlignment="1">
      <alignment horizontal="left" vertical="center" wrapText="1"/>
    </xf>
    <xf numFmtId="49" fontId="98" fillId="0" borderId="2" xfId="5" applyNumberFormat="1" applyFont="1" applyFill="1" applyBorder="1" applyAlignment="1">
      <alignment horizontal="center" vertical="center" wrapText="1"/>
    </xf>
    <xf numFmtId="49" fontId="98" fillId="0" borderId="14" xfId="6" applyNumberFormat="1" applyFont="1" applyFill="1" applyBorder="1" applyAlignment="1">
      <alignment horizontal="center" vertical="center" wrapText="1"/>
    </xf>
    <xf numFmtId="164" fontId="101" fillId="0" borderId="15" xfId="3" applyNumberFormat="1" applyFont="1" applyFill="1" applyBorder="1" applyAlignment="1" applyProtection="1">
      <alignment horizontal="left" vertical="center" wrapText="1"/>
      <protection locked="0"/>
    </xf>
    <xf numFmtId="164" fontId="103" fillId="0" borderId="15" xfId="6" applyNumberFormat="1" applyFont="1" applyFill="1" applyBorder="1" applyAlignment="1" applyProtection="1">
      <alignment vertical="center" wrapText="1"/>
      <protection locked="0"/>
    </xf>
    <xf numFmtId="164" fontId="100" fillId="0" borderId="15" xfId="6" applyNumberFormat="1" applyFont="1" applyFill="1" applyBorder="1" applyAlignment="1" applyProtection="1">
      <alignment horizontal="justify" vertical="center" wrapText="1"/>
      <protection locked="0"/>
    </xf>
    <xf numFmtId="166" fontId="98" fillId="0" borderId="15" xfId="1" applyNumberFormat="1" applyFont="1" applyFill="1" applyBorder="1" applyAlignment="1">
      <alignment horizontal="center" vertical="center" wrapText="1"/>
    </xf>
    <xf numFmtId="164" fontId="101" fillId="0" borderId="15" xfId="6" applyNumberFormat="1" applyFont="1" applyFill="1" applyBorder="1" applyAlignment="1">
      <alignment horizontal="left" vertical="center" wrapText="1"/>
    </xf>
    <xf numFmtId="164" fontId="100" fillId="0" borderId="15" xfId="6" applyNumberFormat="1" applyFont="1" applyFill="1" applyBorder="1" applyAlignment="1">
      <alignment horizontal="justify" vertical="center" wrapText="1"/>
    </xf>
    <xf numFmtId="164" fontId="100" fillId="0" borderId="15" xfId="6" applyNumberFormat="1" applyFont="1" applyFill="1" applyBorder="1" applyAlignment="1">
      <alignment vertical="center" wrapText="1"/>
    </xf>
    <xf numFmtId="164" fontId="100" fillId="0" borderId="15" xfId="3" applyNumberFormat="1" applyFont="1" applyFill="1" applyBorder="1" applyAlignment="1">
      <alignment horizontal="left" vertical="center" wrapText="1"/>
    </xf>
    <xf numFmtId="164" fontId="100" fillId="0" borderId="15" xfId="6" applyNumberFormat="1" applyFont="1" applyFill="1" applyBorder="1" applyAlignment="1" applyProtection="1">
      <alignment horizontal="left" vertical="center" wrapText="1"/>
      <protection locked="0"/>
    </xf>
    <xf numFmtId="164" fontId="100" fillId="0" borderId="15" xfId="3" applyNumberFormat="1" applyFont="1" applyFill="1" applyBorder="1" applyAlignment="1" applyProtection="1">
      <alignment horizontal="left" vertical="center" wrapText="1"/>
      <protection locked="0"/>
    </xf>
    <xf numFmtId="14" fontId="100" fillId="0" borderId="15" xfId="3" applyNumberFormat="1" applyFont="1" applyFill="1" applyBorder="1" applyAlignment="1" applyProtection="1">
      <alignment horizontal="center" vertical="center" wrapText="1"/>
      <protection locked="0"/>
    </xf>
    <xf numFmtId="164" fontId="101" fillId="0" borderId="15" xfId="6" applyNumberFormat="1" applyFont="1" applyFill="1" applyBorder="1" applyAlignment="1" applyProtection="1">
      <alignment horizontal="left" vertical="center" wrapText="1"/>
      <protection locked="0"/>
    </xf>
    <xf numFmtId="1" fontId="103" fillId="0" borderId="15" xfId="5" applyNumberFormat="1" applyFont="1" applyFill="1" applyBorder="1" applyAlignment="1" applyProtection="1">
      <alignment horizontal="center" vertical="center" wrapText="1"/>
      <protection locked="0"/>
    </xf>
    <xf numFmtId="164" fontId="100" fillId="0" borderId="15" xfId="6" applyNumberFormat="1" applyFont="1" applyFill="1" applyBorder="1" applyAlignment="1" applyProtection="1">
      <alignment vertical="center" wrapText="1"/>
      <protection locked="0"/>
    </xf>
    <xf numFmtId="1" fontId="103" fillId="0" borderId="15" xfId="5" quotePrefix="1" applyNumberFormat="1" applyFont="1" applyFill="1" applyBorder="1" applyAlignment="1" applyProtection="1">
      <alignment horizontal="center" vertical="center" wrapText="1"/>
      <protection locked="0"/>
    </xf>
    <xf numFmtId="164" fontId="107" fillId="0" borderId="15" xfId="3" applyNumberFormat="1" applyFont="1" applyFill="1" applyBorder="1" applyAlignment="1" applyProtection="1">
      <alignment horizontal="center" vertical="center" wrapText="1"/>
      <protection locked="0"/>
    </xf>
    <xf numFmtId="164" fontId="103" fillId="0" borderId="15" xfId="3" applyNumberFormat="1" applyFont="1" applyFill="1" applyBorder="1" applyAlignment="1" applyProtection="1">
      <alignment vertical="center" wrapText="1"/>
      <protection locked="0"/>
    </xf>
    <xf numFmtId="164" fontId="98" fillId="0" borderId="15" xfId="3" applyNumberFormat="1" applyFont="1" applyFill="1" applyBorder="1" applyAlignment="1" applyProtection="1">
      <alignment horizontal="left" vertical="center" wrapText="1"/>
      <protection locked="0"/>
    </xf>
    <xf numFmtId="1" fontId="100" fillId="0" borderId="15" xfId="5" applyNumberFormat="1" applyFont="1" applyFill="1" applyBorder="1" applyAlignment="1" applyProtection="1">
      <alignment horizontal="left" vertical="center" wrapText="1"/>
      <protection locked="0"/>
    </xf>
    <xf numFmtId="0" fontId="26" fillId="2" borderId="0" xfId="32633" applyFill="1"/>
    <xf numFmtId="0" fontId="26" fillId="4" borderId="15" xfId="0" applyFont="1" applyFill="1" applyBorder="1" applyAlignment="1">
      <alignment wrapText="1"/>
    </xf>
    <xf numFmtId="0" fontId="127" fillId="5" borderId="15" xfId="0" applyFont="1" applyFill="1" applyBorder="1" applyAlignment="1">
      <alignment horizontal="center" wrapText="1"/>
    </xf>
    <xf numFmtId="0" fontId="127" fillId="6" borderId="15" xfId="0" applyFont="1" applyFill="1" applyBorder="1" applyAlignment="1">
      <alignment horizontal="center" wrapText="1"/>
    </xf>
    <xf numFmtId="0" fontId="126" fillId="3" borderId="15" xfId="0" applyFont="1" applyFill="1" applyBorder="1" applyAlignment="1">
      <alignment horizontal="center" vertical="center"/>
    </xf>
    <xf numFmtId="0" fontId="26" fillId="4" borderId="15" xfId="0" applyFont="1" applyFill="1" applyBorder="1"/>
    <xf numFmtId="0" fontId="26" fillId="2" borderId="15" xfId="0" applyFont="1" applyFill="1" applyBorder="1" applyAlignment="1">
      <alignment horizontal="center" vertical="center"/>
    </xf>
    <xf numFmtId="0" fontId="26" fillId="0" borderId="15" xfId="0" applyFont="1" applyBorder="1" applyAlignment="1">
      <alignment horizontal="center" vertical="center"/>
    </xf>
    <xf numFmtId="0" fontId="124" fillId="7" borderId="15" xfId="0" applyFont="1" applyFill="1" applyBorder="1" applyAlignment="1">
      <alignment horizontal="center"/>
    </xf>
    <xf numFmtId="0" fontId="125" fillId="4" borderId="15" xfId="0" applyFont="1" applyFill="1" applyBorder="1"/>
    <xf numFmtId="0" fontId="125" fillId="4" borderId="15" xfId="0" applyFont="1" applyFill="1" applyBorder="1" applyAlignment="1">
      <alignment horizontal="center"/>
    </xf>
    <xf numFmtId="0" fontId="129" fillId="4" borderId="15" xfId="0" applyFont="1" applyFill="1" applyBorder="1" applyAlignment="1">
      <alignment horizontal="center"/>
    </xf>
    <xf numFmtId="0" fontId="127" fillId="5" borderId="15" xfId="0" applyFont="1" applyFill="1" applyBorder="1" applyAlignment="1">
      <alignment horizontal="center"/>
    </xf>
    <xf numFmtId="0" fontId="127" fillId="6" borderId="15" xfId="0" applyFont="1" applyFill="1" applyBorder="1" applyAlignment="1">
      <alignment horizontal="center"/>
    </xf>
    <xf numFmtId="1" fontId="26" fillId="0" borderId="15" xfId="0" applyNumberFormat="1" applyFont="1" applyBorder="1" applyAlignment="1">
      <alignment horizontal="center" vertical="center"/>
    </xf>
    <xf numFmtId="1" fontId="125" fillId="4" borderId="15" xfId="0" applyNumberFormat="1" applyFont="1" applyFill="1" applyBorder="1" applyAlignment="1">
      <alignment horizontal="center"/>
    </xf>
    <xf numFmtId="1" fontId="124" fillId="7" borderId="15" xfId="0" applyNumberFormat="1" applyFont="1" applyFill="1" applyBorder="1" applyAlignment="1">
      <alignment horizontal="center"/>
    </xf>
    <xf numFmtId="14" fontId="138" fillId="0" borderId="15" xfId="3" applyNumberFormat="1" applyFont="1" applyFill="1" applyBorder="1" applyAlignment="1" applyProtection="1">
      <alignment horizontal="center" vertical="center" wrapText="1"/>
      <protection locked="0"/>
    </xf>
    <xf numFmtId="1" fontId="139" fillId="0" borderId="15" xfId="5" applyNumberFormat="1" applyFont="1" applyFill="1" applyBorder="1" applyAlignment="1" applyProtection="1">
      <alignment horizontal="center" vertical="center" wrapText="1"/>
      <protection locked="0"/>
    </xf>
    <xf numFmtId="166" fontId="140" fillId="0" borderId="15" xfId="1" applyNumberFormat="1" applyFont="1" applyFill="1" applyBorder="1" applyAlignment="1">
      <alignment horizontal="center" vertical="center" wrapText="1"/>
    </xf>
    <xf numFmtId="167" fontId="140" fillId="0" borderId="4" xfId="3" applyNumberFormat="1" applyFont="1" applyFill="1" applyBorder="1" applyAlignment="1">
      <alignment horizontal="center" vertical="center" wrapText="1"/>
    </xf>
    <xf numFmtId="1" fontId="141" fillId="0" borderId="15" xfId="5" applyNumberFormat="1" applyFont="1" applyFill="1" applyBorder="1" applyAlignment="1" applyProtection="1">
      <alignment horizontal="center" vertical="center" wrapText="1"/>
      <protection locked="0"/>
    </xf>
    <xf numFmtId="166" fontId="142" fillId="0" borderId="15" xfId="1" applyNumberFormat="1" applyFont="1" applyFill="1" applyBorder="1" applyAlignment="1">
      <alignment horizontal="center" vertical="center" wrapText="1"/>
    </xf>
    <xf numFmtId="167" fontId="142" fillId="0" borderId="4" xfId="3" applyNumberFormat="1" applyFont="1" applyFill="1" applyBorder="1" applyAlignment="1">
      <alignment horizontal="center" vertical="center" wrapText="1"/>
    </xf>
    <xf numFmtId="1" fontId="143" fillId="0" borderId="15" xfId="5" applyNumberFormat="1" applyFont="1" applyFill="1" applyBorder="1" applyAlignment="1" applyProtection="1">
      <alignment horizontal="center" vertical="center" wrapText="1"/>
      <protection locked="0"/>
    </xf>
    <xf numFmtId="0" fontId="131" fillId="10" borderId="15" xfId="0" applyFont="1" applyFill="1" applyBorder="1" applyAlignment="1">
      <alignment horizontal="center"/>
    </xf>
    <xf numFmtId="14" fontId="144" fillId="0" borderId="0" xfId="0" applyNumberFormat="1" applyFont="1"/>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 fontId="146" fillId="0" borderId="15" xfId="5" applyNumberFormat="1" applyFont="1" applyFill="1" applyBorder="1" applyAlignment="1" applyProtection="1">
      <alignment horizontal="center" vertical="center" wrapText="1"/>
      <protection locked="0"/>
    </xf>
    <xf numFmtId="166" fontId="147" fillId="0" borderId="15" xfId="1" applyNumberFormat="1" applyFont="1" applyFill="1" applyBorder="1" applyAlignment="1">
      <alignment horizontal="center" vertical="center" wrapText="1"/>
    </xf>
    <xf numFmtId="167" fontId="147" fillId="0" borderId="4" xfId="3" applyNumberFormat="1" applyFont="1" applyFill="1" applyBorder="1" applyAlignment="1">
      <alignment horizontal="center" vertical="center" wrapText="1"/>
    </xf>
    <xf numFmtId="164" fontId="101" fillId="0" borderId="15" xfId="3" applyNumberFormat="1" applyFont="1" applyFill="1" applyBorder="1" applyAlignment="1" applyProtection="1">
      <alignment vertical="center" wrapText="1"/>
      <protection locked="0"/>
    </xf>
    <xf numFmtId="164" fontId="103" fillId="0" borderId="15" xfId="6" applyNumberFormat="1" applyFont="1" applyFill="1" applyBorder="1" applyAlignment="1">
      <alignment vertical="center" wrapText="1"/>
    </xf>
    <xf numFmtId="164" fontId="98" fillId="0" borderId="15" xfId="6" applyNumberFormat="1" applyFont="1" applyFill="1" applyBorder="1" applyAlignment="1" applyProtection="1">
      <alignment horizontal="justify" vertical="center" wrapText="1"/>
      <protection locked="0"/>
    </xf>
    <xf numFmtId="0" fontId="24" fillId="4" borderId="15" xfId="0" applyFont="1" applyFill="1" applyBorder="1"/>
    <xf numFmtId="164" fontId="123" fillId="0" borderId="15" xfId="3" applyNumberFormat="1" applyFont="1" applyFill="1" applyBorder="1" applyAlignment="1" applyProtection="1">
      <alignment horizontal="center" vertical="center" wrapText="1"/>
      <protection locked="0"/>
    </xf>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64" fontId="100" fillId="0" borderId="15" xfId="6" applyNumberFormat="1" applyFont="1" applyFill="1" applyBorder="1" applyAlignment="1">
      <alignment horizontal="left" vertical="center" wrapText="1"/>
    </xf>
    <xf numFmtId="164" fontId="103" fillId="0" borderId="15" xfId="3" applyNumberFormat="1" applyFont="1" applyFill="1" applyBorder="1" applyAlignment="1">
      <alignment horizontal="center" vertical="center" wrapText="1"/>
    </xf>
    <xf numFmtId="168" fontId="100" fillId="0" borderId="15" xfId="3" applyNumberFormat="1" applyFont="1" applyFill="1" applyBorder="1" applyAlignment="1">
      <alignment horizontal="center" vertical="center" wrapText="1"/>
    </xf>
    <xf numFmtId="14" fontId="100" fillId="0" borderId="15" xfId="6" applyNumberFormat="1" applyFont="1" applyFill="1" applyBorder="1" applyAlignment="1" applyProtection="1">
      <alignment horizontal="center" vertical="center" wrapText="1"/>
      <protection locked="0"/>
    </xf>
    <xf numFmtId="164" fontId="123" fillId="0" borderId="15" xfId="3" applyNumberFormat="1" applyFont="1" applyFill="1" applyBorder="1" applyAlignment="1">
      <alignment horizontal="center" vertical="center" wrapText="1"/>
    </xf>
    <xf numFmtId="0" fontId="22" fillId="0" borderId="15" xfId="0" applyFont="1" applyBorder="1" applyAlignment="1">
      <alignment horizontal="center"/>
    </xf>
    <xf numFmtId="0" fontId="21" fillId="0" borderId="15" xfId="0" applyFont="1" applyBorder="1" applyAlignment="1">
      <alignment horizontal="center"/>
    </xf>
    <xf numFmtId="0" fontId="25" fillId="0" borderId="15" xfId="0" applyFont="1" applyBorder="1" applyAlignment="1">
      <alignment horizontal="center"/>
    </xf>
    <xf numFmtId="0" fontId="23" fillId="0" borderId="15" xfId="0" applyFont="1" applyBorder="1"/>
    <xf numFmtId="165" fontId="149" fillId="0" borderId="7" xfId="5" applyNumberFormat="1" applyFont="1" applyFill="1" applyBorder="1" applyAlignment="1" applyProtection="1">
      <alignment horizontal="center" vertical="center"/>
      <protection locked="0"/>
    </xf>
    <xf numFmtId="0" fontId="98" fillId="0" borderId="15" xfId="95" applyFont="1" applyBorder="1" applyAlignment="1">
      <alignment horizontal="center" vertical="center"/>
    </xf>
    <xf numFmtId="0" fontId="136" fillId="0" borderId="15" xfId="95" applyFont="1" applyBorder="1" applyAlignment="1">
      <alignment horizontal="center" vertical="center" wrapText="1"/>
    </xf>
    <xf numFmtId="0" fontId="100" fillId="0" borderId="15" xfId="95" applyFont="1" applyBorder="1" applyAlignment="1">
      <alignment horizontal="justify" vertical="center" wrapText="1"/>
    </xf>
    <xf numFmtId="0" fontId="20" fillId="0" borderId="15" xfId="0" applyFont="1" applyBorder="1" applyAlignment="1">
      <alignment horizontal="center"/>
    </xf>
    <xf numFmtId="166" fontId="152" fillId="0" borderId="15" xfId="1" applyNumberFormat="1" applyFont="1" applyFill="1" applyBorder="1" applyAlignment="1">
      <alignment horizontal="center" vertical="center" wrapText="1"/>
    </xf>
    <xf numFmtId="167" fontId="152"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1" fillId="0" borderId="0" xfId="0" applyNumberFormat="1" applyFont="1" applyAlignment="1">
      <alignment horizontal="left" vertical="center" wrapText="1"/>
    </xf>
    <xf numFmtId="49" fontId="98" fillId="0" borderId="0" xfId="0" applyNumberFormat="1" applyFont="1" applyAlignment="1">
      <alignment horizontal="center" vertical="center" wrapText="1"/>
    </xf>
    <xf numFmtId="166" fontId="98" fillId="0" borderId="0" xfId="0" applyNumberFormat="1" applyFont="1" applyAlignment="1">
      <alignment horizontal="left" vertical="center" wrapText="1"/>
    </xf>
    <xf numFmtId="166" fontId="105" fillId="0" borderId="3" xfId="0" applyNumberFormat="1" applyFont="1" applyBorder="1" applyAlignment="1">
      <alignment horizontal="center" vertical="center" wrapText="1"/>
    </xf>
    <xf numFmtId="167" fontId="105" fillId="0" borderId="6" xfId="0" applyNumberFormat="1" applyFont="1" applyBorder="1" applyAlignment="1">
      <alignment horizontal="center" vertical="center" wrapText="1"/>
    </xf>
    <xf numFmtId="0" fontId="18" fillId="4" borderId="15" xfId="0" applyFont="1" applyFill="1" applyBorder="1"/>
    <xf numFmtId="166" fontId="153" fillId="0" borderId="15" xfId="1" applyNumberFormat="1" applyFont="1" applyFill="1" applyBorder="1" applyAlignment="1">
      <alignment horizontal="center" vertical="center" wrapText="1"/>
    </xf>
    <xf numFmtId="167" fontId="153" fillId="0" borderId="4" xfId="3" applyNumberFormat="1" applyFont="1" applyFill="1" applyBorder="1" applyAlignment="1">
      <alignment horizontal="center" vertical="center" wrapText="1"/>
    </xf>
    <xf numFmtId="164" fontId="105" fillId="0" borderId="15" xfId="3" applyNumberFormat="1" applyFont="1" applyFill="1" applyBorder="1" applyAlignment="1">
      <alignment horizontal="center" vertical="center" wrapText="1"/>
    </xf>
    <xf numFmtId="1" fontId="154" fillId="0" borderId="15" xfId="5" applyNumberFormat="1" applyFont="1" applyFill="1" applyBorder="1" applyAlignment="1" applyProtection="1">
      <alignment horizontal="center" vertical="center" wrapText="1"/>
      <protection locked="0"/>
    </xf>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 fontId="146" fillId="0" borderId="3" xfId="5" applyNumberFormat="1" applyFont="1" applyFill="1" applyBorder="1" applyAlignment="1" applyProtection="1">
      <alignment horizontal="center" vertical="center" wrapText="1"/>
      <protection locked="0"/>
    </xf>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0" fontId="106" fillId="0" borderId="15" xfId="7" applyFill="1" applyBorder="1" applyAlignment="1">
      <alignment horizontal="center" vertical="center"/>
    </xf>
    <xf numFmtId="1" fontId="157" fillId="0" borderId="15"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164" fontId="103" fillId="0" borderId="3" xfId="6" applyNumberFormat="1" applyFont="1" applyFill="1" applyBorder="1" applyAlignment="1" applyProtection="1">
      <alignment vertical="center" wrapText="1"/>
      <protection locked="0"/>
    </xf>
    <xf numFmtId="14" fontId="98" fillId="0" borderId="15" xfId="3" applyNumberFormat="1" applyFont="1" applyFill="1" applyBorder="1" applyAlignment="1" applyProtection="1">
      <alignment horizontal="center" vertical="center" wrapText="1"/>
      <protection locked="0"/>
    </xf>
    <xf numFmtId="166" fontId="160" fillId="0" borderId="15" xfId="1" applyNumberFormat="1" applyFont="1" applyFill="1" applyBorder="1" applyAlignment="1">
      <alignment horizontal="center" vertical="center" wrapText="1"/>
    </xf>
    <xf numFmtId="167" fontId="160" fillId="0" borderId="4" xfId="3" applyNumberFormat="1" applyFont="1" applyFill="1" applyBorder="1" applyAlignment="1">
      <alignment horizontal="center" vertical="center" wrapText="1"/>
    </xf>
    <xf numFmtId="14" fontId="133" fillId="0" borderId="15" xfId="7" applyNumberFormat="1" applyFont="1" applyFill="1" applyBorder="1" applyAlignment="1">
      <alignment horizontal="center" vertical="center"/>
    </xf>
    <xf numFmtId="164" fontId="133" fillId="0" borderId="15" xfId="7" applyNumberFormat="1" applyFont="1" applyFill="1" applyBorder="1" applyAlignment="1">
      <alignment horizontal="center" vertical="center"/>
    </xf>
    <xf numFmtId="0" fontId="150" fillId="0" borderId="0" xfId="0" applyFont="1" applyAlignment="1">
      <alignment horizontal="center" vertical="center"/>
    </xf>
    <xf numFmtId="0" fontId="133" fillId="0" borderId="0" xfId="0" applyFont="1" applyAlignment="1">
      <alignment horizontal="center" vertical="center" wrapText="1"/>
    </xf>
    <xf numFmtId="0" fontId="101" fillId="0" borderId="0" xfId="32632" applyFont="1" applyAlignment="1">
      <alignment horizontal="center" vertical="center"/>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0" fontId="133" fillId="0" borderId="15" xfId="7" applyFont="1" applyFill="1" applyBorder="1" applyAlignment="1">
      <alignment horizontal="center" vertical="center"/>
    </xf>
    <xf numFmtId="164" fontId="133" fillId="0" borderId="15" xfId="7" applyNumberFormat="1" applyFont="1" applyFill="1" applyBorder="1" applyAlignment="1">
      <alignment horizontal="center" vertical="center" wrapText="1"/>
    </xf>
    <xf numFmtId="0" fontId="0" fillId="0" borderId="0" xfId="0" applyAlignment="1">
      <alignment horizontal="center" vertical="center"/>
    </xf>
    <xf numFmtId="0" fontId="151" fillId="0" borderId="0" xfId="0" applyFont="1" applyAlignment="1">
      <alignment horizontal="center" vertical="center"/>
    </xf>
    <xf numFmtId="1" fontId="163" fillId="0" borderId="15" xfId="5" applyNumberFormat="1" applyFont="1" applyFill="1" applyBorder="1" applyAlignment="1" applyProtection="1">
      <alignment horizontal="center" vertical="center" wrapText="1"/>
      <protection locked="0"/>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166" fontId="165" fillId="0" borderId="15" xfId="1" applyNumberFormat="1" applyFont="1" applyFill="1" applyBorder="1" applyAlignment="1">
      <alignment horizontal="center" vertical="center" wrapText="1"/>
    </xf>
    <xf numFmtId="167" fontId="165" fillId="0" borderId="4" xfId="3" applyNumberFormat="1" applyFont="1" applyFill="1" applyBorder="1" applyAlignment="1">
      <alignment horizontal="center" vertical="center" wrapText="1"/>
    </xf>
    <xf numFmtId="164" fontId="105" fillId="0" borderId="5" xfId="3" applyNumberFormat="1" applyFont="1" applyFill="1" applyBorder="1" applyAlignment="1">
      <alignment horizontal="center" vertical="center" wrapText="1"/>
    </xf>
    <xf numFmtId="14" fontId="100" fillId="0" borderId="15" xfId="3" applyNumberFormat="1" applyFont="1" applyFill="1" applyBorder="1" applyAlignment="1">
      <alignment horizontal="center" vertical="center" wrapText="1"/>
    </xf>
    <xf numFmtId="164" fontId="101" fillId="0" borderId="15" xfId="3" applyNumberFormat="1" applyFont="1" applyFill="1" applyBorder="1" applyAlignment="1">
      <alignment horizontal="center" vertical="center" wrapText="1"/>
    </xf>
    <xf numFmtId="14" fontId="167" fillId="0" borderId="15" xfId="3" applyNumberFormat="1" applyFont="1" applyFill="1" applyBorder="1" applyAlignment="1">
      <alignment horizontal="center" vertical="center" wrapText="1"/>
    </xf>
    <xf numFmtId="166" fontId="170" fillId="0" borderId="15" xfId="1" applyNumberFormat="1" applyFont="1" applyFill="1" applyBorder="1" applyAlignment="1">
      <alignment horizontal="center" vertical="center" wrapText="1"/>
    </xf>
    <xf numFmtId="167" fontId="170" fillId="0" borderId="4" xfId="3" applyNumberFormat="1" applyFont="1" applyFill="1" applyBorder="1" applyAlignment="1">
      <alignment horizontal="center" vertical="center" wrapText="1"/>
    </xf>
    <xf numFmtId="164" fontId="107" fillId="0" borderId="15" xfId="3" applyNumberFormat="1" applyFont="1" applyFill="1" applyBorder="1" applyAlignment="1">
      <alignment horizontal="center" vertical="center" wrapText="1"/>
    </xf>
    <xf numFmtId="1" fontId="171" fillId="0" borderId="15" xfId="5" applyNumberFormat="1" applyFont="1" applyFill="1" applyBorder="1" applyAlignment="1" applyProtection="1">
      <alignment horizontal="center" vertical="center" wrapText="1"/>
      <protection locked="0"/>
    </xf>
    <xf numFmtId="166" fontId="172" fillId="0" borderId="15" xfId="1" applyNumberFormat="1" applyFont="1" applyFill="1" applyBorder="1" applyAlignment="1">
      <alignment horizontal="center" vertical="center" wrapText="1"/>
    </xf>
    <xf numFmtId="167" fontId="172" fillId="0" borderId="4" xfId="3" applyNumberFormat="1" applyFont="1" applyFill="1" applyBorder="1" applyAlignment="1">
      <alignment horizontal="center" vertical="center" wrapText="1"/>
    </xf>
    <xf numFmtId="0" fontId="106" fillId="0" borderId="0" xfId="7"/>
    <xf numFmtId="1" fontId="174" fillId="0" borderId="15" xfId="5" applyNumberFormat="1" applyFont="1" applyFill="1" applyBorder="1" applyAlignment="1" applyProtection="1">
      <alignment horizontal="center" vertical="center" wrapText="1"/>
      <protection locked="0"/>
    </xf>
    <xf numFmtId="166" fontId="175" fillId="0" borderId="15" xfId="1" applyNumberFormat="1" applyFont="1" applyFill="1" applyBorder="1" applyAlignment="1">
      <alignment horizontal="center" vertical="center" wrapText="1"/>
    </xf>
    <xf numFmtId="167" fontId="175" fillId="0" borderId="4" xfId="3" applyNumberFormat="1" applyFont="1" applyFill="1" applyBorder="1" applyAlignment="1">
      <alignment horizontal="center" vertical="center" wrapText="1"/>
    </xf>
    <xf numFmtId="0" fontId="173" fillId="0" borderId="15" xfId="0" applyFont="1" applyBorder="1" applyAlignment="1">
      <alignment horizontal="left"/>
    </xf>
    <xf numFmtId="0" fontId="10" fillId="0" borderId="15" xfId="0" applyFont="1" applyBorder="1" applyAlignment="1">
      <alignment horizontal="center"/>
    </xf>
    <xf numFmtId="0" fontId="9" fillId="0" borderId="15" xfId="0" applyFont="1" applyBorder="1" applyAlignment="1">
      <alignment horizontal="center"/>
    </xf>
    <xf numFmtId="0" fontId="9" fillId="0" borderId="15" xfId="0" applyFont="1" applyBorder="1"/>
    <xf numFmtId="0" fontId="13" fillId="0" borderId="15" xfId="0" applyFont="1" applyBorder="1" applyAlignment="1">
      <alignment horizontal="left"/>
    </xf>
    <xf numFmtId="0" fontId="12" fillId="0" borderId="15" xfId="0" applyFont="1" applyBorder="1" applyAlignment="1">
      <alignment horizontal="center"/>
    </xf>
    <xf numFmtId="0" fontId="11" fillId="0" borderId="15" xfId="0" applyFont="1" applyBorder="1" applyAlignment="1">
      <alignment horizontal="center"/>
    </xf>
    <xf numFmtId="0" fontId="13" fillId="0" borderId="15" xfId="0" applyFont="1" applyBorder="1" applyAlignment="1">
      <alignment horizontal="center"/>
    </xf>
    <xf numFmtId="0" fontId="16" fillId="0" borderId="15" xfId="0" applyFont="1" applyBorder="1" applyAlignment="1">
      <alignment horizontal="left"/>
    </xf>
    <xf numFmtId="0" fontId="15" fillId="0" borderId="15" xfId="0" applyFont="1" applyBorder="1" applyAlignment="1">
      <alignment horizontal="left"/>
    </xf>
    <xf numFmtId="0" fontId="14" fillId="0" borderId="15" xfId="0" applyFont="1" applyBorder="1" applyAlignment="1">
      <alignment horizontal="center"/>
    </xf>
    <xf numFmtId="0" fontId="17" fillId="0" borderId="15" xfId="0" applyFont="1" applyBorder="1" applyAlignment="1">
      <alignment horizontal="center"/>
    </xf>
    <xf numFmtId="0" fontId="20" fillId="0" borderId="15" xfId="0" applyFont="1" applyBorder="1" applyAlignment="1">
      <alignment horizontal="left"/>
    </xf>
    <xf numFmtId="0" fontId="15" fillId="0" borderId="15" xfId="0" applyFont="1" applyBorder="1" applyAlignment="1">
      <alignment horizontal="center"/>
    </xf>
    <xf numFmtId="0" fontId="22" fillId="0" borderId="15" xfId="0" applyFont="1" applyBorder="1" applyAlignment="1">
      <alignment horizontal="left"/>
    </xf>
    <xf numFmtId="0" fontId="23" fillId="0" borderId="15" xfId="0" applyFont="1" applyBorder="1" applyAlignment="1">
      <alignment horizontal="left"/>
    </xf>
    <xf numFmtId="0" fontId="8" fillId="0" borderId="15" xfId="0" applyFont="1" applyBorder="1" applyAlignment="1">
      <alignment horizontal="center"/>
    </xf>
    <xf numFmtId="1" fontId="176" fillId="0" borderId="15" xfId="5" applyNumberFormat="1" applyFont="1" applyFill="1" applyBorder="1" applyAlignment="1" applyProtection="1">
      <alignment horizontal="center" vertical="center" wrapText="1"/>
      <protection locked="0"/>
    </xf>
    <xf numFmtId="166" fontId="177" fillId="0" borderId="15" xfId="1" applyNumberFormat="1" applyFont="1" applyFill="1" applyBorder="1" applyAlignment="1">
      <alignment horizontal="center" vertical="center" wrapText="1"/>
    </xf>
    <xf numFmtId="167" fontId="177" fillId="0" borderId="4" xfId="3" applyNumberFormat="1" applyFont="1" applyFill="1" applyBorder="1" applyAlignment="1">
      <alignment horizontal="center" vertical="center" wrapText="1"/>
    </xf>
    <xf numFmtId="0" fontId="7" fillId="0" borderId="15" xfId="0" applyFont="1" applyBorder="1" applyAlignment="1">
      <alignment horizontal="center"/>
    </xf>
    <xf numFmtId="0" fontId="0" fillId="0" borderId="8" xfId="0" applyBorder="1" applyAlignment="1">
      <alignment horizontal="center" vertical="center"/>
    </xf>
    <xf numFmtId="0" fontId="6" fillId="0" borderId="15" xfId="0" applyFont="1" applyBorder="1" applyAlignment="1">
      <alignment horizontal="center"/>
    </xf>
    <xf numFmtId="164" fontId="98" fillId="0" borderId="15" xfId="6" applyNumberFormat="1" applyFont="1" applyFill="1" applyBorder="1" applyAlignment="1" applyProtection="1">
      <alignment horizontal="left" vertical="center" wrapText="1"/>
      <protection locked="0"/>
    </xf>
    <xf numFmtId="0" fontId="5" fillId="2" borderId="0" xfId="8152" applyFont="1" applyFill="1"/>
    <xf numFmtId="1" fontId="178" fillId="0" borderId="15" xfId="5" applyNumberFormat="1" applyFont="1" applyFill="1" applyBorder="1" applyAlignment="1" applyProtection="1">
      <alignment horizontal="center" vertical="center" wrapText="1"/>
      <protection locked="0"/>
    </xf>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1" fontId="180" fillId="0" borderId="15" xfId="5" applyNumberFormat="1" applyFont="1" applyFill="1" applyBorder="1" applyAlignment="1" applyProtection="1">
      <alignment horizontal="center" vertical="center" wrapText="1"/>
      <protection locked="0"/>
    </xf>
    <xf numFmtId="166" fontId="181" fillId="0" borderId="15" xfId="1" applyNumberFormat="1" applyFont="1" applyFill="1" applyBorder="1" applyAlignment="1">
      <alignment horizontal="center" vertical="center" wrapText="1"/>
    </xf>
    <xf numFmtId="167" fontId="181" fillId="0" borderId="4" xfId="3" applyNumberFormat="1" applyFont="1" applyFill="1" applyBorder="1" applyAlignment="1">
      <alignment horizontal="center" vertical="center" wrapText="1"/>
    </xf>
    <xf numFmtId="1" fontId="182" fillId="0" borderId="15" xfId="5" applyNumberFormat="1" applyFont="1" applyFill="1" applyBorder="1" applyAlignment="1" applyProtection="1">
      <alignment horizontal="center" vertical="center" wrapText="1"/>
      <protection locked="0"/>
    </xf>
    <xf numFmtId="166" fontId="183" fillId="0" borderId="15" xfId="1" applyNumberFormat="1" applyFont="1" applyFill="1" applyBorder="1" applyAlignment="1">
      <alignment horizontal="center" vertical="center" wrapText="1"/>
    </xf>
    <xf numFmtId="167" fontId="183" fillId="0" borderId="4" xfId="3" applyNumberFormat="1" applyFont="1" applyFill="1" applyBorder="1" applyAlignment="1">
      <alignment horizontal="center" vertical="center" wrapText="1"/>
    </xf>
    <xf numFmtId="0" fontId="100" fillId="0" borderId="15" xfId="0" applyFont="1" applyBorder="1" applyAlignment="1">
      <alignment horizontal="justify" vertical="center" wrapText="1"/>
    </xf>
    <xf numFmtId="164" fontId="0" fillId="0" borderId="4" xfId="0" applyNumberFormat="1" applyBorder="1" applyAlignment="1">
      <alignment horizontal="left" vertical="center" wrapText="1"/>
    </xf>
    <xf numFmtId="0" fontId="4" fillId="0" borderId="15" xfId="0" applyFont="1" applyBorder="1"/>
    <xf numFmtId="0" fontId="4" fillId="0" borderId="15" xfId="0" applyFont="1" applyBorder="1" applyAlignment="1">
      <alignment horizontal="left"/>
    </xf>
    <xf numFmtId="0" fontId="27" fillId="0" borderId="0" xfId="32631"/>
    <xf numFmtId="0" fontId="110" fillId="0" borderId="0" xfId="0" applyFont="1" applyAlignment="1">
      <alignment horizontal="center" vertical="center"/>
    </xf>
    <xf numFmtId="0" fontId="135" fillId="2" borderId="0" xfId="0" applyFont="1" applyFill="1"/>
    <xf numFmtId="14" fontId="106" fillId="0" borderId="15" xfId="7" applyNumberFormat="1" applyFill="1" applyBorder="1" applyAlignment="1">
      <alignment horizontal="center" vertical="center"/>
    </xf>
    <xf numFmtId="0" fontId="3" fillId="0" borderId="15" xfId="0" applyFont="1" applyBorder="1" applyAlignment="1">
      <alignment horizontal="center"/>
    </xf>
    <xf numFmtId="164" fontId="184" fillId="0" borderId="15" xfId="3" applyNumberFormat="1" applyFont="1" applyFill="1" applyBorder="1" applyAlignment="1">
      <alignment horizontal="center" vertical="center" wrapText="1"/>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0" fontId="2" fillId="0" borderId="15" xfId="0" applyFont="1" applyBorder="1" applyAlignment="1">
      <alignment horizontal="center"/>
    </xf>
    <xf numFmtId="164" fontId="106" fillId="0" borderId="15" xfId="7" applyNumberFormat="1" applyFill="1" applyBorder="1" applyAlignment="1">
      <alignment horizontal="center" vertical="center" wrapText="1"/>
    </xf>
    <xf numFmtId="164" fontId="106" fillId="0" borderId="15" xfId="7" applyNumberFormat="1" applyFill="1" applyBorder="1" applyAlignment="1">
      <alignment horizontal="center" vertical="center"/>
    </xf>
    <xf numFmtId="0" fontId="98" fillId="0" borderId="2" xfId="32614" applyFont="1" applyBorder="1" applyAlignment="1">
      <alignment horizontal="center" vertical="center" wrapText="1"/>
    </xf>
    <xf numFmtId="0" fontId="123" fillId="0" borderId="15" xfId="0" applyFont="1" applyBorder="1" applyAlignment="1">
      <alignment horizontal="center" vertical="center" wrapText="1"/>
    </xf>
    <xf numFmtId="0" fontId="103" fillId="0" borderId="6" xfId="0" applyFont="1" applyBorder="1" applyAlignment="1">
      <alignment vertical="center" wrapText="1"/>
    </xf>
    <xf numFmtId="0" fontId="98" fillId="0" borderId="15" xfId="32614" applyFont="1" applyBorder="1" applyAlignment="1">
      <alignment horizontal="center" vertical="center" wrapText="1"/>
    </xf>
    <xf numFmtId="0" fontId="103" fillId="0" borderId="4" xfId="0" applyFont="1" applyBorder="1" applyAlignment="1">
      <alignment vertical="center" wrapText="1"/>
    </xf>
    <xf numFmtId="0" fontId="103" fillId="0" borderId="14" xfId="0" applyFont="1" applyBorder="1" applyAlignment="1">
      <alignment vertical="center" wrapText="1"/>
    </xf>
    <xf numFmtId="0" fontId="134" fillId="0" borderId="15" xfId="0" applyFont="1" applyBorder="1" applyAlignment="1">
      <alignment horizontal="center" vertical="center" wrapText="1"/>
    </xf>
    <xf numFmtId="164" fontId="105" fillId="0" borderId="3" xfId="0" applyNumberFormat="1" applyFont="1" applyBorder="1" applyAlignment="1">
      <alignment horizontal="center" vertical="center"/>
    </xf>
    <xf numFmtId="1" fontId="186" fillId="0" borderId="15" xfId="5" applyNumberFormat="1" applyFont="1" applyFill="1" applyBorder="1" applyAlignment="1" applyProtection="1">
      <alignment horizontal="center" vertical="center" wrapText="1"/>
      <protection locked="0"/>
    </xf>
    <xf numFmtId="166" fontId="187" fillId="0" borderId="15" xfId="1" applyNumberFormat="1" applyFont="1" applyFill="1" applyBorder="1" applyAlignment="1">
      <alignment horizontal="center" vertical="center" wrapText="1"/>
    </xf>
    <xf numFmtId="167" fontId="187" fillId="0" borderId="4" xfId="3" applyNumberFormat="1" applyFont="1" applyFill="1" applyBorder="1" applyAlignment="1">
      <alignment horizontal="center" vertical="center" wrapText="1"/>
    </xf>
    <xf numFmtId="0" fontId="100" fillId="0" borderId="15" xfId="0" applyFont="1" applyBorder="1" applyAlignment="1">
      <alignment horizontal="center" vertical="center" wrapText="1"/>
    </xf>
    <xf numFmtId="0" fontId="103" fillId="0" borderId="3" xfId="0" applyFont="1" applyBorder="1" applyAlignment="1">
      <alignment horizontal="left" vertical="center" wrapText="1"/>
    </xf>
    <xf numFmtId="0" fontId="103" fillId="0" borderId="15" xfId="0" applyFont="1" applyBorder="1" applyAlignment="1">
      <alignment horizontal="left" vertical="center" wrapText="1"/>
    </xf>
    <xf numFmtId="0" fontId="103" fillId="0" borderId="2" xfId="0" applyFont="1" applyBorder="1" applyAlignment="1">
      <alignment horizontal="left" vertical="center" wrapText="1"/>
    </xf>
    <xf numFmtId="166" fontId="188" fillId="0" borderId="15" xfId="1" applyNumberFormat="1" applyFont="1" applyFill="1" applyBorder="1" applyAlignment="1">
      <alignment horizontal="center" vertical="center" wrapText="1"/>
    </xf>
    <xf numFmtId="167" fontId="188" fillId="0" borderId="4" xfId="3" applyNumberFormat="1" applyFont="1" applyFill="1" applyBorder="1" applyAlignment="1">
      <alignment horizontal="center" vertical="center" wrapText="1"/>
    </xf>
    <xf numFmtId="164" fontId="101" fillId="0" borderId="3" xfId="3" applyNumberFormat="1" applyFont="1" applyFill="1" applyBorder="1" applyAlignment="1">
      <alignment horizontal="center" vertical="center" wrapText="1"/>
    </xf>
    <xf numFmtId="164" fontId="133" fillId="0" borderId="3" xfId="3" applyNumberFormat="1" applyFont="1" applyFill="1" applyBorder="1" applyAlignment="1">
      <alignment horizontal="center" vertical="center" wrapText="1"/>
    </xf>
    <xf numFmtId="164" fontId="136" fillId="0" borderId="3" xfId="3" applyNumberFormat="1" applyFont="1" applyFill="1" applyBorder="1" applyAlignment="1">
      <alignment horizontal="center" vertical="center" wrapText="1"/>
    </xf>
    <xf numFmtId="0" fontId="1" fillId="0" borderId="15" xfId="0" applyFont="1" applyBorder="1"/>
    <xf numFmtId="0" fontId="1" fillId="0" borderId="15" xfId="0" applyFont="1" applyBorder="1" applyAlignment="1">
      <alignment horizontal="center"/>
    </xf>
    <xf numFmtId="0" fontId="98" fillId="0" borderId="3" xfId="0" applyFont="1" applyBorder="1" applyAlignment="1">
      <alignment horizontal="justify" vertical="center" wrapText="1"/>
    </xf>
    <xf numFmtId="0" fontId="150" fillId="0" borderId="15" xfId="0" applyFont="1" applyBorder="1" applyAlignment="1">
      <alignment horizontal="center" vertical="center"/>
    </xf>
    <xf numFmtId="166" fontId="189" fillId="0" borderId="15" xfId="1" applyNumberFormat="1" applyFont="1" applyFill="1" applyBorder="1" applyAlignment="1">
      <alignment horizontal="center" vertical="center" wrapText="1"/>
    </xf>
    <xf numFmtId="167" fontId="189" fillId="0" borderId="4" xfId="3" applyNumberFormat="1" applyFont="1" applyFill="1" applyBorder="1" applyAlignment="1">
      <alignment horizontal="center" vertical="center" wrapText="1"/>
    </xf>
    <xf numFmtId="164" fontId="134" fillId="0" borderId="15" xfId="3" applyNumberFormat="1" applyFont="1" applyFill="1" applyBorder="1" applyAlignment="1">
      <alignment horizontal="center" vertical="center" wrapText="1"/>
    </xf>
    <xf numFmtId="0" fontId="106" fillId="0" borderId="0" xfId="7" applyAlignment="1">
      <alignment vertical="center"/>
    </xf>
    <xf numFmtId="164" fontId="134" fillId="0" borderId="15" xfId="3" applyNumberFormat="1" applyFont="1" applyFill="1" applyBorder="1" applyAlignment="1" applyProtection="1">
      <alignment horizontal="center" vertical="center" wrapText="1"/>
      <protection locked="0"/>
    </xf>
    <xf numFmtId="0" fontId="126" fillId="3" borderId="11" xfId="0" applyFont="1" applyFill="1" applyBorder="1" applyAlignment="1">
      <alignment horizontal="center" vertical="center"/>
    </xf>
    <xf numFmtId="0" fontId="126" fillId="3" borderId="3" xfId="0" applyFont="1" applyFill="1" applyBorder="1" applyAlignment="1">
      <alignment horizontal="center" vertical="center"/>
    </xf>
    <xf numFmtId="0" fontId="124" fillId="3" borderId="15" xfId="0" applyFont="1" applyFill="1" applyBorder="1" applyAlignment="1">
      <alignment horizontal="center"/>
    </xf>
    <xf numFmtId="0" fontId="116" fillId="2" borderId="0" xfId="32633" applyFont="1" applyFill="1" applyAlignment="1">
      <alignment horizontal="left" wrapText="1"/>
    </xf>
    <xf numFmtId="0" fontId="111" fillId="2" borderId="0" xfId="32633" applyFont="1" applyFill="1" applyAlignment="1">
      <alignment horizontal="left" wrapText="1"/>
    </xf>
    <xf numFmtId="14" fontId="114" fillId="2" borderId="0" xfId="0" applyNumberFormat="1" applyFont="1" applyFill="1" applyAlignment="1">
      <alignment horizontal="left" vertical="top" wrapText="1"/>
    </xf>
    <xf numFmtId="0" fontId="124" fillId="3" borderId="4" xfId="0" applyFont="1" applyFill="1" applyBorder="1" applyAlignment="1">
      <alignment horizontal="center"/>
    </xf>
    <xf numFmtId="0" fontId="124" fillId="3" borderId="10" xfId="0" applyFont="1" applyFill="1" applyBorder="1" applyAlignment="1">
      <alignment horizontal="center"/>
    </xf>
    <xf numFmtId="0" fontId="124" fillId="3" borderId="7" xfId="0" applyFont="1" applyFill="1" applyBorder="1" applyAlignment="1">
      <alignment horizontal="center"/>
    </xf>
    <xf numFmtId="0" fontId="124" fillId="3" borderId="2" xfId="0" applyFont="1" applyFill="1" applyBorder="1" applyAlignment="1">
      <alignment horizontal="center"/>
    </xf>
    <xf numFmtId="0" fontId="124" fillId="3" borderId="3" xfId="0" applyFont="1" applyFill="1" applyBorder="1" applyAlignment="1">
      <alignment horizontal="center"/>
    </xf>
    <xf numFmtId="0" fontId="128" fillId="8" borderId="4" xfId="0" applyFont="1" applyFill="1" applyBorder="1" applyAlignment="1">
      <alignment horizontal="center"/>
    </xf>
    <xf numFmtId="0" fontId="128" fillId="8" borderId="7" xfId="0" applyFont="1" applyFill="1" applyBorder="1" applyAlignment="1">
      <alignment horizontal="center"/>
    </xf>
    <xf numFmtId="0" fontId="128" fillId="9" borderId="4" xfId="0" applyFont="1" applyFill="1" applyBorder="1" applyAlignment="1">
      <alignment horizontal="center"/>
    </xf>
    <xf numFmtId="0" fontId="128" fillId="9" borderId="7" xfId="0" applyFont="1" applyFill="1" applyBorder="1" applyAlignment="1">
      <alignment horizontal="center"/>
    </xf>
    <xf numFmtId="0" fontId="126" fillId="3" borderId="2" xfId="0" applyFont="1" applyFill="1" applyBorder="1" applyAlignment="1">
      <alignment horizontal="center" vertical="center"/>
    </xf>
    <xf numFmtId="0" fontId="128" fillId="8" borderId="9" xfId="0" applyFont="1" applyFill="1" applyBorder="1" applyAlignment="1">
      <alignment horizontal="center"/>
    </xf>
    <xf numFmtId="0" fontId="128" fillId="8" borderId="0" xfId="0" applyFont="1" applyFill="1" applyAlignment="1">
      <alignment horizontal="center"/>
    </xf>
    <xf numFmtId="0" fontId="128" fillId="8" borderId="12" xfId="0" applyFont="1" applyFill="1" applyBorder="1" applyAlignment="1">
      <alignment horizontal="center"/>
    </xf>
    <xf numFmtId="0" fontId="111" fillId="0" borderId="0" xfId="0" applyFont="1" applyAlignment="1">
      <alignment horizontal="center" vertical="center" wrapText="1"/>
    </xf>
    <xf numFmtId="14" fontId="119" fillId="0" borderId="0" xfId="0" applyNumberFormat="1" applyFont="1" applyAlignment="1">
      <alignment horizontal="center" vertical="center" wrapText="1"/>
    </xf>
    <xf numFmtId="0" fontId="106" fillId="0" borderId="13" xfId="7" applyFill="1" applyBorder="1" applyAlignment="1">
      <alignment horizontal="left"/>
    </xf>
    <xf numFmtId="0" fontId="106" fillId="0" borderId="0" xfId="7" applyFill="1" applyBorder="1" applyAlignment="1">
      <alignment horizontal="left"/>
    </xf>
    <xf numFmtId="0" fontId="116" fillId="2" borderId="0" xfId="32614" applyFont="1" applyFill="1" applyAlignment="1">
      <alignment horizontal="center" wrapText="1"/>
    </xf>
    <xf numFmtId="0" fontId="111" fillId="2" borderId="0" xfId="32614" applyFont="1" applyFill="1" applyAlignment="1">
      <alignment horizontal="center" wrapText="1"/>
    </xf>
    <xf numFmtId="0" fontId="117" fillId="2" borderId="0" xfId="32614" applyFont="1" applyFill="1" applyAlignment="1">
      <alignment horizontal="center"/>
    </xf>
    <xf numFmtId="0" fontId="112" fillId="2" borderId="0" xfId="32614" applyFont="1" applyFill="1" applyAlignment="1">
      <alignment horizontal="center"/>
    </xf>
    <xf numFmtId="0" fontId="111" fillId="2" borderId="0" xfId="2841" applyFont="1" applyFill="1" applyAlignment="1">
      <alignment horizontal="center" wrapText="1"/>
    </xf>
    <xf numFmtId="0" fontId="114" fillId="2" borderId="0" xfId="2841" applyFont="1" applyFill="1" applyAlignment="1">
      <alignment horizontal="center" vertical="top"/>
    </xf>
    <xf numFmtId="0" fontId="116" fillId="2" borderId="0" xfId="2842" applyFont="1" applyFill="1" applyAlignment="1">
      <alignment horizontal="center" wrapText="1"/>
    </xf>
    <xf numFmtId="0" fontId="116" fillId="0" borderId="0" xfId="32631" applyFont="1" applyAlignment="1">
      <alignment horizontal="center" wrapText="1"/>
    </xf>
    <xf numFmtId="0" fontId="111" fillId="0" borderId="0" xfId="32631" applyFont="1" applyAlignment="1">
      <alignment horizontal="center" wrapText="1"/>
    </xf>
    <xf numFmtId="14" fontId="114" fillId="0" borderId="0" xfId="0" applyNumberFormat="1" applyFont="1" applyAlignment="1">
      <alignment horizontal="left" vertical="top" wrapText="1"/>
    </xf>
    <xf numFmtId="0" fontId="0" fillId="0" borderId="0" xfId="0" applyAlignment="1">
      <alignment horizontal="left"/>
    </xf>
    <xf numFmtId="0" fontId="121" fillId="2" borderId="0" xfId="0" applyFont="1" applyFill="1" applyAlignment="1">
      <alignment horizontal="center" vertical="center" wrapText="1"/>
    </xf>
    <xf numFmtId="14" fontId="122" fillId="2" borderId="0" xfId="0" applyNumberFormat="1" applyFont="1" applyFill="1" applyAlignment="1">
      <alignment horizontal="center" vertical="center" wrapText="1"/>
    </xf>
    <xf numFmtId="0" fontId="0" fillId="0" borderId="0" xfId="0" applyFill="1"/>
    <xf numFmtId="0" fontId="98" fillId="0" borderId="15" xfId="95" applyNumberFormat="1" applyFont="1" applyFill="1" applyBorder="1" applyAlignment="1">
      <alignment horizontal="center" vertical="center"/>
    </xf>
    <xf numFmtId="14" fontId="190" fillId="0" borderId="15" xfId="7" applyNumberFormat="1" applyFont="1" applyFill="1" applyBorder="1" applyAlignment="1">
      <alignment horizontal="center" vertical="center"/>
    </xf>
    <xf numFmtId="0" fontId="0" fillId="0" borderId="8" xfId="0" applyFill="1" applyBorder="1" applyAlignment="1">
      <alignment horizontal="center" vertical="center"/>
    </xf>
    <xf numFmtId="0" fontId="100" fillId="0" borderId="15" xfId="0" applyFont="1" applyFill="1" applyBorder="1" applyAlignment="1">
      <alignment horizontal="justify" vertical="center" wrapText="1"/>
    </xf>
    <xf numFmtId="164" fontId="0" fillId="0" borderId="4" xfId="0" applyNumberFormat="1" applyFill="1" applyBorder="1" applyAlignment="1">
      <alignment horizontal="left"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7">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0C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F66CC"/>
      <color rgb="FFFFFF00"/>
      <color rgb="FF0078D2"/>
      <color rgb="FFFF5353"/>
      <color rgb="FFF20000"/>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25</c:v>
                </c:pt>
                <c:pt idx="2">
                  <c:v>0</c:v>
                </c:pt>
                <c:pt idx="3">
                  <c:v>0</c:v>
                </c:pt>
                <c:pt idx="4">
                  <c:v>0</c:v>
                </c:pt>
                <c:pt idx="5">
                  <c:v>0</c:v>
                </c:pt>
                <c:pt idx="6">
                  <c:v>0</c:v>
                </c:pt>
                <c:pt idx="7">
                  <c:v>0</c:v>
                </c:pt>
                <c:pt idx="8">
                  <c:v>0</c:v>
                </c:pt>
                <c:pt idx="9">
                  <c:v>0</c:v>
                </c:pt>
                <c:pt idx="10">
                  <c:v>0</c:v>
                </c:pt>
                <c:pt idx="11">
                  <c:v>290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297</c:v>
                </c:pt>
                <c:pt idx="1">
                  <c:v>1601</c:v>
                </c:pt>
                <c:pt idx="2">
                  <c:v>55</c:v>
                </c:pt>
                <c:pt idx="3">
                  <c:v>0</c:v>
                </c:pt>
                <c:pt idx="4">
                  <c:v>55</c:v>
                </c:pt>
                <c:pt idx="5">
                  <c:v>802</c:v>
                </c:pt>
                <c:pt idx="6">
                  <c:v>620</c:v>
                </c:pt>
                <c:pt idx="7">
                  <c:v>120</c:v>
                </c:pt>
                <c:pt idx="8">
                  <c:v>310</c:v>
                </c:pt>
                <c:pt idx="9">
                  <c:v>450</c:v>
                </c:pt>
                <c:pt idx="10">
                  <c:v>355</c:v>
                </c:pt>
                <c:pt idx="11">
                  <c:v>1272</c:v>
                </c:pt>
                <c:pt idx="12">
                  <c:v>20</c:v>
                </c:pt>
                <c:pt idx="13">
                  <c:v>115</c:v>
                </c:pt>
                <c:pt idx="14">
                  <c:v>0</c:v>
                </c:pt>
                <c:pt idx="15">
                  <c:v>0</c:v>
                </c:pt>
                <c:pt idx="16">
                  <c:v>178</c:v>
                </c:pt>
                <c:pt idx="17">
                  <c:v>190</c:v>
                </c:pt>
                <c:pt idx="18">
                  <c:v>1249</c:v>
                </c:pt>
                <c:pt idx="19">
                  <c:v>705</c:v>
                </c:pt>
                <c:pt idx="20">
                  <c:v>1200</c:v>
                </c:pt>
                <c:pt idx="21">
                  <c:v>95</c:v>
                </c:pt>
                <c:pt idx="22">
                  <c:v>1379</c:v>
                </c:pt>
                <c:pt idx="23">
                  <c:v>505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91830976"/>
        <c:axId val="9183332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297</c:v>
                      </c:pt>
                      <c:pt idx="1">
                        <c:v>1626</c:v>
                      </c:pt>
                      <c:pt idx="2">
                        <c:v>55</c:v>
                      </c:pt>
                      <c:pt idx="3">
                        <c:v>0</c:v>
                      </c:pt>
                      <c:pt idx="4">
                        <c:v>55</c:v>
                      </c:pt>
                      <c:pt idx="5">
                        <c:v>802</c:v>
                      </c:pt>
                      <c:pt idx="6">
                        <c:v>620</c:v>
                      </c:pt>
                      <c:pt idx="7">
                        <c:v>120</c:v>
                      </c:pt>
                      <c:pt idx="8">
                        <c:v>310</c:v>
                      </c:pt>
                      <c:pt idx="9">
                        <c:v>450</c:v>
                      </c:pt>
                      <c:pt idx="10">
                        <c:v>355</c:v>
                      </c:pt>
                      <c:pt idx="11">
                        <c:v>1562</c:v>
                      </c:pt>
                      <c:pt idx="12">
                        <c:v>21</c:v>
                      </c:pt>
                      <c:pt idx="13">
                        <c:v>115</c:v>
                      </c:pt>
                      <c:pt idx="14">
                        <c:v>0</c:v>
                      </c:pt>
                      <c:pt idx="15">
                        <c:v>0</c:v>
                      </c:pt>
                      <c:pt idx="16">
                        <c:v>178</c:v>
                      </c:pt>
                      <c:pt idx="17">
                        <c:v>190</c:v>
                      </c:pt>
                      <c:pt idx="18">
                        <c:v>1249</c:v>
                      </c:pt>
                      <c:pt idx="19">
                        <c:v>705</c:v>
                      </c:pt>
                      <c:pt idx="20">
                        <c:v>1200</c:v>
                      </c:pt>
                      <c:pt idx="21">
                        <c:v>95</c:v>
                      </c:pt>
                      <c:pt idx="22">
                        <c:v>1379</c:v>
                      </c:pt>
                      <c:pt idx="23">
                        <c:v>505</c:v>
                      </c:pt>
                    </c:numCache>
                  </c:numRef>
                </c:val>
                <c:extLst>
                  <c:ext xmlns:c16="http://schemas.microsoft.com/office/drawing/2014/chart" uri="{C3380CC4-5D6E-409C-BE32-E72D297353CC}">
                    <c16:uniqueId val="{00000002-3BA8-4E2D-93C4-F54FC9B26BCC}"/>
                  </c:ext>
                </c:extLst>
              </c15:ser>
            </c15:filteredBarSeries>
          </c:ext>
        </c:extLst>
      </c:barChart>
      <c:catAx>
        <c:axId val="9183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1833328"/>
        <c:crosses val="autoZero"/>
        <c:auto val="1"/>
        <c:lblAlgn val="ctr"/>
        <c:lblOffset val="100"/>
        <c:noMultiLvlLbl val="0"/>
      </c:catAx>
      <c:valAx>
        <c:axId val="91833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1830976"/>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27214</xdr:rowOff>
    </xdr:from>
    <xdr:to>
      <xdr:col>4</xdr:col>
      <xdr:colOff>3701143</xdr:colOff>
      <xdr:row>67</xdr:row>
      <xdr:rowOff>136071</xdr:rowOff>
    </xdr:to>
    <xdr:pic>
      <xdr:nvPicPr>
        <xdr:cNvPr id="41" name="Imagen 40">
          <a:extLst>
            <a:ext uri="{FF2B5EF4-FFF2-40B4-BE49-F238E27FC236}">
              <a16:creationId xmlns:a16="http://schemas.microsoft.com/office/drawing/2014/main" id="{8BCD379B-DF65-26C2-FC0C-805F9DE5488C}"/>
            </a:ext>
          </a:extLst>
        </xdr:cNvPr>
        <xdr:cNvPicPr>
          <a:picLocks noChangeAspect="1"/>
        </xdr:cNvPicPr>
      </xdr:nvPicPr>
      <xdr:blipFill>
        <a:blip xmlns:r="http://schemas.openxmlformats.org/officeDocument/2006/relationships" r:embed="rId1"/>
        <a:stretch>
          <a:fillRect/>
        </a:stretch>
      </xdr:blipFill>
      <xdr:spPr>
        <a:xfrm>
          <a:off x="95250" y="1551214"/>
          <a:ext cx="8694964" cy="13253357"/>
        </a:xfrm>
        <a:prstGeom prst="rect">
          <a:avLst/>
        </a:prstGeom>
        <a:ln>
          <a:solidFill>
            <a:sysClr val="windowText" lastClr="000000"/>
          </a:solidFill>
        </a:ln>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809134</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328769</xdr:colOff>
      <xdr:row>55</xdr:row>
      <xdr:rowOff>29307</xdr:rowOff>
    </xdr:from>
    <xdr:to>
      <xdr:col>1</xdr:col>
      <xdr:colOff>889165</xdr:colOff>
      <xdr:row>66</xdr:row>
      <xdr:rowOff>70721</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328769" y="12294576"/>
          <a:ext cx="1967165" cy="2298107"/>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3</xdr:row>
      <xdr:rowOff>238125</xdr:rowOff>
    </xdr:from>
    <xdr:to>
      <xdr:col>5</xdr:col>
      <xdr:colOff>1146996</xdr:colOff>
      <xdr:row>48</xdr:row>
      <xdr:rowOff>123825</xdr:rowOff>
    </xdr:to>
    <xdr:pic>
      <xdr:nvPicPr>
        <xdr:cNvPr id="13" name="Imagen 12">
          <a:extLst>
            <a:ext uri="{FF2B5EF4-FFF2-40B4-BE49-F238E27FC236}">
              <a16:creationId xmlns:a16="http://schemas.microsoft.com/office/drawing/2014/main" id="{EBC2423F-F4C9-CED9-9EED-02D6B642A515}"/>
            </a:ext>
          </a:extLst>
        </xdr:cNvPr>
        <xdr:cNvPicPr>
          <a:picLocks noChangeAspect="1"/>
        </xdr:cNvPicPr>
      </xdr:nvPicPr>
      <xdr:blipFill>
        <a:blip xmlns:r="http://schemas.openxmlformats.org/officeDocument/2006/relationships" r:embed="rId1"/>
        <a:stretch>
          <a:fillRect/>
        </a:stretch>
      </xdr:blipFill>
      <xdr:spPr>
        <a:xfrm>
          <a:off x="38100" y="1495425"/>
          <a:ext cx="5985696" cy="895350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487378</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579614"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3</xdr:row>
      <xdr:rowOff>209550</xdr:rowOff>
    </xdr:from>
    <xdr:to>
      <xdr:col>5</xdr:col>
      <xdr:colOff>1400175</xdr:colOff>
      <xdr:row>54</xdr:row>
      <xdr:rowOff>104775</xdr:rowOff>
    </xdr:to>
    <xdr:pic>
      <xdr:nvPicPr>
        <xdr:cNvPr id="15" name="Imagen 14">
          <a:extLst>
            <a:ext uri="{FF2B5EF4-FFF2-40B4-BE49-F238E27FC236}">
              <a16:creationId xmlns:a16="http://schemas.microsoft.com/office/drawing/2014/main" id="{D1E5F39E-1CFA-9C30-FC42-FAE01923A6E9}"/>
            </a:ext>
          </a:extLst>
        </xdr:cNvPr>
        <xdr:cNvPicPr>
          <a:picLocks noChangeAspect="1"/>
        </xdr:cNvPicPr>
      </xdr:nvPicPr>
      <xdr:blipFill>
        <a:blip xmlns:r="http://schemas.openxmlformats.org/officeDocument/2006/relationships" r:embed="rId1"/>
        <a:stretch>
          <a:fillRect/>
        </a:stretch>
      </xdr:blipFill>
      <xdr:spPr>
        <a:xfrm>
          <a:off x="66675" y="1343025"/>
          <a:ext cx="5867400" cy="9525000"/>
        </a:xfrm>
        <a:prstGeom prst="rect">
          <a:avLst/>
        </a:prstGeom>
        <a:ln>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419780</xdr:colOff>
      <xdr:row>1</xdr:row>
      <xdr:rowOff>77558</xdr:rowOff>
    </xdr:from>
    <xdr:to>
      <xdr:col>8</xdr:col>
      <xdr:colOff>1228316</xdr:colOff>
      <xdr:row>3</xdr:row>
      <xdr:rowOff>26062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4"/>
        <a:stretch>
          <a:fillRect/>
        </a:stretch>
      </xdr:blipFill>
      <xdr:spPr>
        <a:xfrm>
          <a:off x="10735355" y="144233"/>
          <a:ext cx="808536" cy="901004"/>
        </a:xfrm>
        <a:prstGeom prst="rect">
          <a:avLst/>
        </a:prstGeom>
      </xdr:spPr>
    </xdr:pic>
    <xdr:clientData/>
  </xdr:twoCellAnchor>
  <xdr:twoCellAnchor editAs="oneCell">
    <xdr:from>
      <xdr:col>0</xdr:col>
      <xdr:colOff>160421</xdr:colOff>
      <xdr:row>1</xdr:row>
      <xdr:rowOff>67960</xdr:rowOff>
    </xdr:from>
    <xdr:to>
      <xdr:col>3</xdr:col>
      <xdr:colOff>164020</xdr:colOff>
      <xdr:row>1</xdr:row>
      <xdr:rowOff>637010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421" y="130861"/>
          <a:ext cx="2472433" cy="569050"/>
        </a:xfrm>
        <a:prstGeom prst="rect">
          <a:avLst/>
        </a:prstGeom>
      </xdr:spPr>
    </xdr:pic>
    <xdr:clientData/>
  </xdr:twoCellAnchor>
  <xdr:twoCellAnchor editAs="oneCell">
    <xdr:from>
      <xdr:col>0</xdr:col>
      <xdr:colOff>221531</xdr:colOff>
      <xdr:row>44</xdr:row>
      <xdr:rowOff>33094</xdr:rowOff>
    </xdr:from>
    <xdr:to>
      <xdr:col>2</xdr:col>
      <xdr:colOff>598793</xdr:colOff>
      <xdr:row>53</xdr:row>
      <xdr:rowOff>55198</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6"/>
        <a:stretch>
          <a:fillRect/>
        </a:stretch>
      </xdr:blipFill>
      <xdr:spPr>
        <a:xfrm>
          <a:off x="221531" y="8862769"/>
          <a:ext cx="1834587" cy="1774704"/>
        </a:xfrm>
        <a:prstGeom prst="rect">
          <a:avLst/>
        </a:prstGeom>
        <a:ln w="9525">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4</xdr:row>
      <xdr:rowOff>0</xdr:rowOff>
    </xdr:from>
    <xdr:to>
      <xdr:col>6</xdr:col>
      <xdr:colOff>104775</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9" y="1409700"/>
          <a:ext cx="6515101"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Eventos7" displayName="Eventos7" ref="R4:U320" totalsRowShown="0" headerRowDxfId="76">
  <tableColumns count="4">
    <tableColumn id="1" xr3:uid="{00000000-0010-0000-0100-000001000000}" name="DPTO" dataDxfId="75">
      <calculatedColumnFormula>TRIM(MID(TRIM(Transportes!D5),1,FIND(CHAR(10),TRIM(Transportes!D5),1)-1))</calculatedColumnFormula>
    </tableColumn>
    <tableColumn id="2" xr3:uid="{00000000-0010-0000-0100-000002000000}" name="ESTADO" dataDxfId="74">
      <calculatedColumnFormula>TRIM(IF(Transportes!F5="TRÁNSITO INTERRUMPIDO","Interrumpido",IF(Transportes!F5="TRÁNSITO RESTRINGIDO","Restringido","Normal")))</calculatedColumnFormula>
    </tableColumn>
    <tableColumn id="3" xr3:uid="{00000000-0010-0000-0100-000003000000}" name="FENOMENO" dataDxfId="73">
      <calculatedColumnFormula>TRIM(IF(MID(TRIM(Transportes!H5),1,FIND("-",TRIM(Transportes!H5),1)-2)="Acción humana","H","F"))</calculatedColumnFormula>
    </tableColumn>
    <tableColumn id="4" xr3:uid="{00000000-0010-0000-0100-000004000000}" name="METRAJE" dataDxfId="72">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42423234766272425" displayName="Tabla142423234766272425" ref="A4:M162" totalsRowShown="0" headerRowDxfId="71" dataDxfId="69" headerRowBorderDxfId="70" tableBorderDxfId="68" totalsRowBorderDxfId="67" headerRowCellStyle="Millares 11 2">
  <sortState xmlns:xlrd2="http://schemas.microsoft.com/office/spreadsheetml/2017/richdata2" ref="A90:M158">
    <sortCondition sortBy="cellColor" ref="D4:D158" dxfId="66"/>
  </sortState>
  <tableColumns count="13">
    <tableColumn id="1" xr3:uid="{00000000-0010-0000-0200-000001000000}" name="Nro" dataDxfId="65" dataCellStyle="Millares"/>
    <tableColumn id="2" xr3:uid="{00000000-0010-0000-0200-000002000000}" name="VER MAPA" dataDxfId="64" dataCellStyle="Hipervínculo"/>
    <tableColumn id="3" xr3:uid="{00000000-0010-0000-0200-000003000000}" name="FECHA DEL EVENTO" dataDxfId="63" dataCellStyle="Título 3 2"/>
    <tableColumn id="4" xr3:uid="{00000000-0010-0000-0200-000004000000}" name="DEPARTAMENTO_x000a_PROVINCIA  /  DISTRITO" dataDxfId="62" dataCellStyle="Título 3 2"/>
    <tableColumn id="5" xr3:uid="{00000000-0010-0000-0200-000005000000}" name="AFECTACIÓN" dataDxfId="61" dataCellStyle="Título 3 3"/>
    <tableColumn id="15" xr3:uid="{00000000-0010-0000-0200-00000F000000}" name="ESTADO" dataDxfId="60" dataCellStyle="Título 3 2"/>
    <tableColumn id="6" xr3:uid="{00000000-0010-0000-0200-000006000000}" name="METRAJE" dataDxfId="59" dataCellStyle="Millares"/>
    <tableColumn id="7" xr3:uid="{00000000-0010-0000-0200-000007000000}" name="EVENTO - OCURRENCIA / ACCIONES" dataDxfId="58" dataCellStyle="Título 3 3"/>
    <tableColumn id="8" xr3:uid="{00000000-0010-0000-0200-000008000000}" name="MAQUINARIA_x000a_(Cantidad/tipo)" dataDxfId="57" dataCellStyle="Título 3 3"/>
    <tableColumn id="9" xr3:uid="{00000000-0010-0000-0200-000009000000}" name="ADMINISTRACIÓN / RESPONSABLE" dataDxfId="56" dataCellStyle="Título 3 2"/>
    <tableColumn id="10" xr3:uid="{00000000-0010-0000-0200-00000A000000}" name="VER FOTO / VIDEO" dataDxfId="55" dataCellStyle="Hipervínculo"/>
    <tableColumn id="11" xr3:uid="{00000000-0010-0000-0200-00000B000000}" name="LATITUD" dataDxfId="54" dataCellStyle="Input Custom"/>
    <tableColumn id="12" xr3:uid="{00000000-0010-0000-0200-00000C000000}" name="LONGITUD" dataDxfId="53"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BDB9C2-5A52-4A54-A2B6-E14A37BE8549}" name="Tabla4448102929210" displayName="Tabla4448102929210" ref="A5:F9" totalsRowShown="0" headerRowDxfId="52" dataDxfId="50" headerRowBorderDxfId="51" tableBorderDxfId="49" totalsRowBorderDxfId="48" headerRowCellStyle="Título 3 2">
  <tableColumns count="6">
    <tableColumn id="1" xr3:uid="{84C3C7DD-2C10-42A3-B2CF-B9DC0CC92214}" name="N°" dataDxfId="47" dataCellStyle="Normal 2 3 2 12 4 8"/>
    <tableColumn id="2" xr3:uid="{08229E86-E863-4E69-A02B-82B87C8CE9BE}" name="DEPARTAMENTO_x000a_PROVINCIA  /  DISTRITO" dataDxfId="46"/>
    <tableColumn id="3" xr3:uid="{9D434C12-FE47-4161-AFB6-D96DEBDD1FA2}" name="AFECTACIÓN" dataDxfId="45"/>
    <tableColumn id="4" xr3:uid="{75536FDA-FC9B-4068-BB3C-40818E9AC471}" name="EVENTO - OCURRENCIA" dataDxfId="44"/>
    <tableColumn id="5" xr3:uid="{BF206A6E-B256-45B5-9A3A-9FB45A411F66}" name="ESTADO" dataDxfId="43"/>
    <tableColumn id="6" xr3:uid="{0D7BED56-0B9E-43A2-AC7D-01FD78F303D6}" name="FUENTE" dataDxfId="4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169" displayName="Tabla169" ref="A50:H53" totalsRowShown="0" headerRowDxfId="41" dataDxfId="39" headerRowBorderDxfId="40" tableBorderDxfId="38" totalsRowBorderDxfId="37" headerRowCellStyle="Título 3 2">
  <tableColumns count="8">
    <tableColumn id="1" xr3:uid="{00000000-0010-0000-0500-000001000000}" name="N°" dataDxfId="36" dataCellStyle="Normal 2 2 2 2 5"/>
    <tableColumn id="9" xr3:uid="{00000000-0010-0000-0500-000009000000}" name="CÓDIGO" dataDxfId="35"/>
    <tableColumn id="2" xr3:uid="{00000000-0010-0000-0500-000002000000}" name="UBICACIÓN" dataDxfId="34" dataCellStyle="Título 3 2"/>
    <tableColumn id="7" xr3:uid="{00000000-0010-0000-0500-000007000000}" name="Fecha" dataDxfId="33" dataCellStyle="Título 3 2"/>
    <tableColumn id="3" xr3:uid="{00000000-0010-0000-0500-000003000000}" name="AFECTACIÓN" dataDxfId="32" dataCellStyle="Título 3 3"/>
    <tableColumn id="4" xr3:uid="{00000000-0010-0000-0500-000004000000}" name="EVENTO - OCURRENCIA" dataDxfId="31" dataCellStyle="Normal 2 2 2 2 5"/>
    <tableColumn id="5" xr3:uid="{00000000-0010-0000-0500-000005000000}" name="ESTADO" dataDxfId="30" dataCellStyle="Título 3 2"/>
    <tableColumn id="6" xr3:uid="{00000000-0010-0000-0500-000006000000}" name="FUENTE" dataDxfId="29"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C36F600-EC98-4839-9E42-A1919C05B3E9}" name="Tabla7" displayName="Tabla7" ref="A56:I70" totalsRowShown="0" headerRowDxfId="28" dataDxfId="26" headerRowBorderDxfId="27" tableBorderDxfId="25" totalsRowBorderDxfId="24" headerRowCellStyle="Título 3 2">
  <tableColumns count="9">
    <tableColumn id="1" xr3:uid="{D6817C6B-B621-4AE3-A0EA-0343B2690843}" name="N" dataDxfId="23"/>
    <tableColumn id="2" xr3:uid="{CA67DEA2-8317-4820-BDAF-DC7A13E53EF6}" name="CÓDIGO" dataDxfId="22"/>
    <tableColumn id="3" xr3:uid="{A65B76EA-15E1-468B-BC1F-B1E4168BFE84}" name="FECHA DEL EVENTO" dataDxfId="21"/>
    <tableColumn id="4" xr3:uid="{5496EB12-28C8-4500-A21F-2E13F12C3F86}" name="UBICACIÓN" dataDxfId="20"/>
    <tableColumn id="5" xr3:uid="{8CFC3F7B-1990-4349-B89B-35F05A8D8766}" name="AFECTACIÓN" dataDxfId="19"/>
    <tableColumn id="6" xr3:uid="{DAD9861F-87C5-483C-84B2-118E6BEAD2AA}" name="EVENTO - OCURRENCIA" dataDxfId="18"/>
    <tableColumn id="7" xr3:uid="{DECA4C32-D979-4DB0-8E1D-8B0698FA3BDF}" name="ESTADO" dataDxfId="17"/>
    <tableColumn id="8" xr3:uid="{247A988B-8C0C-4A87-A13A-F3F0FA0338AB}" name="TERMINAL ABIERTO" dataDxfId="16"/>
    <tableColumn id="9" xr3:uid="{4994EE4E-23C5-4C1B-871C-412DC269E6E3}" name="FUENTE" dataDxfId="15"/>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a73" displayName="Tabla73" ref="A55:K56" totalsRowShown="0" headerRowDxfId="14" headerRowBorderDxfId="13" tableBorderDxfId="12" totalsRowBorderDxfId="11">
  <tableColumns count="11">
    <tableColumn id="1" xr3:uid="{00000000-0010-0000-0600-000001000000}" name="Nro." dataDxfId="10" dataCellStyle="Título 3 3"/>
    <tableColumn id="2" xr3:uid="{00000000-0010-0000-0600-000002000000}" name="VER MAPA" dataDxfId="9" dataCellStyle="Hipervínculo"/>
    <tableColumn id="3" xr3:uid="{00000000-0010-0000-0600-000003000000}" name="FECHA DEL EVENTO" dataDxfId="8" dataCellStyle="Título 3 3"/>
    <tableColumn id="4" xr3:uid="{00000000-0010-0000-0600-000004000000}" name="DEPARTAMENTO_x000a_PROVINCIA  /  DISTRITO" dataDxfId="7" dataCellStyle="Título 3 3"/>
    <tableColumn id="5" xr3:uid="{00000000-0010-0000-0600-000005000000}" name="AFECTACIÓN" dataDxfId="6" dataCellStyle="Título 3 3"/>
    <tableColumn id="6" xr3:uid="{00000000-0010-0000-0600-000006000000}" name="ESTADO" dataDxfId="5" dataCellStyle="Título 3 3"/>
    <tableColumn id="7" xr3:uid="{00000000-0010-0000-0600-000007000000}" name="EVENTO - OCURRENCIA" dataDxfId="4" dataCellStyle="Título 3 3"/>
    <tableColumn id="8" xr3:uid="{00000000-0010-0000-0600-000008000000}" name="FUENTE" dataDxfId="3" dataCellStyle="Título 3 3"/>
    <tableColumn id="11" xr3:uid="{00000000-0010-0000-0600-00000B000000}" name="VER FOTO / VIDEO" dataDxfId="2" dataCellStyle="Título 3 3"/>
    <tableColumn id="9" xr3:uid="{00000000-0010-0000-0600-000009000000}" name="LATITUD" dataDxfId="1" dataCellStyle="Millares"/>
    <tableColumn id="10" xr3:uid="{00000000-0010-0000-0600-00000A00000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784_20250409105947.pdf" TargetMode="External"/><Relationship Id="rId299" Type="http://schemas.openxmlformats.org/officeDocument/2006/relationships/hyperlink" Target="https://arsaecoe.mtc.gob.pe/vial/VIAL_I_VIALES004080_20250527110335.pdf" TargetMode="External"/><Relationship Id="rId21" Type="http://schemas.openxmlformats.org/officeDocument/2006/relationships/hyperlink" Target="https://arsaecoe.mtc.gob.pe/vial/VIAL_I_VIALES003331_20250304113833.pdf" TargetMode="External"/><Relationship Id="rId63" Type="http://schemas.openxmlformats.org/officeDocument/2006/relationships/hyperlink" Target="https://arsaecoe.mtc.gob.pe/vial/VIAL_I_VIALES003660_20250330010654.pdf" TargetMode="External"/><Relationship Id="rId159" Type="http://schemas.openxmlformats.org/officeDocument/2006/relationships/hyperlink" Target="https://arsaecoe.mtc.gob.pe/vial/VIAL_I_VIALES003896_20250426112438.pdf" TargetMode="External"/><Relationship Id="rId170" Type="http://schemas.openxmlformats.org/officeDocument/2006/relationships/hyperlink" Target="https://arsaecoe.mtc.gob.pe/vial/VIAL_R_VIALES003940_20250430124139.pdf" TargetMode="External"/><Relationship Id="rId226" Type="http://schemas.openxmlformats.org/officeDocument/2006/relationships/hyperlink" Target="https://arsaecoe.mtc.gob.pe/vial/VIAL_I_VIALES004032_20250515081042.pdf" TargetMode="External"/><Relationship Id="rId268" Type="http://schemas.openxmlformats.org/officeDocument/2006/relationships/hyperlink" Target="https://arsaecoe.mtc.gob.pe/vial/VIAL_I_VIALES004065_20250522064055.pdf" TargetMode="External"/><Relationship Id="rId32" Type="http://schemas.openxmlformats.org/officeDocument/2006/relationships/hyperlink" Target="https://arsaecoe.mtc.gob.pe/vial/VIAL_R_VIALES003488_20250314125611.pdf" TargetMode="External"/><Relationship Id="rId74" Type="http://schemas.openxmlformats.org/officeDocument/2006/relationships/hyperlink" Target="https://arsaecoe.mtc.gob.pe/vial/VIAL_R_VIALES003758_20250407112731.pdf" TargetMode="External"/><Relationship Id="rId128" Type="http://schemas.openxmlformats.org/officeDocument/2006/relationships/hyperlink" Target="https://arsaecoe.mtc.gob.pe/vial/VIAL_R_VIALES003836_20250414070827.pdf" TargetMode="External"/><Relationship Id="rId5" Type="http://schemas.openxmlformats.org/officeDocument/2006/relationships/hyperlink" Target="https://arsaecoe.mtc.gob.pe/vial/VIAL_I_VIALES002636_20250102025719.pdf" TargetMode="External"/><Relationship Id="rId181" Type="http://schemas.openxmlformats.org/officeDocument/2006/relationships/hyperlink" Target="https://arsaecoe.mtc.gob.pe/vial/VIAL_R_VIALES003957_20250505043759.pdf" TargetMode="External"/><Relationship Id="rId237" Type="http://schemas.openxmlformats.org/officeDocument/2006/relationships/hyperlink" Target="https://arsaecoe.mtc.gob.pe/vial/VIAL_R_VIALES004042_20250519091952.pdf" TargetMode="External"/><Relationship Id="rId279" Type="http://schemas.openxmlformats.org/officeDocument/2006/relationships/hyperlink" Target="https://arsaecoe.mtc.gob.pe/vial/VIAL_R_VIALES003840_20250415092929.pdf" TargetMode="External"/><Relationship Id="rId43" Type="http://schemas.openxmlformats.org/officeDocument/2006/relationships/hyperlink" Target="https://arsaecoe.mtc.gob.pe/vial/VIAL_I_VIALES003565_20250323030950.pdf" TargetMode="External"/><Relationship Id="rId139" Type="http://schemas.openxmlformats.org/officeDocument/2006/relationships/hyperlink" Target="https://arsaecoe.mtc.gob.pe/vial/VIAL_I_VIALES003834_20250417090929.pdf" TargetMode="External"/><Relationship Id="rId290" Type="http://schemas.openxmlformats.org/officeDocument/2006/relationships/hyperlink" Target="https://arsaecoe.mtc.gob.pe/vial/VIAL_R_VIALES004078_20250526044923.pdf" TargetMode="External"/><Relationship Id="rId304" Type="http://schemas.openxmlformats.org/officeDocument/2006/relationships/hyperlink" Target="https://arsaecoe.mtc.gob.pe/vial/VIAL_I_VIALES004083_20250527033754.pdf" TargetMode="External"/><Relationship Id="rId85" Type="http://schemas.openxmlformats.org/officeDocument/2006/relationships/hyperlink" Target="https://arsaecoe.mtc.gob.pe/vial/VIAL_R_M230433_20230930012822.pdf" TargetMode="External"/><Relationship Id="rId150" Type="http://schemas.openxmlformats.org/officeDocument/2006/relationships/hyperlink" Target="https://arsaecoe.mtc.gob.pe/vial/VIAL_R_VIALES003896_20250424063200.pdf" TargetMode="External"/><Relationship Id="rId192" Type="http://schemas.openxmlformats.org/officeDocument/2006/relationships/hyperlink" Target="https://arsaecoe.mtc.gob.pe/vial/VIAL_R_VIALES003974_20250507125111.pdf" TargetMode="External"/><Relationship Id="rId206" Type="http://schemas.openxmlformats.org/officeDocument/2006/relationships/hyperlink" Target="https://arsaecoe.mtc.gob.pe/vial/VIAL_I_VIALES004039_20250517093723.pdf" TargetMode="External"/><Relationship Id="rId248" Type="http://schemas.openxmlformats.org/officeDocument/2006/relationships/hyperlink" Target="https://arsaecoe.mtc.gob.pe/vial/VIAL_R_VIALES004053_20250520032624.pdf" TargetMode="External"/><Relationship Id="rId12" Type="http://schemas.openxmlformats.org/officeDocument/2006/relationships/hyperlink" Target="https://arsaecoe.mtc.gob.pe/vial/VIAL_I_VIALES003047_20250203035907.pdf" TargetMode="External"/><Relationship Id="rId108" Type="http://schemas.openxmlformats.org/officeDocument/2006/relationships/hyperlink" Target="https://arsaecoe.mtc.gob.pe/vial/VIAL_R_VIALES003274_20250228112934.pdf" TargetMode="External"/><Relationship Id="rId54" Type="http://schemas.openxmlformats.org/officeDocument/2006/relationships/hyperlink" Target="https://arsaecoe.mtc.gob.pe/vial/VIAL_I_VIALES003593_20250325052414.pdf" TargetMode="External"/><Relationship Id="rId96" Type="http://schemas.openxmlformats.org/officeDocument/2006/relationships/hyperlink" Target="https://arsaecoe.mtc.gob.pe/vial/VIAL_R_M2304172_20230418113104.pdf" TargetMode="External"/><Relationship Id="rId161" Type="http://schemas.openxmlformats.org/officeDocument/2006/relationships/hyperlink" Target="https://arsaecoe.mtc.gob.pe/vial/VIAL_R_VIALES003913_20250426064312.pdf" TargetMode="External"/><Relationship Id="rId217" Type="http://schemas.openxmlformats.org/officeDocument/2006/relationships/hyperlink" Target="https://arsaecoe.mtc.gob.pe/vial/VIAL_I_VIALES004010_20250513064216.pdf" TargetMode="External"/><Relationship Id="rId259" Type="http://schemas.openxmlformats.org/officeDocument/2006/relationships/hyperlink" Target="https://arsaecoe.mtc.gob.pe/vial/VIAL_I_VIALES004059_20250521041720.pdf" TargetMode="External"/><Relationship Id="rId23" Type="http://schemas.openxmlformats.org/officeDocument/2006/relationships/hyperlink" Target="https://arsaecoe.mtc.gob.pe/vial/VIAL_I_VIALES003314_20250305121009.pdf" TargetMode="External"/><Relationship Id="rId119" Type="http://schemas.openxmlformats.org/officeDocument/2006/relationships/hyperlink" Target="https://arsaecoe.mtc.gob.pe/vial/VIAL_R_VIALES003791_20250409073751.pdf" TargetMode="External"/><Relationship Id="rId270" Type="http://schemas.openxmlformats.org/officeDocument/2006/relationships/hyperlink" Target="https://arsaecoe.mtc.gob.pe/vial/VIAL_I_VIALES004066_20250522064447.pdf" TargetMode="External"/><Relationship Id="rId291" Type="http://schemas.openxmlformats.org/officeDocument/2006/relationships/hyperlink" Target="https://arsaecoe.mtc.gob.pe/vial/VIAL_R_VIALES004079_20250526045410.pdf" TargetMode="External"/><Relationship Id="rId305" Type="http://schemas.openxmlformats.org/officeDocument/2006/relationships/hyperlink" Target="https://arsaecoe.mtc.gob.pe/vial/VIAL_I_VIALES004081_20250527040458.pdf" TargetMode="External"/><Relationship Id="rId44" Type="http://schemas.openxmlformats.org/officeDocument/2006/relationships/hyperlink" Target="https://arsaecoe.mtc.gob.pe/vial/VIAL_I_VIALES003538_20250323042351.pdf" TargetMode="External"/><Relationship Id="rId65" Type="http://schemas.openxmlformats.org/officeDocument/2006/relationships/hyperlink" Target="https://arsaecoe.mtc.gob.pe/vial/VIAL_R_VIALES003690_20250401064604.pdf" TargetMode="External"/><Relationship Id="rId86" Type="http://schemas.openxmlformats.org/officeDocument/2006/relationships/hyperlink" Target="https://arsaecoe.mtc.gob.pe/vial/VIAL_R_M2303399_20230904115721.pdf" TargetMode="External"/><Relationship Id="rId130" Type="http://schemas.openxmlformats.org/officeDocument/2006/relationships/hyperlink" Target="https://arsaecoe.mtc.gob.pe/vial/VIAL_I_VIALES003837_20250414073956.pdf" TargetMode="External"/><Relationship Id="rId151" Type="http://schemas.openxmlformats.org/officeDocument/2006/relationships/hyperlink" Target="https://arsaecoe.mtc.gob.pe/vial/VIAL_R_VIALES003898_20250425105105.pdf" TargetMode="External"/><Relationship Id="rId172" Type="http://schemas.openxmlformats.org/officeDocument/2006/relationships/hyperlink" Target="https://arsaecoe.mtc.gob.pe/vial/VIAL_I_VIALES003940_20250430040932.pdf" TargetMode="External"/><Relationship Id="rId193" Type="http://schemas.openxmlformats.org/officeDocument/2006/relationships/hyperlink" Target="https://arsaecoe.mtc.gob.pe/vial/VIAL_I_VIALES003974_20250507010554.pdf" TargetMode="External"/><Relationship Id="rId207" Type="http://schemas.openxmlformats.org/officeDocument/2006/relationships/hyperlink" Target="https://arsaecoe.mtc.gob.pe/vial/VIAL_R_VIALES004001_20250512042105.pdf" TargetMode="External"/><Relationship Id="rId228" Type="http://schemas.openxmlformats.org/officeDocument/2006/relationships/hyperlink" Target="https://arsaecoe.mtc.gob.pe/vial/VIAL_I_VIALES004028_20250515082120.pdf" TargetMode="External"/><Relationship Id="rId249" Type="http://schemas.openxmlformats.org/officeDocument/2006/relationships/hyperlink" Target="https://arsaecoe.mtc.gob.pe/vial/VIAL_R_VIALES004054_20250520035042.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303_20250303032208.pdf" TargetMode="External"/><Relationship Id="rId260" Type="http://schemas.openxmlformats.org/officeDocument/2006/relationships/hyperlink" Target="https://arsaecoe.mtc.gob.pe/vial/VIAL_I_VIALES004058_20250521045537.pdf" TargetMode="External"/><Relationship Id="rId281" Type="http://schemas.openxmlformats.org/officeDocument/2006/relationships/hyperlink" Target="https://arsaecoe.mtc.gob.pe/vial/VIAL_R_VIALES004071_20250524100025.pdf" TargetMode="External"/><Relationship Id="rId34" Type="http://schemas.openxmlformats.org/officeDocument/2006/relationships/hyperlink" Target="https://arsaecoe.mtc.gob.pe/vial/VIAL_R_VIALES003538_20250320040427.pdf" TargetMode="External"/><Relationship Id="rId55" Type="http://schemas.openxmlformats.org/officeDocument/2006/relationships/hyperlink" Target="https://arsaecoe.mtc.gob.pe/vial/VIAL_I_VIALES003594_20250325053443.pdf" TargetMode="External"/><Relationship Id="rId76" Type="http://schemas.openxmlformats.org/officeDocument/2006/relationships/hyperlink" Target="https://arsaecoe.mtc.gob.pe/vial/VIAL_R_VIALES003765_20250407050621.pdf" TargetMode="External"/><Relationship Id="rId97" Type="http://schemas.openxmlformats.org/officeDocument/2006/relationships/hyperlink" Target="https://arsaecoe.mtc.gob.pe/vial/VIAL_R_VIALES002085_20240409013850.pdf" TargetMode="External"/><Relationship Id="rId120" Type="http://schemas.openxmlformats.org/officeDocument/2006/relationships/hyperlink" Target="https://arsaecoe.mtc.gob.pe/vial/VIAL_R_VIALES003812_20250411042621.pdf" TargetMode="External"/><Relationship Id="rId141" Type="http://schemas.openxmlformats.org/officeDocument/2006/relationships/hyperlink" Target="https://arsaecoe.mtc.gob.pe/vial/VIAL_I_VIALES003836_20250417012118.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I_VIALES003913_20250426064312.pdf" TargetMode="External"/><Relationship Id="rId183" Type="http://schemas.openxmlformats.org/officeDocument/2006/relationships/hyperlink" Target="https://arsaecoe.mtc.gob.pe/vial/VIAL_R_VIALES003963_20250506070213.pdf" TargetMode="External"/><Relationship Id="rId218" Type="http://schemas.openxmlformats.org/officeDocument/2006/relationships/hyperlink" Target="https://arsaecoe.mtc.gob.pe/vial/VIAL_R_VIALES004010_20250513064216.pdf" TargetMode="External"/><Relationship Id="rId239" Type="http://schemas.openxmlformats.org/officeDocument/2006/relationships/hyperlink" Target="https://arsaecoe.mtc.gob.pe/vial/VIAL_R_VIALES004047_20250519013222.pdf" TargetMode="External"/><Relationship Id="rId250" Type="http://schemas.openxmlformats.org/officeDocument/2006/relationships/hyperlink" Target="https://arsaecoe.mtc.gob.pe/vial/VIAL_I_VIALES004052_20250520043425.pdf" TargetMode="External"/><Relationship Id="rId271" Type="http://schemas.openxmlformats.org/officeDocument/2006/relationships/hyperlink" Target="https://arsaecoe.mtc.gob.pe/vial/VIAL_R_VIALES004067_20250522065058.pdf" TargetMode="External"/><Relationship Id="rId292" Type="http://schemas.openxmlformats.org/officeDocument/2006/relationships/hyperlink" Target="https://arsaecoe.mtc.gob.pe/vial/VIAL_I_VIALES004078_20250526063302.pdf" TargetMode="External"/><Relationship Id="rId306" Type="http://schemas.openxmlformats.org/officeDocument/2006/relationships/printerSettings" Target="../printerSettings/printerSettings2.bin"/><Relationship Id="rId24" Type="http://schemas.openxmlformats.org/officeDocument/2006/relationships/hyperlink" Target="https://arsaecoe.mtc.gob.pe/vial/VIAL_I_VIALES003323_20250304125449.pdf" TargetMode="External"/><Relationship Id="rId45" Type="http://schemas.openxmlformats.org/officeDocument/2006/relationships/hyperlink" Target="https://arsaecoe.mtc.gob.pe/vial/VIAL_I_VIALES003321_20250304115557.pdf" TargetMode="External"/><Relationship Id="rId66" Type="http://schemas.openxmlformats.org/officeDocument/2006/relationships/hyperlink" Target="https://arsaecoe.mtc.gob.pe/vial/VIAL_R_VIALES003699_20250402113855.pdf" TargetMode="External"/><Relationship Id="rId87" Type="http://schemas.openxmlformats.org/officeDocument/2006/relationships/hyperlink" Target="https://arsaecoe.mtc.gob.pe/vial/VIAL_R_M2303398_20230904111932.pdf" TargetMode="External"/><Relationship Id="rId110" Type="http://schemas.openxmlformats.org/officeDocument/2006/relationships/hyperlink" Target="https://arsaecoe.mtc.gob.pe/vial/VIAL_R_VIALES003304_20250302051159.pdf" TargetMode="External"/><Relationship Id="rId131" Type="http://schemas.openxmlformats.org/officeDocument/2006/relationships/hyperlink" Target="https://arsaecoe.mtc.gob.pe/vial/VIAL_R_VIALES003838_20250414073838.pdf" TargetMode="External"/><Relationship Id="rId152" Type="http://schemas.openxmlformats.org/officeDocument/2006/relationships/hyperlink" Target="https://arsaecoe.mtc.gob.pe/vial/VIAL_R_VIALES003902_20250425030607.pdf" TargetMode="External"/><Relationship Id="rId173" Type="http://schemas.openxmlformats.org/officeDocument/2006/relationships/hyperlink" Target="https://arsaecoe.mtc.gob.pe/vial/VIAL_R_VIALES003941_20250430101100.pdf" TargetMode="External"/><Relationship Id="rId194" Type="http://schemas.openxmlformats.org/officeDocument/2006/relationships/hyperlink" Target="https://arsaecoe.mtc.gob.pe/vial/VIAL_R_VIALES003976_20250507103025.pdf" TargetMode="External"/><Relationship Id="rId208" Type="http://schemas.openxmlformats.org/officeDocument/2006/relationships/hyperlink" Target="https://arsaecoe.mtc.gob.pe/vial/VIAL_I_VIALES004001_20250512042105.pdf" TargetMode="External"/><Relationship Id="rId229" Type="http://schemas.openxmlformats.org/officeDocument/2006/relationships/hyperlink" Target="https://arsaecoe.mtc.gob.pe/vial/VIAL_R_VIALES004035_20250516124422.pdf" TargetMode="External"/><Relationship Id="rId240" Type="http://schemas.openxmlformats.org/officeDocument/2006/relationships/hyperlink" Target="https://arsaecoe.mtc.gob.pe/vial/VIAL_I_VIALES004042_20250519034900.pdf" TargetMode="External"/><Relationship Id="rId261" Type="http://schemas.openxmlformats.org/officeDocument/2006/relationships/hyperlink" Target="https://arsaecoe.mtc.gob.pe/vial/VIAL_R_VIALES004060_20250522090156.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R_VIALES003540_20250320051945.pdf" TargetMode="External"/><Relationship Id="rId56" Type="http://schemas.openxmlformats.org/officeDocument/2006/relationships/hyperlink" Target="https://arsaecoe.mtc.gob.pe/vial/VIAL_R_VIALES003620_20250328121825.pdf" TargetMode="External"/><Relationship Id="rId77" Type="http://schemas.openxmlformats.org/officeDocument/2006/relationships/hyperlink" Target="https://arsaecoe.mtc.gob.pe/vial/VIAL_I_VIALES003765_20250408012134.pdf" TargetMode="External"/><Relationship Id="rId100" Type="http://schemas.openxmlformats.org/officeDocument/2006/relationships/hyperlink" Target="https://arsaecoe.mtc.gob.pe/vial/VIAL_R_VIALES002975_20250121025819.pdf" TargetMode="External"/><Relationship Id="rId282" Type="http://schemas.openxmlformats.org/officeDocument/2006/relationships/hyperlink" Target="https://arsaecoe.mtc.gob.pe/vial/VIAL_R_VIALES004072_20250524102423.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R_VIALES002636_20250102024729.pdf" TargetMode="External"/><Relationship Id="rId121" Type="http://schemas.openxmlformats.org/officeDocument/2006/relationships/hyperlink" Target="https://arsaecoe.mtc.gob.pe/vial/VIAL_I_VIALES003812_20250411042621.pdf" TargetMode="External"/><Relationship Id="rId142" Type="http://schemas.openxmlformats.org/officeDocument/2006/relationships/hyperlink" Target="https://arsaecoe.mtc.gob.pe/vial/VIAL_R_VIALES003872_20250421013006.pdf" TargetMode="External"/><Relationship Id="rId163" Type="http://schemas.openxmlformats.org/officeDocument/2006/relationships/hyperlink" Target="https://arsaecoe.mtc.gob.pe/vial/VIAL_R_VIALES003919_20250428014932.pdf" TargetMode="External"/><Relationship Id="rId184" Type="http://schemas.openxmlformats.org/officeDocument/2006/relationships/hyperlink" Target="https://arsaecoe.mtc.gob.pe/vial/VIAL_R_VIALES003964_20250506072823.pdf" TargetMode="External"/><Relationship Id="rId219" Type="http://schemas.openxmlformats.org/officeDocument/2006/relationships/hyperlink" Target="https://arsaecoe.mtc.gob.pe/vial/VIAL_I_VIALES004008_20250513062826.pdf" TargetMode="External"/><Relationship Id="rId230" Type="http://schemas.openxmlformats.org/officeDocument/2006/relationships/hyperlink" Target="https://arsaecoe.mtc.gob.pe/vial/VIAL_R_VIALES004037_20250516031459.pdf" TargetMode="External"/><Relationship Id="rId251" Type="http://schemas.openxmlformats.org/officeDocument/2006/relationships/hyperlink" Target="https://arsaecoe.mtc.gob.pe/vial/VIAL_I_VIALES004051_20250520050055.pdf" TargetMode="External"/><Relationship Id="rId25" Type="http://schemas.openxmlformats.org/officeDocument/2006/relationships/hyperlink" Target="https://arsaecoe.mtc.gob.pe/vial/VIAL_R_VIALES003428_20250310065351.pdf" TargetMode="External"/><Relationship Id="rId46" Type="http://schemas.openxmlformats.org/officeDocument/2006/relationships/hyperlink" Target="https://arsaecoe.mtc.gob.pe/vial/VIAL_R_VIALES003576_20250324023648.pdf" TargetMode="External"/><Relationship Id="rId67" Type="http://schemas.openxmlformats.org/officeDocument/2006/relationships/hyperlink" Target="https://arsaecoe.mtc.gob.pe/vial/VIAL_I_VIALES003680_20250402043737.pdf" TargetMode="External"/><Relationship Id="rId272" Type="http://schemas.openxmlformats.org/officeDocument/2006/relationships/hyperlink" Target="https://arsaecoe.mtc.gob.pe/vial/VIAL_I_VIALES004067_20250522065058.pdf" TargetMode="External"/><Relationship Id="rId293" Type="http://schemas.openxmlformats.org/officeDocument/2006/relationships/hyperlink" Target="https://arsaecoe.mtc.gob.pe/vial/VIAL_I_VIALES004079_20250526063850.pdf" TargetMode="External"/><Relationship Id="rId307" Type="http://schemas.openxmlformats.org/officeDocument/2006/relationships/drawing" Target="../drawings/drawing2.xml"/><Relationship Id="rId88" Type="http://schemas.openxmlformats.org/officeDocument/2006/relationships/hyperlink" Target="https://arsaecoe.mtc.gob.pe/vial/VIAL_R_M230465_20230411052549.pdf" TargetMode="External"/><Relationship Id="rId111" Type="http://schemas.openxmlformats.org/officeDocument/2006/relationships/hyperlink" Target="https://arsaecoe.mtc.gob.pe/vial/VIAL_R_VIALES003314_20250303011332.pdf" TargetMode="External"/><Relationship Id="rId132" Type="http://schemas.openxmlformats.org/officeDocument/2006/relationships/hyperlink" Target="https://arsaecoe.mtc.gob.pe/vial/VIAL_I_VIALES003838_20250414073838.pdf" TargetMode="External"/><Relationship Id="rId153" Type="http://schemas.openxmlformats.org/officeDocument/2006/relationships/hyperlink" Target="https://arsaecoe.mtc.gob.pe/vial/VIAL_R_VIALES003903_20250425033200.pdf" TargetMode="External"/><Relationship Id="rId174" Type="http://schemas.openxmlformats.org/officeDocument/2006/relationships/hyperlink" Target="https://arsaecoe.mtc.gob.pe/vial/VIAL_R_VIALES003947_20250502125050.pdf" TargetMode="External"/><Relationship Id="rId195" Type="http://schemas.openxmlformats.org/officeDocument/2006/relationships/hyperlink" Target="https://arsaecoe.mtc.gob.pe/vial/VIAL_I_VIALES003976_20250507103025.pdf" TargetMode="External"/><Relationship Id="rId209" Type="http://schemas.openxmlformats.org/officeDocument/2006/relationships/hyperlink" Target="https://arsaecoe.mtc.gob.pe/vial/VIAL_R_VIALES004002_20250512065156.pdf" TargetMode="External"/><Relationship Id="rId220" Type="http://schemas.openxmlformats.org/officeDocument/2006/relationships/hyperlink" Target="https://arsaecoe.mtc.gob.pe/vial/VIAL_I_VIALES004007_20250513084757.pdf" TargetMode="External"/><Relationship Id="rId241" Type="http://schemas.openxmlformats.org/officeDocument/2006/relationships/hyperlink" Target="https://arsaecoe.mtc.gob.pe/vial/VIAL_I_VIALES004046_20250519035557.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R_VIALES003544_20250321103842.pdf" TargetMode="External"/><Relationship Id="rId57" Type="http://schemas.openxmlformats.org/officeDocument/2006/relationships/hyperlink" Target="https://arsaecoe.mtc.gob.pe/vial/VIAL_I_VIALES003620_20250328083432.pdf" TargetMode="External"/><Relationship Id="rId262" Type="http://schemas.openxmlformats.org/officeDocument/2006/relationships/hyperlink" Target="https://arsaecoe.mtc.gob.pe/vial/VIAL_R_VIALES004062_20250522113559.pdf" TargetMode="External"/><Relationship Id="rId283" Type="http://schemas.openxmlformats.org/officeDocument/2006/relationships/hyperlink" Target="https://arsaecoe.mtc.gob.pe/vial/VIAL_R_VIALES004073_20250524103313.pdf" TargetMode="External"/><Relationship Id="rId78" Type="http://schemas.openxmlformats.org/officeDocument/2006/relationships/hyperlink" Target="https://arsaecoe.mtc.gob.pe/vial/VIAL_R_VIALES003777_20250408032857.pdf" TargetMode="External"/><Relationship Id="rId99" Type="http://schemas.openxmlformats.org/officeDocument/2006/relationships/hyperlink" Target="https://arsaecoe.mtc.gob.pe/vial/VIAL_R_VIALES002641_20250102024212.pdf" TargetMode="External"/><Relationship Id="rId101" Type="http://schemas.openxmlformats.org/officeDocument/2006/relationships/hyperlink" Target="https://arsaecoe.mtc.gob.pe/vial/VIAL_R_VIALES003029_20250131112738.pdf" TargetMode="External"/><Relationship Id="rId122" Type="http://schemas.openxmlformats.org/officeDocument/2006/relationships/hyperlink" Target="https://arsaecoe.mtc.gob.pe/vial/VIAL_I_VIALES003784_20250412091411.pdf" TargetMode="External"/><Relationship Id="rId143" Type="http://schemas.openxmlformats.org/officeDocument/2006/relationships/hyperlink" Target="https://arsaecoe.mtc.gob.pe/vial/VIAL_I_VIALES003872_20250421013006.pdf" TargetMode="External"/><Relationship Id="rId164" Type="http://schemas.openxmlformats.org/officeDocument/2006/relationships/hyperlink" Target="https://arsaecoe.mtc.gob.pe/vial/VIAL_R_VIALES003924_20250428053542.pdf" TargetMode="External"/><Relationship Id="rId185" Type="http://schemas.openxmlformats.org/officeDocument/2006/relationships/hyperlink" Target="https://arsaecoe.mtc.gob.pe/vial/VIAL_I_VIALES003964_20250506084947.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I_VIALES004002_20250512065156.pdf" TargetMode="External"/><Relationship Id="rId26" Type="http://schemas.openxmlformats.org/officeDocument/2006/relationships/hyperlink" Target="https://arsaecoe.mtc.gob.pe/vial/VIAL_R_VIALES003428_20250310065309.pdf" TargetMode="External"/><Relationship Id="rId231" Type="http://schemas.openxmlformats.org/officeDocument/2006/relationships/hyperlink" Target="https://arsaecoe.mtc.gob.pe/vial/VIAL_R_VIALES004036_20250516030424.pdf" TargetMode="External"/><Relationship Id="rId252" Type="http://schemas.openxmlformats.org/officeDocument/2006/relationships/hyperlink" Target="https://arsaecoe.mtc.gob.pe/vial/VIAL_I_VIALES004049_20250520051321.pdf" TargetMode="External"/><Relationship Id="rId273" Type="http://schemas.openxmlformats.org/officeDocument/2006/relationships/hyperlink" Target="https://arsaecoe.mtc.gob.pe/vial/VIAL_I_VIALES004063_20250522085155.pdf" TargetMode="External"/><Relationship Id="rId294" Type="http://schemas.openxmlformats.org/officeDocument/2006/relationships/hyperlink" Target="https://arsaecoe.mtc.gob.pe/vial/VIAL_R_VIALES004076_20250526064318.pdf" TargetMode="External"/><Relationship Id="rId308" Type="http://schemas.openxmlformats.org/officeDocument/2006/relationships/table" Target="../tables/table2.xml"/><Relationship Id="rId47" Type="http://schemas.openxmlformats.org/officeDocument/2006/relationships/hyperlink" Target="https://arsaecoe.mtc.gob.pe/vial/VIAL_I_VIALES003576_20250324105948.pdf" TargetMode="External"/><Relationship Id="rId68" Type="http://schemas.openxmlformats.org/officeDocument/2006/relationships/hyperlink" Target="https://arsaecoe.mtc.gob.pe/vial/VIAL_I_VIALES003690_20250402050831.pdf" TargetMode="External"/><Relationship Id="rId89" Type="http://schemas.openxmlformats.org/officeDocument/2006/relationships/hyperlink" Target="https://arsaecoe.mtc.gob.pe/vial/VIAL_R_M210671_20230403110429.pdf" TargetMode="External"/><Relationship Id="rId112" Type="http://schemas.openxmlformats.org/officeDocument/2006/relationships/hyperlink" Target="https://arsaecoe.mtc.gob.pe/vial/VIAL_R_VIALES003319_20250303062117.pdf" TargetMode="External"/><Relationship Id="rId133" Type="http://schemas.openxmlformats.org/officeDocument/2006/relationships/hyperlink" Target="https://arsaecoe.mtc.gob.pe/vial/VIAL_R_VIALES003843_20250415013515.pdf" TargetMode="External"/><Relationship Id="rId154" Type="http://schemas.openxmlformats.org/officeDocument/2006/relationships/hyperlink" Target="https://arsaecoe.mtc.gob.pe/vial/VIAL_R_VIALES003907_20250426012416.pdf" TargetMode="External"/><Relationship Id="rId175" Type="http://schemas.openxmlformats.org/officeDocument/2006/relationships/hyperlink" Target="https://arsaecoe.mtc.gob.pe/vial/VIAL_I_VIALES003947_20250502125050.pdf" TargetMode="External"/><Relationship Id="rId196" Type="http://schemas.openxmlformats.org/officeDocument/2006/relationships/hyperlink" Target="https://arsaecoe.mtc.gob.pe/vial/VIAL_R_VIALES003977_20250507113559.pdf" TargetMode="External"/><Relationship Id="rId200" Type="http://schemas.openxmlformats.org/officeDocument/2006/relationships/hyperlink" Target="https://arsaecoe.mtc.gob.pe/vial/VIAL_R_VIALES003989_20250508102940.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I_VIALES004013_20250514094317.pdf" TargetMode="External"/><Relationship Id="rId242" Type="http://schemas.openxmlformats.org/officeDocument/2006/relationships/hyperlink" Target="https://arsaecoe.mtc.gob.pe/vial/VIAL_I_VIALES004047_20250519035950.pdf" TargetMode="External"/><Relationship Id="rId263" Type="http://schemas.openxmlformats.org/officeDocument/2006/relationships/hyperlink" Target="https://arsaecoe.mtc.gob.pe/vial/VIAL_I_VIALES004062_20250522113559.pdf" TargetMode="External"/><Relationship Id="rId284" Type="http://schemas.openxmlformats.org/officeDocument/2006/relationships/hyperlink" Target="https://arsaecoe.mtc.gob.pe/vial/VIAL_R_VIALES004074_20250524024519.pdf" TargetMode="External"/><Relationship Id="rId37" Type="http://schemas.openxmlformats.org/officeDocument/2006/relationships/hyperlink" Target="https://arsaecoe.mtc.gob.pe/vial/VIAL_R_VIALES003556_20250321082943.pdf" TargetMode="External"/><Relationship Id="rId58" Type="http://schemas.openxmlformats.org/officeDocument/2006/relationships/hyperlink" Target="https://arsaecoe.mtc.gob.pe/vial/VIAL_R_VIALES003651_20250329091117.pdf" TargetMode="External"/><Relationship Id="rId79" Type="http://schemas.openxmlformats.org/officeDocument/2006/relationships/hyperlink" Target="https://arsaecoe.mtc.gob.pe/vial/VIAL_I_VIALES003777_20250408032857.pdf" TargetMode="External"/><Relationship Id="rId102" Type="http://schemas.openxmlformats.org/officeDocument/2006/relationships/hyperlink" Target="https://arsaecoe.mtc.gob.pe/vial/VIAL_R_VIALES003035_20250201123027.pdf" TargetMode="External"/><Relationship Id="rId123" Type="http://schemas.openxmlformats.org/officeDocument/2006/relationships/hyperlink" Target="https://arsaecoe.mtc.gob.pe/vial/VIAL_I_VIALES003789_20250412091816.pdf" TargetMode="External"/><Relationship Id="rId144" Type="http://schemas.openxmlformats.org/officeDocument/2006/relationships/hyperlink" Target="https://arsaecoe.mtc.gob.pe/vial/VIAL_R_VIALES003555_20250422115616.pdf" TargetMode="External"/><Relationship Id="rId90" Type="http://schemas.openxmlformats.org/officeDocument/2006/relationships/hyperlink" Target="https://arsaecoe.mtc.gob.pe/vial/VIAL_R_M210669_20230403103319.pdf" TargetMode="External"/><Relationship Id="rId165" Type="http://schemas.openxmlformats.org/officeDocument/2006/relationships/hyperlink" Target="https://arsaecoe.mtc.gob.pe/vial/VIAL_I_VIALES003924_20250428053542.pdf" TargetMode="External"/><Relationship Id="rId186" Type="http://schemas.openxmlformats.org/officeDocument/2006/relationships/hyperlink" Target="https://arsaecoe.mtc.gob.pe/vial/VIAL_I_VIALES003963_20250506085003.pdf" TargetMode="External"/><Relationship Id="rId211" Type="http://schemas.openxmlformats.org/officeDocument/2006/relationships/hyperlink" Target="https://arsaecoe.mtc.gob.pe/vial/VIAL_R_VIALES004004_20250513101610.pdf" TargetMode="External"/><Relationship Id="rId232" Type="http://schemas.openxmlformats.org/officeDocument/2006/relationships/hyperlink" Target="https://arsaecoe.mtc.gob.pe/vial/VIAL_R_VIALES004038_20250516041156.pdf" TargetMode="External"/><Relationship Id="rId253" Type="http://schemas.openxmlformats.org/officeDocument/2006/relationships/hyperlink" Target="https://arsaecoe.mtc.gob.pe/vial/VIAL_I_VIALES004053_20250520051928.pdf" TargetMode="External"/><Relationship Id="rId274" Type="http://schemas.openxmlformats.org/officeDocument/2006/relationships/hyperlink" Target="https://arsaecoe.mtc.gob.pe/vial/VIAL_R_VIALES004068_20250523102455.pdf" TargetMode="External"/><Relationship Id="rId295" Type="http://schemas.openxmlformats.org/officeDocument/2006/relationships/hyperlink" Target="https://arsaecoe.mtc.gob.pe/vial/VIAL_I_VIALES004076_20250526064318.pdf" TargetMode="External"/><Relationship Id="rId27" Type="http://schemas.openxmlformats.org/officeDocument/2006/relationships/hyperlink" Target="https://arsaecoe.mtc.gob.pe/vial/VIAL_I_VIALES003441_20250311045849.pdf" TargetMode="External"/><Relationship Id="rId48" Type="http://schemas.openxmlformats.org/officeDocument/2006/relationships/hyperlink" Target="https://arsaecoe.mtc.gob.pe/vial/VIAL_R_VIALES003593_20250325052414.pdf" TargetMode="External"/><Relationship Id="rId69" Type="http://schemas.openxmlformats.org/officeDocument/2006/relationships/hyperlink" Target="https://arsaecoe.mtc.gob.pe/vial/VIAL_I_VIALES003699_20250403064337.pdf" TargetMode="External"/><Relationship Id="rId113" Type="http://schemas.openxmlformats.org/officeDocument/2006/relationships/hyperlink" Target="https://arsaecoe.mtc.gob.pe/vial/VIAL_R_VIALES003328_20250304121318.pdf" TargetMode="External"/><Relationship Id="rId134" Type="http://schemas.openxmlformats.org/officeDocument/2006/relationships/hyperlink" Target="https://arsaecoe.mtc.gob.pe/vial/VIAL_R_VIALES003848_20250415100114.pdf" TargetMode="External"/><Relationship Id="rId80" Type="http://schemas.openxmlformats.org/officeDocument/2006/relationships/hyperlink" Target="https://arsaecoe.mtc.gob.pe/vial/VIAL_R_VIALES003617_20250327042418.pdf" TargetMode="External"/><Relationship Id="rId155" Type="http://schemas.openxmlformats.org/officeDocument/2006/relationships/hyperlink" Target="https://arsaecoe.mtc.gob.pe/vial/VIAL_I_VIALES003898_20250426084311.pdf" TargetMode="External"/><Relationship Id="rId176" Type="http://schemas.openxmlformats.org/officeDocument/2006/relationships/hyperlink" Target="https://arsaecoe.mtc.gob.pe/vial/VIAL_R_VIALES003946_20250502124837.pdf" TargetMode="External"/><Relationship Id="rId197" Type="http://schemas.openxmlformats.org/officeDocument/2006/relationships/hyperlink" Target="https://arsaecoe.mtc.gob.pe/vial/VIAL_I_VIALES003977_20250507040029.pdf" TargetMode="External"/><Relationship Id="rId201" Type="http://schemas.openxmlformats.org/officeDocument/2006/relationships/hyperlink" Target="https://arsaecoe.mtc.gob.pe/vial/VIAL_I_VIALES003989_20250508102940.pdf" TargetMode="External"/><Relationship Id="rId222" Type="http://schemas.openxmlformats.org/officeDocument/2006/relationships/hyperlink" Target="https://arsaecoe.mtc.gob.pe/vial/VIAL_R_VIALES004013_20250514094317.pdf" TargetMode="External"/><Relationship Id="rId243" Type="http://schemas.openxmlformats.org/officeDocument/2006/relationships/hyperlink" Target="https://arsaecoe.mtc.gob.pe/vial/VIAL_R_VIALES004049_20250519065343.pdf" TargetMode="External"/><Relationship Id="rId264" Type="http://schemas.openxmlformats.org/officeDocument/2006/relationships/hyperlink" Target="https://arsaecoe.mtc.gob.pe/vial/VIAL_I_VIALES004060_20250522123223.pdf" TargetMode="External"/><Relationship Id="rId285" Type="http://schemas.openxmlformats.org/officeDocument/2006/relationships/hyperlink" Target="https://arsaecoe.mtc.gob.pe/vial/VIAL_I_VIALES004074_20250524024519.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40_20250323092622.pdf" TargetMode="External"/><Relationship Id="rId59" Type="http://schemas.openxmlformats.org/officeDocument/2006/relationships/hyperlink" Target="https://arsaecoe.mtc.gob.pe/vial/VIAL_I_VIALES003651_20250329091117.pdf" TargetMode="External"/><Relationship Id="rId103" Type="http://schemas.openxmlformats.org/officeDocument/2006/relationships/hyperlink" Target="https://arsaecoe.mtc.gob.pe/vial/VIAL_R_VIALES003047_20250203112527.pdf" TargetMode="External"/><Relationship Id="rId124" Type="http://schemas.openxmlformats.org/officeDocument/2006/relationships/hyperlink" Target="https://arsaecoe.mtc.gob.pe/vial/VIAL_I_VIALES003791_20250412094817.pdf" TargetMode="External"/><Relationship Id="rId70" Type="http://schemas.openxmlformats.org/officeDocument/2006/relationships/hyperlink" Target="https://arsaecoe.mtc.gob.pe/vial/VIAL_R_VIALES003729_20250404123115.pdf" TargetMode="External"/><Relationship Id="rId91" Type="http://schemas.openxmlformats.org/officeDocument/2006/relationships/hyperlink" Target="https://arsaecoe.mtc.gob.pe/vial/VIAL_R_M2002194_20230403101554.pdf" TargetMode="External"/><Relationship Id="rId145" Type="http://schemas.openxmlformats.org/officeDocument/2006/relationships/hyperlink" Target="https://arsaecoe.mtc.gob.pe/vial/VIAL_R_VIALES003884_20250423101103.pdf" TargetMode="External"/><Relationship Id="rId166" Type="http://schemas.openxmlformats.org/officeDocument/2006/relationships/hyperlink" Target="https://arsaecoe.mtc.gob.pe/vial/VIAL_I_VIALES003919_20250428084541.pdf" TargetMode="External"/><Relationship Id="rId187" Type="http://schemas.openxmlformats.org/officeDocument/2006/relationships/hyperlink" Target="https://arsaecoe.mtc.gob.pe/vial/VIAL_R_VIALES003969_20250506124013.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R_VIALES004007_20250513031058.pdf" TargetMode="External"/><Relationship Id="rId233" Type="http://schemas.openxmlformats.org/officeDocument/2006/relationships/hyperlink" Target="https://arsaecoe.mtc.gob.pe/vial/VIAL_I_VIALES004038_20250516041156.pdf" TargetMode="External"/><Relationship Id="rId254" Type="http://schemas.openxmlformats.org/officeDocument/2006/relationships/hyperlink" Target="https://arsaecoe.mtc.gob.pe/vial/VIAL_R_VIALES004056_20250521060009.pdf" TargetMode="External"/><Relationship Id="rId28" Type="http://schemas.openxmlformats.org/officeDocument/2006/relationships/hyperlink" Target="https://arsaecoe.mtc.gob.pe/vial/VIAL_R_VIALES003460_20250312053750.pdf" TargetMode="External"/><Relationship Id="rId49" Type="http://schemas.openxmlformats.org/officeDocument/2006/relationships/hyperlink" Target="https://arsaecoe.mtc.gob.pe/vial/VIAL_R_VIALES003594_20250325053443.pdf" TargetMode="External"/><Relationship Id="rId114" Type="http://schemas.openxmlformats.org/officeDocument/2006/relationships/hyperlink" Target="https://arsaecoe.mtc.gob.pe/vial/VIAL_R_VIALES003331_20250304012821.pdf" TargetMode="External"/><Relationship Id="rId275" Type="http://schemas.openxmlformats.org/officeDocument/2006/relationships/hyperlink" Target="https://arsaecoe.mtc.gob.pe/vial/VIAL_I_VIALES004068_20250523102926.pdf" TargetMode="External"/><Relationship Id="rId296" Type="http://schemas.openxmlformats.org/officeDocument/2006/relationships/hyperlink" Target="https://arsaecoe.mtc.gob.pe/vial/VIAL_R_VIALES004080_20250527090001.pdf" TargetMode="External"/><Relationship Id="rId300" Type="http://schemas.openxmlformats.org/officeDocument/2006/relationships/hyperlink" Target="https://arsaecoe.mtc.gob.pe/vial/VIAL_R_VIALES004081_20250527113536.pdf" TargetMode="External"/><Relationship Id="rId60" Type="http://schemas.openxmlformats.org/officeDocument/2006/relationships/hyperlink" Target="https://arsaecoe.mtc.gob.pe/vial/VIAL_R_VIALES003652_20250329101230.pdf" TargetMode="External"/><Relationship Id="rId81" Type="http://schemas.openxmlformats.org/officeDocument/2006/relationships/hyperlink" Target="https://arsaecoe.mtc.gob.pe/vial/VIAL_I_VIALES003617_20250327115401.pdf" TargetMode="External"/><Relationship Id="rId135" Type="http://schemas.openxmlformats.org/officeDocument/2006/relationships/hyperlink" Target="https://arsaecoe.mtc.gob.pe/vial/VIAL_I_VIALES003847_20250415102442.pdf" TargetMode="External"/><Relationship Id="rId156" Type="http://schemas.openxmlformats.org/officeDocument/2006/relationships/hyperlink" Target="https://arsaecoe.mtc.gob.pe/vial/VIAL_I_VIALES003907_20250426084359.pdf" TargetMode="External"/><Relationship Id="rId177" Type="http://schemas.openxmlformats.org/officeDocument/2006/relationships/hyperlink" Target="https://arsaecoe.mtc.gob.pe/vial/VIAL_I_VIALES003946_20250502124837.pdf" TargetMode="External"/><Relationship Id="rId198" Type="http://schemas.openxmlformats.org/officeDocument/2006/relationships/hyperlink" Target="https://arsaecoe.mtc.gob.pe/vial/VIAL_I_VIALES003970_20250507083433.pdf" TargetMode="External"/><Relationship Id="rId202" Type="http://schemas.openxmlformats.org/officeDocument/2006/relationships/hyperlink" Target="https://arsaecoe.mtc.gob.pe/vial/VIAL_R_VIALES003991_20250509123318.pdf" TargetMode="External"/><Relationship Id="rId223" Type="http://schemas.openxmlformats.org/officeDocument/2006/relationships/hyperlink" Target="https://arsaecoe.mtc.gob.pe/vial/VIAL_R_VIALES004028_20250515091918.pdf" TargetMode="External"/><Relationship Id="rId244" Type="http://schemas.openxmlformats.org/officeDocument/2006/relationships/hyperlink" Target="https://arsaecoe.mtc.gob.pe/vial/VIAL_R_VIALES004050_20250520111402.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I_VIALES003544_20250323094400.pdf" TargetMode="External"/><Relationship Id="rId265" Type="http://schemas.openxmlformats.org/officeDocument/2006/relationships/hyperlink" Target="https://arsaecoe.mtc.gob.pe/vial/VIAL_R_VIALES004063_20250522022210.pdf" TargetMode="External"/><Relationship Id="rId286" Type="http://schemas.openxmlformats.org/officeDocument/2006/relationships/hyperlink" Target="https://arsaecoe.mtc.gob.pe/vial/VIAL_I_VIALES004071_20250524025025.pdf" TargetMode="External"/><Relationship Id="rId50" Type="http://schemas.openxmlformats.org/officeDocument/2006/relationships/hyperlink" Target="https://arsaecoe.mtc.gob.pe/vial/VIAL_R_VIALES003600_20250326114234.pdf" TargetMode="External"/><Relationship Id="rId104" Type="http://schemas.openxmlformats.org/officeDocument/2006/relationships/hyperlink" Target="https://arsaecoe.mtc.gob.pe/vial/VIAL_R_VIALES003128_20250214011950.pdf" TargetMode="External"/><Relationship Id="rId125" Type="http://schemas.openxmlformats.org/officeDocument/2006/relationships/hyperlink" Target="https://arsaecoe.mtc.gob.pe/vial/VIAL_I_VIALES003822_20250412111630.pdf" TargetMode="External"/><Relationship Id="rId146" Type="http://schemas.openxmlformats.org/officeDocument/2006/relationships/hyperlink" Target="https://arsaecoe.mtc.gob.pe/vial/VIAL_R_VIALES003885_20250423111509.pdf" TargetMode="External"/><Relationship Id="rId167" Type="http://schemas.openxmlformats.org/officeDocument/2006/relationships/hyperlink" Target="https://arsaecoe.mtc.gob.pe/vial/VIAL_R_VIALES003932_20250429064026.pdf" TargetMode="External"/><Relationship Id="rId188" Type="http://schemas.openxmlformats.org/officeDocument/2006/relationships/hyperlink" Target="https://arsaecoe.mtc.gob.pe/vial/VIAL_I_VIALES003959_20250506124225.pdf" TargetMode="External"/><Relationship Id="rId71" Type="http://schemas.openxmlformats.org/officeDocument/2006/relationships/hyperlink" Target="https://arsaecoe.mtc.gob.pe/vial/VIAL_I_VIALES003729_20250404123115.pdf" TargetMode="External"/><Relationship Id="rId92" Type="http://schemas.openxmlformats.org/officeDocument/2006/relationships/hyperlink" Target="https://arsaecoe.mtc.gob.pe/vial/VIAL_R_M210248_20230403102345.pdf" TargetMode="External"/><Relationship Id="rId213" Type="http://schemas.openxmlformats.org/officeDocument/2006/relationships/hyperlink" Target="https://arsaecoe.mtc.gob.pe/vial/VIAL_R_VIALES004008_20250513044054.pdf" TargetMode="External"/><Relationship Id="rId234" Type="http://schemas.openxmlformats.org/officeDocument/2006/relationships/hyperlink" Target="https://arsaecoe.mtc.gob.pe/vial/VIAL_I_VIALES004037_20250516044729.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I_VIALES003460_20250312053750.pdf" TargetMode="External"/><Relationship Id="rId255" Type="http://schemas.openxmlformats.org/officeDocument/2006/relationships/hyperlink" Target="https://arsaecoe.mtc.gob.pe/vial/VIAL_I_VIALES004056_20250521102202.pdf" TargetMode="External"/><Relationship Id="rId276" Type="http://schemas.openxmlformats.org/officeDocument/2006/relationships/hyperlink" Target="https://arsaecoe.mtc.gob.pe/vial/VIAL_R_VIALES004069_20250523023426.pdf" TargetMode="External"/><Relationship Id="rId297" Type="http://schemas.openxmlformats.org/officeDocument/2006/relationships/hyperlink" Target="https://arsaecoe.mtc.gob.pe/vial/VIAL_I_VIALES004073_20250527092634.pdf" TargetMode="External"/><Relationship Id="rId40" Type="http://schemas.openxmlformats.org/officeDocument/2006/relationships/hyperlink" Target="https://arsaecoe.mtc.gob.pe/vial/VIAL_I_VIALES003556_20250323095205.pdf" TargetMode="External"/><Relationship Id="rId115" Type="http://schemas.openxmlformats.org/officeDocument/2006/relationships/hyperlink" Target="https://arsaecoe.mtc.gob.pe/vial/VIAL_R_VIALES003330_20250304010647.pdf" TargetMode="External"/><Relationship Id="rId136" Type="http://schemas.openxmlformats.org/officeDocument/2006/relationships/hyperlink" Target="https://arsaecoe.mtc.gob.pe/vial/VIAL_R_VIALES003854_20250416043037.pdf" TargetMode="External"/><Relationship Id="rId157" Type="http://schemas.openxmlformats.org/officeDocument/2006/relationships/hyperlink" Target="https://arsaecoe.mtc.gob.pe/vial/VIAL_I_VIALES003903_20250426084451.pdf" TargetMode="External"/><Relationship Id="rId178" Type="http://schemas.openxmlformats.org/officeDocument/2006/relationships/hyperlink" Target="https://arsaecoe.mtc.gob.pe/vial/VIAL_R_VIALES003948_20250502125130.pdf" TargetMode="External"/><Relationship Id="rId301" Type="http://schemas.openxmlformats.org/officeDocument/2006/relationships/hyperlink" Target="https://arsaecoe.mtc.gob.pe/vial/VIAL_R_VIALES004082_20250527030426.pdf" TargetMode="External"/><Relationship Id="rId61" Type="http://schemas.openxmlformats.org/officeDocument/2006/relationships/hyperlink" Target="https://arsaecoe.mtc.gob.pe/vial/VIAL_I_VIALES003652_20250329101317.pdf" TargetMode="External"/><Relationship Id="rId82" Type="http://schemas.openxmlformats.org/officeDocument/2006/relationships/hyperlink" Target="https://arsaecoe.mtc.gob.pe/vial/VIAL_R_VIALES003779_20250408061412.pdf" TargetMode="External"/><Relationship Id="rId199" Type="http://schemas.openxmlformats.org/officeDocument/2006/relationships/hyperlink" Target="https://arsaecoe.mtc.gob.pe/vial/VIAL_R_VIALES003987_20250508123951.pdf" TargetMode="External"/><Relationship Id="rId203" Type="http://schemas.openxmlformats.org/officeDocument/2006/relationships/hyperlink" Target="https://arsaecoe.mtc.gob.pe/vial/VIAL_I_VIALES002932_20250117041637.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R_VIALES004029_20250515105911.pdf" TargetMode="External"/><Relationship Id="rId245" Type="http://schemas.openxmlformats.org/officeDocument/2006/relationships/hyperlink" Target="https://arsaecoe.mtc.gob.pe/vial/VIAL_I_VIALES004050_20250520111402.pdf" TargetMode="External"/><Relationship Id="rId266" Type="http://schemas.openxmlformats.org/officeDocument/2006/relationships/hyperlink" Target="https://arsaecoe.mtc.gob.pe/vial/VIAL_R_VIALES004064_20250522043552.pdf" TargetMode="External"/><Relationship Id="rId287" Type="http://schemas.openxmlformats.org/officeDocument/2006/relationships/hyperlink" Target="https://arsaecoe.mtc.gob.pe/vial/VIAL_I_VIALES004064_20250525054913.pdf" TargetMode="External"/><Relationship Id="rId30" Type="http://schemas.openxmlformats.org/officeDocument/2006/relationships/hyperlink" Target="https://arsaecoe.mtc.gob.pe/vial/VIAL_R_VIALES003483_20250314110725.pdf" TargetMode="External"/><Relationship Id="rId105" Type="http://schemas.openxmlformats.org/officeDocument/2006/relationships/hyperlink" Target="https://arsaecoe.mtc.gob.pe/vial/VIAL_R_VIALES003173_20250219075717.pdf" TargetMode="External"/><Relationship Id="rId126" Type="http://schemas.openxmlformats.org/officeDocument/2006/relationships/hyperlink" Target="https://arsaecoe.mtc.gob.pe/vial/VIAL_R_VIALES003822_20250412111630.pdf" TargetMode="External"/><Relationship Id="rId147" Type="http://schemas.openxmlformats.org/officeDocument/2006/relationships/hyperlink" Target="https://arsaecoe.mtc.gob.pe/vial/VIAL_I_VIALES003885_20250423111509.pdf" TargetMode="External"/><Relationship Id="rId168" Type="http://schemas.openxmlformats.org/officeDocument/2006/relationships/hyperlink" Target="https://arsaecoe.mtc.gob.pe/vial/VIAL_I_VIALES003932_20250429064026.pdf" TargetMode="External"/><Relationship Id="rId51" Type="http://schemas.openxmlformats.org/officeDocument/2006/relationships/hyperlink" Target="https://arsaecoe.mtc.gob.pe/vial/VIAL_R_VIALES003601_20250326123810.pdf" TargetMode="External"/><Relationship Id="rId72" Type="http://schemas.openxmlformats.org/officeDocument/2006/relationships/hyperlink" Target="https://arsaecoe.mtc.gob.pe/vial/VIAL_R_VIALES003748_20250406065137.pdf" TargetMode="External"/><Relationship Id="rId93" Type="http://schemas.openxmlformats.org/officeDocument/2006/relationships/hyperlink" Target="https://arsaecoe.mtc.gob.pe/vial/VIAL_R_M230427_20230410035024.pdf" TargetMode="External"/><Relationship Id="rId189" Type="http://schemas.openxmlformats.org/officeDocument/2006/relationships/hyperlink" Target="https://arsaecoe.mtc.gob.pe/vial/VIAL_I_VIALES003957_20250506124319.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I_VIALES004006_20250513045407.pdf" TargetMode="External"/><Relationship Id="rId235" Type="http://schemas.openxmlformats.org/officeDocument/2006/relationships/hyperlink" Target="https://arsaecoe.mtc.gob.pe/vial/VIAL_I_VIALES004036_20250516044833.pdf" TargetMode="External"/><Relationship Id="rId256" Type="http://schemas.openxmlformats.org/officeDocument/2006/relationships/hyperlink" Target="https://arsaecoe.mtc.gob.pe/vial/VIAL_I_VIALES004054_20250521115034.pdf" TargetMode="External"/><Relationship Id="rId277" Type="http://schemas.openxmlformats.org/officeDocument/2006/relationships/hyperlink" Target="https://arsaecoe.mtc.gob.pe/vial/VIAL_R_VIALES004070_20250523082031.pdf" TargetMode="External"/><Relationship Id="rId298" Type="http://schemas.openxmlformats.org/officeDocument/2006/relationships/hyperlink" Target="https://arsaecoe.mtc.gob.pe/vial/VIAL_I_VIALES004069_20250527092921.pdf" TargetMode="External"/><Relationship Id="rId116" Type="http://schemas.openxmlformats.org/officeDocument/2006/relationships/hyperlink" Target="https://arsaecoe.mtc.gob.pe/vial/VIAL_R_VIALES003444_20250311044529.pdf" TargetMode="External"/><Relationship Id="rId137" Type="http://schemas.openxmlformats.org/officeDocument/2006/relationships/hyperlink" Target="https://arsaecoe.mtc.gob.pe/vial/VIAL_I_VIALES0038454_20250416081148.pdf" TargetMode="External"/><Relationship Id="rId158" Type="http://schemas.openxmlformats.org/officeDocument/2006/relationships/hyperlink" Target="https://arsaecoe.mtc.gob.pe/vial/VIAL_I_VIALES003902_20250426084531.pdf" TargetMode="External"/><Relationship Id="rId302" Type="http://schemas.openxmlformats.org/officeDocument/2006/relationships/hyperlink" Target="https://arsaecoe.mtc.gob.pe/vial/VIAL_I_VIALES004082_20250527030427.pdf" TargetMode="External"/><Relationship Id="rId20" Type="http://schemas.openxmlformats.org/officeDocument/2006/relationships/hyperlink" Target="https://arsaecoe.mtc.gob.pe/vial/VIAL_I_VIALES003330_20250304041638.pdf" TargetMode="External"/><Relationship Id="rId41" Type="http://schemas.openxmlformats.org/officeDocument/2006/relationships/hyperlink" Target="https://arsaecoe.mtc.gob.pe/vial/VIAL_I_VIALES003555_20250323100111.pdf" TargetMode="External"/><Relationship Id="rId62" Type="http://schemas.openxmlformats.org/officeDocument/2006/relationships/hyperlink" Target="https://arsaecoe.mtc.gob.pe/vial/VIAL_R_VIALES003660_20250330010654.pdf" TargetMode="External"/><Relationship Id="rId83" Type="http://schemas.openxmlformats.org/officeDocument/2006/relationships/hyperlink" Target="https://arsaecoe.mtc.gob.pe/vial/VIAL_I_VIALES003770_20250408112421.pdf" TargetMode="External"/><Relationship Id="rId179" Type="http://schemas.openxmlformats.org/officeDocument/2006/relationships/hyperlink" Target="https://arsaecoe.mtc.gob.pe/vial/VIAL_I_VIALES003948_20250502125130.pdf" TargetMode="External"/><Relationship Id="rId190" Type="http://schemas.openxmlformats.org/officeDocument/2006/relationships/hyperlink" Target="https://arsaecoe.mtc.gob.pe/vial/VIAL_R_VIALES003968_20250506124057.pdf" TargetMode="External"/><Relationship Id="rId204" Type="http://schemas.openxmlformats.org/officeDocument/2006/relationships/hyperlink" Target="https://arsaecoe.mtc.gob.pe/vial/VIAL_I_VIALES002641docx_20241104045541.pdf" TargetMode="External"/><Relationship Id="rId225" Type="http://schemas.openxmlformats.org/officeDocument/2006/relationships/hyperlink" Target="https://arsaecoe.mtc.gob.pe/vial/VIAL_R_VIALES004032_20250515024220.pdf" TargetMode="External"/><Relationship Id="rId246" Type="http://schemas.openxmlformats.org/officeDocument/2006/relationships/hyperlink" Target="https://arsaecoe.mtc.gob.pe/vial/VIAL_R_VIALES004051_20250520120026.pdf" TargetMode="External"/><Relationship Id="rId267" Type="http://schemas.openxmlformats.org/officeDocument/2006/relationships/hyperlink" Target="https://arsaecoe.mtc.gob.pe/vial/VIAL_R_VIALES004065_20250522064055.pdf" TargetMode="External"/><Relationship Id="rId288" Type="http://schemas.openxmlformats.org/officeDocument/2006/relationships/hyperlink" Target="https://arsaecoe.mtc.gob.pe/vial/VIAL_R_VIALES004075_20250526113107.pdf" TargetMode="External"/><Relationship Id="rId106" Type="http://schemas.openxmlformats.org/officeDocument/2006/relationships/hyperlink" Target="https://arsaecoe.mtc.gob.pe/vial/VIAL_R_VIALES003202_20250221095835.pdf" TargetMode="External"/><Relationship Id="rId127" Type="http://schemas.openxmlformats.org/officeDocument/2006/relationships/hyperlink" Target="https://arsaecoe.mtc.gob.pe/vial/VIAL_R_VIALES003834_20250414062442.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I_VIALES003483_20250314112909.pdf" TargetMode="External"/><Relationship Id="rId52" Type="http://schemas.openxmlformats.org/officeDocument/2006/relationships/hyperlink" Target="https://arsaecoe.mtc.gob.pe/vial/VIAL_I_VIALES003601_20250326052747.pdf" TargetMode="External"/><Relationship Id="rId73" Type="http://schemas.openxmlformats.org/officeDocument/2006/relationships/hyperlink" Target="https://arsaecoe.mtc.gob.pe/vial/VIAL_I_VIALES003748_20250407075239.pdf" TargetMode="External"/><Relationship Id="rId94" Type="http://schemas.openxmlformats.org/officeDocument/2006/relationships/hyperlink" Target="https://arsaecoe.mtc.gob.pe/vial/VIAL_R_M1903205_20230403100451.pdf" TargetMode="External"/><Relationship Id="rId148" Type="http://schemas.openxmlformats.org/officeDocument/2006/relationships/hyperlink" Target="https://arsaecoe.mtc.gob.pe/vial/VIAL_I_VIALES003884_20250423083812.pdf" TargetMode="External"/><Relationship Id="rId169" Type="http://schemas.openxmlformats.org/officeDocument/2006/relationships/hyperlink" Target="https://arsaecoe.mtc.gob.pe/vial/VIAL_R_VIALES003935_20250430105029.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I_VIALES003941_20250502072326.pdf" TargetMode="External"/><Relationship Id="rId215" Type="http://schemas.openxmlformats.org/officeDocument/2006/relationships/hyperlink" Target="https://arsaecoe.mtc.gob.pe/vial/VIAL_R_VIALES004009_20250513050923.pdf" TargetMode="External"/><Relationship Id="rId236" Type="http://schemas.openxmlformats.org/officeDocument/2006/relationships/hyperlink" Target="https://arsaecoe.mtc.gob.pe/vial/VIAL_I_VIALES004035_20250516044923.pdf" TargetMode="External"/><Relationship Id="rId257" Type="http://schemas.openxmlformats.org/officeDocument/2006/relationships/hyperlink" Target="https://arsaecoe.mtc.gob.pe/vial/VIAL_R_VIALES004058_20250521024440.pdf" TargetMode="External"/><Relationship Id="rId278" Type="http://schemas.openxmlformats.org/officeDocument/2006/relationships/hyperlink" Target="https://arsaecoe.mtc.gob.pe/vial/VIAL_I_VIALES004070_20250523082031.pdf" TargetMode="External"/><Relationship Id="rId303" Type="http://schemas.openxmlformats.org/officeDocument/2006/relationships/hyperlink" Target="https://arsaecoe.mtc.gob.pe/vial/VIAL_R_VIALES004083_20250527033754.pdf" TargetMode="External"/><Relationship Id="rId42" Type="http://schemas.openxmlformats.org/officeDocument/2006/relationships/hyperlink" Target="https://arsaecoe.mtc.gob.pe/vial/VIAL_R_VIALES003565_20250323030950.pdf" TargetMode="External"/><Relationship Id="rId84" Type="http://schemas.openxmlformats.org/officeDocument/2006/relationships/hyperlink" Target="https://arsaecoe.mtc.gob.pe/vial/VIAL_R_VIALES003770_20250408112438.pdf" TargetMode="External"/><Relationship Id="rId138" Type="http://schemas.openxmlformats.org/officeDocument/2006/relationships/hyperlink" Target="https://arsaecoe.mtc.gob.pe/vial/VIAL_I_VIALES003843_20250417080656.pdf" TargetMode="External"/><Relationship Id="rId191" Type="http://schemas.openxmlformats.org/officeDocument/2006/relationships/hyperlink" Target="https://arsaecoe.mtc.gob.pe/vial/VIAL_I_VIALES003969_20250506062337.pdf" TargetMode="External"/><Relationship Id="rId205" Type="http://schemas.openxmlformats.org/officeDocument/2006/relationships/hyperlink" Target="https://arsaecoe.mtc.gob.pe/vial/VIAL_R_VIALES004039_20250517093723.pdf" TargetMode="External"/><Relationship Id="rId247" Type="http://schemas.openxmlformats.org/officeDocument/2006/relationships/hyperlink" Target="https://arsaecoe.mtc.gob.pe/vial/VIAL_R_VIALES004052_20250520025753.pdf" TargetMode="External"/><Relationship Id="rId107" Type="http://schemas.openxmlformats.org/officeDocument/2006/relationships/hyperlink" Target="https://arsaecoe.mtc.gob.pe/vial/VIAL_R_VIALES003277_20250228115013.pdf" TargetMode="External"/><Relationship Id="rId289" Type="http://schemas.openxmlformats.org/officeDocument/2006/relationships/hyperlink" Target="https://arsaecoe.mtc.gob.pe/vial/VIAL_I_VIALES004075_20250526113107.pdf" TargetMode="External"/><Relationship Id="rId11" Type="http://schemas.openxmlformats.org/officeDocument/2006/relationships/hyperlink" Target="https://arsaecoe.mtc.gob.pe/vial/VIAL_I_VIALES003035_20250201123027.pdf" TargetMode="External"/><Relationship Id="rId53" Type="http://schemas.openxmlformats.org/officeDocument/2006/relationships/hyperlink" Target="https://arsaecoe.mtc.gob.pe/vial/VIAL_I_VIALES003600_20250327041339.pdf" TargetMode="External"/><Relationship Id="rId149" Type="http://schemas.openxmlformats.org/officeDocument/2006/relationships/hyperlink" Target="https://arsaecoe.mtc.gob.pe/vial/VIAL_R_VIALES003891_20250424044807.pdf" TargetMode="External"/><Relationship Id="rId95" Type="http://schemas.openxmlformats.org/officeDocument/2006/relationships/hyperlink" Target="https://arsaecoe.mtc.gob.pe/vial/VIAL_R_M190395_20230904114707.pdf" TargetMode="External"/><Relationship Id="rId160" Type="http://schemas.openxmlformats.org/officeDocument/2006/relationships/hyperlink" Target="https://arsaecoe.mtc.gob.pe/vial/VIAL_I_VIALES003891_20250426113019.pdf" TargetMode="External"/><Relationship Id="rId216" Type="http://schemas.openxmlformats.org/officeDocument/2006/relationships/hyperlink" Target="https://arsaecoe.mtc.gob.pe/vial/VIAL_I_VIALES004009_20250513050923.pdf" TargetMode="External"/><Relationship Id="rId258" Type="http://schemas.openxmlformats.org/officeDocument/2006/relationships/hyperlink" Target="https://arsaecoe.mtc.gob.pe/vial/VIAL_R_VIALES004059_20250521042239.pdf" TargetMode="External"/><Relationship Id="rId22" Type="http://schemas.openxmlformats.org/officeDocument/2006/relationships/hyperlink" Target="https://arsaecoe.mtc.gob.pe/vial/VIAL_I_VIALES003328_20250304114558.pdf" TargetMode="External"/><Relationship Id="rId64" Type="http://schemas.openxmlformats.org/officeDocument/2006/relationships/hyperlink" Target="https://arsaecoe.mtc.gob.pe/vial/VIAL_R_VIALES003680_20250401083950.pdf" TargetMode="External"/><Relationship Id="rId118" Type="http://schemas.openxmlformats.org/officeDocument/2006/relationships/hyperlink" Target="https://arsaecoe.mtc.gob.pe/vial/VIAL_R_VIALES003789_20250409025923.pdf" TargetMode="External"/><Relationship Id="rId171" Type="http://schemas.openxmlformats.org/officeDocument/2006/relationships/hyperlink" Target="https://arsaecoe.mtc.gob.pe/vial/VIAL_I_VIALES003935_20250430035155.pdf" TargetMode="External"/><Relationship Id="rId227" Type="http://schemas.openxmlformats.org/officeDocument/2006/relationships/hyperlink" Target="https://arsaecoe.mtc.gob.pe/vial/VIAL_I_VIALES004029_20250515081814.pdf" TargetMode="External"/><Relationship Id="rId269" Type="http://schemas.openxmlformats.org/officeDocument/2006/relationships/hyperlink" Target="https://arsaecoe.mtc.gob.pe/vial/VIAL_R_VIALES004066_20250522064447.pdf" TargetMode="External"/><Relationship Id="rId33" Type="http://schemas.openxmlformats.org/officeDocument/2006/relationships/hyperlink" Target="https://arsaecoe.mtc.gob.pe/vial/VIAL_I_VIALES003488_20250315120632.pdf" TargetMode="External"/><Relationship Id="rId129" Type="http://schemas.openxmlformats.org/officeDocument/2006/relationships/hyperlink" Target="https://arsaecoe.mtc.gob.pe/vial/VIAL_R_VIALES003837_20250414073956.pdf" TargetMode="External"/><Relationship Id="rId280" Type="http://schemas.openxmlformats.org/officeDocument/2006/relationships/hyperlink" Target="https://arsaecoe.mtc.gob.pe/vial/VIAL_I_VIALES003840_20250415092929.pdf" TargetMode="External"/><Relationship Id="rId75" Type="http://schemas.openxmlformats.org/officeDocument/2006/relationships/hyperlink" Target="https://arsaecoe.mtc.gob.pe/vial/VIAL_I_VIALES003758_20250407112731.pdf" TargetMode="External"/><Relationship Id="rId140" Type="http://schemas.openxmlformats.org/officeDocument/2006/relationships/hyperlink" Target="https://arsaecoe.mtc.gob.pe/vial/VIAL_I_VIALES003319_20250417011833.pdf" TargetMode="External"/><Relationship Id="rId182" Type="http://schemas.openxmlformats.org/officeDocument/2006/relationships/hyperlink" Target="https://arsaecoe.mtc.gob.pe/vial/VIAL_R_VIALES003959_20250505071357.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R_VIALES004046_20250519011749.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20"/>
  <sheetViews>
    <sheetView showGridLines="0" tabSelected="1" zoomScale="70" zoomScaleNormal="70" workbookViewId="0">
      <selection activeCell="V17" sqref="V17"/>
    </sheetView>
  </sheetViews>
  <sheetFormatPr baseColWidth="10" defaultColWidth="11" defaultRowHeight="14.25"/>
  <cols>
    <col min="1" max="1" width="18.5" customWidth="1"/>
    <col min="2" max="2" width="14.75" customWidth="1"/>
    <col min="3" max="3" width="20.125" customWidth="1"/>
    <col min="4" max="4" width="13.125" customWidth="1"/>
    <col min="5" max="5" width="49.25"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625" hidden="1" customWidth="1"/>
    <col min="19" max="19" width="11.375" hidden="1" customWidth="1"/>
    <col min="20" max="20" width="13" hidden="1" customWidth="1"/>
    <col min="21" max="21" width="10.87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291" t="s">
        <v>162</v>
      </c>
      <c r="B2" s="292"/>
      <c r="C2" s="292"/>
      <c r="D2" s="292"/>
      <c r="E2" s="292"/>
      <c r="F2" s="292"/>
      <c r="H2" s="3"/>
      <c r="I2" s="3"/>
      <c r="J2" s="3"/>
      <c r="K2" s="3"/>
      <c r="L2" s="3"/>
    </row>
    <row r="3" spans="1:29" ht="27" customHeight="1">
      <c r="A3" s="293" t="s">
        <v>81</v>
      </c>
      <c r="B3" s="293"/>
      <c r="C3" s="293"/>
      <c r="D3" s="293"/>
      <c r="E3" s="293"/>
      <c r="F3" s="293"/>
      <c r="H3" s="3"/>
      <c r="I3" s="3"/>
      <c r="J3" s="3"/>
      <c r="K3" s="3"/>
      <c r="L3" s="3"/>
    </row>
    <row r="4" spans="1:29" ht="15.75" customHeight="1">
      <c r="B4" s="61" t="s">
        <v>14</v>
      </c>
      <c r="C4" s="60" t="s">
        <v>731</v>
      </c>
      <c r="D4" s="8" t="s">
        <v>146</v>
      </c>
      <c r="E4" s="98"/>
      <c r="F4" s="98"/>
      <c r="H4" s="3"/>
      <c r="I4" s="3"/>
      <c r="J4" s="3"/>
      <c r="K4" s="3"/>
      <c r="L4" s="3"/>
      <c r="R4" s="55" t="s">
        <v>45</v>
      </c>
      <c r="S4" s="55" t="s">
        <v>7</v>
      </c>
      <c r="T4" s="55" t="s">
        <v>46</v>
      </c>
      <c r="U4" s="67" t="s">
        <v>86</v>
      </c>
    </row>
    <row r="5" spans="1:29" ht="15.75" customHeight="1">
      <c r="A5" s="3"/>
      <c r="B5" s="3"/>
      <c r="C5" s="3"/>
      <c r="D5" s="3"/>
      <c r="E5" s="3"/>
      <c r="F5" s="294" t="s">
        <v>47</v>
      </c>
      <c r="G5" s="295"/>
      <c r="H5" s="295"/>
      <c r="I5" s="296"/>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25</v>
      </c>
    </row>
    <row r="6" spans="1:29" ht="39" customHeight="1">
      <c r="D6" t="s">
        <v>0</v>
      </c>
      <c r="E6" s="3"/>
      <c r="F6" s="99" t="s">
        <v>48</v>
      </c>
      <c r="G6" s="100" t="s">
        <v>49</v>
      </c>
      <c r="H6" s="101" t="s">
        <v>50</v>
      </c>
      <c r="I6" s="102" t="s">
        <v>51</v>
      </c>
      <c r="J6" s="3"/>
      <c r="K6" s="3"/>
      <c r="L6" s="3"/>
      <c r="R6" t="str">
        <f>TRIM(MID(TRIM(Transportes!D6),1,FIND(CHAR(10),TRIM(Transportes!D6),1)-1))</f>
        <v>Lambayeque</v>
      </c>
      <c r="S6" t="str">
        <f>TRIM(IF(Transportes!F6="TRÁNSITO INTERRUMPIDO","Interrumpido",IF(Transportes!F6="TRÁNSITO RESTRINGIDO","Restringido","Normal")))</f>
        <v>Interrumpido</v>
      </c>
      <c r="T6" t="str">
        <f>TRIM(IF(MID(TRIM(Transportes!H6),1,FIND("-",TRIM(Transportes!H6),1)-2)="Acción humana","H","F"))</f>
        <v>F</v>
      </c>
      <c r="U6" s="53">
        <f>Transportes!G6</f>
        <v>1</v>
      </c>
      <c r="AC6" s="124"/>
    </row>
    <row r="7" spans="1:29" ht="15.75" customHeight="1">
      <c r="E7" s="3"/>
      <c r="F7" s="103" t="s">
        <v>52</v>
      </c>
      <c r="G7" s="104">
        <f>G41+I41</f>
        <v>5</v>
      </c>
      <c r="H7" s="105">
        <f>+H41+J41</f>
        <v>149</v>
      </c>
      <c r="I7" s="106">
        <f>SUM(G7:H7)</f>
        <v>154</v>
      </c>
      <c r="R7" t="str">
        <f>TRIM(MID(TRIM(Transportes!D7),1,FIND(CHAR(10),TRIM(Transportes!D7),1)-1))</f>
        <v>La Libertad</v>
      </c>
      <c r="S7" t="str">
        <f>TRIM(IF(Transportes!F7="TRÁNSITO INTERRUMPIDO","Interrumpido",IF(Transportes!F7="TRÁNSITO RESTRINGIDO","Restringido","Normal")))</f>
        <v>Interrumpido</v>
      </c>
      <c r="T7" t="str">
        <f>TRIM(IF(MID(TRIM(Transportes!H7),1,FIND("-",TRIM(Transportes!H7),1)-2)="Acción humana","H","F"))</f>
        <v>F</v>
      </c>
      <c r="U7" s="53">
        <f>Transportes!G7</f>
        <v>260</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4</v>
      </c>
      <c r="H9" s="105">
        <v>1</v>
      </c>
      <c r="I9" s="105">
        <f>SUM(G9:H9)</f>
        <v>5</v>
      </c>
      <c r="R9" t="str">
        <f>TRIM(MID(TRIM(Transportes!D9),1,FIND(CHAR(10),TRIM(Transportes!D9),1)-1))</f>
        <v>Arequipa</v>
      </c>
      <c r="S9" t="str">
        <f>TRIM(IF(Transportes!F9="TRÁNSITO INTERRUMPIDO","Interrumpido",IF(Transportes!F9="TRÁNSITO RESTRINGIDO","Restringido","Normal")))</f>
        <v>Interrumpido</v>
      </c>
      <c r="T9" t="str">
        <f>TRIM(IF(MID(TRIM(Transportes!H9),1,FIND("-",TRIM(Transportes!H9),1)-2)="Acción humana","H","F"))</f>
        <v>H</v>
      </c>
      <c r="U9" s="53">
        <f>Transportes!G9</f>
        <v>200</v>
      </c>
      <c r="AC9" s="124"/>
    </row>
    <row r="10" spans="1:29" ht="15.75" customHeight="1">
      <c r="E10" s="3"/>
      <c r="F10" s="103" t="s">
        <v>55</v>
      </c>
      <c r="G10" s="104">
        <v>3</v>
      </c>
      <c r="H10" s="105">
        <v>0</v>
      </c>
      <c r="I10" s="105">
        <f>SUM(G10:H10)</f>
        <v>3</v>
      </c>
      <c r="Q10" s="3"/>
      <c r="R10" t="str">
        <f>TRIM(MID(TRIM(Transportes!D10),1,FIND(CHAR(10),TRIM(Transportes!D10),1)-1))</f>
        <v>Piura</v>
      </c>
      <c r="S10" t="str">
        <f>TRIM(IF(Transportes!F10="TRÁNSITO INTERRUMPIDO","Interrumpido",IF(Transportes!F10="TRÁNSITO RESTRINGIDO","Restringido","Normal")))</f>
        <v>Restringido</v>
      </c>
      <c r="T10" t="str">
        <f>TRIM(IF(MID(TRIM(Transportes!H10),1,FIND("-",TRIM(Transportes!H10),1)-2)="Acción humana","H","F"))</f>
        <v>F</v>
      </c>
      <c r="U10" s="53">
        <f>Transportes!G10</f>
        <v>10</v>
      </c>
      <c r="V10" s="3"/>
      <c r="W10" s="3"/>
      <c r="AC10" s="124"/>
    </row>
    <row r="11" spans="1:29" ht="15.75" customHeight="1">
      <c r="E11" s="3"/>
      <c r="F11" s="103" t="s">
        <v>56</v>
      </c>
      <c r="G11" s="104">
        <v>2</v>
      </c>
      <c r="H11" s="105">
        <v>0</v>
      </c>
      <c r="I11" s="105">
        <f>SUM(G11:H11)</f>
        <v>2</v>
      </c>
      <c r="Q11" s="3"/>
      <c r="R11" t="str">
        <f>TRIM(MID(TRIM(Transportes!D11),1,FIND(CHAR(10),TRIM(Transportes!D11),1)-1))</f>
        <v>Ayacucho</v>
      </c>
      <c r="S11" t="str">
        <f>TRIM(IF(Transportes!F11="TRÁNSITO INTERRUMPIDO","Interrumpido",IF(Transportes!F11="TRÁNSITO RESTRINGIDO","Restringido","Normal")))</f>
        <v>Restringido</v>
      </c>
      <c r="T11" t="str">
        <f>TRIM(IF(MID(TRIM(Transportes!H11),1,FIND("-",TRIM(Transportes!H11),1)-2)="Acción humana","H","F"))</f>
        <v>F</v>
      </c>
      <c r="U11" s="53" t="str">
        <f>Transportes!G11</f>
        <v>-</v>
      </c>
      <c r="V11" s="3"/>
      <c r="W11" s="3"/>
      <c r="AC11" s="124"/>
    </row>
    <row r="12" spans="1:29" ht="15.75" customHeight="1">
      <c r="E12" s="3"/>
      <c r="F12" s="107" t="s">
        <v>51</v>
      </c>
      <c r="G12" s="108">
        <f>SUM(G7:G11)</f>
        <v>14</v>
      </c>
      <c r="H12" s="108">
        <f>SUM(H7:H11)</f>
        <v>151</v>
      </c>
      <c r="I12" s="109">
        <f>SUM(I7:I11)</f>
        <v>165</v>
      </c>
      <c r="Q12" s="3"/>
      <c r="R12" t="str">
        <f>TRIM(MID(TRIM(Transportes!D12),1,FIND(CHAR(10),TRIM(Transportes!D12),1)-1))</f>
        <v>Cajamarca</v>
      </c>
      <c r="S12" t="str">
        <f>TRIM(IF(Transportes!F12="TRÁNSITO INTERRUMPIDO","Interrumpido",IF(Transportes!F12="TRÁNSITO RESTRINGIDO","Restringido","Normal")))</f>
        <v>Restringido</v>
      </c>
      <c r="T12" t="str">
        <f>TRIM(IF(MID(TRIM(Transportes!H12),1,FIND("-",TRIM(Transportes!H12),1)-2)="Acción humana","H","F"))</f>
        <v>F</v>
      </c>
      <c r="U12" s="53">
        <f>Transportes!G12</f>
        <v>10</v>
      </c>
      <c r="V12" s="3"/>
      <c r="W12" s="3"/>
      <c r="AC12" s="124"/>
    </row>
    <row r="13" spans="1:29" ht="15.75" customHeight="1">
      <c r="E13" s="3"/>
      <c r="Q13" s="3"/>
      <c r="R13" t="str">
        <f>TRIM(MID(TRIM(Transportes!D13),1,FIND(CHAR(10),TRIM(Transportes!D13),1)-1))</f>
        <v>Tacna</v>
      </c>
      <c r="S13" t="str">
        <f>TRIM(IF(Transportes!F13="TRÁNSITO INTERRUMPIDO","Interrumpido",IF(Transportes!F13="TRÁNSITO RESTRINGIDO","Restringido","Normal")))</f>
        <v>Restringido</v>
      </c>
      <c r="T13" t="str">
        <f>TRIM(IF(MID(TRIM(Transportes!H13),1,FIND("-",TRIM(Transportes!H13),1)-2)="Acción humana","H","F"))</f>
        <v>F</v>
      </c>
      <c r="U13" s="53">
        <f>Transportes!G13</f>
        <v>20</v>
      </c>
      <c r="V13" s="3"/>
      <c r="W13" s="3"/>
      <c r="AC13" s="124"/>
    </row>
    <row r="14" spans="1:29" ht="15.75" customHeight="1">
      <c r="E14" s="3"/>
      <c r="F14" s="294" t="s">
        <v>80</v>
      </c>
      <c r="G14" s="295"/>
      <c r="H14" s="295"/>
      <c r="I14" s="295"/>
      <c r="J14" s="295"/>
      <c r="K14" s="296"/>
      <c r="M14" s="294" t="s">
        <v>87</v>
      </c>
      <c r="N14" s="295"/>
      <c r="O14" s="295"/>
      <c r="P14" s="296"/>
      <c r="Q14" s="3"/>
      <c r="R14" t="str">
        <f>TRIM(MID(TRIM(Transportes!D14),1,FIND(CHAR(10),TRIM(Transportes!D14),1)-1))</f>
        <v>Cusco</v>
      </c>
      <c r="S14" t="str">
        <f>TRIM(IF(Transportes!F14="TRÁNSITO INTERRUMPIDO","Interrumpido",IF(Transportes!F14="TRÁNSITO RESTRINGIDO","Restringido","Normal")))</f>
        <v>Restringido</v>
      </c>
      <c r="T14" t="str">
        <f>TRIM(IF(MID(TRIM(Transportes!H14),1,FIND("-",TRIM(Transportes!H14),1)-2)="Acción humana","H","F"))</f>
        <v>F</v>
      </c>
      <c r="U14" s="53">
        <f>Transportes!G14</f>
        <v>50</v>
      </c>
      <c r="V14" s="3"/>
      <c r="W14" s="3"/>
      <c r="AC14" s="124"/>
    </row>
    <row r="15" spans="1:29" ht="15.75" customHeight="1">
      <c r="E15" s="3"/>
      <c r="F15" s="297" t="s">
        <v>148</v>
      </c>
      <c r="G15" s="299" t="s">
        <v>57</v>
      </c>
      <c r="H15" s="300"/>
      <c r="I15" s="301" t="s">
        <v>58</v>
      </c>
      <c r="J15" s="302"/>
      <c r="K15" s="303" t="s">
        <v>51</v>
      </c>
      <c r="M15" s="304" t="s">
        <v>57</v>
      </c>
      <c r="N15" s="305"/>
      <c r="O15" s="306"/>
      <c r="P15" s="288" t="s">
        <v>51</v>
      </c>
      <c r="Q15" s="3"/>
      <c r="R15" t="str">
        <f>TRIM(MID(TRIM(Transportes!D15),1,FIND(CHAR(10),TRIM(Transportes!D15),1)-1))</f>
        <v>Lima</v>
      </c>
      <c r="S15" t="str">
        <f>TRIM(IF(Transportes!F15="TRÁNSITO INTERRUMPIDO","Interrumpido",IF(Transportes!F15="TRÁNSITO RESTRINGIDO","Restringido","Normal")))</f>
        <v>Restringido</v>
      </c>
      <c r="T15" t="str">
        <f>TRIM(IF(MID(TRIM(Transportes!H15),1,FIND("-",TRIM(Transportes!H15),1)-2)="Acción humana","H","F"))</f>
        <v>F</v>
      </c>
      <c r="U15" s="53">
        <f>Transportes!G15</f>
        <v>25</v>
      </c>
      <c r="V15" s="3"/>
      <c r="W15" s="3"/>
      <c r="AC15" s="124"/>
    </row>
    <row r="16" spans="1:29" ht="15.75" customHeight="1">
      <c r="E16" s="3"/>
      <c r="F16" s="298"/>
      <c r="G16" s="110" t="s">
        <v>59</v>
      </c>
      <c r="H16" s="111" t="s">
        <v>60</v>
      </c>
      <c r="I16" s="110" t="s">
        <v>59</v>
      </c>
      <c r="J16" s="111" t="s">
        <v>60</v>
      </c>
      <c r="K16" s="289"/>
      <c r="M16" s="33" t="s">
        <v>148</v>
      </c>
      <c r="N16" s="110" t="s">
        <v>59</v>
      </c>
      <c r="O16" s="111" t="s">
        <v>60</v>
      </c>
      <c r="P16" s="289"/>
      <c r="Q16" s="3"/>
      <c r="R16" t="str">
        <f>TRIM(MID(TRIM(Transportes!D16),1,FIND(CHAR(10),TRIM(Transportes!D16),1)-1))</f>
        <v>Huánuco</v>
      </c>
      <c r="S16" t="str">
        <f>TRIM(IF(Transportes!F16="TRÁNSITO INTERRUMPIDO","Interrumpido",IF(Transportes!F16="TRÁNSITO RESTRINGIDO","Restringido","Normal")))</f>
        <v>Restringido</v>
      </c>
      <c r="T16" t="str">
        <f>TRIM(IF(MID(TRIM(Transportes!H16),1,FIND("-",TRIM(Transportes!H16),1)-2)="Acción humana","H","F"))</f>
        <v>F</v>
      </c>
      <c r="U16" s="53">
        <f>Transportes!G16</f>
        <v>120</v>
      </c>
      <c r="V16" s="3"/>
      <c r="W16" s="3"/>
      <c r="AC16" s="124"/>
    </row>
    <row r="17" spans="5:29" ht="15.75" customHeight="1">
      <c r="E17" s="3"/>
      <c r="F17" s="103" t="s">
        <v>61</v>
      </c>
      <c r="G17" s="105">
        <f>COUNTIFS(Eventos7[DPTO],"Amazonas",Eventos7[ESTADO],"Interrumpido",Eventos7[FENOMENO],"F")</f>
        <v>0</v>
      </c>
      <c r="H17" s="105">
        <f>COUNTIFS(Eventos7[DPTO],"Amazonas",Eventos7[ESTADO],"Restringido",Eventos7[FENOMENO],"F")</f>
        <v>15</v>
      </c>
      <c r="I17" s="105">
        <f>COUNTIFS(Eventos7[DPTO],"Amazonas",Eventos7[ESTADO],"Interrumpido",Eventos7[FENOMENO],"H")</f>
        <v>0</v>
      </c>
      <c r="J17" s="105">
        <f>COUNTIFS(Eventos7[DPTO],"Amazonas",Eventos7[ESTADO],"Restringido",Eventos7[FENOMENO],"H")</f>
        <v>0</v>
      </c>
      <c r="K17" s="105">
        <f>SUM(G17:J17)</f>
        <v>15</v>
      </c>
      <c r="M17" s="103" t="s">
        <v>61</v>
      </c>
      <c r="N17" s="112">
        <f>SUMIFS(Eventos7[METRAJE],Eventos7[DPTO],"Amazonas",Eventos7[ESTADO],"Interrumpido",Eventos7[FENOMENO],"F")</f>
        <v>0</v>
      </c>
      <c r="O17" s="112">
        <f>SUMIFS(Eventos7[METRAJE],Eventos7[DPTO],"Amazonas",Eventos7[ESTADO],"Restringido",Eventos7[FENOMENO],"F")</f>
        <v>297</v>
      </c>
      <c r="P17" s="112">
        <f t="shared" ref="P17:P40" si="0">SUM(N17:O17)</f>
        <v>297</v>
      </c>
      <c r="Q17" s="3"/>
      <c r="R17" t="str">
        <f>TRIM(MID(TRIM(Transportes!D17),1,FIND(CHAR(10),TRIM(Transportes!D17),1)-1))</f>
        <v>Ayacucho</v>
      </c>
      <c r="S17" t="str">
        <f>TRIM(IF(Transportes!F17="TRÁNSITO INTERRUMPIDO","Interrumpido",IF(Transportes!F17="TRÁNSITO RESTRINGIDO","Restringido","Normal")))</f>
        <v>Restringido</v>
      </c>
      <c r="T17" t="str">
        <f>TRIM(IF(MID(TRIM(Transportes!H17),1,FIND("-",TRIM(Transportes!H17),1)-2)="Acción humana","H","F"))</f>
        <v>F</v>
      </c>
      <c r="U17" s="53">
        <f>Transportes!G17</f>
        <v>20</v>
      </c>
      <c r="V17" s="3"/>
      <c r="W17" s="3"/>
      <c r="AC17" s="124"/>
    </row>
    <row r="18" spans="5:29" ht="15.75" customHeight="1">
      <c r="E18" s="3"/>
      <c r="F18" s="103" t="s">
        <v>62</v>
      </c>
      <c r="G18" s="105">
        <f>COUNTIFS(Eventos7[DPTO],"Áncash",Eventos7[ESTADO],"Interrumpido",Eventos7[FENOMENO],"F")</f>
        <v>1</v>
      </c>
      <c r="H18" s="105">
        <f>COUNTIFS(Eventos7[DPTO],"Áncash",Eventos7[ESTADO],"Restringido",Eventos7[FENOMENO],"F")</f>
        <v>13</v>
      </c>
      <c r="I18" s="105">
        <f>COUNTIFS(Eventos7[DPTO],"Áncash",Eventos7[ESTADO],"Interrumpido",Eventos7[FENOMENO],"H")</f>
        <v>0</v>
      </c>
      <c r="J18" s="105">
        <f>COUNTIFS(Eventos7[DPTO],"Áncash",Eventos7[ESTADO],"Restringido",Eventos7[FENOMENO],"H")</f>
        <v>0</v>
      </c>
      <c r="K18" s="105">
        <f t="shared" ref="K18:K40" si="1">SUM(G18:J18)</f>
        <v>14</v>
      </c>
      <c r="M18" s="103" t="s">
        <v>62</v>
      </c>
      <c r="N18" s="112">
        <f>SUMIFS(Eventos7[METRAJE],Eventos7[DPTO],"Áncash",Eventos7[ESTADO],"Interrumpido",Eventos7[FENOMENO],"F")</f>
        <v>25</v>
      </c>
      <c r="O18" s="112">
        <f>SUMIFS(Eventos7[METRAJE],Eventos7[DPTO],"Áncash",Eventos7[ESTADO],"Restringido",Eventos7[FENOMENO],"F")</f>
        <v>1601</v>
      </c>
      <c r="P18" s="112">
        <f t="shared" si="0"/>
        <v>1626</v>
      </c>
      <c r="Q18" s="3"/>
      <c r="R18" t="str">
        <f>TRIM(MID(TRIM(Transportes!D18),1,FIND(CHAR(10),TRIM(Transportes!D18),1)-1))</f>
        <v>Amazonas</v>
      </c>
      <c r="S18" t="str">
        <f>TRIM(IF(Transportes!F18="TRÁNSITO INTERRUMPIDO","Interrumpido",IF(Transportes!F18="TRÁNSITO RESTRINGIDO","Restringido","Normal")))</f>
        <v>Restringido</v>
      </c>
      <c r="T18" t="str">
        <f>TRIM(IF(MID(TRIM(Transportes!H18),1,FIND("-",TRIM(Transportes!H18),1)-2)="Acción humana","H","F"))</f>
        <v>F</v>
      </c>
      <c r="U18" s="53">
        <f>Transportes!G18</f>
        <v>10</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Cajamarca</v>
      </c>
      <c r="S19" t="str">
        <f>TRIM(IF(Transportes!F19="TRÁNSITO INTERRUMPIDO","Interrumpido",IF(Transportes!F19="TRÁNSITO RESTRINGIDO","Restringido","Normal")))</f>
        <v>Restringido</v>
      </c>
      <c r="T19" t="str">
        <f>TRIM(IF(MID(TRIM(Transportes!H19),1,FIND("-",TRIM(Transportes!H19),1)-2)="Acción humana","H","F"))</f>
        <v>F</v>
      </c>
      <c r="U19" s="53">
        <f>Transportes!G19</f>
        <v>10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1</v>
      </c>
      <c r="J20" s="105">
        <f>COUNTIFS(Eventos7[DPTO],"Arequipa",Eventos7[ESTADO],"Restringido",Eventos7[FENOMENO],"H")</f>
        <v>0</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Lima</v>
      </c>
      <c r="S20" t="str">
        <f>TRIM(IF(Transportes!F20="TRÁNSITO INTERRUMPIDO","Interrumpido",IF(Transportes!F20="TRÁNSITO RESTRINGIDO","Restringido","Normal")))</f>
        <v>Restringido</v>
      </c>
      <c r="T20" t="str">
        <f>TRIM(IF(MID(TRIM(Transportes!H20),1,FIND("-",TRIM(Transportes!H20),1)-2)="Acción humana","H","F"))</f>
        <v>F</v>
      </c>
      <c r="U20" s="53">
        <f>Transportes!G20</f>
        <v>40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4</v>
      </c>
      <c r="I21" s="105">
        <f>COUNTIFS(Eventos7[DPTO],"Ayacucho",Eventos7[ESTADO],"Interrumpido",Eventos7[FENOMENO],"H")</f>
        <v>0</v>
      </c>
      <c r="J21" s="105">
        <f>COUNTIFS(Eventos7[DPTO],"Ayacucho",Eventos7[ESTADO],"Restringido",Eventos7[FENOMENO],"H")</f>
        <v>0</v>
      </c>
      <c r="K21" s="105">
        <f t="shared" si="1"/>
        <v>4</v>
      </c>
      <c r="M21" s="103" t="s">
        <v>64</v>
      </c>
      <c r="N21" s="112">
        <f>SUMIFS(Eventos7[METRAJE],Eventos7[DPTO],"Ayacucho",Eventos7[ESTADO],"Interrumpido",Eventos7[FENOMENO],"F")</f>
        <v>0</v>
      </c>
      <c r="O21" s="112">
        <f>SUMIFS(Eventos7[METRAJE],Eventos7[DPTO],"Ayacucho",Eventos7[ESTADO],"Restringido",Eventos7[FENOMENO],"F")</f>
        <v>55</v>
      </c>
      <c r="P21" s="112">
        <f t="shared" si="0"/>
        <v>55</v>
      </c>
      <c r="Q21" s="3"/>
      <c r="R21" t="str">
        <f>TRIM(MID(TRIM(Transportes!D21),1,FIND(CHAR(10),TRIM(Transportes!D21),1)-1))</f>
        <v>Cusco</v>
      </c>
      <c r="S21" t="str">
        <f>TRIM(IF(Transportes!F21="TRÁNSITO INTERRUMPIDO","Interrumpido",IF(Transportes!F21="TRÁNSITO RESTRINGIDO","Restringido","Normal")))</f>
        <v>Restringido</v>
      </c>
      <c r="T21" t="str">
        <f>TRIM(IF(MID(TRIM(Transportes!H21),1,FIND("-",TRIM(Transportes!H21),1)-2)="Acción humana","H","F"))</f>
        <v>F</v>
      </c>
      <c r="U21" s="53">
        <f>Transportes!G21</f>
        <v>20</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24</v>
      </c>
      <c r="I22" s="105">
        <f>COUNTIFS(Eventos7[DPTO],"Cajamarca",Eventos7[ESTADO],"Interrumpido",Eventos7[FENOMENO],"H")</f>
        <v>0</v>
      </c>
      <c r="J22" s="105">
        <f>COUNTIFS(Eventos7[DPTO],"Cajamarca",Eventos7[ESTADO],"Restringido",Eventos7[FENOMENO],"H")</f>
        <v>0</v>
      </c>
      <c r="K22" s="105">
        <f t="shared" si="1"/>
        <v>24</v>
      </c>
      <c r="M22" s="103" t="s">
        <v>65</v>
      </c>
      <c r="N22" s="112">
        <f>SUMIFS(Eventos7[METRAJE],Eventos7[DPTO],"Cajamarca",Eventos7[ESTADO],"Interrumpido",Eventos7[FENOMENO],"F")</f>
        <v>0</v>
      </c>
      <c r="O22" s="112">
        <f>SUMIFS(Eventos7[METRAJE],Eventos7[DPTO],"Cajamarca",Eventos7[ESTADO],"Restringido",Eventos7[FENOMENO],"F")</f>
        <v>802</v>
      </c>
      <c r="P22" s="112">
        <f t="shared" si="0"/>
        <v>802</v>
      </c>
      <c r="Q22" s="3"/>
      <c r="R22" t="str">
        <f>TRIM(MID(TRIM(Transportes!D22),1,FIND(CHAR(10),TRIM(Transportes!D22),1)-1))</f>
        <v>Pasco</v>
      </c>
      <c r="S22" t="str">
        <f>TRIM(IF(Transportes!F22="TRÁNSITO INTERRUMPIDO","Interrumpido",IF(Transportes!F22="TRÁNSITO RESTRINGIDO","Restringido","Normal")))</f>
        <v>Restringido</v>
      </c>
      <c r="T22" t="str">
        <f>TRIM(IF(MID(TRIM(Transportes!H22),1,FIND("-",TRIM(Transportes!H22),1)-2)="Acción humana","H","F"))</f>
        <v>F</v>
      </c>
      <c r="U22" s="53">
        <f>Transportes!G22</f>
        <v>20</v>
      </c>
      <c r="V22" s="3"/>
      <c r="W22" s="3"/>
      <c r="AC22" s="124"/>
    </row>
    <row r="23" spans="5:29" ht="15.75" customHeight="1">
      <c r="F23" s="103" t="s">
        <v>66</v>
      </c>
      <c r="G23" s="105">
        <f>COUNTIFS(Eventos7[DPTO],"Cusco",Eventos7[ESTADO],"Interrumpido",Eventos7[FENOMENO],"F")</f>
        <v>0</v>
      </c>
      <c r="H23" s="105">
        <f>COUNTIFS(Eventos7[DPTO],"Cusco",Eventos7[ESTADO],"Restringido",Eventos7[FENOMENO],"F")</f>
        <v>8</v>
      </c>
      <c r="I23" s="105">
        <f>COUNTIFS(Eventos7[DPTO],"Cusco",Eventos7[ESTADO],"Interrumpido",Eventos7[FENOMENO],"H")</f>
        <v>0</v>
      </c>
      <c r="J23" s="105">
        <f>COUNTIFS(Eventos7[DPTO],"Cusco",Eventos7[ESTADO],"Restringido",Eventos7[FENOMENO],"H")</f>
        <v>0</v>
      </c>
      <c r="K23" s="105">
        <f t="shared" si="1"/>
        <v>8</v>
      </c>
      <c r="M23" s="103" t="s">
        <v>66</v>
      </c>
      <c r="N23" s="112">
        <f>SUMIFS(Eventos7[METRAJE],Eventos7[DPTO],"Cusco",Eventos7[ESTADO],"Interrumpido",Eventos7[FENOMENO],"F")</f>
        <v>0</v>
      </c>
      <c r="O23" s="112">
        <f>SUMIFS(Eventos7[METRAJE],Eventos7[DPTO],"Cusco",Eventos7[ESTADO],"Restringido",Eventos7[FENOMENO],"F")</f>
        <v>620</v>
      </c>
      <c r="P23" s="112">
        <f t="shared" si="0"/>
        <v>620</v>
      </c>
      <c r="Q23" s="3"/>
      <c r="R23" t="str">
        <f>TRIM(MID(TRIM(Transportes!D23),1,FIND(CHAR(10),TRIM(Transportes!D23),1)-1))</f>
        <v>Cajamarca</v>
      </c>
      <c r="S23" t="str">
        <f>TRIM(IF(Transportes!F23="TRÁNSITO INTERRUMPIDO","Interrumpido",IF(Transportes!F23="TRÁNSITO RESTRINGIDO","Restringido","Normal")))</f>
        <v>Restringido</v>
      </c>
      <c r="T23" t="str">
        <f>TRIM(IF(MID(TRIM(Transportes!H23),1,FIND("-",TRIM(Transportes!H23),1)-2)="Acción humana","H","F"))</f>
        <v>F</v>
      </c>
      <c r="U23" s="53">
        <f>Transportes!G23</f>
        <v>10</v>
      </c>
      <c r="V23" s="3"/>
      <c r="AC23" s="124"/>
    </row>
    <row r="24" spans="5:29" ht="15.75" customHeight="1">
      <c r="F24" s="103" t="s">
        <v>67</v>
      </c>
      <c r="G24" s="105">
        <f>COUNTIFS(Eventos7[DPTO],"Huancavelica",Eventos7[ESTADO],"Interrumpido",Eventos7[FENOMENO],"F")</f>
        <v>0</v>
      </c>
      <c r="H24" s="105">
        <f>COUNTIFS(Eventos7[DPTO],"Huancavelica",Eventos7[ESTADO],"Restringido",Eventos7[FENOMENO],"F")</f>
        <v>4</v>
      </c>
      <c r="I24" s="105">
        <f>COUNTIFS(Eventos7[DPTO],"Huancavelica",Eventos7[ESTADO],"Interrumpido",Eventos7[FENOMENO],"H")</f>
        <v>0</v>
      </c>
      <c r="J24" s="105">
        <f>COUNTIFS(Eventos7[DPTO],"Huancavelica",Eventos7[ESTADO],"Restringido",Eventos7[FENOMENO],"H")</f>
        <v>0</v>
      </c>
      <c r="K24" s="105">
        <f t="shared" si="1"/>
        <v>4</v>
      </c>
      <c r="M24" s="103" t="s">
        <v>67</v>
      </c>
      <c r="N24" s="112">
        <f>SUMIFS(Eventos7[METRAJE],Eventos7[DPTO],"Huancavelica",Eventos7[ESTADO],"Interrumpido",Eventos7[FENOMENO],"F")</f>
        <v>0</v>
      </c>
      <c r="O24" s="112">
        <f>SUMIFS(Eventos7[METRAJE],Eventos7[DPTO],"Huancavelica",Eventos7[ESTADO],"Restringido",Eventos7[FENOMENO],"F")</f>
        <v>120</v>
      </c>
      <c r="P24" s="112">
        <f t="shared" si="0"/>
        <v>120</v>
      </c>
      <c r="Q24" s="3"/>
      <c r="R24" t="str">
        <f>TRIM(MID(TRIM(Transportes!D24),1,FIND(CHAR(10),TRIM(Transportes!D24),1)-1))</f>
        <v>Piura</v>
      </c>
      <c r="S24" t="str">
        <f>TRIM(IF(Transportes!F24="TRÁNSITO INTERRUMPIDO","Interrumpido",IF(Transportes!F24="TRÁNSITO RESTRINGIDO","Restringido","Normal")))</f>
        <v>Restringido</v>
      </c>
      <c r="T24" t="str">
        <f>TRIM(IF(MID(TRIM(Transportes!H24),1,FIND("-",TRIM(Transportes!H24),1)-2)="Acción humana","H","F"))</f>
        <v>F</v>
      </c>
      <c r="U24" s="53">
        <f>Transportes!G24</f>
        <v>30</v>
      </c>
      <c r="V24" s="3"/>
      <c r="AC24" s="124"/>
    </row>
    <row r="25" spans="5:29" ht="15.75" customHeight="1">
      <c r="F25" s="103" t="s">
        <v>68</v>
      </c>
      <c r="G25" s="105">
        <f>COUNTIFS(Eventos7[DPTO],"Huánuco",Eventos7[ESTADO],"Interrumpido",Eventos7[FENOMENO],"F")</f>
        <v>0</v>
      </c>
      <c r="H25" s="105">
        <f>COUNTIFS(Eventos7[DPTO],"Huánuco",Eventos7[ESTADO],"Restringido",Eventos7[FENOMENO],"F")</f>
        <v>5</v>
      </c>
      <c r="I25" s="105">
        <f>COUNTIFS(Eventos7[DPTO],"Huánuco",Eventos7[ESTADO],"Interrumpido",Eventos7[FENOMENO],"H")</f>
        <v>0</v>
      </c>
      <c r="J25" s="105">
        <f>COUNTIFS(Eventos7[DPTO],"Huánuco",Eventos7[ESTADO],"Restringido",Eventos7[FENOMENO],"H")</f>
        <v>0</v>
      </c>
      <c r="K25" s="105">
        <f t="shared" si="1"/>
        <v>5</v>
      </c>
      <c r="M25" s="103" t="s">
        <v>68</v>
      </c>
      <c r="N25" s="112">
        <f>SUMIFS(Eventos7[METRAJE],Eventos7[DPTO],"Huánuco",Eventos7[ESTADO],"Interrumpido",Eventos7[FENOMENO],"F")</f>
        <v>0</v>
      </c>
      <c r="O25" s="112">
        <f>SUMIFS(Eventos7[METRAJE],Eventos7[DPTO],"Huánuco",Eventos7[ESTADO],"Restringido",Eventos7[FENOMENO],"F")</f>
        <v>310</v>
      </c>
      <c r="P25" s="112">
        <f t="shared" si="0"/>
        <v>310</v>
      </c>
      <c r="Q25" s="3"/>
      <c r="R25" t="str">
        <f>TRIM(MID(TRIM(Transportes!D25),1,FIND(CHAR(10),TRIM(Transportes!D25),1)-1))</f>
        <v>Ica</v>
      </c>
      <c r="S25" t="str">
        <f>TRIM(IF(Transportes!F25="TRÁNSITO INTERRUMPIDO","Interrumpido",IF(Transportes!F25="TRÁNSITO RESTRINGIDO","Restringido","Normal")))</f>
        <v>Restringido</v>
      </c>
      <c r="T25" t="str">
        <f>TRIM(IF(MID(TRIM(Transportes!H25),1,FIND("-",TRIM(Transportes!H25),1)-2)="Acción humana","H","F"))</f>
        <v>F</v>
      </c>
      <c r="U25" s="53">
        <f>Transportes!G25</f>
        <v>15</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San Martín</v>
      </c>
      <c r="S26" t="str">
        <f>TRIM(IF(Transportes!F26="TRÁNSITO INTERRUMPIDO","Interrumpido",IF(Transportes!F26="TRÁNSITO RESTRINGIDO","Restringido","Normal")))</f>
        <v>Restringido</v>
      </c>
      <c r="T26" t="str">
        <f>TRIM(IF(MID(TRIM(Transportes!H26),1,FIND("-",TRIM(Transportes!H26),1)-2)="Acción humana","H","F"))</f>
        <v>F</v>
      </c>
      <c r="U26" s="53">
        <f>Transportes!G26</f>
        <v>100</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355</v>
      </c>
      <c r="P27" s="112">
        <f t="shared" si="0"/>
        <v>355</v>
      </c>
      <c r="Q27" s="3"/>
      <c r="R27" t="str">
        <f>TRIM(MID(TRIM(Transportes!D27),1,FIND(CHAR(10),TRIM(Transportes!D27),1)-1))</f>
        <v>Cajamarca</v>
      </c>
      <c r="S27" t="str">
        <f>TRIM(IF(Transportes!F27="TRÁNSITO INTERRUMPIDO","Interrumpido",IF(Transportes!F27="TRÁNSITO RESTRINGIDO","Restringido","Normal")))</f>
        <v>Restringido</v>
      </c>
      <c r="T27" t="str">
        <f>TRIM(IF(MID(TRIM(Transportes!H27),1,FIND("-",TRIM(Transportes!H27),1)-2)="Acción humana","H","F"))</f>
        <v>F</v>
      </c>
      <c r="U27" s="53">
        <f>Transportes!G27</f>
        <v>30</v>
      </c>
      <c r="V27" s="3"/>
      <c r="AC27" s="124"/>
    </row>
    <row r="28" spans="5:29" ht="15.75" customHeight="1">
      <c r="F28" s="103" t="s">
        <v>43</v>
      </c>
      <c r="G28" s="105">
        <f>COUNTIFS(Eventos7[DPTO],"La Libertad",Eventos7[ESTADO],"Interrumpido",Eventos7[FENOMENO],"F")</f>
        <v>2</v>
      </c>
      <c r="H28" s="105">
        <f>COUNTIFS(Eventos7[DPTO],"La Libertad",Eventos7[ESTADO],"Restringido",Eventos7[FENOMENO],"F")</f>
        <v>8</v>
      </c>
      <c r="I28" s="105">
        <f>COUNTIFS(Eventos7[DPTO],"La Libertad",Eventos7[ESTADO],"Interrumpido",Eventos7[FENOMENO],"H")</f>
        <v>0</v>
      </c>
      <c r="J28" s="105">
        <f>COUNTIFS(Eventos7[DPTO],"La Libertad",Eventos7[ESTADO],"Restringido",Eventos7[FENOMENO],"H")</f>
        <v>1</v>
      </c>
      <c r="K28" s="105">
        <f t="shared" si="1"/>
        <v>11</v>
      </c>
      <c r="M28" s="103" t="s">
        <v>43</v>
      </c>
      <c r="N28" s="112">
        <f>SUMIFS(Eventos7[METRAJE],Eventos7[DPTO],"La Libertad",Eventos7[ESTADO],"Interrumpido",Eventos7[FENOMENO],"F")</f>
        <v>290</v>
      </c>
      <c r="O28" s="112">
        <f>SUMIFS(Eventos7[METRAJE],Eventos7[DPTO],"La Libertad",Eventos7[ESTADO],"Restringido",Eventos7[FENOMENO],"F")</f>
        <v>1272</v>
      </c>
      <c r="P28" s="112">
        <f t="shared" si="0"/>
        <v>1562</v>
      </c>
      <c r="Q28" s="3"/>
      <c r="R28" t="str">
        <f>TRIM(MID(TRIM(Transportes!D28),1,FIND(CHAR(10),TRIM(Transportes!D28),1)-1))</f>
        <v>Ucayali</v>
      </c>
      <c r="S28" t="str">
        <f>TRIM(IF(Transportes!F28="TRÁNSITO INTERRUMPIDO","Interrumpido",IF(Transportes!F28="TRÁNSITO RESTRINGIDO","Restringido","Normal")))</f>
        <v>Restringido</v>
      </c>
      <c r="T28" t="str">
        <f>TRIM(IF(MID(TRIM(Transportes!H28),1,FIND("-",TRIM(Transportes!H28),1)-2)="Acción humana","H","F"))</f>
        <v>F</v>
      </c>
      <c r="U28" s="53" t="str">
        <f>Transportes!G28</f>
        <v>-</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Huánuco</v>
      </c>
      <c r="S29" t="str">
        <f>TRIM(IF(Transportes!F29="TRÁNSITO INTERRUMPIDO","Interrumpido",IF(Transportes!F29="TRÁNSITO RESTRINGIDO","Restringido","Normal")))</f>
        <v>Restringido</v>
      </c>
      <c r="T29" t="str">
        <f>TRIM(IF(MID(TRIM(Transportes!H29),1,FIND("-",TRIM(Transportes!H29),1)-2)="Acción humana","H","F"))</f>
        <v>F</v>
      </c>
      <c r="U29" s="53">
        <f>Transportes!G29</f>
        <v>30</v>
      </c>
      <c r="V29" s="3"/>
      <c r="AC29" s="124"/>
    </row>
    <row r="30" spans="5:29" ht="15.75" customHeight="1">
      <c r="F30" s="103" t="s">
        <v>71</v>
      </c>
      <c r="G30" s="105">
        <f>COUNTIFS(Eventos7[DPTO],"Lima",Eventos7[ESTADO],"Interrumpido",Eventos7[FENOMENO],"F")</f>
        <v>0</v>
      </c>
      <c r="H30" s="105">
        <f>COUNTIFS(Eventos7[DPTO],"Lima",Eventos7[ESTADO],"Restringido",Eventos7[FENOMENO],"F")</f>
        <v>3</v>
      </c>
      <c r="I30" s="105">
        <f>COUNTIFS(Eventos7[DPTO],"Lima",Eventos7[ESTADO],"Interrumpido",Eventos7[FENOMENO],"H")</f>
        <v>0</v>
      </c>
      <c r="J30" s="105">
        <f>COUNTIFS(Eventos7[DPTO],"Lima",Eventos7[ESTADO],"Restringido",Eventos7[FENOMENO],"H")</f>
        <v>0</v>
      </c>
      <c r="K30" s="105">
        <f t="shared" si="1"/>
        <v>3</v>
      </c>
      <c r="M30" s="103" t="s">
        <v>71</v>
      </c>
      <c r="N30" s="112">
        <f>SUMIFS(Eventos7[METRAJE],Eventos7[DPTO],"Lima",Eventos7[ESTADO],"Interrumpido",Eventos7[FENOMENO],"F")</f>
        <v>0</v>
      </c>
      <c r="O30" s="112">
        <f>SUMIFS(Eventos7[METRAJE],Eventos7[DPTO],"Lima",Eventos7[ESTADO],"Restringido",Eventos7[FENOMENO],"F")</f>
        <v>115</v>
      </c>
      <c r="P30" s="112">
        <f t="shared" si="0"/>
        <v>115</v>
      </c>
      <c r="Q30" s="3"/>
      <c r="R30" t="str">
        <f>TRIM(MID(TRIM(Transportes!D30),1,FIND(CHAR(10),TRIM(Transportes!D30),1)-1))</f>
        <v>Ayacucho</v>
      </c>
      <c r="S30" t="str">
        <f>TRIM(IF(Transportes!F30="TRÁNSITO INTERRUMPIDO","Interrumpido",IF(Transportes!F30="TRÁNSITO RESTRINGIDO","Restringido","Normal")))</f>
        <v>Restringido</v>
      </c>
      <c r="T30" t="str">
        <f>TRIM(IF(MID(TRIM(Transportes!H30),1,FIND("-",TRIM(Transportes!H30),1)-2)="Acción humana","H","F"))</f>
        <v>F</v>
      </c>
      <c r="U30" s="53">
        <f>Transportes!G30</f>
        <v>20</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Cajamarca</v>
      </c>
      <c r="S31" t="str">
        <f>TRIM(IF(Transportes!F31="TRÁNSITO INTERRUMPIDO","Interrumpido",IF(Transportes!F31="TRÁNSITO RESTRINGIDO","Restringido","Normal")))</f>
        <v>Restringido</v>
      </c>
      <c r="T31" t="str">
        <f>TRIM(IF(MID(TRIM(Transportes!H31),1,FIND("-",TRIM(Transportes!H31),1)-2)="Acción humana","H","F"))</f>
        <v>F</v>
      </c>
      <c r="U31" s="53">
        <f>Transportes!G31</f>
        <v>20</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Puno</v>
      </c>
      <c r="S32" t="str">
        <f>TRIM(IF(Transportes!F32="TRÁNSITO INTERRUMPIDO","Interrumpido",IF(Transportes!F32="TRÁNSITO RESTRINGIDO","Restringido","Normal")))</f>
        <v>Restringido</v>
      </c>
      <c r="T32" t="str">
        <f>TRIM(IF(MID(TRIM(Transportes!H32),1,FIND("-",TRIM(Transportes!H32),1)-2)="Acción humana","H","F"))</f>
        <v>F</v>
      </c>
      <c r="U32" s="53">
        <f>Transportes!G32</f>
        <v>40</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Pasco</v>
      </c>
      <c r="S33" t="str">
        <f>TRIM(IF(Transportes!F33="TRÁNSITO INTERRUMPIDO","Interrumpido",IF(Transportes!F33="TRÁNSITO RESTRINGIDO","Restringido","Normal")))</f>
        <v>Restringido</v>
      </c>
      <c r="T33" t="str">
        <f>TRIM(IF(MID(TRIM(Transportes!H33),1,FIND("-",TRIM(Transportes!H33),1)-2)="Acción humana","H","F"))</f>
        <v>F</v>
      </c>
      <c r="U33" s="53">
        <f>Transportes!G33</f>
        <v>50</v>
      </c>
      <c r="V33" s="3"/>
      <c r="AC33" s="124"/>
    </row>
    <row r="34" spans="4:29" ht="15.75" customHeight="1">
      <c r="F34" s="103" t="s">
        <v>74</v>
      </c>
      <c r="G34" s="105">
        <f>COUNTIFS(Eventos7[DPTO],"Pasco",Eventos7[ESTADO],"Interrumpido",Eventos7[FENOMENO],"F")</f>
        <v>0</v>
      </c>
      <c r="H34" s="105">
        <f>COUNTIFS(Eventos7[DPTO],"Pasco",Eventos7[ESTADO],"Restringido",Eventos7[FENOMENO],"F")</f>
        <v>3</v>
      </c>
      <c r="I34" s="105">
        <f>COUNTIFS(Eventos7[DPTO],"Pasco",Eventos7[ESTADO],"Interrumpido",Eventos7[FENOMENO],"H")</f>
        <v>0</v>
      </c>
      <c r="J34" s="105">
        <f>COUNTIFS(Eventos7[DPTO],"Pasco",Eventos7[ESTADO],"Restringido",Eventos7[FENOMENO],"H")</f>
        <v>0</v>
      </c>
      <c r="K34" s="105">
        <f t="shared" si="1"/>
        <v>3</v>
      </c>
      <c r="M34" s="103" t="s">
        <v>74</v>
      </c>
      <c r="N34" s="112">
        <f>SUMIFS(Eventos7[METRAJE],Eventos7[DPTO],"Pasco",Eventos7[ESTADO],"Interrumpido",Eventos7[FENOMENO],"F")</f>
        <v>0</v>
      </c>
      <c r="O34" s="112">
        <f>SUMIFS(Eventos7[METRAJE],Eventos7[DPTO],"Pasco",Eventos7[ESTADO],"Restringido",Eventos7[FENOMENO],"F")</f>
        <v>190</v>
      </c>
      <c r="P34" s="112">
        <f t="shared" si="0"/>
        <v>190</v>
      </c>
      <c r="Q34" s="3"/>
      <c r="R34" t="str">
        <f>TRIM(MID(TRIM(Transportes!D34),1,FIND(CHAR(10),TRIM(Transportes!D34),1)-1))</f>
        <v>Apurímac</v>
      </c>
      <c r="S34" t="str">
        <f>TRIM(IF(Transportes!F34="TRÁNSITO INTERRUMPIDO","Interrumpido",IF(Transportes!F34="TRÁNSITO RESTRINGIDO","Restringido","Normal")))</f>
        <v>Restringido</v>
      </c>
      <c r="T34" t="str">
        <f>TRIM(IF(MID(TRIM(Transportes!H34),1,FIND("-",TRIM(Transportes!H34),1)-2)="Acción humana","H","F"))</f>
        <v>F</v>
      </c>
      <c r="U34" s="53">
        <f>Transportes!G34</f>
        <v>5</v>
      </c>
      <c r="V34" s="3"/>
      <c r="AC34" s="124"/>
    </row>
    <row r="35" spans="4:29" ht="15.75" customHeight="1">
      <c r="F35" s="103" t="s">
        <v>40</v>
      </c>
      <c r="G35" s="105">
        <f>COUNTIFS(Eventos7[DPTO],"Piura",Eventos7[ESTADO],"Interrumpido",Eventos7[FENOMENO],"F")</f>
        <v>0</v>
      </c>
      <c r="H35" s="105">
        <f>COUNTIFS(Eventos7[DPTO],"Piura",Eventos7[ESTADO],"Restringido",Eventos7[FENOMENO],"F")</f>
        <v>17</v>
      </c>
      <c r="I35" s="105">
        <f>COUNTIFS(Eventos7[DPTO],"Piura",Eventos7[ESTADO],"Interrumpido",Eventos7[FENOMENO],"H")</f>
        <v>0</v>
      </c>
      <c r="J35" s="105">
        <f>COUNTIFS(Eventos7[DPTO],"Piura",Eventos7[ESTADO],"Restringido",Eventos7[FENOMENO],"H")</f>
        <v>0</v>
      </c>
      <c r="K35" s="105">
        <f t="shared" si="1"/>
        <v>17</v>
      </c>
      <c r="M35" s="103" t="s">
        <v>40</v>
      </c>
      <c r="N35" s="112">
        <f>SUMIFS(Eventos7[METRAJE],Eventos7[DPTO],"Piura",Eventos7[ESTADO],"Interrumpido",Eventos7[FENOMENO],"F")</f>
        <v>0</v>
      </c>
      <c r="O35" s="112">
        <f>SUMIFS(Eventos7[METRAJE],Eventos7[DPTO],"Piura",Eventos7[ESTADO],"Restringido",Eventos7[FENOMENO],"F")</f>
        <v>1249</v>
      </c>
      <c r="P35" s="112">
        <f t="shared" si="0"/>
        <v>1249</v>
      </c>
      <c r="Q35" s="3"/>
      <c r="R35" t="str">
        <f>TRIM(MID(TRIM(Transportes!D35),1,FIND(CHAR(10),TRIM(Transportes!D35),1)-1))</f>
        <v>La Libertad</v>
      </c>
      <c r="S35" t="str">
        <f>TRIM(IF(Transportes!F35="TRÁNSITO INTERRUMPIDO","Interrumpido",IF(Transportes!F35="TRÁNSITO RESTRINGIDO","Restringido","Normal")))</f>
        <v>Restringido</v>
      </c>
      <c r="T35" t="str">
        <f>TRIM(IF(MID(TRIM(Transportes!H35),1,FIND("-",TRIM(Transportes!H35),1)-2)="Acción humana","H","F"))</f>
        <v>F</v>
      </c>
      <c r="U35" s="53">
        <f>Transportes!G35</f>
        <v>70</v>
      </c>
      <c r="V35" s="3"/>
      <c r="AC35" s="124"/>
    </row>
    <row r="36" spans="4:29" ht="15.75" customHeight="1">
      <c r="F36" s="160"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705</v>
      </c>
      <c r="P36" s="112">
        <f t="shared" si="0"/>
        <v>705</v>
      </c>
      <c r="Q36" s="3"/>
      <c r="R36" t="str">
        <f>TRIM(MID(TRIM(Transportes!D36),1,FIND(CHAR(10),TRIM(Transportes!D36),1)-1))</f>
        <v>Cajamarca</v>
      </c>
      <c r="S36" t="str">
        <f>TRIM(IF(Transportes!F36="TRÁNSITO INTERRUMPIDO","Interrumpido",IF(Transportes!F36="TRÁNSITO RESTRINGIDO","Restringido","Normal")))</f>
        <v>Restringido</v>
      </c>
      <c r="T36" t="str">
        <f>TRIM(IF(MID(TRIM(Transportes!H36),1,FIND("-",TRIM(Transportes!H36),1)-2)="Acción humana","H","F"))</f>
        <v>F</v>
      </c>
      <c r="U36" s="53">
        <f>Transportes!G36</f>
        <v>10</v>
      </c>
      <c r="V36" s="3"/>
    </row>
    <row r="37" spans="4:29" ht="15.75" customHeight="1">
      <c r="F37" s="103" t="s">
        <v>76</v>
      </c>
      <c r="G37" s="105">
        <f>COUNTIFS(Eventos7[DPTO],"San Martín",Eventos7[ESTADO],"Interrumpido",Eventos7[FENOMENO],"F")</f>
        <v>0</v>
      </c>
      <c r="H37" s="105">
        <f>COUNTIFS(Eventos7[DPTO],"San Martín",Eventos7[ESTADO],"Restringido",Eventos7[FENOMENO],"F")</f>
        <v>5</v>
      </c>
      <c r="I37" s="105">
        <f>COUNTIFS(Eventos7[DPTO],"San Martín",Eventos7[ESTADO],"Interrumpido",Eventos7[FENOMENO],"H")</f>
        <v>0</v>
      </c>
      <c r="J37" s="105">
        <f>COUNTIFS(Eventos7[DPTO],"San Martín",Eventos7[ESTADO],"Restringido",Eventos7[FENOMENO],"H")</f>
        <v>2</v>
      </c>
      <c r="K37" s="105">
        <f t="shared" si="1"/>
        <v>7</v>
      </c>
      <c r="M37" s="103" t="s">
        <v>76</v>
      </c>
      <c r="N37" s="112">
        <f>SUMIFS(Eventos7[METRAJE],Eventos7[DPTO],"San Martín",Eventos7[ESTADO],"Interrumpido",Eventos7[FENOMENO],"F")</f>
        <v>0</v>
      </c>
      <c r="O37" s="112">
        <f>SUMIFS(Eventos7[METRAJE],Eventos7[DPTO],"San Martín",Eventos7[ESTADO],"Restringido",Eventos7[FENOMENO],"F")</f>
        <v>1200</v>
      </c>
      <c r="P37" s="112">
        <f t="shared" si="0"/>
        <v>1200</v>
      </c>
      <c r="Q37" s="3"/>
      <c r="R37" t="str">
        <f>TRIM(MID(TRIM(Transportes!D37),1,FIND(CHAR(10),TRIM(Transportes!D37),1)-1))</f>
        <v>Amazonas</v>
      </c>
      <c r="S37" t="str">
        <f>TRIM(IF(Transportes!F37="TRÁNSITO INTERRUMPIDO","Interrumpido",IF(Transportes!F37="TRÁNSITO RESTRINGIDO","Restringido","Normal")))</f>
        <v>Restringido</v>
      </c>
      <c r="T37" t="str">
        <f>TRIM(IF(MID(TRIM(Transportes!H37),1,FIND("-",TRIM(Transportes!H37),1)-2)="Acción humana","H","F"))</f>
        <v>F</v>
      </c>
      <c r="U37" s="53">
        <f>Transportes!G37</f>
        <v>20</v>
      </c>
      <c r="V37" s="3"/>
    </row>
    <row r="38" spans="4:29" ht="15.75" customHeight="1">
      <c r="F38" s="103" t="s">
        <v>77</v>
      </c>
      <c r="G38" s="105">
        <f>COUNTIFS(Eventos7[DPTO],"Tacna",Eventos7[ESTADO],"Interrumpido",Eventos7[FENOMENO],"F")</f>
        <v>0</v>
      </c>
      <c r="H38" s="105">
        <f>COUNTIFS(Eventos7[DPTO],"Tacna",Eventos7[ESTADO],"Restringido",Eventos7[FENOMENO],"F")</f>
        <v>3</v>
      </c>
      <c r="I38" s="105">
        <f>COUNTIFS(Eventos7[DPTO],"Tacna",Eventos7[ESTADO],"Interrumpido",Eventos7[FENOMENO],"H")</f>
        <v>0</v>
      </c>
      <c r="J38" s="105">
        <f>COUNTIFS(Eventos7[DPTO],"Tacna",Eventos7[ESTADO],"Restringido",Eventos7[FENOMENO],"H")</f>
        <v>0</v>
      </c>
      <c r="K38" s="105">
        <f t="shared" si="1"/>
        <v>3</v>
      </c>
      <c r="M38" s="103" t="s">
        <v>77</v>
      </c>
      <c r="N38" s="112">
        <f>SUMIFS(Eventos7[METRAJE],Eventos7[DPTO],"Tacna",Eventos7[ESTADO],"Interrumpido",Eventos7[FENOMENO],"F")</f>
        <v>0</v>
      </c>
      <c r="O38" s="112">
        <f>SUMIFS(Eventos7[METRAJE],Eventos7[DPTO],"Tacna",Eventos7[ESTADO],"Restringido",Eventos7[FENOMENO],"F")</f>
        <v>95</v>
      </c>
      <c r="P38" s="112">
        <f t="shared" si="0"/>
        <v>95</v>
      </c>
      <c r="Q38" s="3"/>
      <c r="R38" t="str">
        <f>TRIM(MID(TRIM(Transportes!D38),1,FIND(CHAR(10),TRIM(Transportes!D38),1)-1))</f>
        <v>Cajamarca</v>
      </c>
      <c r="S38" t="str">
        <f>TRIM(IF(Transportes!F38="TRÁNSITO INTERRUMPIDO","Interrumpido",IF(Transportes!F38="TRÁNSITO RESTRINGIDO","Restringido","Normal")))</f>
        <v>Restringido</v>
      </c>
      <c r="T38" t="str">
        <f>TRIM(IF(MID(TRIM(Transportes!H38),1,FIND("-",TRIM(Transportes!H38),1)-2)="Acción humana","H","F"))</f>
        <v>F</v>
      </c>
      <c r="U38" s="53">
        <f>Transportes!G38</f>
        <v>20</v>
      </c>
      <c r="V38" s="3"/>
    </row>
    <row r="39" spans="4:29" ht="15.75" customHeight="1">
      <c r="F39" s="103" t="s">
        <v>78</v>
      </c>
      <c r="G39" s="105">
        <f>COUNTIFS(Eventos7[DPTO],"Tumbes",Eventos7[ESTADO],"Interrumpido",Eventos7[FENOMENO],"F")</f>
        <v>0</v>
      </c>
      <c r="H39" s="105">
        <f>COUNTIFS(Eventos7[DPTO],"Tumbes",Eventos7[ESTADO],"Restringido",Eventos7[FENOMENO],"F")</f>
        <v>6</v>
      </c>
      <c r="I39" s="105">
        <f>COUNTIFS(Eventos7[DPTO],"Tumbes",Eventos7[ESTADO],"Interrumpido",Eventos7[FENOMENO],"H")</f>
        <v>0</v>
      </c>
      <c r="J39" s="105">
        <f>COUNTIFS(Eventos7[DPTO],"Tumbes",Eventos7[ESTADO],"Restringido",Eventos7[FENOMENO],"H")</f>
        <v>0</v>
      </c>
      <c r="K39" s="105">
        <f t="shared" si="1"/>
        <v>6</v>
      </c>
      <c r="M39" s="103" t="s">
        <v>78</v>
      </c>
      <c r="N39" s="112">
        <f>SUMIFS(Eventos7[METRAJE],Eventos7[DPTO],"Tumbes",Eventos7[ESTADO],"Interrumpido",Eventos7[FENOMENO],"F")</f>
        <v>0</v>
      </c>
      <c r="O39" s="112">
        <f>SUMIFS(Eventos7[METRAJE],Eventos7[DPTO],"Tumbes",Eventos7[ESTADO],"Restringido",Eventos7[FENOMENO],"F")</f>
        <v>1379</v>
      </c>
      <c r="P39" s="112">
        <f t="shared" si="0"/>
        <v>1379</v>
      </c>
      <c r="Q39" s="3"/>
      <c r="R39" t="str">
        <f>TRIM(MID(TRIM(Transportes!D39),1,FIND(CHAR(10),TRIM(Transportes!D39),1)-1))</f>
        <v>Piura</v>
      </c>
      <c r="S39" t="str">
        <f>TRIM(IF(Transportes!F39="TRÁNSITO INTERRUMPIDO","Interrumpido",IF(Transportes!F39="TRÁNSITO RESTRINGIDO","Restringido","Normal")))</f>
        <v>Restringido</v>
      </c>
      <c r="T39" t="str">
        <f>TRIM(IF(MID(TRIM(Transportes!H39),1,FIND("-",TRIM(Transportes!H39),1)-2)="Acción humana","H","F"))</f>
        <v>F</v>
      </c>
      <c r="U39" s="53">
        <f>Transportes!G39</f>
        <v>40</v>
      </c>
      <c r="V39" s="3"/>
    </row>
    <row r="40" spans="4:29" ht="15.75" customHeight="1">
      <c r="F40" s="103" t="s">
        <v>79</v>
      </c>
      <c r="G40" s="105">
        <f>COUNTIFS(Eventos7[DPTO],"Ucayali",Eventos7[ESTADO],"Interrumpido",Eventos7[FENOMENO],"F")</f>
        <v>0</v>
      </c>
      <c r="H40" s="105">
        <f>COUNTIFS(Eventos7[DPTO],"Ucayali",Eventos7[ESTADO],"Restringido",Eventos7[FENOMENO],"F")</f>
        <v>4</v>
      </c>
      <c r="I40" s="105">
        <f>COUNTIFS(Eventos7[DPTO],"Ucayali",Eventos7[ESTADO],"Interrumpido",Eventos7[FENOMENO],"H")</f>
        <v>0</v>
      </c>
      <c r="J40" s="105">
        <f>COUNTIFS(Eventos7[DPTO],"Ucayali",Eventos7[ESTADO],"Restringido",Eventos7[FENOMENO],"H")</f>
        <v>0</v>
      </c>
      <c r="K40" s="105">
        <f t="shared" si="1"/>
        <v>4</v>
      </c>
      <c r="M40" s="103" t="s">
        <v>79</v>
      </c>
      <c r="N40" s="112">
        <f>SUMIFS(Eventos7[METRAJE],Eventos7[DPTO],"Ucayali",Eventos7[ESTADO],"Interrumpido",Eventos7[FENOMENO],"F")</f>
        <v>0</v>
      </c>
      <c r="O40" s="112">
        <f>SUMIFS(Eventos7[METRAJE],Eventos7[DPTO],"Ucayali",Eventos7[ESTADO],"Restringido",Eventos7[FENOMENO],"F")</f>
        <v>505</v>
      </c>
      <c r="P40" s="112">
        <f t="shared" si="0"/>
        <v>505</v>
      </c>
      <c r="Q40" s="3"/>
      <c r="R40" t="str">
        <f>TRIM(MID(TRIM(Transportes!D40),1,FIND(CHAR(10),TRIM(Transportes!D40),1)-1))</f>
        <v>Cusco</v>
      </c>
      <c r="S40" t="str">
        <f>TRIM(IF(Transportes!F40="TRÁNSITO INTERRUMPIDO","Interrumpido",IF(Transportes!F40="TRÁNSITO RESTRINGIDO","Restringido","Normal")))</f>
        <v>Restringido</v>
      </c>
      <c r="T40" t="str">
        <f>TRIM(IF(MID(TRIM(Transportes!H40),1,FIND("-",TRIM(Transportes!H40),1)-2)="Acción humana","H","F"))</f>
        <v>F</v>
      </c>
      <c r="U40" s="53" t="str">
        <f>Transportes!G40</f>
        <v>-</v>
      </c>
      <c r="V40" s="3"/>
    </row>
    <row r="41" spans="4:29" ht="15.75" customHeight="1">
      <c r="F41" s="107" t="s">
        <v>51</v>
      </c>
      <c r="G41" s="108">
        <f>SUM(G17:G40)</f>
        <v>4</v>
      </c>
      <c r="H41" s="108">
        <f>SUM(H17:H40)</f>
        <v>145</v>
      </c>
      <c r="I41" s="108">
        <f>SUM(I17:I40)</f>
        <v>1</v>
      </c>
      <c r="J41" s="108">
        <f>SUM(J17:J40)</f>
        <v>4</v>
      </c>
      <c r="K41" s="106">
        <f>SUM(K17:K40)</f>
        <v>154</v>
      </c>
      <c r="M41" s="107" t="s">
        <v>51</v>
      </c>
      <c r="N41" s="113">
        <f>SUM(N17:N40)</f>
        <v>316</v>
      </c>
      <c r="O41" s="113">
        <f>SUM(O17:O40)</f>
        <v>11573</v>
      </c>
      <c r="P41" s="114">
        <f>SUM(P17:P40)</f>
        <v>11889</v>
      </c>
      <c r="Q41" s="3"/>
      <c r="R41" t="str">
        <f>TRIM(MID(TRIM(Transportes!D41),1,FIND(CHAR(10),TRIM(Transportes!D41),1)-1))</f>
        <v>Cusco</v>
      </c>
      <c r="S41" t="str">
        <f>TRIM(IF(Transportes!F41="TRÁNSITO INTERRUMPIDO","Interrumpido",IF(Transportes!F41="TRÁNSITO RESTRINGIDO","Restringido","Normal")))</f>
        <v>Restringido</v>
      </c>
      <c r="T41" t="str">
        <f>TRIM(IF(MID(TRIM(Transportes!H41),1,FIND("-",TRIM(Transportes!H41),1)-2)="Acción humana","H","F"))</f>
        <v>F</v>
      </c>
      <c r="U41" s="53" t="str">
        <f>Transportes!G41</f>
        <v>-</v>
      </c>
      <c r="V41" s="3"/>
    </row>
    <row r="42" spans="4:29" ht="15.75" customHeight="1">
      <c r="Q42" s="3"/>
      <c r="R42" t="str">
        <f>TRIM(MID(TRIM(Transportes!D42),1,FIND(CHAR(10),TRIM(Transportes!D42),1)-1))</f>
        <v>Piura</v>
      </c>
      <c r="S42" t="str">
        <f>TRIM(IF(Transportes!F42="TRÁNSITO INTERRUMPIDO","Interrumpido",IF(Transportes!F42="TRÁNSITO RESTRINGIDO","Restringido","Normal")))</f>
        <v>Restringido</v>
      </c>
      <c r="T42" t="str">
        <f>TRIM(IF(MID(TRIM(Transportes!H42),1,FIND("-",TRIM(Transportes!H42),1)-2)="Acción humana","H","F"))</f>
        <v>F</v>
      </c>
      <c r="U42" s="53">
        <f>Transportes!G42</f>
        <v>40</v>
      </c>
      <c r="V42" s="3"/>
    </row>
    <row r="43" spans="4:29" ht="15.75" customHeight="1">
      <c r="D43" t="s">
        <v>0</v>
      </c>
      <c r="M43" s="290" t="s">
        <v>91</v>
      </c>
      <c r="N43" s="290"/>
      <c r="O43" s="290"/>
      <c r="P43" s="290"/>
      <c r="Q43" s="3"/>
      <c r="R43" t="str">
        <f>TRIM(MID(TRIM(Transportes!D43),1,FIND(CHAR(10),TRIM(Transportes!D43),1)-1))</f>
        <v>Cajamarca</v>
      </c>
      <c r="S43" t="str">
        <f>TRIM(IF(Transportes!F43="TRÁNSITO INTERRUMPIDO","Interrumpido",IF(Transportes!F43="TRÁNSITO RESTRINGIDO","Restringido","Normal")))</f>
        <v>Restringido</v>
      </c>
      <c r="T43" t="str">
        <f>TRIM(IF(MID(TRIM(Transportes!H43),1,FIND("-",TRIM(Transportes!H43),1)-2)="Acción humana","H","F"))</f>
        <v>F</v>
      </c>
      <c r="U43" s="53">
        <f>Transportes!G43</f>
        <v>30</v>
      </c>
      <c r="V43" s="3"/>
    </row>
    <row r="44" spans="4:29" ht="15.75" customHeight="1">
      <c r="M44" s="123" t="s">
        <v>88</v>
      </c>
      <c r="N44" s="123" t="s">
        <v>89</v>
      </c>
      <c r="O44" s="123" t="s">
        <v>90</v>
      </c>
      <c r="P44" s="123" t="s">
        <v>14</v>
      </c>
      <c r="Q44" s="3"/>
      <c r="R44" t="str">
        <f>TRIM(MID(TRIM(Transportes!D44),1,FIND(CHAR(10),TRIM(Transportes!D44),1)-1))</f>
        <v>Cusco</v>
      </c>
      <c r="S44" t="str">
        <f>TRIM(IF(Transportes!F44="TRÁNSITO INTERRUMPIDO","Interrumpido",IF(Transportes!F44="TRÁNSITO RESTRINGIDO","Restringido","Normal")))</f>
        <v>Restringido</v>
      </c>
      <c r="T44" t="str">
        <f>TRIM(IF(MID(TRIM(Transportes!H44),1,FIND("-",TRIM(Transportes!H44),1)-2)="Acción humana","H","F"))</f>
        <v>F</v>
      </c>
      <c r="U44" s="53">
        <f>Transportes!G44</f>
        <v>100</v>
      </c>
      <c r="V44" s="3"/>
    </row>
    <row r="45" spans="4:29" ht="15.75" customHeight="1">
      <c r="M45" s="210" t="s">
        <v>322</v>
      </c>
      <c r="N45" s="210" t="s">
        <v>589</v>
      </c>
      <c r="O45" s="256" t="s">
        <v>416</v>
      </c>
      <c r="P45" s="256" t="s">
        <v>590</v>
      </c>
      <c r="Q45" s="3"/>
      <c r="R45" t="str">
        <f>TRIM(MID(TRIM(Transportes!D45),1,FIND(CHAR(10),TRIM(Transportes!D45),1)-1))</f>
        <v>Piura</v>
      </c>
      <c r="S45" t="str">
        <f>TRIM(IF(Transportes!F45="TRÁNSITO INTERRUMPIDO","Interrumpido",IF(Transportes!F45="TRÁNSITO RESTRINGIDO","Restringido","Normal")))</f>
        <v>Restringido</v>
      </c>
      <c r="T45" t="str">
        <f>TRIM(IF(MID(TRIM(Transportes!H45),1,FIND("-",TRIM(Transportes!H45),1)-2)="Acción humana","H","F"))</f>
        <v>F</v>
      </c>
      <c r="U45" s="53">
        <f>Transportes!G45</f>
        <v>12</v>
      </c>
      <c r="V45" s="3"/>
    </row>
    <row r="46" spans="4:29" ht="15.75" customHeight="1">
      <c r="M46" s="210" t="s">
        <v>70</v>
      </c>
      <c r="N46" s="210" t="s">
        <v>570</v>
      </c>
      <c r="O46" s="252" t="s">
        <v>569</v>
      </c>
      <c r="P46" s="252" t="s">
        <v>571</v>
      </c>
      <c r="Q46" s="3"/>
      <c r="R46" t="str">
        <f>TRIM(MID(TRIM(Transportes!D46),1,FIND(CHAR(10),TRIM(Transportes!D46),1)-1))</f>
        <v>Áncash</v>
      </c>
      <c r="S46" t="str">
        <f>TRIM(IF(Transportes!F46="TRÁNSITO INTERRUMPIDO","Interrumpido",IF(Transportes!F46="TRÁNSITO RESTRINGIDO","Restringido","Normal")))</f>
        <v>Restringido</v>
      </c>
      <c r="T46" t="str">
        <f>TRIM(IF(MID(TRIM(Transportes!H46),1,FIND("-",TRIM(Transportes!H46),1)-2)="Acción humana","H","F"))</f>
        <v>F</v>
      </c>
      <c r="U46" s="53" t="str">
        <f>Transportes!G46</f>
        <v>-</v>
      </c>
      <c r="V46" s="3"/>
    </row>
    <row r="47" spans="4:29" ht="15.75" customHeight="1">
      <c r="M47" s="210" t="s">
        <v>67</v>
      </c>
      <c r="N47" s="210" t="s">
        <v>485</v>
      </c>
      <c r="O47" s="230" t="s">
        <v>486</v>
      </c>
      <c r="P47" s="230" t="s">
        <v>487</v>
      </c>
      <c r="Q47" s="3"/>
      <c r="R47" t="str">
        <f>TRIM(MID(TRIM(Transportes!D47),1,FIND(CHAR(10),TRIM(Transportes!D47),1)-1))</f>
        <v>Cajamarca</v>
      </c>
      <c r="S47" t="str">
        <f>TRIM(IF(Transportes!F47="TRÁNSITO INTERRUMPIDO","Interrumpido",IF(Transportes!F47="TRÁNSITO RESTRINGIDO","Restringido","Normal")))</f>
        <v>Restringido</v>
      </c>
      <c r="T47" t="str">
        <f>TRIM(IF(MID(TRIM(Transportes!H47),1,FIND("-",TRIM(Transportes!H47),1)-2)="Acción humana","H","F"))</f>
        <v>F</v>
      </c>
      <c r="U47" s="53">
        <f>Transportes!G47</f>
        <v>60</v>
      </c>
      <c r="V47" s="3"/>
    </row>
    <row r="48" spans="4:29" ht="15.75" customHeight="1">
      <c r="M48" s="218" t="s">
        <v>329</v>
      </c>
      <c r="N48" s="246" t="s">
        <v>477</v>
      </c>
      <c r="O48" s="211" t="s">
        <v>478</v>
      </c>
      <c r="P48" s="226" t="s">
        <v>479</v>
      </c>
      <c r="Q48" s="3"/>
      <c r="R48" t="str">
        <f>TRIM(MID(TRIM(Transportes!D48),1,FIND(CHAR(10),TRIM(Transportes!D48),1)-1))</f>
        <v>Piura</v>
      </c>
      <c r="S48" t="str">
        <f>TRIM(IF(Transportes!F48="TRÁNSITO INTERRUMPIDO","Interrumpido",IF(Transportes!F48="TRÁNSITO RESTRINGIDO","Restringido","Normal")))</f>
        <v>Restringido</v>
      </c>
      <c r="T48" t="str">
        <f>TRIM(IF(MID(TRIM(Transportes!H48),1,FIND("-",TRIM(Transportes!H48),1)-2)="Acción humana","H","F"))</f>
        <v>F</v>
      </c>
      <c r="U48" s="53">
        <f>Transportes!G48</f>
        <v>50</v>
      </c>
      <c r="V48" s="3"/>
    </row>
    <row r="49" spans="7:22" ht="15.75" customHeight="1">
      <c r="M49" s="214" t="s">
        <v>322</v>
      </c>
      <c r="N49" s="210" t="s">
        <v>492</v>
      </c>
      <c r="O49" s="232" t="s">
        <v>491</v>
      </c>
      <c r="P49" s="212" t="s">
        <v>454</v>
      </c>
      <c r="Q49" s="3"/>
      <c r="R49" t="str">
        <f>TRIM(MID(TRIM(Transportes!D49),1,FIND(CHAR(10),TRIM(Transportes!D49),1)-1))</f>
        <v>Ayacucho</v>
      </c>
      <c r="S49" t="str">
        <f>TRIM(IF(Transportes!F49="TRÁNSITO INTERRUMPIDO","Interrumpido",IF(Transportes!F49="TRÁNSITO RESTRINGIDO","Restringido","Normal")))</f>
        <v>Restringido</v>
      </c>
      <c r="T49" t="str">
        <f>TRIM(IF(MID(TRIM(Transportes!H49),1,FIND("-",TRIM(Transportes!H49),1)-2)="Acción humana","H","F"))</f>
        <v>F</v>
      </c>
      <c r="U49" s="53">
        <f>Transportes!G49</f>
        <v>15</v>
      </c>
      <c r="V49" s="3"/>
    </row>
    <row r="50" spans="7:22" ht="15.75" customHeight="1">
      <c r="M50" s="213" t="s">
        <v>43</v>
      </c>
      <c r="N50" s="210" t="s">
        <v>455</v>
      </c>
      <c r="O50" s="212" t="s">
        <v>456</v>
      </c>
      <c r="P50" s="212" t="s">
        <v>454</v>
      </c>
      <c r="Q50" s="3"/>
      <c r="R50" t="str">
        <f>TRIM(MID(TRIM(Transportes!D50),1,FIND(CHAR(10),TRIM(Transportes!D50),1)-1))</f>
        <v>Arequipa</v>
      </c>
      <c r="S50" t="str">
        <f>TRIM(IF(Transportes!F50="TRÁNSITO INTERRUMPIDO","Interrumpido",IF(Transportes!F50="TRÁNSITO RESTRINGIDO","Restringido","Normal")))</f>
        <v>Restringido</v>
      </c>
      <c r="T50" t="str">
        <f>TRIM(IF(MID(TRIM(Transportes!H50),1,FIND("-",TRIM(Transportes!H50),1)-2)="Acción humana","H","F"))</f>
        <v>F</v>
      </c>
      <c r="U50" s="53" t="str">
        <f>Transportes!G50</f>
        <v>-</v>
      </c>
      <c r="V50" s="3"/>
    </row>
    <row r="51" spans="7:22" ht="15.75" customHeight="1">
      <c r="M51" s="279" t="s">
        <v>65</v>
      </c>
      <c r="N51" s="279" t="s">
        <v>686</v>
      </c>
      <c r="O51" s="280" t="s">
        <v>687</v>
      </c>
      <c r="P51" s="280" t="s">
        <v>688</v>
      </c>
      <c r="Q51" s="3"/>
      <c r="R51" t="str">
        <f>TRIM(MID(TRIM(Transportes!D51),1,FIND(CHAR(10),TRIM(Transportes!D51),1)-1))</f>
        <v>Huánuco</v>
      </c>
      <c r="S51" t="str">
        <f>TRIM(IF(Transportes!F51="TRÁNSITO INTERRUMPIDO","Interrumpido",IF(Transportes!F51="TRÁNSITO RESTRINGIDO","Restringido","Normal")))</f>
        <v>Restringido</v>
      </c>
      <c r="T51" t="str">
        <f>TRIM(IF(MID(TRIM(Transportes!H51),1,FIND("-",TRIM(Transportes!H51),1)-2)="Acción humana","H","F"))</f>
        <v>F</v>
      </c>
      <c r="U51" s="53" t="str">
        <f>Transportes!G51</f>
        <v>-</v>
      </c>
      <c r="V51" s="3"/>
    </row>
    <row r="52" spans="7:22" ht="15.75" customHeight="1">
      <c r="M52" s="214" t="s">
        <v>415</v>
      </c>
      <c r="N52" s="246" t="s">
        <v>414</v>
      </c>
      <c r="O52" s="215" t="s">
        <v>92</v>
      </c>
      <c r="P52" s="215" t="s">
        <v>413</v>
      </c>
      <c r="Q52" s="3"/>
      <c r="R52" t="str">
        <f>TRIM(MID(TRIM(Transportes!D52),1,FIND(CHAR(10),TRIM(Transportes!D52),1)-1))</f>
        <v>Cusco</v>
      </c>
      <c r="S52" t="str">
        <f>TRIM(IF(Transportes!F52="TRÁNSITO INTERRUMPIDO","Interrumpido",IF(Transportes!F52="TRÁNSITO RESTRINGIDO","Restringido","Normal")))</f>
        <v>Restringido</v>
      </c>
      <c r="T52" t="str">
        <f>TRIM(IF(MID(TRIM(Transportes!H52),1,FIND("-",TRIM(Transportes!H52),1)-2)="Acción humana","H","F"))</f>
        <v>F</v>
      </c>
      <c r="U52" s="53">
        <f>Transportes!G52</f>
        <v>250</v>
      </c>
      <c r="V52" s="3"/>
    </row>
    <row r="53" spans="7:22" ht="15.75" customHeight="1">
      <c r="M53" s="214" t="s">
        <v>322</v>
      </c>
      <c r="N53" s="246" t="s">
        <v>422</v>
      </c>
      <c r="O53" s="215" t="s">
        <v>416</v>
      </c>
      <c r="P53" s="215" t="s">
        <v>413</v>
      </c>
      <c r="Q53" s="3"/>
      <c r="R53" t="str">
        <f>TRIM(MID(TRIM(Transportes!D53),1,FIND(CHAR(10),TRIM(Transportes!D53),1)-1))</f>
        <v>Piura</v>
      </c>
      <c r="S53" t="str">
        <f>TRIM(IF(Transportes!F53="TRÁNSITO INTERRUMPIDO","Interrumpido",IF(Transportes!F53="TRÁNSITO RESTRINGIDO","Restringido","Normal")))</f>
        <v>Restringido</v>
      </c>
      <c r="T53" t="str">
        <f>TRIM(IF(MID(TRIM(Transportes!H53),1,FIND("-",TRIM(Transportes!H53),1)-2)="Acción humana","H","F"))</f>
        <v>F</v>
      </c>
      <c r="U53" s="53">
        <f>Transportes!G53</f>
        <v>50</v>
      </c>
      <c r="V53" s="3"/>
    </row>
    <row r="54" spans="7:22" ht="15.75" customHeight="1">
      <c r="M54" s="214" t="s">
        <v>322</v>
      </c>
      <c r="N54" s="246" t="s">
        <v>369</v>
      </c>
      <c r="O54" s="216" t="s">
        <v>421</v>
      </c>
      <c r="P54" s="217" t="s">
        <v>370</v>
      </c>
      <c r="Q54" s="3"/>
      <c r="R54" t="str">
        <f>TRIM(MID(TRIM(Transportes!D54),1,FIND(CHAR(10),TRIM(Transportes!D54),1)-1))</f>
        <v>Pasco</v>
      </c>
      <c r="S54" t="str">
        <f>TRIM(IF(Transportes!F54="TRÁNSITO INTERRUMPIDO","Interrumpido",IF(Transportes!F54="TRÁNSITO RESTRINGIDO","Restringido","Normal")))</f>
        <v>Restringido</v>
      </c>
      <c r="T54" t="str">
        <f>TRIM(IF(MID(TRIM(Transportes!H54),1,FIND("-",TRIM(Transportes!H54),1)-2)="Acción humana","H","F"))</f>
        <v>F</v>
      </c>
      <c r="U54" s="53">
        <f>Transportes!G54</f>
        <v>120</v>
      </c>
      <c r="V54" s="3"/>
    </row>
    <row r="55" spans="7:22" ht="15.75" customHeight="1">
      <c r="M55" s="219" t="s">
        <v>43</v>
      </c>
      <c r="N55" s="246" t="s">
        <v>363</v>
      </c>
      <c r="O55" s="220" t="s">
        <v>362</v>
      </c>
      <c r="P55" s="221" t="s">
        <v>323</v>
      </c>
      <c r="Q55" s="3"/>
      <c r="R55" t="str">
        <f>TRIM(MID(TRIM(Transportes!D55),1,FIND(CHAR(10),TRIM(Transportes!D55),1)-1))</f>
        <v>Cajamarca</v>
      </c>
      <c r="S55" t="str">
        <f>TRIM(IF(Transportes!F55="TRÁNSITO INTERRUMPIDO","Interrumpido",IF(Transportes!F55="TRÁNSITO RESTRINGIDO","Restringido","Normal")))</f>
        <v>Restringido</v>
      </c>
      <c r="T55" t="str">
        <f>TRIM(IF(MID(TRIM(Transportes!H55),1,FIND("-",TRIM(Transportes!H55),1)-2)="Acción humana","H","F"))</f>
        <v>F</v>
      </c>
      <c r="U55" s="53">
        <f>Transportes!G55</f>
        <v>60</v>
      </c>
      <c r="V55" s="3"/>
    </row>
    <row r="56" spans="7:22" ht="15.75" customHeight="1">
      <c r="M56" s="222" t="s">
        <v>76</v>
      </c>
      <c r="N56" s="247" t="s">
        <v>279</v>
      </c>
      <c r="O56" s="150" t="s">
        <v>92</v>
      </c>
      <c r="P56" s="150" t="s">
        <v>281</v>
      </c>
      <c r="Q56" s="3"/>
      <c r="R56" t="str">
        <f>TRIM(MID(TRIM(Transportes!D56),1,FIND(CHAR(10),TRIM(Transportes!D56),1)-1))</f>
        <v>Cajamarca</v>
      </c>
      <c r="S56" t="str">
        <f>TRIM(IF(Transportes!F56="TRÁNSITO INTERRUMPIDO","Interrumpido",IF(Transportes!F56="TRÁNSITO RESTRINGIDO","Restringido","Normal")))</f>
        <v>Restringido</v>
      </c>
      <c r="T56" t="str">
        <f>TRIM(IF(MID(TRIM(Transportes!H56),1,FIND("-",TRIM(Transportes!H56),1)-2)="Acción humana","H","F"))</f>
        <v>F</v>
      </c>
      <c r="U56" s="53" t="str">
        <f>Transportes!G56</f>
        <v>-</v>
      </c>
      <c r="V56" s="3"/>
    </row>
    <row r="57" spans="7:22" ht="15.75" customHeight="1">
      <c r="M57" s="222" t="s">
        <v>65</v>
      </c>
      <c r="N57" s="247" t="s">
        <v>265</v>
      </c>
      <c r="O57" s="223" t="s">
        <v>92</v>
      </c>
      <c r="P57" s="150" t="s">
        <v>241</v>
      </c>
      <c r="Q57" s="3"/>
      <c r="R57" t="str">
        <f>TRIM(MID(TRIM(Transportes!D57),1,FIND(CHAR(10),TRIM(Transportes!D57),1)-1))</f>
        <v>Junín</v>
      </c>
      <c r="S57" t="str">
        <f>TRIM(IF(Transportes!F57="TRÁNSITO INTERRUMPIDO","Interrumpido",IF(Transportes!F57="TRÁNSITO RESTRINGIDO","Restringido","Normal")))</f>
        <v>Restringido</v>
      </c>
      <c r="T57" t="str">
        <f>TRIM(IF(MID(TRIM(Transportes!H57),1,FIND("-",TRIM(Transportes!H57),1)-2)="Acción humana","H","F"))</f>
        <v>F</v>
      </c>
      <c r="U57" s="53" t="str">
        <f>Transportes!G57</f>
        <v>-</v>
      </c>
      <c r="V57" s="3"/>
    </row>
    <row r="58" spans="7:22" ht="15.75" customHeight="1">
      <c r="M58" s="224" t="s">
        <v>78</v>
      </c>
      <c r="N58" s="247" t="s">
        <v>230</v>
      </c>
      <c r="O58" s="142" t="s">
        <v>168</v>
      </c>
      <c r="P58" s="142" t="s">
        <v>226</v>
      </c>
      <c r="Q58" s="3"/>
      <c r="R58" t="str">
        <f>TRIM(MID(TRIM(Transportes!D58),1,FIND(CHAR(10),TRIM(Transportes!D58),1)-1))</f>
        <v>Tumbes</v>
      </c>
      <c r="S58" t="str">
        <f>TRIM(IF(Transportes!F58="TRÁNSITO INTERRUMPIDO","Interrumpido",IF(Transportes!F58="TRÁNSITO RESTRINGIDO","Restringido","Normal")))</f>
        <v>Restringido</v>
      </c>
      <c r="T58" t="str">
        <f>TRIM(IF(MID(TRIM(Transportes!H58),1,FIND("-",TRIM(Transportes!H58),1)-2)="Acción humana","H","F"))</f>
        <v>F</v>
      </c>
      <c r="U58" s="53">
        <f>Transportes!G58</f>
        <v>900</v>
      </c>
      <c r="V58" s="3"/>
    </row>
    <row r="59" spans="7:22" ht="15.75" customHeight="1">
      <c r="M59" s="222" t="s">
        <v>75</v>
      </c>
      <c r="N59" s="247" t="s">
        <v>225</v>
      </c>
      <c r="O59" s="150" t="s">
        <v>192</v>
      </c>
      <c r="P59" s="150" t="s">
        <v>226</v>
      </c>
      <c r="Q59" s="3"/>
      <c r="R59" t="str">
        <f>TRIM(MID(TRIM(Transportes!D59),1,FIND(CHAR(10),TRIM(Transportes!D59),1)-1))</f>
        <v>Cajamarca</v>
      </c>
      <c r="S59" t="str">
        <f>TRIM(IF(Transportes!F59="TRÁNSITO INTERRUMPIDO","Interrumpido",IF(Transportes!F59="TRÁNSITO RESTRINGIDO","Restringido","Normal")))</f>
        <v>Restringido</v>
      </c>
      <c r="T59" t="str">
        <f>TRIM(IF(MID(TRIM(Transportes!H59),1,FIND("-",TRIM(Transportes!H59),1)-2)="Acción humana","H","F"))</f>
        <v>F</v>
      </c>
      <c r="U59" s="53" t="str">
        <f>Transportes!G59</f>
        <v>-</v>
      </c>
      <c r="V59" s="3"/>
    </row>
    <row r="60" spans="7:22" ht="15.75" customHeight="1">
      <c r="M60" s="224" t="s">
        <v>41</v>
      </c>
      <c r="N60" s="247" t="s">
        <v>392</v>
      </c>
      <c r="O60" s="143" t="s">
        <v>216</v>
      </c>
      <c r="P60" s="142" t="s">
        <v>214</v>
      </c>
      <c r="Q60" s="3"/>
      <c r="R60" t="str">
        <f>TRIM(MID(TRIM(Transportes!D60),1,FIND(CHAR(10),TRIM(Transportes!D60),1)-1))</f>
        <v>Cajamarca</v>
      </c>
      <c r="S60" t="str">
        <f>TRIM(IF(Transportes!F60="TRÁNSITO INTERRUMPIDO","Interrumpido",IF(Transportes!F60="TRÁNSITO RESTRINGIDO","Restringido","Normal")))</f>
        <v>Restringido</v>
      </c>
      <c r="T60" t="str">
        <f>TRIM(IF(MID(TRIM(Transportes!H60),1,FIND("-",TRIM(Transportes!H60),1)-2)="Acción humana","H","F"))</f>
        <v>F</v>
      </c>
      <c r="U60" s="53" t="str">
        <f>Transportes!G60</f>
        <v>-</v>
      </c>
      <c r="V60" s="3"/>
    </row>
    <row r="61" spans="7:22" ht="15.75" customHeight="1">
      <c r="M61" s="225" t="s">
        <v>71</v>
      </c>
      <c r="N61" s="247" t="s">
        <v>209</v>
      </c>
      <c r="O61" s="142" t="s">
        <v>168</v>
      </c>
      <c r="P61" s="142" t="s">
        <v>215</v>
      </c>
      <c r="Q61" s="3"/>
      <c r="R61" t="str">
        <f>TRIM(MID(TRIM(Transportes!D61),1,FIND(CHAR(10),TRIM(Transportes!D61),1)-1))</f>
        <v>San Martín</v>
      </c>
      <c r="S61" t="str">
        <f>TRIM(IF(Transportes!F61="TRÁNSITO INTERRUMPIDO","Interrumpido",IF(Transportes!F61="TRÁNSITO RESTRINGIDO","Restringido","Normal")))</f>
        <v>Restringido</v>
      </c>
      <c r="T61" t="str">
        <f>TRIM(IF(MID(TRIM(Transportes!H61),1,FIND("-",TRIM(Transportes!H61),1)-2)="Acción humana","H","F"))</f>
        <v>F</v>
      </c>
      <c r="U61" s="53">
        <f>Transportes!G61</f>
        <v>600</v>
      </c>
      <c r="V61" s="3"/>
    </row>
    <row r="62" spans="7:22" ht="15.75" customHeight="1">
      <c r="M62" s="145" t="s">
        <v>78</v>
      </c>
      <c r="N62" s="246" t="s">
        <v>173</v>
      </c>
      <c r="O62" s="142" t="s">
        <v>168</v>
      </c>
      <c r="P62" s="142" t="s">
        <v>197</v>
      </c>
      <c r="Q62" s="3"/>
      <c r="R62" t="str">
        <f>TRIM(MID(TRIM(Transportes!D62),1,FIND(CHAR(10),TRIM(Transportes!D62),1)-1))</f>
        <v>Amazonas</v>
      </c>
      <c r="S62" t="str">
        <f>TRIM(IF(Transportes!F62="TRÁNSITO INTERRUMPIDO","Interrumpido",IF(Transportes!F62="TRÁNSITO RESTRINGIDO","Restringido","Normal")))</f>
        <v>Restringido</v>
      </c>
      <c r="T62" t="str">
        <f>TRIM(IF(MID(TRIM(Transportes!H62),1,FIND("-",TRIM(Transportes!H62),1)-2)="Acción humana","H","F"))</f>
        <v>F</v>
      </c>
      <c r="U62" s="53">
        <f>Transportes!G62</f>
        <v>10</v>
      </c>
      <c r="V62" s="3"/>
    </row>
    <row r="63" spans="7:22" ht="15.75" customHeight="1">
      <c r="G63"/>
      <c r="M63" s="145" t="s">
        <v>65</v>
      </c>
      <c r="N63" s="246" t="s">
        <v>190</v>
      </c>
      <c r="O63" s="150" t="s">
        <v>187</v>
      </c>
      <c r="P63" s="150" t="s">
        <v>188</v>
      </c>
      <c r="R63" t="str">
        <f>TRIM(MID(TRIM(Transportes!D63),1,FIND(CHAR(10),TRIM(Transportes!D63),1)-1))</f>
        <v>Cajamarca</v>
      </c>
      <c r="S63" t="str">
        <f>TRIM(IF(Transportes!F63="TRÁNSITO INTERRUMPIDO","Interrumpido",IF(Transportes!F63="TRÁNSITO RESTRINGIDO","Restringido","Normal")))</f>
        <v>Restringido</v>
      </c>
      <c r="T63" t="str">
        <f>TRIM(IF(MID(TRIM(Transportes!H63),1,FIND("-",TRIM(Transportes!H63),1)-2)="Acción humana","H","F"))</f>
        <v>F</v>
      </c>
      <c r="U63" s="53">
        <f>Transportes!G63</f>
        <v>50</v>
      </c>
    </row>
    <row r="64" spans="7:22" ht="15.75" customHeight="1">
      <c r="G64"/>
      <c r="M64" s="145" t="s">
        <v>40</v>
      </c>
      <c r="N64" s="246" t="s">
        <v>171</v>
      </c>
      <c r="O64" s="143" t="s">
        <v>168</v>
      </c>
      <c r="P64" s="142" t="s">
        <v>169</v>
      </c>
      <c r="R64" t="str">
        <f>TRIM(MID(TRIM(Transportes!D64),1,FIND(CHAR(10),TRIM(Transportes!D64),1)-1))</f>
        <v>Cajamarca</v>
      </c>
      <c r="S64" t="str">
        <f>TRIM(IF(Transportes!F64="TRÁNSITO INTERRUMPIDO","Interrumpido",IF(Transportes!F64="TRÁNSITO RESTRINGIDO","Restringido","Normal")))</f>
        <v>Restringido</v>
      </c>
      <c r="T64" t="str">
        <f>TRIM(IF(MID(TRIM(Transportes!H64),1,FIND("-",TRIM(Transportes!H64),1)-2)="Acción humana","H","F"))</f>
        <v>F</v>
      </c>
      <c r="U64" s="53">
        <f>Transportes!G64</f>
        <v>80</v>
      </c>
    </row>
    <row r="65" spans="2:22" ht="15.75" customHeight="1">
      <c r="G65"/>
      <c r="M65" s="145" t="s">
        <v>78</v>
      </c>
      <c r="N65" s="246" t="s">
        <v>172</v>
      </c>
      <c r="O65" s="144" t="s">
        <v>168</v>
      </c>
      <c r="P65" s="143" t="s">
        <v>169</v>
      </c>
      <c r="R65" t="str">
        <f>TRIM(MID(TRIM(Transportes!D65),1,FIND(CHAR(10),TRIM(Transportes!D65),1)-1))</f>
        <v>Junín</v>
      </c>
      <c r="S65" t="str">
        <f>TRIM(IF(Transportes!F65="TRÁNSITO INTERRUMPIDO","Interrumpido",IF(Transportes!F65="TRÁNSITO RESTRINGIDO","Restringido","Normal")))</f>
        <v>Restringido</v>
      </c>
      <c r="T65" t="str">
        <f>TRIM(IF(MID(TRIM(Transportes!H65),1,FIND("-",TRIM(Transportes!H65),1)-2)="Acción humana","H","F"))</f>
        <v>F</v>
      </c>
      <c r="U65" s="53" t="str">
        <f>Transportes!G65</f>
        <v>-</v>
      </c>
    </row>
    <row r="66" spans="2:22" ht="15.75" customHeight="1">
      <c r="G66"/>
      <c r="M66" s="145" t="s">
        <v>79</v>
      </c>
      <c r="N66" s="246" t="s">
        <v>152</v>
      </c>
      <c r="O66" s="142" t="s">
        <v>92</v>
      </c>
      <c r="P66" s="142" t="s">
        <v>150</v>
      </c>
      <c r="R66" t="str">
        <f>TRIM(MID(TRIM(Transportes!D66),1,FIND(CHAR(10),TRIM(Transportes!D66),1)-1))</f>
        <v>Áncash</v>
      </c>
      <c r="S66" t="str">
        <f>TRIM(IF(Transportes!F66="TRÁNSITO INTERRUMPIDO","Interrumpido",IF(Transportes!F66="TRÁNSITO RESTRINGIDO","Restringido","Normal")))</f>
        <v>Restringido</v>
      </c>
      <c r="T66" t="str">
        <f>TRIM(IF(MID(TRIM(Transportes!H66),1,FIND("-",TRIM(Transportes!H66),1)-2)="Acción humana","H","F"))</f>
        <v>F</v>
      </c>
      <c r="U66" s="53">
        <f>Transportes!G66</f>
        <v>15</v>
      </c>
    </row>
    <row r="67" spans="2:22" ht="15.75" customHeight="1">
      <c r="G67"/>
      <c r="M67" s="145" t="s">
        <v>79</v>
      </c>
      <c r="N67" s="246" t="s">
        <v>93</v>
      </c>
      <c r="O67" s="150" t="s">
        <v>92</v>
      </c>
      <c r="P67" s="150" t="s">
        <v>121</v>
      </c>
      <c r="R67" t="str">
        <f>TRIM(MID(TRIM(Transportes!D67),1,FIND(CHAR(10),TRIM(Transportes!D67),1)-1))</f>
        <v>Cajamarca</v>
      </c>
      <c r="S67" t="str">
        <f>TRIM(IF(Transportes!F67="TRÁNSITO INTERRUMPIDO","Interrumpido",IF(Transportes!F67="TRÁNSITO RESTRINGIDO","Restringido","Normal")))</f>
        <v>Restringido</v>
      </c>
      <c r="T67" t="str">
        <f>TRIM(IF(MID(TRIM(Transportes!H67),1,FIND("-",TRIM(Transportes!H67),1)-2)="Acción humana","H","F"))</f>
        <v>F</v>
      </c>
      <c r="U67" s="53">
        <f>Transportes!G67</f>
        <v>80</v>
      </c>
    </row>
    <row r="68" spans="2:22" ht="15.75" customHeight="1">
      <c r="G68"/>
      <c r="M68" s="145" t="s">
        <v>79</v>
      </c>
      <c r="N68" s="246" t="s">
        <v>94</v>
      </c>
      <c r="O68" s="142" t="s">
        <v>92</v>
      </c>
      <c r="P68" s="142" t="s">
        <v>121</v>
      </c>
      <c r="R68" t="str">
        <f>TRIM(MID(TRIM(Transportes!D68),1,FIND(CHAR(10),TRIM(Transportes!D68),1)-1))</f>
        <v>Huancavelica</v>
      </c>
      <c r="S68" t="str">
        <f>TRIM(IF(Transportes!F68="TRÁNSITO INTERRUMPIDO","Interrumpido",IF(Transportes!F68="TRÁNSITO RESTRINGIDO","Restringido","Normal")))</f>
        <v>Restringido</v>
      </c>
      <c r="T68" t="str">
        <f>TRIM(IF(MID(TRIM(Transportes!H68),1,FIND("-",TRIM(Transportes!H68),1)-2)="Acción humana","H","F"))</f>
        <v>F</v>
      </c>
      <c r="U68" s="53">
        <f>Transportes!G68</f>
        <v>40</v>
      </c>
    </row>
    <row r="69" spans="2:22" ht="15.75" customHeight="1">
      <c r="B69" s="206" t="s">
        <v>139</v>
      </c>
      <c r="G69"/>
      <c r="R69" t="str">
        <f>TRIM(MID(TRIM(Transportes!D69),1,FIND(CHAR(10),TRIM(Transportes!D69),1)-1))</f>
        <v>Puno</v>
      </c>
      <c r="S69" t="str">
        <f>TRIM(IF(Transportes!F69="TRÁNSITO INTERRUMPIDO","Interrumpido",IF(Transportes!F69="TRÁNSITO RESTRINGIDO","Restringido","Normal")))</f>
        <v>Restringido</v>
      </c>
      <c r="T69" t="str">
        <f>TRIM(IF(MID(TRIM(Transportes!H69),1,FIND("-",TRIM(Transportes!H69),1)-2)="Acción humana","H","F"))</f>
        <v>F</v>
      </c>
      <c r="U69" s="53">
        <f>Transportes!G69</f>
        <v>600</v>
      </c>
    </row>
    <row r="70" spans="2:22" ht="15.75" customHeight="1">
      <c r="G70"/>
      <c r="R70" t="str">
        <f>TRIM(MID(TRIM(Transportes!D70),1,FIND(CHAR(10),TRIM(Transportes!D70),1)-1))</f>
        <v>Junín</v>
      </c>
      <c r="S70" t="str">
        <f>TRIM(IF(Transportes!F70="TRÁNSITO INTERRUMPIDO","Interrumpido",IF(Transportes!F70="TRÁNSITO RESTRINGIDO","Restringido","Normal")))</f>
        <v>Restringido</v>
      </c>
      <c r="T70" t="str">
        <f>TRIM(IF(MID(TRIM(Transportes!H70),1,FIND("-",TRIM(Transportes!H70),1)-2)="Acción humana","H","F"))</f>
        <v>F</v>
      </c>
      <c r="U70" s="53">
        <f>Transportes!G70</f>
        <v>25</v>
      </c>
    </row>
    <row r="71" spans="2:22" ht="15.75" customHeight="1">
      <c r="G71"/>
      <c r="R71" t="str">
        <f>TRIM(MID(TRIM(Transportes!D71),1,FIND(CHAR(10),TRIM(Transportes!D71),1)-1))</f>
        <v>Áncash</v>
      </c>
      <c r="S71" t="str">
        <f>TRIM(IF(Transportes!F71="TRÁNSITO INTERRUMPIDO","Interrumpido",IF(Transportes!F71="TRÁNSITO RESTRINGIDO","Restringido","Normal")))</f>
        <v>Restringido</v>
      </c>
      <c r="T71" t="str">
        <f>TRIM(IF(MID(TRIM(Transportes!H71),1,FIND("-",TRIM(Transportes!H71),1)-2)="Acción humana","H","F"))</f>
        <v>F</v>
      </c>
      <c r="U71" s="53">
        <f>Transportes!G71</f>
        <v>40</v>
      </c>
    </row>
    <row r="72" spans="2:22" ht="15.75" customHeight="1">
      <c r="G72"/>
      <c r="R72" t="str">
        <f>TRIM(MID(TRIM(Transportes!D72),1,FIND(CHAR(10),TRIM(Transportes!D72),1)-1))</f>
        <v>Amazonas</v>
      </c>
      <c r="S72" t="str">
        <f>TRIM(IF(Transportes!F72="TRÁNSITO INTERRUMPIDO","Interrumpido",IF(Transportes!F72="TRÁNSITO RESTRINGIDO","Restringido","Normal")))</f>
        <v>Restringido</v>
      </c>
      <c r="T72" t="str">
        <f>TRIM(IF(MID(TRIM(Transportes!H72),1,FIND("-",TRIM(Transportes!H72),1)-2)="Acción humana","H","F"))</f>
        <v>F</v>
      </c>
      <c r="U72" s="53">
        <f>Transportes!G72</f>
        <v>16</v>
      </c>
    </row>
    <row r="73" spans="2:22" ht="15.75" customHeight="1">
      <c r="G73"/>
      <c r="R73" t="str">
        <f>TRIM(MID(TRIM(Transportes!D73),1,FIND(CHAR(10),TRIM(Transportes!D73),1)-1))</f>
        <v>La Libertad</v>
      </c>
      <c r="S73" t="str">
        <f>TRIM(IF(Transportes!F73="TRÁNSITO INTERRUMPIDO","Interrumpido",IF(Transportes!F73="TRÁNSITO RESTRINGIDO","Restringido","Normal")))</f>
        <v>Restringido</v>
      </c>
      <c r="T73" t="str">
        <f>TRIM(IF(MID(TRIM(Transportes!H73),1,FIND("-",TRIM(Transportes!H73),1)-2)="Acción humana","H","F"))</f>
        <v>F</v>
      </c>
      <c r="U73" s="53">
        <f>Transportes!G73</f>
        <v>130</v>
      </c>
    </row>
    <row r="74" spans="2:22" ht="13.5" customHeight="1">
      <c r="B74" s="63"/>
      <c r="G74"/>
      <c r="R74" t="str">
        <f>TRIM(MID(TRIM(Transportes!D74),1,FIND(CHAR(10),TRIM(Transportes!D74),1)-1))</f>
        <v>Cajamarca</v>
      </c>
      <c r="S74" t="str">
        <f>TRIM(IF(Transportes!F74="TRÁNSITO INTERRUMPIDO","Interrumpido",IF(Transportes!F74="TRÁNSITO RESTRINGIDO","Restringido","Normal")))</f>
        <v>Restringido</v>
      </c>
      <c r="T74" t="str">
        <f>TRIM(IF(MID(TRIM(Transportes!H74),1,FIND("-",TRIM(Transportes!H74),1)-2)="Acción humana","H","F"))</f>
        <v>F</v>
      </c>
      <c r="U74" s="53">
        <f>Transportes!G74</f>
        <v>35</v>
      </c>
    </row>
    <row r="75" spans="2:22" ht="13.5" customHeight="1">
      <c r="G75"/>
      <c r="R75" t="str">
        <f>TRIM(MID(TRIM(Transportes!D75),1,FIND(CHAR(10),TRIM(Transportes!D75),1)-1))</f>
        <v>La Libertad</v>
      </c>
      <c r="S75" t="str">
        <f>TRIM(IF(Transportes!F75="TRÁNSITO INTERRUMPIDO","Interrumpido",IF(Transportes!F75="TRÁNSITO RESTRINGIDO","Restringido","Normal")))</f>
        <v>Restringido</v>
      </c>
      <c r="T75" t="str">
        <f>TRIM(IF(MID(TRIM(Transportes!H75),1,FIND("-",TRIM(Transportes!H75),1)-2)="Acción humana","H","F"))</f>
        <v>F</v>
      </c>
      <c r="U75" s="53">
        <f>Transportes!G75</f>
        <v>120</v>
      </c>
    </row>
    <row r="76" spans="2:22" ht="14.25" customHeight="1">
      <c r="Q76" s="3"/>
      <c r="R76" t="str">
        <f>TRIM(MID(TRIM(Transportes!D76),1,FIND(CHAR(10),TRIM(Transportes!D76),1)-1))</f>
        <v>Áncash</v>
      </c>
      <c r="S76" t="str">
        <f>TRIM(IF(Transportes!F76="TRÁNSITO INTERRUMPIDO","Interrumpido",IF(Transportes!F76="TRÁNSITO RESTRINGIDO","Restringido","Normal")))</f>
        <v>Restringido</v>
      </c>
      <c r="T76" t="str">
        <f>TRIM(IF(MID(TRIM(Transportes!H76),1,FIND("-",TRIM(Transportes!H76),1)-2)="Acción humana","H","F"))</f>
        <v>F</v>
      </c>
      <c r="U76" s="53">
        <f>Transportes!G76</f>
        <v>45</v>
      </c>
      <c r="V76" s="3"/>
    </row>
    <row r="77" spans="2:22" ht="14.25" customHeight="1">
      <c r="Q77" s="3"/>
      <c r="R77" t="str">
        <f>TRIM(MID(TRIM(Transportes!D77),1,FIND(CHAR(10),TRIM(Transportes!D77),1)-1))</f>
        <v>Junín</v>
      </c>
      <c r="S77" t="str">
        <f>TRIM(IF(Transportes!F77="TRÁNSITO INTERRUMPIDO","Interrumpido",IF(Transportes!F77="TRÁNSITO RESTRINGIDO","Restringido","Normal")))</f>
        <v>Restringido</v>
      </c>
      <c r="T77" t="str">
        <f>TRIM(IF(MID(TRIM(Transportes!H77),1,FIND("-",TRIM(Transportes!H77),1)-2)="Acción humana","H","F"))</f>
        <v>F</v>
      </c>
      <c r="U77" s="53">
        <f>Transportes!G77</f>
        <v>150</v>
      </c>
      <c r="V77" s="3"/>
    </row>
    <row r="78" spans="2:22" ht="14.25" customHeight="1">
      <c r="R78" t="str">
        <f>TRIM(MID(TRIM(Transportes!D78),1,FIND(CHAR(10),TRIM(Transportes!D78),1)-1))</f>
        <v>Junín</v>
      </c>
      <c r="S78" t="str">
        <f>TRIM(IF(Transportes!F78="TRÁNSITO INTERRUMPIDO","Interrumpido",IF(Transportes!F78="TRÁNSITO RESTRINGIDO","Restringido","Normal")))</f>
        <v>Restringido</v>
      </c>
      <c r="T78" t="str">
        <f>TRIM(IF(MID(TRIM(Transportes!H78),1,FIND("-",TRIM(Transportes!H78),1)-2)="Acción humana","H","F"))</f>
        <v>F</v>
      </c>
      <c r="U78" s="53">
        <f>Transportes!G78</f>
        <v>80</v>
      </c>
    </row>
    <row r="79" spans="2:22" ht="14.25" customHeight="1">
      <c r="R79" t="str">
        <f>TRIM(MID(TRIM(Transportes!D79),1,FIND(CHAR(10),TRIM(Transportes!D79),1)-1))</f>
        <v>La Libertad</v>
      </c>
      <c r="S79" t="str">
        <f>TRIM(IF(Transportes!F79="TRÁNSITO INTERRUMPIDO","Interrumpido",IF(Transportes!F79="TRÁNSITO RESTRINGIDO","Restringido","Normal")))</f>
        <v>Restringido</v>
      </c>
      <c r="T79" t="str">
        <f>TRIM(IF(MID(TRIM(Transportes!H79),1,FIND("-",TRIM(Transportes!H79),1)-2)="Acción humana","H","F"))</f>
        <v>F</v>
      </c>
      <c r="U79" s="53">
        <f>Transportes!G79</f>
        <v>50</v>
      </c>
    </row>
    <row r="80" spans="2:22" ht="14.25" customHeight="1">
      <c r="R80" t="str">
        <f>TRIM(MID(TRIM(Transportes!D80),1,FIND(CHAR(10),TRIM(Transportes!D80),1)-1))</f>
        <v>Ica</v>
      </c>
      <c r="S80" t="str">
        <f>TRIM(IF(Transportes!F80="TRÁNSITO INTERRUMPIDO","Interrumpido",IF(Transportes!F80="TRÁNSITO RESTRINGIDO","Restringido","Normal")))</f>
        <v>Restringido</v>
      </c>
      <c r="T80" t="str">
        <f>TRIM(IF(MID(TRIM(Transportes!H80),1,FIND("-",TRIM(Transportes!H80),1)-2)="Acción humana","H","F"))</f>
        <v>F</v>
      </c>
      <c r="U80" s="53">
        <f>Transportes!G80</f>
        <v>135</v>
      </c>
    </row>
    <row r="81" spans="18:21" ht="14.25" customHeight="1">
      <c r="R81" t="str">
        <f>TRIM(MID(TRIM(Transportes!D81),1,FIND(CHAR(10),TRIM(Transportes!D81),1)-1))</f>
        <v>Piura</v>
      </c>
      <c r="S81" t="str">
        <f>TRIM(IF(Transportes!F81="TRÁNSITO INTERRUMPIDO","Interrumpido",IF(Transportes!F81="TRÁNSITO RESTRINGIDO","Restringido","Normal")))</f>
        <v>Restringido</v>
      </c>
      <c r="T81" t="str">
        <f>TRIM(IF(MID(TRIM(Transportes!H81),1,FIND("-",TRIM(Transportes!H81),1)-2)="Acción humana","H","F"))</f>
        <v>F</v>
      </c>
      <c r="U81" s="53">
        <f>Transportes!G81</f>
        <v>30</v>
      </c>
    </row>
    <row r="82" spans="18:21" ht="14.25" customHeight="1">
      <c r="R82" t="str">
        <f>TRIM(MID(TRIM(Transportes!D82),1,FIND(CHAR(10),TRIM(Transportes!D82),1)-1))</f>
        <v>Piura</v>
      </c>
      <c r="S82" t="str">
        <f>TRIM(IF(Transportes!F82="TRÁNSITO INTERRUMPIDO","Interrumpido",IF(Transportes!F82="TRÁNSITO RESTRINGIDO","Restringido","Normal")))</f>
        <v>Restringido</v>
      </c>
      <c r="T82" t="str">
        <f>TRIM(IF(MID(TRIM(Transportes!H82),1,FIND("-",TRIM(Transportes!H82),1)-2)="Acción humana","H","F"))</f>
        <v>F</v>
      </c>
      <c r="U82" s="53">
        <f>Transportes!G82</f>
        <v>100</v>
      </c>
    </row>
    <row r="83" spans="18:21" ht="14.25" customHeight="1">
      <c r="R83" t="str">
        <f>TRIM(MID(TRIM(Transportes!D83),1,FIND(CHAR(10),TRIM(Transportes!D83),1)-1))</f>
        <v>Cusco</v>
      </c>
      <c r="S83" t="str">
        <f>TRIM(IF(Transportes!F83="TRÁNSITO INTERRUMPIDO","Interrumpido",IF(Transportes!F83="TRÁNSITO RESTRINGIDO","Restringido","Normal")))</f>
        <v>Restringido</v>
      </c>
      <c r="T83" t="str">
        <f>TRIM(IF(MID(TRIM(Transportes!H83),1,FIND("-",TRIM(Transportes!H83),1)-2)="Acción humana","H","F"))</f>
        <v>F</v>
      </c>
      <c r="U83" s="53" t="str">
        <f>Transportes!G83</f>
        <v>-</v>
      </c>
    </row>
    <row r="84" spans="18:21" ht="14.25" customHeight="1">
      <c r="R84" t="str">
        <f>TRIM(MID(TRIM(Transportes!D84),1,FIND(CHAR(10),TRIM(Transportes!D84),1)-1))</f>
        <v>Piura</v>
      </c>
      <c r="S84" t="str">
        <f>TRIM(IF(Transportes!F84="TRÁNSITO INTERRUMPIDO","Interrumpido",IF(Transportes!F84="TRÁNSITO RESTRINGIDO","Restringido","Normal")))</f>
        <v>Restringido</v>
      </c>
      <c r="T84" t="str">
        <f>TRIM(IF(MID(TRIM(Transportes!H84),1,FIND("-",TRIM(Transportes!H84),1)-2)="Acción humana","H","F"))</f>
        <v>F</v>
      </c>
      <c r="U84" s="53">
        <f>Transportes!G84</f>
        <v>130</v>
      </c>
    </row>
    <row r="85" spans="18:21" ht="14.25" customHeight="1">
      <c r="R85" t="str">
        <f>TRIM(MID(TRIM(Transportes!D85),1,FIND(CHAR(10),TRIM(Transportes!D85),1)-1))</f>
        <v>Áncash</v>
      </c>
      <c r="S85" t="str">
        <f>TRIM(IF(Transportes!F85="TRÁNSITO INTERRUMPIDO","Interrumpido",IF(Transportes!F85="TRÁNSITO RESTRINGIDO","Restringido","Normal")))</f>
        <v>Restringido</v>
      </c>
      <c r="T85" t="str">
        <f>TRIM(IF(MID(TRIM(Transportes!H85),1,FIND("-",TRIM(Transportes!H85),1)-2)="Acción humana","H","F"))</f>
        <v>F</v>
      </c>
      <c r="U85" s="53">
        <f>Transportes!G85</f>
        <v>28</v>
      </c>
    </row>
    <row r="86" spans="18:21" ht="14.25" customHeight="1">
      <c r="R86" t="str">
        <f>TRIM(MID(TRIM(Transportes!D86),1,FIND(CHAR(10),TRIM(Transportes!D86),1)-1))</f>
        <v>San Martín</v>
      </c>
      <c r="S86" t="str">
        <f>TRIM(IF(Transportes!F86="TRÁNSITO INTERRUMPIDO","Interrumpido",IF(Transportes!F86="TRÁNSITO RESTRINGIDO","Restringido","Normal")))</f>
        <v>Restringido</v>
      </c>
      <c r="T86" t="str">
        <f>TRIM(IF(MID(TRIM(Transportes!H86),1,FIND("-",TRIM(Transportes!H86),1)-2)="Acción humana","H","F"))</f>
        <v>H</v>
      </c>
      <c r="U86" s="53">
        <f>Transportes!G86</f>
        <v>300</v>
      </c>
    </row>
    <row r="87" spans="18:21" ht="14.25" customHeight="1">
      <c r="R87" t="str">
        <f>TRIM(MID(TRIM(Transportes!D87),1,FIND(CHAR(10),TRIM(Transportes!D87),1)-1))</f>
        <v>Junín</v>
      </c>
      <c r="S87" t="str">
        <f>TRIM(IF(Transportes!F87="TRÁNSITO INTERRUMPIDO","Interrumpido",IF(Transportes!F87="TRÁNSITO RESTRINGIDO","Restringido","Normal")))</f>
        <v>Restringido</v>
      </c>
      <c r="T87" t="str">
        <f>TRIM(IF(MID(TRIM(Transportes!H87),1,FIND("-",TRIM(Transportes!H87),1)-2)="Acción humana","H","F"))</f>
        <v>F</v>
      </c>
      <c r="U87" s="53">
        <f>Transportes!G87</f>
        <v>50</v>
      </c>
    </row>
    <row r="88" spans="18:21" ht="14.25" customHeight="1">
      <c r="R88" t="str">
        <f>TRIM(MID(TRIM(Transportes!D88),1,FIND(CHAR(10),TRIM(Transportes!D88),1)-1))</f>
        <v>San Martín</v>
      </c>
      <c r="S88" t="str">
        <f>TRIM(IF(Transportes!F88="TRÁNSITO INTERRUMPIDO","Interrumpido",IF(Transportes!F88="TRÁNSITO RESTRINGIDO","Restringido","Normal")))</f>
        <v>Restringido</v>
      </c>
      <c r="T88" t="str">
        <f>TRIM(IF(MID(TRIM(Transportes!H88),1,FIND("-",TRIM(Transportes!H88),1)-2)="Acción humana","H","F"))</f>
        <v>F</v>
      </c>
      <c r="U88" s="53">
        <f>Transportes!G88</f>
        <v>100</v>
      </c>
    </row>
    <row r="89" spans="18:21" ht="14.25" customHeight="1">
      <c r="R89" t="str">
        <f>TRIM(MID(TRIM(Transportes!D89),1,FIND(CHAR(10),TRIM(Transportes!D89),1)-1))</f>
        <v>San Martín</v>
      </c>
      <c r="S89" t="str">
        <f>TRIM(IF(Transportes!F89="TRÁNSITO INTERRUMPIDO","Interrumpido",IF(Transportes!F89="TRÁNSITO RESTRINGIDO","Restringido","Normal")))</f>
        <v>Restringido</v>
      </c>
      <c r="T89" t="str">
        <f>TRIM(IF(MID(TRIM(Transportes!H89),1,FIND("-",TRIM(Transportes!H89),1)-2)="Acción humana","H","F"))</f>
        <v>F</v>
      </c>
      <c r="U89" s="53">
        <f>Transportes!G89</f>
        <v>200</v>
      </c>
    </row>
    <row r="90" spans="18:21" ht="14.25" customHeight="1">
      <c r="R90" t="str">
        <f>TRIM(MID(TRIM(Transportes!D90),1,FIND(CHAR(10),TRIM(Transportes!D90),1)-1))</f>
        <v>Amazonas</v>
      </c>
      <c r="S90" t="str">
        <f>TRIM(IF(Transportes!F90="TRÁNSITO INTERRUMPIDO","Interrumpido",IF(Transportes!F90="TRÁNSITO RESTRINGIDO","Restringido","Normal")))</f>
        <v>Restringido</v>
      </c>
      <c r="T90" t="str">
        <f>TRIM(IF(MID(TRIM(Transportes!H90),1,FIND("-",TRIM(Transportes!H90),1)-2)="Acción humana","H","F"))</f>
        <v>F</v>
      </c>
      <c r="U90" s="53">
        <f>Transportes!G90</f>
        <v>100</v>
      </c>
    </row>
    <row r="91" spans="18:21" ht="14.25" customHeight="1">
      <c r="R91" t="str">
        <f>TRIM(MID(TRIM(Transportes!D91),1,FIND(CHAR(10),TRIM(Transportes!D91),1)-1))</f>
        <v>Junín</v>
      </c>
      <c r="S91" t="str">
        <f>TRIM(IF(Transportes!F91="TRÁNSITO INTERRUMPIDO","Interrumpido",IF(Transportes!F91="TRÁNSITO RESTRINGIDO","Restringido","Normal")))</f>
        <v>Restringido</v>
      </c>
      <c r="T91" t="str">
        <f>TRIM(IF(MID(TRIM(Transportes!H91),1,FIND("-",TRIM(Transportes!H91),1)-2)="Acción humana","H","F"))</f>
        <v>F</v>
      </c>
      <c r="U91" s="53" t="str">
        <f>Transportes!G91</f>
        <v>-</v>
      </c>
    </row>
    <row r="92" spans="18:21" ht="14.25" customHeight="1">
      <c r="R92" t="str">
        <f>TRIM(MID(TRIM(Transportes!D92),1,FIND(CHAR(10),TRIM(Transportes!D92),1)-1))</f>
        <v>Huancavelica</v>
      </c>
      <c r="S92" t="str">
        <f>TRIM(IF(Transportes!F92="TRÁNSITO INTERRUMPIDO","Interrumpido",IF(Transportes!F92="TRÁNSITO RESTRINGIDO","Restringido","Normal")))</f>
        <v>Restringido</v>
      </c>
      <c r="T92" t="str">
        <f>TRIM(IF(MID(TRIM(Transportes!H92),1,FIND("-",TRIM(Transportes!H92),1)-2)="Acción humana","H","F"))</f>
        <v>F</v>
      </c>
      <c r="U92" s="53" t="str">
        <f>Transportes!G92</f>
        <v>-</v>
      </c>
    </row>
    <row r="93" spans="18:21" ht="14.25" customHeight="1">
      <c r="R93" t="str">
        <f>TRIM(MID(TRIM(Transportes!D93),1,FIND(CHAR(10),TRIM(Transportes!D93),1)-1))</f>
        <v>Tumbes</v>
      </c>
      <c r="S93" t="str">
        <f>TRIM(IF(Transportes!F93="TRÁNSITO INTERRUMPIDO","Interrumpido",IF(Transportes!F93="TRÁNSITO RESTRINGIDO","Restringido","Normal")))</f>
        <v>Restringido</v>
      </c>
      <c r="T93" t="str">
        <f>TRIM(IF(MID(TRIM(Transportes!H93),1,FIND("-",TRIM(Transportes!H93),1)-2)="Acción humana","H","F"))</f>
        <v>F</v>
      </c>
      <c r="U93" s="53">
        <f>Transportes!G93</f>
        <v>415</v>
      </c>
    </row>
    <row r="94" spans="18:21" ht="14.25" customHeight="1">
      <c r="R94" t="str">
        <f>TRIM(MID(TRIM(Transportes!D94),1,FIND(CHAR(10),TRIM(Transportes!D94),1)-1))</f>
        <v>Tumbes</v>
      </c>
      <c r="S94" t="str">
        <f>TRIM(IF(Transportes!F94="TRÁNSITO INTERRUMPIDO","Interrumpido",IF(Transportes!F94="TRÁNSITO RESTRINGIDO","Restringido","Normal")))</f>
        <v>Restringido</v>
      </c>
      <c r="T94" t="str">
        <f>TRIM(IF(MID(TRIM(Transportes!H94),1,FIND("-",TRIM(Transportes!H94),1)-2)="Acción humana","H","F"))</f>
        <v>F</v>
      </c>
      <c r="U94" s="53" t="str">
        <f>Transportes!G94</f>
        <v>-</v>
      </c>
    </row>
    <row r="95" spans="18:21" ht="14.25" customHeight="1">
      <c r="R95" t="str">
        <f>TRIM(MID(TRIM(Transportes!D95),1,FIND(CHAR(10),TRIM(Transportes!D95),1)-1))</f>
        <v>Cusco</v>
      </c>
      <c r="S95" t="str">
        <f>TRIM(IF(Transportes!F95="TRÁNSITO INTERRUMPIDO","Interrumpido",IF(Transportes!F95="TRÁNSITO RESTRINGIDO","Restringido","Normal")))</f>
        <v>Restringido</v>
      </c>
      <c r="T95" t="str">
        <f>TRIM(IF(MID(TRIM(Transportes!H95),1,FIND("-",TRIM(Transportes!H95),1)-2)="Acción humana","H","F"))</f>
        <v>F</v>
      </c>
      <c r="U95" s="53">
        <f>Transportes!G95</f>
        <v>200</v>
      </c>
    </row>
    <row r="96" spans="18:21" ht="14.25" customHeight="1">
      <c r="R96" t="str">
        <f>TRIM(MID(TRIM(Transportes!D96),1,FIND(CHAR(10),TRIM(Transportes!D96),1)-1))</f>
        <v>Áncash</v>
      </c>
      <c r="S96" t="str">
        <f>TRIM(IF(Transportes!F96="TRÁNSITO INTERRUMPIDO","Interrumpido",IF(Transportes!F96="TRÁNSITO RESTRINGIDO","Restringido","Normal")))</f>
        <v>Restringido</v>
      </c>
      <c r="T96" t="str">
        <f>TRIM(IF(MID(TRIM(Transportes!H96),1,FIND("-",TRIM(Transportes!H96),1)-2)="Acción humana","H","F"))</f>
        <v>F</v>
      </c>
      <c r="U96" s="53">
        <f>Transportes!G96</f>
        <v>50</v>
      </c>
    </row>
    <row r="97" spans="18:21" ht="14.25" customHeight="1">
      <c r="R97" t="str">
        <f>TRIM(MID(TRIM(Transportes!D97),1,FIND(CHAR(10),TRIM(Transportes!D97),1)-1))</f>
        <v>Cajamarca</v>
      </c>
      <c r="S97" t="str">
        <f>TRIM(IF(Transportes!F97="TRÁNSITO INTERRUMPIDO","Interrumpido",IF(Transportes!F97="TRÁNSITO RESTRINGIDO","Restringido","Normal")))</f>
        <v>Restringido</v>
      </c>
      <c r="T97" t="str">
        <f>TRIM(IF(MID(TRIM(Transportes!H97),1,FIND("-",TRIM(Transportes!H97),1)-2)="Acción humana","H","F"))</f>
        <v>F</v>
      </c>
      <c r="U97" s="53" t="str">
        <f>Transportes!G97</f>
        <v>-</v>
      </c>
    </row>
    <row r="98" spans="18:21" ht="14.25" customHeight="1">
      <c r="R98" t="str">
        <f>TRIM(MID(TRIM(Transportes!D98),1,FIND(CHAR(10),TRIM(Transportes!D98),1)-1))</f>
        <v>Amazonas</v>
      </c>
      <c r="S98" t="str">
        <f>TRIM(IF(Transportes!F98="TRÁNSITO INTERRUMPIDO","Interrumpido",IF(Transportes!F98="TRÁNSITO RESTRINGIDO","Restringido","Normal")))</f>
        <v>Restringido</v>
      </c>
      <c r="T98" t="str">
        <f>TRIM(IF(MID(TRIM(Transportes!H98),1,FIND("-",TRIM(Transportes!H98),1)-2)="Acción humana","H","F"))</f>
        <v>F</v>
      </c>
      <c r="U98" s="53" t="str">
        <f>Transportes!G98</f>
        <v>-</v>
      </c>
    </row>
    <row r="99" spans="18:21" ht="14.25" customHeight="1">
      <c r="R99" t="str">
        <f>TRIM(MID(TRIM(Transportes!D99),1,FIND(CHAR(10),TRIM(Transportes!D99),1)-1))</f>
        <v>Tacna</v>
      </c>
      <c r="S99" t="str">
        <f>TRIM(IF(Transportes!F99="TRÁNSITO INTERRUMPIDO","Interrumpido",IF(Transportes!F99="TRÁNSITO RESTRINGIDO","Restringido","Normal")))</f>
        <v>Restringido</v>
      </c>
      <c r="T99" t="str">
        <f>TRIM(IF(MID(TRIM(Transportes!H99),1,FIND("-",TRIM(Transportes!H99),1)-2)="Acción humana","H","F"))</f>
        <v>F</v>
      </c>
      <c r="U99" s="53">
        <f>Transportes!G99</f>
        <v>60</v>
      </c>
    </row>
    <row r="100" spans="18:21" ht="14.25" customHeight="1">
      <c r="R100" t="str">
        <f>TRIM(MID(TRIM(Transportes!D100),1,FIND(CHAR(10),TRIM(Transportes!D100),1)-1))</f>
        <v>Huánuco</v>
      </c>
      <c r="S100" t="str">
        <f>TRIM(IF(Transportes!F100="TRÁNSITO INTERRUMPIDO","Interrumpido",IF(Transportes!F100="TRÁNSITO RESTRINGIDO","Restringido","Normal")))</f>
        <v>Restringido</v>
      </c>
      <c r="T100" t="str">
        <f>TRIM(IF(MID(TRIM(Transportes!H100),1,FIND("-",TRIM(Transportes!H100),1)-2)="Acción humana","H","F"))</f>
        <v>F</v>
      </c>
      <c r="U100" s="53">
        <f>Transportes!G100</f>
        <v>100</v>
      </c>
    </row>
    <row r="101" spans="18:21" ht="14.25" customHeight="1">
      <c r="R101" t="str">
        <f>TRIM(MID(TRIM(Transportes!D101),1,FIND(CHAR(10),TRIM(Transportes!D101),1)-1))</f>
        <v>Cajamarca</v>
      </c>
      <c r="S101" t="str">
        <f>TRIM(IF(Transportes!F101="TRÁNSITO INTERRUMPIDO","Interrumpido",IF(Transportes!F101="TRÁNSITO RESTRINGIDO","Restringido","Normal")))</f>
        <v>Restringido</v>
      </c>
      <c r="T101" t="str">
        <f>TRIM(IF(MID(TRIM(Transportes!H101),1,FIND("-",TRIM(Transportes!H101),1)-2)="Acción humana","H","F"))</f>
        <v>F</v>
      </c>
      <c r="U101" s="53" t="str">
        <f>Transportes!G101</f>
        <v>-</v>
      </c>
    </row>
    <row r="102" spans="18:21" ht="14.25" customHeight="1">
      <c r="R102" t="str">
        <f>TRIM(MID(TRIM(Transportes!D102),1,FIND(CHAR(10),TRIM(Transportes!D102),1)-1))</f>
        <v>La Libertad</v>
      </c>
      <c r="S102" t="str">
        <f>TRIM(IF(Transportes!F102="TRÁNSITO INTERRUMPIDO","Interrumpido",IF(Transportes!F102="TRÁNSITO RESTRINGIDO","Restringido","Normal")))</f>
        <v>Restringido</v>
      </c>
      <c r="T102" t="str">
        <f>TRIM(IF(MID(TRIM(Transportes!H102),1,FIND("-",TRIM(Transportes!H102),1)-2)="Acción humana","H","F"))</f>
        <v>F</v>
      </c>
      <c r="U102" s="53">
        <f>Transportes!G102</f>
        <v>80</v>
      </c>
    </row>
    <row r="103" spans="18:21" ht="14.25" customHeight="1">
      <c r="R103" t="str">
        <f>TRIM(MID(TRIM(Transportes!D103),1,FIND(CHAR(10),TRIM(Transportes!D103),1)-1))</f>
        <v>Piura</v>
      </c>
      <c r="S103" t="str">
        <f>TRIM(IF(Transportes!F103="TRÁNSITO INTERRUMPIDO","Interrumpido",IF(Transportes!F103="TRÁNSITO RESTRINGIDO","Restringido","Normal")))</f>
        <v>Restringido</v>
      </c>
      <c r="T103" t="str">
        <f>TRIM(IF(MID(TRIM(Transportes!H103),1,FIND("-",TRIM(Transportes!H103),1)-2)="Acción humana","H","F"))</f>
        <v>F</v>
      </c>
      <c r="U103" s="53">
        <f>Transportes!G103</f>
        <v>100</v>
      </c>
    </row>
    <row r="104" spans="18:21" ht="14.25" customHeight="1">
      <c r="R104" t="str">
        <f>TRIM(MID(TRIM(Transportes!D104),1,FIND(CHAR(10),TRIM(Transportes!D104),1)-1))</f>
        <v>Junín</v>
      </c>
      <c r="S104" t="str">
        <f>TRIM(IF(Transportes!F104="TRÁNSITO INTERRUMPIDO","Interrumpido",IF(Transportes!F104="TRÁNSITO RESTRINGIDO","Restringido","Normal")))</f>
        <v>Restringido</v>
      </c>
      <c r="T104" t="str">
        <f>TRIM(IF(MID(TRIM(Transportes!H104),1,FIND("-",TRIM(Transportes!H104),1)-2)="Acción humana","H","F"))</f>
        <v>F</v>
      </c>
      <c r="U104" s="53">
        <f>Transportes!G104</f>
        <v>50</v>
      </c>
    </row>
    <row r="105" spans="18:21" ht="14.25" customHeight="1">
      <c r="R105" t="str">
        <f>TRIM(MID(TRIM(Transportes!D105),1,FIND(CHAR(10),TRIM(Transportes!D105),1)-1))</f>
        <v>Áncash</v>
      </c>
      <c r="S105" t="str">
        <f>TRIM(IF(Transportes!F105="TRÁNSITO INTERRUMPIDO","Interrumpido",IF(Transportes!F105="TRÁNSITO RESTRINGIDO","Restringido","Normal")))</f>
        <v>Restringido</v>
      </c>
      <c r="T105" t="str">
        <f>TRIM(IF(MID(TRIM(Transportes!H105),1,FIND("-",TRIM(Transportes!H105),1)-2)="Acción humana","H","F"))</f>
        <v>F</v>
      </c>
      <c r="U105" s="53">
        <f>Transportes!G105</f>
        <v>300</v>
      </c>
    </row>
    <row r="106" spans="18:21" ht="14.25" customHeight="1">
      <c r="R106" t="str">
        <f>TRIM(MID(TRIM(Transportes!D106),1,FIND(CHAR(10),TRIM(Transportes!D106),1)-1))</f>
        <v>La Libertad</v>
      </c>
      <c r="S106" t="str">
        <f>TRIM(IF(Transportes!F106="TRÁNSITO INTERRUMPIDO","Interrumpido",IF(Transportes!F106="TRÁNSITO RESTRINGIDO","Restringido","Normal")))</f>
        <v>Restringido</v>
      </c>
      <c r="T106" t="str">
        <f>TRIM(IF(MID(TRIM(Transportes!H106),1,FIND("-",TRIM(Transportes!H106),1)-2)="Acción humana","H","F"))</f>
        <v>F</v>
      </c>
      <c r="U106" s="53">
        <f>Transportes!G106</f>
        <v>186</v>
      </c>
    </row>
    <row r="107" spans="18:21" ht="14.25" customHeight="1">
      <c r="R107" t="str">
        <f>TRIM(MID(TRIM(Transportes!D107),1,FIND(CHAR(10),TRIM(Transportes!D107),1)-1))</f>
        <v>Piura</v>
      </c>
      <c r="S107" t="str">
        <f>TRIM(IF(Transportes!F107="TRÁNSITO INTERRUMPIDO","Interrumpido",IF(Transportes!F107="TRÁNSITO RESTRINGIDO","Restringido","Normal")))</f>
        <v>Restringido</v>
      </c>
      <c r="T107" t="str">
        <f>TRIM(IF(MID(TRIM(Transportes!H107),1,FIND("-",TRIM(Transportes!H107),1)-2)="Acción humana","H","F"))</f>
        <v>F</v>
      </c>
      <c r="U107" s="53">
        <f>Transportes!G107</f>
        <v>63</v>
      </c>
    </row>
    <row r="108" spans="18:21" ht="14.25" customHeight="1">
      <c r="R108" t="str">
        <f>TRIM(MID(TRIM(Transportes!D108),1,FIND(CHAR(10),TRIM(Transportes!D108),1)-1))</f>
        <v>Piura</v>
      </c>
      <c r="S108" t="str">
        <f>TRIM(IF(Transportes!F108="TRÁNSITO INTERRUMPIDO","Interrumpido",IF(Transportes!F108="TRÁNSITO RESTRINGIDO","Restringido","Normal")))</f>
        <v>Restringido</v>
      </c>
      <c r="T108" t="str">
        <f>TRIM(IF(MID(TRIM(Transportes!H108),1,FIND("-",TRIM(Transportes!H108),1)-2)="Acción humana","H","F"))</f>
        <v>F</v>
      </c>
      <c r="U108" s="53">
        <f>Transportes!G108</f>
        <v>200</v>
      </c>
    </row>
    <row r="109" spans="18:21" ht="14.25" customHeight="1">
      <c r="R109" t="str">
        <f>TRIM(MID(TRIM(Transportes!D109),1,FIND(CHAR(10),TRIM(Transportes!D109),1)-1))</f>
        <v>Moquegua</v>
      </c>
      <c r="S109" t="str">
        <f>TRIM(IF(Transportes!F109="TRÁNSITO INTERRUMPIDO","Interrumpido",IF(Transportes!F109="TRÁNSITO RESTRINGIDO","Restringido","Normal")))</f>
        <v>Restringido</v>
      </c>
      <c r="T109" t="str">
        <f>TRIM(IF(MID(TRIM(Transportes!H109),1,FIND("-",TRIM(Transportes!H109),1)-2)="Acción humana","H","F"))</f>
        <v>F</v>
      </c>
      <c r="U109" s="53">
        <f>Transportes!G109</f>
        <v>25</v>
      </c>
    </row>
    <row r="110" spans="18:21" ht="14.25" customHeight="1">
      <c r="R110" t="str">
        <f>TRIM(MID(TRIM(Transportes!D110),1,FIND(CHAR(10),TRIM(Transportes!D110),1)-1))</f>
        <v>Huánuco</v>
      </c>
      <c r="S110" t="str">
        <f>TRIM(IF(Transportes!F110="TRÁNSITO INTERRUMPIDO","Interrumpido",IF(Transportes!F110="TRÁNSITO RESTRINGIDO","Restringido","Normal")))</f>
        <v>Restringido</v>
      </c>
      <c r="T110" t="str">
        <f>TRIM(IF(MID(TRIM(Transportes!H110),1,FIND("-",TRIM(Transportes!H110),1)-2)="Acción humana","H","F"))</f>
        <v>F</v>
      </c>
      <c r="U110" s="53">
        <f>Transportes!G110</f>
        <v>60</v>
      </c>
    </row>
    <row r="111" spans="18:21" ht="14.25" customHeight="1">
      <c r="R111" t="str">
        <f>TRIM(MID(TRIM(Transportes!D111),1,FIND(CHAR(10),TRIM(Transportes!D111),1)-1))</f>
        <v>Cajamarca</v>
      </c>
      <c r="S111" t="str">
        <f>TRIM(IF(Transportes!F111="TRÁNSITO INTERRUMPIDO","Interrumpido",IF(Transportes!F111="TRÁNSITO RESTRINGIDO","Restringido","Normal")))</f>
        <v>Restringido</v>
      </c>
      <c r="T111" t="str">
        <f>TRIM(IF(MID(TRIM(Transportes!H111),1,FIND("-",TRIM(Transportes!H111),1)-2)="Acción humana","H","F"))</f>
        <v>F</v>
      </c>
      <c r="U111" s="53" t="str">
        <f>Transportes!G111</f>
        <v>-</v>
      </c>
    </row>
    <row r="112" spans="18:21" ht="14.25" customHeight="1">
      <c r="R112" t="str">
        <f>TRIM(MID(TRIM(Transportes!D112),1,FIND(CHAR(10),TRIM(Transportes!D112),1)-1))</f>
        <v>Huancavelica</v>
      </c>
      <c r="S112" t="str">
        <f>TRIM(IF(Transportes!F112="TRÁNSITO INTERRUMPIDO","Interrumpido",IF(Transportes!F112="TRÁNSITO RESTRINGIDO","Restringido","Normal")))</f>
        <v>Restringido</v>
      </c>
      <c r="T112" t="str">
        <f>TRIM(IF(MID(TRIM(Transportes!H112),1,FIND("-",TRIM(Transportes!H112),1)-2)="Acción humana","H","F"))</f>
        <v>F</v>
      </c>
      <c r="U112" s="53">
        <f>Transportes!G112</f>
        <v>50</v>
      </c>
    </row>
    <row r="113" spans="18:21" ht="14.25" customHeight="1">
      <c r="R113" t="str">
        <f>TRIM(MID(TRIM(Transportes!D113),1,FIND(CHAR(10),TRIM(Transportes!D113),1)-1))</f>
        <v>Huancavelica</v>
      </c>
      <c r="S113" t="str">
        <f>TRIM(IF(Transportes!F113="TRÁNSITO INTERRUMPIDO","Interrumpido",IF(Transportes!F113="TRÁNSITO RESTRINGIDO","Restringido","Normal")))</f>
        <v>Restringido</v>
      </c>
      <c r="T113" t="str">
        <f>TRIM(IF(MID(TRIM(Transportes!H113),1,FIND("-",TRIM(Transportes!H113),1)-2)="Acción humana","H","F"))</f>
        <v>F</v>
      </c>
      <c r="U113" s="53">
        <f>Transportes!G113</f>
        <v>30</v>
      </c>
    </row>
    <row r="114" spans="18:21" ht="14.25" customHeight="1">
      <c r="R114" t="str">
        <f>TRIM(MID(TRIM(Transportes!D114),1,FIND(CHAR(10),TRIM(Transportes!D114),1)-1))</f>
        <v>Amazonas</v>
      </c>
      <c r="S114" t="str">
        <f>TRIM(IF(Transportes!F114="TRÁNSITO INTERRUMPIDO","Interrumpido",IF(Transportes!F114="TRÁNSITO RESTRINGIDO","Restringido","Normal")))</f>
        <v>Restringido</v>
      </c>
      <c r="T114" t="str">
        <f>TRIM(IF(MID(TRIM(Transportes!H114),1,FIND("-",TRIM(Transportes!H114),1)-2)="Acción humana","H","F"))</f>
        <v>F</v>
      </c>
      <c r="U114" s="53">
        <f>Transportes!G114</f>
        <v>30</v>
      </c>
    </row>
    <row r="115" spans="18:21">
      <c r="R115" t="str">
        <f>TRIM(MID(TRIM(Transportes!D115),1,FIND(CHAR(10),TRIM(Transportes!D115),1)-1))</f>
        <v>Amazonas</v>
      </c>
      <c r="S115" t="str">
        <f>TRIM(IF(Transportes!F115="TRÁNSITO INTERRUMPIDO","Interrumpido",IF(Transportes!F115="TRÁNSITO RESTRINGIDO","Restringido","Normal")))</f>
        <v>Restringido</v>
      </c>
      <c r="T115" t="str">
        <f>TRIM(IF(MID(TRIM(Transportes!H115),1,FIND("-",TRIM(Transportes!H115),1)-2)="Acción humana","H","F"))</f>
        <v>F</v>
      </c>
      <c r="U115" s="53">
        <f>Transportes!G115</f>
        <v>35</v>
      </c>
    </row>
    <row r="116" spans="18:21">
      <c r="R116" t="str">
        <f>TRIM(MID(TRIM(Transportes!D116),1,FIND(CHAR(10),TRIM(Transportes!D116),1)-1))</f>
        <v>Áncash</v>
      </c>
      <c r="S116" t="str">
        <f>TRIM(IF(Transportes!F116="TRÁNSITO INTERRUMPIDO","Interrumpido",IF(Transportes!F116="TRÁNSITO RESTRINGIDO","Restringido","Normal")))</f>
        <v>Restringido</v>
      </c>
      <c r="T116" t="str">
        <f>TRIM(IF(MID(TRIM(Transportes!H116),1,FIND("-",TRIM(Transportes!H116),1)-2)="Acción humana","H","F"))</f>
        <v>F</v>
      </c>
      <c r="U116" s="53">
        <f>Transportes!G116</f>
        <v>120</v>
      </c>
    </row>
    <row r="117" spans="18:21">
      <c r="R117" t="str">
        <f>TRIM(MID(TRIM(Transportes!D117),1,FIND(CHAR(10),TRIM(Transportes!D117),1)-1))</f>
        <v>Moquegua</v>
      </c>
      <c r="S117" t="str">
        <f>TRIM(IF(Transportes!F117="TRÁNSITO INTERRUMPIDO","Interrumpido",IF(Transportes!F117="TRÁNSITO RESTRINGIDO","Restringido","Normal")))</f>
        <v>Restringido</v>
      </c>
      <c r="T117" t="str">
        <f>TRIM(IF(MID(TRIM(Transportes!H117),1,FIND("-",TRIM(Transportes!H117),1)-2)="Acción humana","H","F"))</f>
        <v>F</v>
      </c>
      <c r="U117" s="53">
        <f>Transportes!G117</f>
        <v>50</v>
      </c>
    </row>
    <row r="118" spans="18:21">
      <c r="R118" t="str">
        <f>TRIM(MID(TRIM(Transportes!D118),1,FIND(CHAR(10),TRIM(Transportes!D118),1)-1))</f>
        <v>Puno</v>
      </c>
      <c r="S118" t="str">
        <f>TRIM(IF(Transportes!F118="TRÁNSITO INTERRUMPIDO","Interrumpido",IF(Transportes!F118="TRÁNSITO RESTRINGIDO","Restringido","Normal")))</f>
        <v>Restringido</v>
      </c>
      <c r="T118" t="str">
        <f>TRIM(IF(MID(TRIM(Transportes!H118),1,FIND("-",TRIM(Transportes!H118),1)-2)="Acción humana","H","F"))</f>
        <v>F</v>
      </c>
      <c r="U118" s="53">
        <f>Transportes!G118</f>
        <v>5</v>
      </c>
    </row>
    <row r="119" spans="18:21">
      <c r="R119" t="str">
        <f>TRIM(MID(TRIM(Transportes!D119),1,FIND(CHAR(10),TRIM(Transportes!D119),1)-1))</f>
        <v>Áncash</v>
      </c>
      <c r="S119" t="str">
        <f>TRIM(IF(Transportes!F119="TRÁNSITO INTERRUMPIDO","Interrumpido",IF(Transportes!F119="TRÁNSITO RESTRINGIDO","Restringido","Normal")))</f>
        <v>Restringido</v>
      </c>
      <c r="T119" t="str">
        <f>TRIM(IF(MID(TRIM(Transportes!H119),1,FIND("-",TRIM(Transportes!H119),1)-2)="Acción humana","H","F"))</f>
        <v>F</v>
      </c>
      <c r="U119" s="53">
        <f>Transportes!G119</f>
        <v>10</v>
      </c>
    </row>
    <row r="120" spans="18:21">
      <c r="R120" t="str">
        <f>TRIM(MID(TRIM(Transportes!D120),1,FIND(CHAR(10),TRIM(Transportes!D120),1)-1))</f>
        <v>Áncash</v>
      </c>
      <c r="S120" t="str">
        <f>TRIM(IF(Transportes!F120="TRÁNSITO INTERRUMPIDO","Interrumpido",IF(Transportes!F120="TRÁNSITO RESTRINGIDO","Restringido","Normal")))</f>
        <v>Restringido</v>
      </c>
      <c r="T120" t="str">
        <f>TRIM(IF(MID(TRIM(Transportes!H120),1,FIND("-",TRIM(Transportes!H120),1)-2)="Acción humana","H","F"))</f>
        <v>F</v>
      </c>
      <c r="U120" s="53">
        <f>Transportes!G120</f>
        <v>15</v>
      </c>
    </row>
    <row r="121" spans="18:21">
      <c r="R121" t="str">
        <f>TRIM(MID(TRIM(Transportes!D121),1,FIND(CHAR(10),TRIM(Transportes!D121),1)-1))</f>
        <v>Áncash</v>
      </c>
      <c r="S121" t="str">
        <f>TRIM(IF(Transportes!F121="TRÁNSITO INTERRUMPIDO","Interrumpido",IF(Transportes!F121="TRÁNSITO RESTRINGIDO","Restringido","Normal")))</f>
        <v>Restringido</v>
      </c>
      <c r="T121" t="str">
        <f>TRIM(IF(MID(TRIM(Transportes!H121),1,FIND("-",TRIM(Transportes!H121),1)-2)="Acción humana","H","F"))</f>
        <v>F</v>
      </c>
      <c r="U121" s="53">
        <f>Transportes!G121</f>
        <v>12</v>
      </c>
    </row>
    <row r="122" spans="18:21">
      <c r="R122" t="str">
        <f>TRIM(MID(TRIM(Transportes!D122),1,FIND(CHAR(10),TRIM(Transportes!D122),1)-1))</f>
        <v>Áncash</v>
      </c>
      <c r="S122" t="str">
        <f>TRIM(IF(Transportes!F122="TRÁNSITO INTERRUMPIDO","Interrumpido",IF(Transportes!F122="TRÁNSITO RESTRINGIDO","Restringido","Normal")))</f>
        <v>Restringido</v>
      </c>
      <c r="T122" t="str">
        <f>TRIM(IF(MID(TRIM(Transportes!H122),1,FIND("-",TRIM(Transportes!H122),1)-2)="Acción humana","H","F"))</f>
        <v>F</v>
      </c>
      <c r="U122" s="53">
        <f>Transportes!G122</f>
        <v>16</v>
      </c>
    </row>
    <row r="123" spans="18:21">
      <c r="R123" t="str">
        <f>TRIM(MID(TRIM(Transportes!D123),1,FIND(CHAR(10),TRIM(Transportes!D123),1)-1))</f>
        <v>La Libertad</v>
      </c>
      <c r="S123" t="str">
        <f>TRIM(IF(Transportes!F123="TRÁNSITO INTERRUMPIDO","Interrumpido",IF(Transportes!F123="TRÁNSITO RESTRINGIDO","Restringido","Normal")))</f>
        <v>Restringido</v>
      </c>
      <c r="T123" t="str">
        <f>TRIM(IF(MID(TRIM(Transportes!H123),1,FIND("-",TRIM(Transportes!H123),1)-2)="Acción humana","H","F"))</f>
        <v>F</v>
      </c>
      <c r="U123" s="53">
        <f>Transportes!G123</f>
        <v>600</v>
      </c>
    </row>
    <row r="124" spans="18:21">
      <c r="R124" t="str">
        <f>TRIM(MID(TRIM(Transportes!D124),1,FIND(CHAR(10),TRIM(Transportes!D124),1)-1))</f>
        <v>Apurímac</v>
      </c>
      <c r="S124" t="str">
        <f>TRIM(IF(Transportes!F124="TRÁNSITO INTERRUMPIDO","Interrumpido",IF(Transportes!F124="TRÁNSITO RESTRINGIDO","Restringido","Normal")))</f>
        <v>Restringido</v>
      </c>
      <c r="T124" t="str">
        <f>TRIM(IF(MID(TRIM(Transportes!H124),1,FIND("-",TRIM(Transportes!H124),1)-2)="Acción humana","H","F"))</f>
        <v>F</v>
      </c>
      <c r="U124" s="53">
        <f>Transportes!G124</f>
        <v>50</v>
      </c>
    </row>
    <row r="125" spans="18:21">
      <c r="R125" t="str">
        <f>TRIM(MID(TRIM(Transportes!D125),1,FIND(CHAR(10),TRIM(Transportes!D125),1)-1))</f>
        <v>San Martín</v>
      </c>
      <c r="S125" t="str">
        <f>TRIM(IF(Transportes!F125="TRÁNSITO INTERRUMPIDO","Interrumpido",IF(Transportes!F125="TRÁNSITO RESTRINGIDO","Restringido","Normal")))</f>
        <v>Restringido</v>
      </c>
      <c r="T125" t="str">
        <f>TRIM(IF(MID(TRIM(Transportes!H125),1,FIND("-",TRIM(Transportes!H125),1)-2)="Acción humana","H","F"))</f>
        <v>H</v>
      </c>
      <c r="U125" s="53">
        <f>Transportes!G125</f>
        <v>150</v>
      </c>
    </row>
    <row r="126" spans="18:21">
      <c r="R126" t="str">
        <f>TRIM(MID(TRIM(Transportes!D126),1,FIND(CHAR(10),TRIM(Transportes!D126),1)-1))</f>
        <v>Piura</v>
      </c>
      <c r="S126" t="str">
        <f>TRIM(IF(Transportes!F126="TRÁNSITO INTERRUMPIDO","Interrumpido",IF(Transportes!F126="TRÁNSITO RESTRINGIDO","Restringido","Normal")))</f>
        <v>Restringido</v>
      </c>
      <c r="T126" t="str">
        <f>TRIM(IF(MID(TRIM(Transportes!H126),1,FIND("-",TRIM(Transportes!H126),1)-2)="Acción humana","H","F"))</f>
        <v>F</v>
      </c>
      <c r="U126" s="53">
        <f>Transportes!G126</f>
        <v>50</v>
      </c>
    </row>
    <row r="127" spans="18:21">
      <c r="R127" t="str">
        <f>TRIM(MID(TRIM(Transportes!D127),1,FIND(CHAR(10),TRIM(Transportes!D127),1)-1))</f>
        <v>Áncash</v>
      </c>
      <c r="S127" t="str">
        <f>TRIM(IF(Transportes!F127="TRÁNSITO INTERRUMPIDO","Interrumpido",IF(Transportes!F127="TRÁNSITO RESTRINGIDO","Restringido","Normal")))</f>
        <v>Restringido</v>
      </c>
      <c r="T127" t="str">
        <f>TRIM(IF(MID(TRIM(Transportes!H127),1,FIND("-",TRIM(Transportes!H127),1)-2)="Acción humana","H","F"))</f>
        <v>F</v>
      </c>
      <c r="U127" s="53">
        <f>Transportes!G127</f>
        <v>950</v>
      </c>
    </row>
    <row r="128" spans="18:21">
      <c r="R128" t="str">
        <f>TRIM(MID(TRIM(Transportes!D128),1,FIND(CHAR(10),TRIM(Transportes!D128),1)-1))</f>
        <v>Amazonas</v>
      </c>
      <c r="S128" t="str">
        <f>TRIM(IF(Transportes!F128="TRÁNSITO INTERRUMPIDO","Interrumpido",IF(Transportes!F128="TRÁNSITO RESTRINGIDO","Restringido","Normal")))</f>
        <v>Restringido</v>
      </c>
      <c r="T128" t="str">
        <f>TRIM(IF(MID(TRIM(Transportes!H128),1,FIND("-",TRIM(Transportes!H128),1)-2)="Acción humana","H","F"))</f>
        <v>F</v>
      </c>
      <c r="U128" s="53">
        <f>Transportes!G128</f>
        <v>0</v>
      </c>
    </row>
    <row r="129" spans="18:21">
      <c r="R129" t="str">
        <f>TRIM(MID(TRIM(Transportes!D129),1,FIND(CHAR(10),TRIM(Transportes!D129),1)-1))</f>
        <v>Tacna</v>
      </c>
      <c r="S129" t="str">
        <f>TRIM(IF(Transportes!F129="TRÁNSITO INTERRUMPIDO","Interrumpido",IF(Transportes!F129="TRÁNSITO RESTRINGIDO","Restringido","Normal")))</f>
        <v>Restringido</v>
      </c>
      <c r="T129" t="str">
        <f>TRIM(IF(MID(TRIM(Transportes!H129),1,FIND("-",TRIM(Transportes!H129),1)-2)="Acción humana","H","F"))</f>
        <v>F</v>
      </c>
      <c r="U129" s="53">
        <f>Transportes!G129</f>
        <v>15</v>
      </c>
    </row>
    <row r="130" spans="18:21">
      <c r="R130" t="str">
        <f>TRIM(MID(TRIM(Transportes!D130),1,FIND(CHAR(10),TRIM(Transportes!D130),1)-1))</f>
        <v>Amazonas</v>
      </c>
      <c r="S130" t="str">
        <f>TRIM(IF(Transportes!F130="TRÁNSITO INTERRUMPIDO","Interrumpido",IF(Transportes!F130="TRÁNSITO RESTRINGIDO","Restringido","Normal")))</f>
        <v>Restringido</v>
      </c>
      <c r="T130" t="str">
        <f>TRIM(IF(MID(TRIM(Transportes!H130),1,FIND("-",TRIM(Transportes!H130),1)-2)="Acción humana","H","F"))</f>
        <v>F</v>
      </c>
      <c r="U130" s="53">
        <f>Transportes!G130</f>
        <v>16</v>
      </c>
    </row>
    <row r="131" spans="18:21">
      <c r="R131" t="str">
        <f>TRIM(MID(TRIM(Transportes!D131),1,FIND(CHAR(10),TRIM(Transportes!D131),1)-1))</f>
        <v>Cajamarca</v>
      </c>
      <c r="S131" t="str">
        <f>TRIM(IF(Transportes!F131="TRÁNSITO INTERRUMPIDO","Interrumpido",IF(Transportes!F131="TRÁNSITO RESTRINGIDO","Restringido","Normal")))</f>
        <v>Restringido</v>
      </c>
      <c r="T131" t="str">
        <f>TRIM(IF(MID(TRIM(Transportes!H131),1,FIND("-",TRIM(Transportes!H131),1)-2)="Acción humana","H","F"))</f>
        <v>F</v>
      </c>
      <c r="U131" s="53">
        <f>Transportes!G131</f>
        <v>30</v>
      </c>
    </row>
    <row r="132" spans="18:21">
      <c r="R132" t="str">
        <f>TRIM(MID(TRIM(Transportes!D132),1,FIND(CHAR(10),TRIM(Transportes!D132),1)-1))</f>
        <v>Piura</v>
      </c>
      <c r="S132" t="str">
        <f>TRIM(IF(Transportes!F132="TRÁNSITO INTERRUMPIDO","Interrumpido",IF(Transportes!F132="TRÁNSITO RESTRINGIDO","Restringido","Normal")))</f>
        <v>Restringido</v>
      </c>
      <c r="T132" t="str">
        <f>TRIM(IF(MID(TRIM(Transportes!H132),1,FIND("-",TRIM(Transportes!H132),1)-2)="Acción humana","H","F"))</f>
        <v>F</v>
      </c>
      <c r="U132" s="53">
        <f>Transportes!G132</f>
        <v>184</v>
      </c>
    </row>
    <row r="133" spans="18:21">
      <c r="R133" t="str">
        <f>TRIM(MID(TRIM(Transportes!D133),1,FIND(CHAR(10),TRIM(Transportes!D133),1)-1))</f>
        <v>Amazonas</v>
      </c>
      <c r="S133" t="str">
        <f>TRIM(IF(Transportes!F133="TRÁNSITO INTERRUMPIDO","Interrumpido",IF(Transportes!F133="TRÁNSITO RESTRINGIDO","Restringido","Normal")))</f>
        <v>Restringido</v>
      </c>
      <c r="T133" t="str">
        <f>TRIM(IF(MID(TRIM(Transportes!H133),1,FIND("-",TRIM(Transportes!H133),1)-2)="Acción humana","H","F"))</f>
        <v>F</v>
      </c>
      <c r="U133" s="53">
        <f>Transportes!G133</f>
        <v>0</v>
      </c>
    </row>
    <row r="134" spans="18:21">
      <c r="R134" t="str">
        <f>TRIM(MID(TRIM(Transportes!D134),1,FIND(CHAR(10),TRIM(Transportes!D134),1)-1))</f>
        <v>Amazonas</v>
      </c>
      <c r="S134" t="str">
        <f>TRIM(IF(Transportes!F134="TRÁNSITO INTERRUMPIDO","Interrumpido",IF(Transportes!F134="TRÁNSITO RESTRINGIDO","Restringido","Normal")))</f>
        <v>Restringido</v>
      </c>
      <c r="T134" t="str">
        <f>TRIM(IF(MID(TRIM(Transportes!H134),1,FIND("-",TRIM(Transportes!H134),1)-2)="Acción humana","H","F"))</f>
        <v>F</v>
      </c>
      <c r="U134" s="53">
        <f>Transportes!G134</f>
        <v>0</v>
      </c>
    </row>
    <row r="135" spans="18:21">
      <c r="R135" t="str">
        <f>TRIM(MID(TRIM(Transportes!D135),1,FIND(CHAR(10),TRIM(Transportes!D135),1)-1))</f>
        <v>Cajamarca</v>
      </c>
      <c r="S135" t="str">
        <f>TRIM(IF(Transportes!F135="TRÁNSITO INTERRUMPIDO","Interrumpido",IF(Transportes!F135="TRÁNSITO RESTRINGIDO","Restringido","Normal")))</f>
        <v>Restringido</v>
      </c>
      <c r="T135" t="str">
        <f>TRIM(IF(MID(TRIM(Transportes!H135),1,FIND("-",TRIM(Transportes!H135),1)-2)="Acción humana","H","F"))</f>
        <v>F</v>
      </c>
      <c r="U135" s="53">
        <f>Transportes!G135</f>
        <v>250</v>
      </c>
    </row>
    <row r="136" spans="18:21">
      <c r="R136" t="str">
        <f>TRIM(MID(TRIM(Transportes!D136),1,FIND(CHAR(10),TRIM(Transportes!D136),1)-1))</f>
        <v>Puno</v>
      </c>
      <c r="S136" t="str">
        <f>TRIM(IF(Transportes!F136="TRÁNSITO INTERRUMPIDO","Interrumpido",IF(Transportes!F136="TRÁNSITO RESTRINGIDO","Restringido","Normal")))</f>
        <v>Restringido</v>
      </c>
      <c r="T136" t="str">
        <f>TRIM(IF(MID(TRIM(Transportes!H136),1,FIND("-",TRIM(Transportes!H136),1)-2)="Acción humana","H","F"))</f>
        <v>H</v>
      </c>
      <c r="U136" s="53">
        <f>Transportes!G136</f>
        <v>20</v>
      </c>
    </row>
    <row r="137" spans="18:21">
      <c r="R137" t="str">
        <f>TRIM(MID(TRIM(Transportes!D137),1,FIND(CHAR(10),TRIM(Transportes!D137),1)-1))</f>
        <v>Tumbes</v>
      </c>
      <c r="S137" t="str">
        <f>TRIM(IF(Transportes!F137="TRÁNSITO INTERRUMPIDO","Interrumpido",IF(Transportes!F137="TRÁNSITO RESTRINGIDO","Restringido","Normal")))</f>
        <v>Restringido</v>
      </c>
      <c r="T137" t="str">
        <f>TRIM(IF(MID(TRIM(Transportes!H137),1,FIND("-",TRIM(Transportes!H137),1)-2)="Acción humana","H","F"))</f>
        <v>F</v>
      </c>
      <c r="U137" s="53">
        <f>Transportes!G137</f>
        <v>40</v>
      </c>
    </row>
    <row r="138" spans="18:21">
      <c r="R138" t="str">
        <f>TRIM(MID(TRIM(Transportes!D138),1,FIND(CHAR(10),TRIM(Transportes!D138),1)-1))</f>
        <v>Ica</v>
      </c>
      <c r="S138" t="str">
        <f>TRIM(IF(Transportes!F138="TRÁNSITO INTERRUMPIDO","Interrumpido",IF(Transportes!F138="TRÁNSITO RESTRINGIDO","Restringido","Normal")))</f>
        <v>Restringido</v>
      </c>
      <c r="T138" t="str">
        <f>TRIM(IF(MID(TRIM(Transportes!H138),1,FIND("-",TRIM(Transportes!H138),1)-2)="Acción humana","H","F"))</f>
        <v>F</v>
      </c>
      <c r="U138" s="53">
        <f>Transportes!G138</f>
        <v>300</v>
      </c>
    </row>
    <row r="139" spans="18:21">
      <c r="R139" t="str">
        <f>TRIM(MID(TRIM(Transportes!D139),1,FIND(CHAR(10),TRIM(Transportes!D139),1)-1))</f>
        <v>Lima</v>
      </c>
      <c r="S139" t="str">
        <f>TRIM(IF(Transportes!F139="TRÁNSITO INTERRUMPIDO","Interrumpido",IF(Transportes!F139="TRÁNSITO RESTRINGIDO","Restringido","Normal")))</f>
        <v>Restringido</v>
      </c>
      <c r="T139" t="str">
        <f>TRIM(IF(MID(TRIM(Transportes!H139),1,FIND("-",TRIM(Transportes!H139),1)-2)="Acción humana","H","F"))</f>
        <v>F</v>
      </c>
      <c r="U139" s="53">
        <f>Transportes!G139</f>
        <v>50</v>
      </c>
    </row>
    <row r="140" spans="18:21">
      <c r="R140" t="str">
        <f>TRIM(MID(TRIM(Transportes!D140),1,FIND(CHAR(10),TRIM(Transportes!D140),1)-1))</f>
        <v>Cajamarca</v>
      </c>
      <c r="S140" t="str">
        <f>TRIM(IF(Transportes!F140="TRÁNSITO INTERRUMPIDO","Interrumpido",IF(Transportes!F140="TRÁNSITO RESTRINGIDO","Restringido","Normal")))</f>
        <v>Restringido</v>
      </c>
      <c r="T140" t="str">
        <f>TRIM(IF(MID(TRIM(Transportes!H140),1,FIND("-",TRIM(Transportes!H140),1)-2)="Acción humana","H","F"))</f>
        <v>F</v>
      </c>
      <c r="U140" s="53">
        <f>Transportes!G140</f>
        <v>15</v>
      </c>
    </row>
    <row r="141" spans="18:21">
      <c r="R141" t="str">
        <f>TRIM(MID(TRIM(Transportes!D141),1,FIND(CHAR(10),TRIM(Transportes!D141),1)-1))</f>
        <v>La Libertad</v>
      </c>
      <c r="S141" t="str">
        <f>TRIM(IF(Transportes!F141="TRÁNSITO INTERRUMPIDO","Interrumpido",IF(Transportes!F141="TRÁNSITO RESTRINGIDO","Restringido","Normal")))</f>
        <v>Restringido</v>
      </c>
      <c r="T141" t="str">
        <f>TRIM(IF(MID(TRIM(Transportes!H141),1,FIND("-",TRIM(Transportes!H141),1)-2)="Acción humana","H","F"))</f>
        <v>F</v>
      </c>
      <c r="U141" s="53">
        <f>Transportes!G141</f>
        <v>36</v>
      </c>
    </row>
    <row r="142" spans="18:21">
      <c r="R142" t="str">
        <f>TRIM(MID(TRIM(Transportes!D142),1,FIND(CHAR(10),TRIM(Transportes!D142),1)-1))</f>
        <v>Tumbes</v>
      </c>
      <c r="S142" t="str">
        <f>TRIM(IF(Transportes!F142="TRÁNSITO INTERRUMPIDO","Interrumpido",IF(Transportes!F142="TRÁNSITO RESTRINGIDO","Restringido","Normal")))</f>
        <v>Restringido</v>
      </c>
      <c r="T142" t="str">
        <f>TRIM(IF(MID(TRIM(Transportes!H142),1,FIND("-",TRIM(Transportes!H142),1)-2)="Acción humana","H","F"))</f>
        <v>F</v>
      </c>
      <c r="U142" s="53">
        <f>Transportes!G142</f>
        <v>13</v>
      </c>
    </row>
    <row r="143" spans="18:21">
      <c r="R143" t="str">
        <f>TRIM(MID(TRIM(Transportes!D143),1,FIND(CHAR(10),TRIM(Transportes!D143),1)-1))</f>
        <v>Cajamarca</v>
      </c>
      <c r="S143" t="str">
        <f>TRIM(IF(Transportes!F143="TRÁNSITO INTERRUMPIDO","Interrumpido",IF(Transportes!F143="TRÁNSITO RESTRINGIDO","Restringido","Normal")))</f>
        <v>Restringido</v>
      </c>
      <c r="T143" t="str">
        <f>TRIM(IF(MID(TRIM(Transportes!H143),1,FIND("-",TRIM(Transportes!H143),1)-2)="Acción humana","H","F"))</f>
        <v>F</v>
      </c>
      <c r="U143" s="53">
        <f>Transportes!G143</f>
        <v>2</v>
      </c>
    </row>
    <row r="144" spans="18:21">
      <c r="R144" t="str">
        <f>TRIM(MID(TRIM(Transportes!D144),1,FIND(CHAR(10),TRIM(Transportes!D144),1)-1))</f>
        <v>Piura</v>
      </c>
      <c r="S144" t="str">
        <f>TRIM(IF(Transportes!F144="TRÁNSITO INTERRUMPIDO","Interrumpido",IF(Transportes!F144="TRÁNSITO RESTRINGIDO","Restringido","Normal")))</f>
        <v>Restringido</v>
      </c>
      <c r="T144" t="str">
        <f>TRIM(IF(MID(TRIM(Transportes!H144),1,FIND("-",TRIM(Transportes!H144),1)-2)="Acción humana","H","F"))</f>
        <v>F</v>
      </c>
      <c r="U144" s="53">
        <f>Transportes!G144</f>
        <v>130</v>
      </c>
    </row>
    <row r="145" spans="18:21">
      <c r="R145" t="str">
        <f>TRIM(MID(TRIM(Transportes!D145),1,FIND(CHAR(10),TRIM(Transportes!D145),1)-1))</f>
        <v>Tumbes</v>
      </c>
      <c r="S145" t="str">
        <f>TRIM(IF(Transportes!F145="TRÁNSITO INTERRUMPIDO","Interrumpido",IF(Transportes!F145="TRÁNSITO RESTRINGIDO","Restringido","Normal")))</f>
        <v>Restringido</v>
      </c>
      <c r="T145" t="str">
        <f>TRIM(IF(MID(TRIM(Transportes!H145),1,FIND("-",TRIM(Transportes!H145),1)-2)="Acción humana","H","F"))</f>
        <v>F</v>
      </c>
      <c r="U145" s="53">
        <f>Transportes!G145</f>
        <v>11</v>
      </c>
    </row>
    <row r="146" spans="18:21">
      <c r="R146" t="str">
        <f>TRIM(MID(TRIM(Transportes!D146),1,FIND(CHAR(10),TRIM(Transportes!D146),1)-1))</f>
        <v>Ucayali</v>
      </c>
      <c r="S146" t="str">
        <f>TRIM(IF(Transportes!F146="TRÁNSITO INTERRUMPIDO","Interrumpido",IF(Transportes!F146="TRÁNSITO RESTRINGIDO","Restringido","Normal")))</f>
        <v>Restringido</v>
      </c>
      <c r="T146" t="str">
        <f>TRIM(IF(MID(TRIM(Transportes!H146),1,FIND("-",TRIM(Transportes!H146),1)-2)="Acción humana","H","F"))</f>
        <v>F</v>
      </c>
      <c r="U146" s="53">
        <f>Transportes!G146</f>
        <v>283</v>
      </c>
    </row>
    <row r="147" spans="18:21">
      <c r="R147" t="str">
        <f>TRIM(MID(TRIM(Transportes!D147),1,FIND(CHAR(10),TRIM(Transportes!D147),1)-1))</f>
        <v>Piura</v>
      </c>
      <c r="S147" t="str">
        <f>TRIM(IF(Transportes!F147="TRÁNSITO INTERRUMPIDO","Interrumpido",IF(Transportes!F147="TRÁNSITO RESTRINGIDO","Restringido","Normal")))</f>
        <v>Restringido</v>
      </c>
      <c r="T147" t="str">
        <f>TRIM(IF(MID(TRIM(Transportes!H147),1,FIND("-",TRIM(Transportes!H147),1)-2)="Acción humana","H","F"))</f>
        <v>F</v>
      </c>
      <c r="U147" s="53">
        <f>Transportes!G147</f>
        <v>30</v>
      </c>
    </row>
    <row r="148" spans="18:21">
      <c r="R148" t="str">
        <f>TRIM(MID(TRIM(Transportes!D148),1,FIND(CHAR(10),TRIM(Transportes!D148),1)-1))</f>
        <v>San Martín</v>
      </c>
      <c r="S148" t="str">
        <f>TRIM(IF(Transportes!F148="TRÁNSITO INTERRUMPIDO","Interrumpido",IF(Transportes!F148="TRÁNSITO RESTRINGIDO","Restringido","Normal")))</f>
        <v>Restringido</v>
      </c>
      <c r="T148" t="str">
        <f>TRIM(IF(MID(TRIM(Transportes!H148),1,FIND("-",TRIM(Transportes!H148),1)-2)="Acción humana","H","F"))</f>
        <v>F</v>
      </c>
      <c r="U148" s="53">
        <f>Transportes!G148</f>
        <v>200</v>
      </c>
    </row>
    <row r="149" spans="18:21">
      <c r="R149" t="str">
        <f>TRIM(MID(TRIM(Transportes!D149),1,FIND(CHAR(10),TRIM(Transportes!D149),1)-1))</f>
        <v>Lambayeque</v>
      </c>
      <c r="S149" t="str">
        <f>TRIM(IF(Transportes!F149="TRÁNSITO INTERRUMPIDO","Interrumpido",IF(Transportes!F149="TRÁNSITO RESTRINGIDO","Restringido","Normal")))</f>
        <v>Restringido</v>
      </c>
      <c r="T149" t="str">
        <f>TRIM(IF(MID(TRIM(Transportes!H149),1,FIND("-",TRIM(Transportes!H149),1)-2)="Acción humana","H","F"))</f>
        <v>F</v>
      </c>
      <c r="U149" s="53">
        <f>Transportes!G149</f>
        <v>20</v>
      </c>
    </row>
    <row r="150" spans="18:21">
      <c r="R150" t="str">
        <f>TRIM(MID(TRIM(Transportes!D150),1,FIND(CHAR(10),TRIM(Transportes!D150),1)-1))</f>
        <v>Amazonas</v>
      </c>
      <c r="S150" t="str">
        <f>TRIM(IF(Transportes!F150="TRÁNSITO INTERRUMPIDO","Interrumpido",IF(Transportes!F150="TRÁNSITO RESTRINGIDO","Restringido","Normal")))</f>
        <v>Restringido</v>
      </c>
      <c r="T150" t="str">
        <f>TRIM(IF(MID(TRIM(Transportes!H150),1,FIND("-",TRIM(Transportes!H150),1)-2)="Acción humana","H","F"))</f>
        <v>F</v>
      </c>
      <c r="U150" s="53">
        <f>Transportes!G150</f>
        <v>45</v>
      </c>
    </row>
    <row r="151" spans="18:21">
      <c r="R151" t="str">
        <f>TRIM(MID(TRIM(Transportes!D151),1,FIND(CHAR(10),TRIM(Transportes!D151),1)-1))</f>
        <v>Amazonas</v>
      </c>
      <c r="S151" t="str">
        <f>TRIM(IF(Transportes!F151="TRÁNSITO INTERRUMPIDO","Interrumpido",IF(Transportes!F151="TRÁNSITO RESTRINGIDO","Restringido","Normal")))</f>
        <v>Restringido</v>
      </c>
      <c r="T151" t="str">
        <f>TRIM(IF(MID(TRIM(Transportes!H151),1,FIND("-",TRIM(Transportes!H151),1)-2)="Acción humana","H","F"))</f>
        <v>F</v>
      </c>
      <c r="U151" s="53" t="str">
        <f>Transportes!G151</f>
        <v>-</v>
      </c>
    </row>
    <row r="152" spans="18:21">
      <c r="R152" t="str">
        <f>TRIM(MID(TRIM(Transportes!D152),1,FIND(CHAR(10),TRIM(Transportes!D152),1)-1))</f>
        <v>Amazonas</v>
      </c>
      <c r="S152" t="str">
        <f>TRIM(IF(Transportes!F152="TRÁNSITO INTERRUMPIDO","Interrumpido",IF(Transportes!F152="TRÁNSITO RESTRINGIDO","Restringido","Normal")))</f>
        <v>Restringido</v>
      </c>
      <c r="T152" t="str">
        <f>TRIM(IF(MID(TRIM(Transportes!H152),1,FIND("-",TRIM(Transportes!H152),1)-2)="Acción humana","H","F"))</f>
        <v>F</v>
      </c>
      <c r="U152" s="53">
        <f>Transportes!G152</f>
        <v>15</v>
      </c>
    </row>
    <row r="153" spans="18:21">
      <c r="R153" t="str">
        <f>TRIM(MID(TRIM(Transportes!D153),1,FIND(CHAR(10),TRIM(Transportes!D153),1)-1))</f>
        <v>Ucayali</v>
      </c>
      <c r="S153" t="str">
        <f>TRIM(IF(Transportes!F153="TRÁNSITO INTERRUMPIDO","Interrumpido",IF(Transportes!F153="TRÁNSITO RESTRINGIDO","Restringido","Normal")))</f>
        <v>Restringido</v>
      </c>
      <c r="T153" t="str">
        <f>TRIM(IF(MID(TRIM(Transportes!H153),1,FIND("-",TRIM(Transportes!H153),1)-2)="Acción humana","H","F"))</f>
        <v>F</v>
      </c>
      <c r="U153" s="53">
        <f>Transportes!G153</f>
        <v>141</v>
      </c>
    </row>
    <row r="154" spans="18:21">
      <c r="R154" t="str">
        <f>TRIM(MID(TRIM(Transportes!D154),1,FIND(CHAR(10),TRIM(Transportes!D154),1)-1))</f>
        <v>Ucayali</v>
      </c>
      <c r="S154" t="str">
        <f>TRIM(IF(Transportes!F154="TRÁNSITO INTERRUMPIDO","Interrumpido",IF(Transportes!F154="TRÁNSITO RESTRINGIDO","Restringido","Normal")))</f>
        <v>Restringido</v>
      </c>
      <c r="T154" t="str">
        <f>TRIM(IF(MID(TRIM(Transportes!H154),1,FIND("-",TRIM(Transportes!H154),1)-2)="Acción humana","H","F"))</f>
        <v>F</v>
      </c>
      <c r="U154" s="53">
        <f>Transportes!G154</f>
        <v>81</v>
      </c>
    </row>
    <row r="155" spans="18:21">
      <c r="R155" t="str">
        <f>TRIM(MID(TRIM(Transportes!D155),1,FIND(CHAR(10),TRIM(Transportes!D155),1)-1))</f>
        <v>Moquegua</v>
      </c>
      <c r="S155" t="str">
        <f>TRIM(IF(Transportes!F155="TRÁNSITO INTERRUMPIDO","Interrumpido",IF(Transportes!F155="TRÁNSITO RESTRINGIDO","Restringido","Normal")))</f>
        <v>Restringido</v>
      </c>
      <c r="T155" t="str">
        <f>TRIM(IF(MID(TRIM(Transportes!H155),1,FIND("-",TRIM(Transportes!H155),1)-2)="Acción humana","H","F"))</f>
        <v>F</v>
      </c>
      <c r="U155" s="53">
        <f>Transportes!G155</f>
        <v>40</v>
      </c>
    </row>
    <row r="156" spans="18:21">
      <c r="R156" t="str">
        <f>TRIM(MID(TRIM(Transportes!D156),1,FIND(CHAR(10),TRIM(Transportes!D156),1)-1))</f>
        <v>Moquegua</v>
      </c>
      <c r="S156" t="str">
        <f>TRIM(IF(Transportes!F156="TRÁNSITO INTERRUMPIDO","Interrumpido",IF(Transportes!F156="TRÁNSITO RESTRINGIDO","Restringido","Normal")))</f>
        <v>Restringido</v>
      </c>
      <c r="T156" t="str">
        <f>TRIM(IF(MID(TRIM(Transportes!H156),1,FIND("-",TRIM(Transportes!H156),1)-2)="Acción humana","H","F"))</f>
        <v>F</v>
      </c>
      <c r="U156" s="53">
        <f>Transportes!G156</f>
        <v>63</v>
      </c>
    </row>
    <row r="157" spans="18:21">
      <c r="R157" t="str">
        <f>TRIM(MID(TRIM(Transportes!D157),1,FIND(CHAR(10),TRIM(Transportes!D157),1)-1))</f>
        <v>La Libertad</v>
      </c>
      <c r="S157" t="str">
        <f>TRIM(IF(Transportes!F157="TRÁNSITO INTERRUMPIDO","Interrumpido",IF(Transportes!F157="TRÁNSITO RESTRINGIDO","Restringido","Normal")))</f>
        <v>Restringido</v>
      </c>
      <c r="T157" t="str">
        <f>TRIM(IF(MID(TRIM(Transportes!H157),1,FIND("-",TRIM(Transportes!H157),1)-2)="Acción humana","H","F"))</f>
        <v>H</v>
      </c>
      <c r="U157" s="53" t="str">
        <f>Transportes!G157</f>
        <v>-</v>
      </c>
    </row>
    <row r="158" spans="18:21">
      <c r="R158" t="str">
        <f>TRIM(MID(TRIM(Transportes!D158),1,FIND(CHAR(10),TRIM(Transportes!D158),1)-1))</f>
        <v>Puno</v>
      </c>
      <c r="S158" t="str">
        <f>TRIM(IF(Transportes!F158="TRÁNSITO INTERRUMPIDO","Interrumpido",IF(Transportes!F158="TRÁNSITO RESTRINGIDO","Restringido","Normal")))</f>
        <v>Restringido</v>
      </c>
      <c r="T158" t="str">
        <f>TRIM(IF(MID(TRIM(Transportes!H158),1,FIND("-",TRIM(Transportes!H158),1)-2)="Acción humana","H","F"))</f>
        <v>F</v>
      </c>
      <c r="U158" s="53">
        <f>Transportes!G158</f>
        <v>60</v>
      </c>
    </row>
    <row r="159" spans="18:21">
      <c r="R159" t="str">
        <f>TRIM(MID(TRIM(Transportes!D159),1,FIND(CHAR(10),TRIM(Transportes!D159),1)-1))</f>
        <v>Ayacucho</v>
      </c>
      <c r="S159" t="str">
        <f>TRIM(IF(Transportes!F159="TRÁNSITO INTERRUMPIDO","Interrumpido",IF(Transportes!F159="TRÁNSITO RESTRINGIDO","Restringido","Normal")))</f>
        <v>Normal</v>
      </c>
      <c r="T159" t="str">
        <f>TRIM(IF(MID(TRIM(Transportes!H159),1,FIND("-",TRIM(Transportes!H159),1)-2)="Acción humana","H","F"))</f>
        <v>F</v>
      </c>
      <c r="U159" s="53">
        <f>Transportes!G159</f>
        <v>0</v>
      </c>
    </row>
    <row r="160" spans="18:21">
      <c r="R160" t="str">
        <f>TRIM(MID(TRIM(Transportes!D160),1,FIND(CHAR(10),TRIM(Transportes!D160),1)-1))</f>
        <v>Puno</v>
      </c>
      <c r="S160" t="str">
        <f>TRIM(IF(Transportes!F160="TRÁNSITO INTERRUMPIDO","Interrumpido",IF(Transportes!F160="TRÁNSITO RESTRINGIDO","Restringido","Normal")))</f>
        <v>Normal</v>
      </c>
      <c r="T160" t="str">
        <f>TRIM(IF(MID(TRIM(Transportes!H160),1,FIND("-",TRIM(Transportes!H160),1)-2)="Acción humana","H","F"))</f>
        <v>F</v>
      </c>
      <c r="U160" s="53">
        <f>Transportes!G160</f>
        <v>40</v>
      </c>
    </row>
    <row r="161" spans="18:21">
      <c r="R161" t="str">
        <f>TRIM(MID(TRIM(Transportes!D161),1,FIND(CHAR(10),TRIM(Transportes!D161),1)-1))</f>
        <v>Apurímac</v>
      </c>
      <c r="S161" t="str">
        <f>TRIM(IF(Transportes!F161="TRÁNSITO INTERRUMPIDO","Interrumpido",IF(Transportes!F161="TRÁNSITO RESTRINGIDO","Restringido","Normal")))</f>
        <v>Normal</v>
      </c>
      <c r="T161" t="str">
        <f>TRIM(IF(MID(TRIM(Transportes!H161),1,FIND("-",TRIM(Transportes!H161),1)-2)="Acción humana","H","F"))</f>
        <v>F</v>
      </c>
      <c r="U161" s="53">
        <f>Transportes!G161</f>
        <v>5</v>
      </c>
    </row>
    <row r="162" spans="18:21">
      <c r="R162" t="str">
        <f>TRIM(MID(TRIM(Transportes!D162),1,FIND(CHAR(10),TRIM(Transportes!D162),1)-1))</f>
        <v>Apurímac</v>
      </c>
      <c r="S162" t="str">
        <f>TRIM(IF(Transportes!F162="TRÁNSITO INTERRUMPIDO","Interrumpido",IF(Transportes!F162="TRÁNSITO RESTRINGIDO","Restringido","Normal")))</f>
        <v>Normal</v>
      </c>
      <c r="T162" t="str">
        <f>TRIM(IF(MID(TRIM(Transportes!H162),1,FIND("-",TRIM(Transportes!H162),1)-2)="Acción humana","H","F"))</f>
        <v>F</v>
      </c>
      <c r="U162" s="53">
        <f>Transportes!G162</f>
        <v>5</v>
      </c>
    </row>
    <row r="163" spans="18:21">
      <c r="R163" t="e">
        <f>TRIM(MID(TRIM(Transportes!D163),1,FIND(CHAR(10),TRIM(Transportes!D163),1)-1))</f>
        <v>#VALUE!</v>
      </c>
      <c r="S163" t="str">
        <f>TRIM(IF(Transportes!F163="TRÁNSITO INTERRUMPIDO","Interrumpido",IF(Transportes!F163="TRÁNSITO RESTRINGIDO","Restringido","Normal")))</f>
        <v>Normal</v>
      </c>
      <c r="T163" t="e">
        <f>TRIM(IF(MID(TRIM(Transportes!H163),1,FIND("-",TRIM(Transportes!H163),1)-2)="Acción humana","H","F"))</f>
        <v>#VALUE!</v>
      </c>
      <c r="U163" s="53">
        <f>Transportes!G163</f>
        <v>0</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TRIM(MID(TRIM(Transportes!D193),1,FIND(CHAR(10),TRIM(Transportes!D193),1)-1))</f>
        <v>#VALUE!</v>
      </c>
      <c r="S193" t="str">
        <f>TRIM(IF(Transportes!F193="TRÁNSITO INTERRUMPIDO","Interrumpido",IF(Transportes!F193="TRÁNSITO RESTRINGIDO","Restringido","Normal")))</f>
        <v>Normal</v>
      </c>
      <c r="T193" t="e">
        <f>TRIM(IF(MID(TRIM(Transportes!H193),1,FIND("-",TRIM(Transportes!H193),1)-2)="Acción humana","H","F"))</f>
        <v>#VALUE!</v>
      </c>
      <c r="U193" s="53">
        <f>Transportes!G193</f>
        <v>0</v>
      </c>
    </row>
    <row r="194" spans="18:21">
      <c r="R194" t="e">
        <f>TRIM(MID(TRIM(Transportes!D194),1,FIND(CHAR(10),TRIM(Transportes!D194),1)-1))</f>
        <v>#VALUE!</v>
      </c>
      <c r="S194" t="str">
        <f>TRIM(IF(Transportes!F194="TRÁNSITO INTERRUMPIDO","Interrumpido",IF(Transportes!F194="TRÁNSITO RESTRINGIDO","Restringido","Normal")))</f>
        <v>Normal</v>
      </c>
      <c r="T194" t="e">
        <f>TRIM(IF(MID(TRIM(Transportes!H194),1,FIND("-",TRIM(Transportes!H194),1)-2)="Acción humana","H","F"))</f>
        <v>#VALUE!</v>
      </c>
      <c r="U194" s="53">
        <f>Transportes!G194</f>
        <v>0</v>
      </c>
    </row>
    <row r="195" spans="18:21">
      <c r="R195" t="e">
        <f>TRIM(MID(TRIM(Transportes!D195),1,FIND(CHAR(10),TRIM(Transportes!D195),1)-1))</f>
        <v>#VALUE!</v>
      </c>
      <c r="S195" t="str">
        <f>TRIM(IF(Transportes!F195="TRÁNSITO INTERRUMPIDO","Interrumpido",IF(Transportes!F195="TRÁNSITO RESTRINGIDO","Restringido","Normal")))</f>
        <v>Normal</v>
      </c>
      <c r="T195" t="e">
        <f>TRIM(IF(MID(TRIM(Transportes!H195),1,FIND("-",TRIM(Transportes!H195),1)-2)="Acción humana","H","F"))</f>
        <v>#VALUE!</v>
      </c>
      <c r="U195" s="53">
        <f>Transportes!G195</f>
        <v>0</v>
      </c>
    </row>
    <row r="196" spans="18:21">
      <c r="R196" t="e">
        <f>TRIM(MID(TRIM(Transportes!D196),1,FIND(CHAR(10),TRIM(Transportes!D196),1)-1))</f>
        <v>#VALUE!</v>
      </c>
      <c r="S196" t="str">
        <f>TRIM(IF(Transportes!F196="TRÁNSITO INTERRUMPIDO","Interrumpido",IF(Transportes!F196="TRÁNSITO RESTRINGIDO","Restringido","Normal")))</f>
        <v>Normal</v>
      </c>
      <c r="T196" t="e">
        <f>TRIM(IF(MID(TRIM(Transportes!H196),1,FIND("-",TRIM(Transportes!H196),1)-2)="Acción humana","H","F"))</f>
        <v>#VALUE!</v>
      </c>
      <c r="U196" s="53">
        <f>Transportes!G196</f>
        <v>0</v>
      </c>
    </row>
    <row r="197" spans="18:21">
      <c r="R197" t="e">
        <f>TRIM(MID(TRIM(Transportes!D197),1,FIND(CHAR(10),TRIM(Transportes!D197),1)-1))</f>
        <v>#VALUE!</v>
      </c>
      <c r="S197" t="str">
        <f>TRIM(IF(Transportes!F197="TRÁNSITO INTERRUMPIDO","Interrumpido",IF(Transportes!F197="TRÁNSITO RESTRINGIDO","Restringido","Normal")))</f>
        <v>Normal</v>
      </c>
      <c r="T197" t="e">
        <f>TRIM(IF(MID(TRIM(Transportes!H197),1,FIND("-",TRIM(Transportes!H197),1)-2)="Acción humana","H","F"))</f>
        <v>#VALUE!</v>
      </c>
      <c r="U197" s="53">
        <f>Transportes!G197</f>
        <v>0</v>
      </c>
    </row>
    <row r="198" spans="18:21">
      <c r="R198" t="e">
        <f>TRIM(MID(TRIM(Transportes!D198),1,FIND(CHAR(10),TRIM(Transportes!D198),1)-1))</f>
        <v>#VALUE!</v>
      </c>
      <c r="S198" t="str">
        <f>TRIM(IF(Transportes!F198="TRÁNSITO INTERRUMPIDO","Interrumpido",IF(Transportes!F198="TRÁNSITO RESTRINGIDO","Restringido","Normal")))</f>
        <v>Normal</v>
      </c>
      <c r="T198" t="e">
        <f>TRIM(IF(MID(TRIM(Transportes!H198),1,FIND("-",TRIM(Transportes!H198),1)-2)="Acción humana","H","F"))</f>
        <v>#VALUE!</v>
      </c>
      <c r="U198" s="53">
        <f>Transportes!G198</f>
        <v>0</v>
      </c>
    </row>
    <row r="199" spans="18:21">
      <c r="R199" t="e">
        <f>TRIM(MID(TRIM(Transportes!D199),1,FIND(CHAR(10),TRIM(Transportes!D199),1)-1))</f>
        <v>#VALUE!</v>
      </c>
      <c r="S199" t="str">
        <f>TRIM(IF(Transportes!F199="TRÁNSITO INTERRUMPIDO","Interrumpido",IF(Transportes!F199="TRÁNSITO RESTRINGIDO","Restringido","Normal")))</f>
        <v>Normal</v>
      </c>
      <c r="T199" t="e">
        <f>TRIM(IF(MID(TRIM(Transportes!H199),1,FIND("-",TRIM(Transportes!H199),1)-2)="Acción humana","H","F"))</f>
        <v>#VALUE!</v>
      </c>
      <c r="U199" s="53">
        <f>Transportes!G199</f>
        <v>0</v>
      </c>
    </row>
    <row r="200" spans="18:21">
      <c r="R200" t="e">
        <f>TRIM(MID(TRIM(Transportes!D200),1,FIND(CHAR(10),TRIM(Transportes!D200),1)-1))</f>
        <v>#VALUE!</v>
      </c>
      <c r="S200" t="str">
        <f>TRIM(IF(Transportes!F200="TRÁNSITO INTERRUMPIDO","Interrumpido",IF(Transportes!F200="TRÁNSITO RESTRINGIDO","Restringido","Normal")))</f>
        <v>Normal</v>
      </c>
      <c r="T200" t="e">
        <f>TRIM(IF(MID(TRIM(Transportes!H200),1,FIND("-",TRIM(Transportes!H200),1)-2)="Acción humana","H","F"))</f>
        <v>#VALUE!</v>
      </c>
      <c r="U200" s="53">
        <f>Transportes!G200</f>
        <v>0</v>
      </c>
    </row>
    <row r="201" spans="18:21">
      <c r="R201" t="e">
        <f>TRIM(MID(TRIM(Transportes!D201),1,FIND(CHAR(10),TRIM(Transportes!D201),1)-1))</f>
        <v>#VALUE!</v>
      </c>
      <c r="S201" t="str">
        <f>TRIM(IF(Transportes!F201="TRÁNSITO INTERRUMPIDO","Interrumpido",IF(Transportes!F201="TRÁNSITO RESTRINGIDO","Restringido","Normal")))</f>
        <v>Normal</v>
      </c>
      <c r="T201" t="e">
        <f>TRIM(IF(MID(TRIM(Transportes!H201),1,FIND("-",TRIM(Transportes!H201),1)-2)="Acción humana","H","F"))</f>
        <v>#VALUE!</v>
      </c>
      <c r="U201" s="53">
        <f>Transportes!G201</f>
        <v>0</v>
      </c>
    </row>
    <row r="202" spans="18:21">
      <c r="R202" t="e">
        <f>TRIM(MID(TRIM(Transportes!D202),1,FIND(CHAR(10),TRIM(Transportes!D202),1)-1))</f>
        <v>#VALUE!</v>
      </c>
      <c r="S202" t="str">
        <f>TRIM(IF(Transportes!F202="TRÁNSITO INTERRUMPIDO","Interrumpido",IF(Transportes!F202="TRÁNSITO RESTRINGIDO","Restringido","Normal")))</f>
        <v>Normal</v>
      </c>
      <c r="T202" t="e">
        <f>TRIM(IF(MID(TRIM(Transportes!H202),1,FIND("-",TRIM(Transportes!H202),1)-2)="Acción humana","H","F"))</f>
        <v>#VALUE!</v>
      </c>
      <c r="U202" s="53">
        <f>Transportes!G202</f>
        <v>0</v>
      </c>
    </row>
    <row r="203" spans="18:21">
      <c r="R203" t="e">
        <f>TRIM(MID(TRIM(Transportes!D203),1,FIND(CHAR(10),TRIM(Transportes!D203),1)-1))</f>
        <v>#VALUE!</v>
      </c>
      <c r="S203" t="str">
        <f>TRIM(IF(Transportes!F203="TRÁNSITO INTERRUMPIDO","Interrumpido",IF(Transportes!F203="TRÁNSITO RESTRINGIDO","Restringido","Normal")))</f>
        <v>Normal</v>
      </c>
      <c r="T203" t="e">
        <f>TRIM(IF(MID(TRIM(Transportes!H203),1,FIND("-",TRIM(Transportes!H203),1)-2)="Acción humana","H","F"))</f>
        <v>#VALUE!</v>
      </c>
      <c r="U203" s="53">
        <f>Transportes!G203</f>
        <v>0</v>
      </c>
    </row>
    <row r="204" spans="18:21">
      <c r="R204" t="e">
        <f>TRIM(MID(TRIM(Transportes!D204),1,FIND(CHAR(10),TRIM(Transportes!D204),1)-1))</f>
        <v>#VALUE!</v>
      </c>
      <c r="S204" t="str">
        <f>TRIM(IF(Transportes!F204="TRÁNSITO INTERRUMPIDO","Interrumpido",IF(Transportes!F204="TRÁNSITO RESTRINGIDO","Restringido","Normal")))</f>
        <v>Normal</v>
      </c>
      <c r="T204" t="e">
        <f>TRIM(IF(MID(TRIM(Transportes!H204),1,FIND("-",TRIM(Transportes!H204),1)-2)="Acción humana","H","F"))</f>
        <v>#VALUE!</v>
      </c>
      <c r="U204" s="53">
        <f>Transportes!G204</f>
        <v>0</v>
      </c>
    </row>
    <row r="205" spans="18:21">
      <c r="R205" t="e">
        <f>TRIM(MID(TRIM(Transportes!D205),1,FIND(CHAR(10),TRIM(Transportes!D205),1)-1))</f>
        <v>#VALUE!</v>
      </c>
      <c r="S205" t="str">
        <f>TRIM(IF(Transportes!F205="TRÁNSITO INTERRUMPIDO","Interrumpido",IF(Transportes!F205="TRÁNSITO RESTRINGIDO","Restringido","Normal")))</f>
        <v>Normal</v>
      </c>
      <c r="T205" t="e">
        <f>TRIM(IF(MID(TRIM(Transportes!H205),1,FIND("-",TRIM(Transportes!H205),1)-2)="Acción humana","H","F"))</f>
        <v>#VALUE!</v>
      </c>
      <c r="U205" s="53">
        <f>Transportes!G205</f>
        <v>0</v>
      </c>
    </row>
    <row r="206" spans="18:21">
      <c r="R206" t="e">
        <f>TRIM(MID(TRIM(Transportes!D206),1,FIND(CHAR(10),TRIM(Transportes!D206),1)-1))</f>
        <v>#VALUE!</v>
      </c>
      <c r="S206" t="str">
        <f>TRIM(IF(Transportes!F206="TRÁNSITO INTERRUMPIDO","Interrumpido",IF(Transportes!F206="TRÁNSITO RESTRINGIDO","Restringido","Normal")))</f>
        <v>Normal</v>
      </c>
      <c r="T206" t="e">
        <f>TRIM(IF(MID(TRIM(Transportes!H206),1,FIND("-",TRIM(Transportes!H206),1)-2)="Acción humana","H","F"))</f>
        <v>#VALUE!</v>
      </c>
      <c r="U206" s="53">
        <f>Transportes!G206</f>
        <v>0</v>
      </c>
    </row>
    <row r="207" spans="18:21">
      <c r="R207" t="e">
        <f>TRIM(MID(TRIM(Transportes!D207),1,FIND(CHAR(10),TRIM(Transportes!D207),1)-1))</f>
        <v>#VALUE!</v>
      </c>
      <c r="S207" t="str">
        <f>TRIM(IF(Transportes!F207="TRÁNSITO INTERRUMPIDO","Interrumpido",IF(Transportes!F207="TRÁNSITO RESTRINGIDO","Restringido","Normal")))</f>
        <v>Normal</v>
      </c>
      <c r="T207" t="e">
        <f>TRIM(IF(MID(TRIM(Transportes!H207),1,FIND("-",TRIM(Transportes!H207),1)-2)="Acción humana","H","F"))</f>
        <v>#VALUE!</v>
      </c>
      <c r="U207" s="53">
        <f>Transportes!G207</f>
        <v>0</v>
      </c>
    </row>
    <row r="208" spans="18:21">
      <c r="R208" t="e">
        <f>TRIM(MID(TRIM(Transportes!D208),1,FIND(CHAR(10),TRIM(Transportes!D208),1)-1))</f>
        <v>#VALUE!</v>
      </c>
      <c r="S208" t="str">
        <f>TRIM(IF(Transportes!F208="TRÁNSITO INTERRUMPIDO","Interrumpido",IF(Transportes!F208="TRÁNSITO RESTRINGIDO","Restringido","Normal")))</f>
        <v>Normal</v>
      </c>
      <c r="T208" t="e">
        <f>TRIM(IF(MID(TRIM(Transportes!H208),1,FIND("-",TRIM(Transportes!H208),1)-2)="Acción humana","H","F"))</f>
        <v>#VALUE!</v>
      </c>
      <c r="U208" s="53">
        <f>Transportes!G208</f>
        <v>0</v>
      </c>
    </row>
    <row r="209" spans="18:21">
      <c r="R209" t="e">
        <f>TRIM(MID(TRIM(Transportes!D209),1,FIND(CHAR(10),TRIM(Transportes!D209),1)-1))</f>
        <v>#VALUE!</v>
      </c>
      <c r="S209" t="str">
        <f>TRIM(IF(Transportes!F209="TRÁNSITO INTERRUMPIDO","Interrumpido",IF(Transportes!F209="TRÁNSITO RESTRINGIDO","Restringido","Normal")))</f>
        <v>Normal</v>
      </c>
      <c r="T209" t="e">
        <f>TRIM(IF(MID(TRIM(Transportes!H209),1,FIND("-",TRIM(Transportes!H209),1)-2)="Acción humana","H","F"))</f>
        <v>#VALUE!</v>
      </c>
      <c r="U209" s="53">
        <f>Transportes!G209</f>
        <v>0</v>
      </c>
    </row>
    <row r="210" spans="18:21">
      <c r="R210" t="e">
        <f>TRIM(MID(TRIM(Transportes!D210),1,FIND(CHAR(10),TRIM(Transportes!D210),1)-1))</f>
        <v>#VALUE!</v>
      </c>
      <c r="S210" t="str">
        <f>TRIM(IF(Transportes!F210="TRÁNSITO INTERRUMPIDO","Interrumpido",IF(Transportes!F210="TRÁNSITO RESTRINGIDO","Restringido","Normal")))</f>
        <v>Normal</v>
      </c>
      <c r="T210" t="e">
        <f>TRIM(IF(MID(TRIM(Transportes!H210),1,FIND("-",TRIM(Transportes!H210),1)-2)="Acción humana","H","F"))</f>
        <v>#VALUE!</v>
      </c>
      <c r="U210" s="53">
        <f>Transportes!G210</f>
        <v>0</v>
      </c>
    </row>
    <row r="211" spans="18:21">
      <c r="R211" t="e">
        <f>TRIM(MID(TRIM(Transportes!D211),1,FIND(CHAR(10),TRIM(Transportes!D211),1)-1))</f>
        <v>#VALUE!</v>
      </c>
      <c r="S211" t="str">
        <f>TRIM(IF(Transportes!F211="TRÁNSITO INTERRUMPIDO","Interrumpido",IF(Transportes!F211="TRÁNSITO RESTRINGIDO","Restringido","Normal")))</f>
        <v>Normal</v>
      </c>
      <c r="T211" t="e">
        <f>TRIM(IF(MID(TRIM(Transportes!H211),1,FIND("-",TRIM(Transportes!H211),1)-2)="Acción humana","H","F"))</f>
        <v>#VALUE!</v>
      </c>
      <c r="U211" s="53">
        <f>Transportes!G211</f>
        <v>0</v>
      </c>
    </row>
    <row r="212" spans="18:21">
      <c r="R212" t="e">
        <f>TRIM(MID(TRIM(Transportes!D212),1,FIND(CHAR(10),TRIM(Transportes!D212),1)-1))</f>
        <v>#VALUE!</v>
      </c>
      <c r="S212" t="str">
        <f>TRIM(IF(Transportes!F212="TRÁNSITO INTERRUMPIDO","Interrumpido",IF(Transportes!F212="TRÁNSITO RESTRINGIDO","Restringido","Normal")))</f>
        <v>Normal</v>
      </c>
      <c r="T212" t="e">
        <f>TRIM(IF(MID(TRIM(Transportes!H212),1,FIND("-",TRIM(Transportes!H212),1)-2)="Acción humana","H","F"))</f>
        <v>#VALUE!</v>
      </c>
      <c r="U212" s="53">
        <f>Transportes!G212</f>
        <v>0</v>
      </c>
    </row>
    <row r="213" spans="18:21">
      <c r="R213" t="e">
        <f>TRIM(MID(TRIM(Transportes!D213),1,FIND(CHAR(10),TRIM(Transportes!D213),1)-1))</f>
        <v>#VALUE!</v>
      </c>
      <c r="S213" t="str">
        <f>TRIM(IF(Transportes!F213="TRÁNSITO INTERRUMPIDO","Interrumpido",IF(Transportes!F213="TRÁNSITO RESTRINGIDO","Restringido","Normal")))</f>
        <v>Normal</v>
      </c>
      <c r="T213" t="e">
        <f>TRIM(IF(MID(TRIM(Transportes!H213),1,FIND("-",TRIM(Transportes!H213),1)-2)="Acción humana","H","F"))</f>
        <v>#VALUE!</v>
      </c>
      <c r="U213" s="53">
        <f>Transportes!G213</f>
        <v>0</v>
      </c>
    </row>
    <row r="214" spans="18:21">
      <c r="R214" t="e">
        <f>TRIM(MID(TRIM(Transportes!D214),1,FIND(CHAR(10),TRIM(Transportes!D214),1)-1))</f>
        <v>#VALUE!</v>
      </c>
      <c r="S214" t="str">
        <f>TRIM(IF(Transportes!F214="TRÁNSITO INTERRUMPIDO","Interrumpido",IF(Transportes!F214="TRÁNSITO RESTRINGIDO","Restringido","Normal")))</f>
        <v>Normal</v>
      </c>
      <c r="T214" t="e">
        <f>TRIM(IF(MID(TRIM(Transportes!H214),1,FIND("-",TRIM(Transportes!H214),1)-2)="Acción humana","H","F"))</f>
        <v>#VALUE!</v>
      </c>
      <c r="U214" s="53">
        <f>Transportes!G214</f>
        <v>0</v>
      </c>
    </row>
    <row r="215" spans="18:21">
      <c r="R215" t="e">
        <f>TRIM(MID(TRIM(Transportes!D215),1,FIND(CHAR(10),TRIM(Transportes!D215),1)-1))</f>
        <v>#VALUE!</v>
      </c>
      <c r="S215" t="str">
        <f>TRIM(IF(Transportes!F215="TRÁNSITO INTERRUMPIDO","Interrumpido",IF(Transportes!F215="TRÁNSITO RESTRINGIDO","Restringido","Normal")))</f>
        <v>Normal</v>
      </c>
      <c r="T215" t="e">
        <f>TRIM(IF(MID(TRIM(Transportes!H215),1,FIND("-",TRIM(Transportes!H215),1)-2)="Acción humana","H","F"))</f>
        <v>#VALUE!</v>
      </c>
      <c r="U215" s="53">
        <f>Transportes!G215</f>
        <v>0</v>
      </c>
    </row>
    <row r="216" spans="18:21">
      <c r="R216" t="e">
        <f>TRIM(MID(TRIM(Transportes!D216),1,FIND(CHAR(10),TRIM(Transportes!D216),1)-1))</f>
        <v>#VALUE!</v>
      </c>
      <c r="S216" t="str">
        <f>TRIM(IF(Transportes!F216="TRÁNSITO INTERRUMPIDO","Interrumpido",IF(Transportes!F216="TRÁNSITO RESTRINGIDO","Restringido","Normal")))</f>
        <v>Normal</v>
      </c>
      <c r="T216" t="e">
        <f>TRIM(IF(MID(TRIM(Transportes!H216),1,FIND("-",TRIM(Transportes!H216),1)-2)="Acción humana","H","F"))</f>
        <v>#VALUE!</v>
      </c>
      <c r="U216" s="53">
        <f>Transportes!G216</f>
        <v>0</v>
      </c>
    </row>
    <row r="217" spans="18:21">
      <c r="R217" t="e">
        <f>TRIM(MID(TRIM(Transportes!D217),1,FIND(CHAR(10),TRIM(Transportes!D217),1)-1))</f>
        <v>#VALUE!</v>
      </c>
      <c r="S217" t="str">
        <f>TRIM(IF(Transportes!F217="TRÁNSITO INTERRUMPIDO","Interrumpido",IF(Transportes!F217="TRÁNSITO RESTRINGIDO","Restringido","Normal")))</f>
        <v>Normal</v>
      </c>
      <c r="T217" t="e">
        <f>TRIM(IF(MID(TRIM(Transportes!H217),1,FIND("-",TRIM(Transportes!H217),1)-2)="Acción humana","H","F"))</f>
        <v>#VALUE!</v>
      </c>
      <c r="U217" s="53">
        <f>Transportes!G217</f>
        <v>0</v>
      </c>
    </row>
    <row r="218" spans="18:21">
      <c r="R218" t="e">
        <f>TRIM(MID(TRIM(Transportes!D218),1,FIND(CHAR(10),TRIM(Transportes!D218),1)-1))</f>
        <v>#VALUE!</v>
      </c>
      <c r="S218" t="str">
        <f>TRIM(IF(Transportes!F218="TRÁNSITO INTERRUMPIDO","Interrumpido",IF(Transportes!F218="TRÁNSITO RESTRINGIDO","Restringido","Normal")))</f>
        <v>Normal</v>
      </c>
      <c r="T218" t="e">
        <f>TRIM(IF(MID(TRIM(Transportes!H218),1,FIND("-",TRIM(Transportes!H218),1)-2)="Acción humana","H","F"))</f>
        <v>#VALUE!</v>
      </c>
      <c r="U218" s="53">
        <f>Transportes!G218</f>
        <v>0</v>
      </c>
    </row>
    <row r="219" spans="18:21">
      <c r="R219" t="e">
        <f>TRIM(MID(TRIM(Transportes!D219),1,FIND(CHAR(10),TRIM(Transportes!D219),1)-1))</f>
        <v>#VALUE!</v>
      </c>
      <c r="S219" t="str">
        <f>TRIM(IF(Transportes!F219="TRÁNSITO INTERRUMPIDO","Interrumpido",IF(Transportes!F219="TRÁNSITO RESTRINGIDO","Restringido","Normal")))</f>
        <v>Normal</v>
      </c>
      <c r="T219" t="e">
        <f>TRIM(IF(MID(TRIM(Transportes!H219),1,FIND("-",TRIM(Transportes!H219),1)-2)="Acción humana","H","F"))</f>
        <v>#VALUE!</v>
      </c>
      <c r="U219" s="53">
        <f>Transportes!G219</f>
        <v>0</v>
      </c>
    </row>
    <row r="220" spans="18:21">
      <c r="R220" t="e">
        <f>TRIM(MID(TRIM(Transportes!D220),1,FIND(CHAR(10),TRIM(Transportes!D220),1)-1))</f>
        <v>#VALUE!</v>
      </c>
      <c r="S220" t="str">
        <f>TRIM(IF(Transportes!F220="TRÁNSITO INTERRUMPIDO","Interrumpido",IF(Transportes!F220="TRÁNSITO RESTRINGIDO","Restringido","Normal")))</f>
        <v>Normal</v>
      </c>
      <c r="T220" t="e">
        <f>TRIM(IF(MID(TRIM(Transportes!H220),1,FIND("-",TRIM(Transportes!H220),1)-2)="Acción humana","H","F"))</f>
        <v>#VALUE!</v>
      </c>
      <c r="U220" s="53">
        <f>Transportes!G220</f>
        <v>0</v>
      </c>
    </row>
    <row r="221" spans="18:21">
      <c r="R221" t="e">
        <f>TRIM(MID(TRIM(Transportes!D221),1,FIND(CHAR(10),TRIM(Transportes!D221),1)-1))</f>
        <v>#VALUE!</v>
      </c>
      <c r="S221" t="str">
        <f>TRIM(IF(Transportes!F221="TRÁNSITO INTERRUMPIDO","Interrumpido",IF(Transportes!F221="TRÁNSITO RESTRINGIDO","Restringido","Normal")))</f>
        <v>Normal</v>
      </c>
      <c r="T221" t="e">
        <f>TRIM(IF(MID(TRIM(Transportes!H221),1,FIND("-",TRIM(Transportes!H221),1)-2)="Acción humana","H","F"))</f>
        <v>#VALUE!</v>
      </c>
      <c r="U221" s="53">
        <f>Transportes!G221</f>
        <v>0</v>
      </c>
    </row>
    <row r="222" spans="18:21">
      <c r="R222" t="e">
        <f>TRIM(MID(TRIM(Transportes!D222),1,FIND(CHAR(10),TRIM(Transportes!D222),1)-1))</f>
        <v>#VALUE!</v>
      </c>
      <c r="S222" t="str">
        <f>TRIM(IF(Transportes!F222="TRÁNSITO INTERRUMPIDO","Interrumpido",IF(Transportes!F222="TRÁNSITO RESTRINGIDO","Restringido","Normal")))</f>
        <v>Normal</v>
      </c>
      <c r="T222" t="e">
        <f>TRIM(IF(MID(TRIM(Transportes!H222),1,FIND("-",TRIM(Transportes!H222),1)-2)="Acción humana","H","F"))</f>
        <v>#VALUE!</v>
      </c>
      <c r="U222" s="53">
        <f>Transportes!G222</f>
        <v>0</v>
      </c>
    </row>
    <row r="223" spans="18:21">
      <c r="R223" t="e">
        <f>TRIM(MID(TRIM(Transportes!D223),1,FIND(CHAR(10),TRIM(Transportes!D223),1)-1))</f>
        <v>#VALUE!</v>
      </c>
      <c r="S223" t="str">
        <f>TRIM(IF(Transportes!F223="TRÁNSITO INTERRUMPIDO","Interrumpido",IF(Transportes!F223="TRÁNSITO RESTRINGIDO","Restringido","Normal")))</f>
        <v>Normal</v>
      </c>
      <c r="T223" t="e">
        <f>TRIM(IF(MID(TRIM(Transportes!H223),1,FIND("-",TRIM(Transportes!H223),1)-2)="Acción humana","H","F"))</f>
        <v>#VALUE!</v>
      </c>
      <c r="U223" s="53">
        <f>Transportes!G223</f>
        <v>0</v>
      </c>
    </row>
    <row r="224" spans="18:21">
      <c r="R224" t="e">
        <f>TRIM(MID(TRIM(Transportes!D224),1,FIND(CHAR(10),TRIM(Transportes!D224),1)-1))</f>
        <v>#VALUE!</v>
      </c>
      <c r="S224" t="str">
        <f>TRIM(IF(Transportes!F224="TRÁNSITO INTERRUMPIDO","Interrumpido",IF(Transportes!F224="TRÁNSITO RESTRINGIDO","Restringido","Normal")))</f>
        <v>Normal</v>
      </c>
      <c r="T224" t="e">
        <f>TRIM(IF(MID(TRIM(Transportes!H224),1,FIND("-",TRIM(Transportes!H224),1)-2)="Acción humana","H","F"))</f>
        <v>#VALUE!</v>
      </c>
      <c r="U224" s="53">
        <f>Transportes!G224</f>
        <v>0</v>
      </c>
    </row>
    <row r="225" spans="18:21">
      <c r="R225" t="e">
        <f>TRIM(MID(TRIM(Transportes!D225),1,FIND(CHAR(10),TRIM(Transportes!D225),1)-1))</f>
        <v>#VALUE!</v>
      </c>
      <c r="S225" t="str">
        <f>TRIM(IF(Transportes!F225="TRÁNSITO INTERRUMPIDO","Interrumpido",IF(Transportes!F225="TRÁNSITO RESTRINGIDO","Restringido","Normal")))</f>
        <v>Normal</v>
      </c>
      <c r="T225" t="e">
        <f>TRIM(IF(MID(TRIM(Transportes!H225),1,FIND("-",TRIM(Transportes!H225),1)-2)="Acción humana","H","F"))</f>
        <v>#VALUE!</v>
      </c>
      <c r="U225" s="53">
        <f>Transportes!G225</f>
        <v>0</v>
      </c>
    </row>
    <row r="226" spans="18:21">
      <c r="R226" t="e">
        <f>TRIM(MID(TRIM(Transportes!D226),1,FIND(CHAR(10),TRIM(Transportes!D226),1)-1))</f>
        <v>#VALUE!</v>
      </c>
      <c r="S226" t="str">
        <f>TRIM(IF(Transportes!F226="TRÁNSITO INTERRUMPIDO","Interrumpido",IF(Transportes!F226="TRÁNSITO RESTRINGIDO","Restringido","Normal")))</f>
        <v>Normal</v>
      </c>
      <c r="T226" t="e">
        <f>TRIM(IF(MID(TRIM(Transportes!H226),1,FIND("-",TRIM(Transportes!H226),1)-2)="Acción humana","H","F"))</f>
        <v>#VALUE!</v>
      </c>
      <c r="U226" s="53">
        <f>Transportes!G226</f>
        <v>0</v>
      </c>
    </row>
    <row r="227" spans="18:21">
      <c r="R227" t="e">
        <f>TRIM(MID(TRIM(Transportes!D227),1,FIND(CHAR(10),TRIM(Transportes!D227),1)-1))</f>
        <v>#VALUE!</v>
      </c>
      <c r="S227" t="str">
        <f>TRIM(IF(Transportes!F227="TRÁNSITO INTERRUMPIDO","Interrumpido",IF(Transportes!F227="TRÁNSITO RESTRINGIDO","Restringido","Normal")))</f>
        <v>Normal</v>
      </c>
      <c r="T227" t="e">
        <f>TRIM(IF(MID(TRIM(Transportes!H227),1,FIND("-",TRIM(Transportes!H227),1)-2)="Acción humana","H","F"))</f>
        <v>#VALUE!</v>
      </c>
      <c r="U227" s="53">
        <f>Transportes!G227</f>
        <v>0</v>
      </c>
    </row>
    <row r="228" spans="18:21">
      <c r="R228" t="e">
        <f>TRIM(MID(TRIM(Transportes!D228),1,FIND(CHAR(10),TRIM(Transportes!D228),1)-1))</f>
        <v>#VALUE!</v>
      </c>
      <c r="S228" t="str">
        <f>TRIM(IF(Transportes!F228="TRÁNSITO INTERRUMPIDO","Interrumpido",IF(Transportes!F228="TRÁNSITO RESTRINGIDO","Restringido","Normal")))</f>
        <v>Normal</v>
      </c>
      <c r="T228" t="e">
        <f>TRIM(IF(MID(TRIM(Transportes!H228),1,FIND("-",TRIM(Transportes!H228),1)-2)="Acción humana","H","F"))</f>
        <v>#VALUE!</v>
      </c>
      <c r="U228" s="53">
        <f>Transportes!G228</f>
        <v>0</v>
      </c>
    </row>
    <row r="229" spans="18:21">
      <c r="R229" t="e">
        <f>TRIM(MID(TRIM(Transportes!D229),1,FIND(CHAR(10),TRIM(Transportes!D229),1)-1))</f>
        <v>#VALUE!</v>
      </c>
      <c r="S229" t="str">
        <f>TRIM(IF(Transportes!F229="TRÁNSITO INTERRUMPIDO","Interrumpido",IF(Transportes!F229="TRÁNSITO RESTRINGIDO","Restringido","Normal")))</f>
        <v>Normal</v>
      </c>
      <c r="T229" t="e">
        <f>TRIM(IF(MID(TRIM(Transportes!H229),1,FIND("-",TRIM(Transportes!H229),1)-2)="Acción humana","H","F"))</f>
        <v>#VALUE!</v>
      </c>
      <c r="U229" s="53">
        <f>Transportes!G229</f>
        <v>0</v>
      </c>
    </row>
    <row r="230" spans="18:21">
      <c r="R230" t="e">
        <f>TRIM(MID(TRIM(Transportes!D230),1,FIND(CHAR(10),TRIM(Transportes!D230),1)-1))</f>
        <v>#VALUE!</v>
      </c>
      <c r="S230" t="str">
        <f>TRIM(IF(Transportes!F230="TRÁNSITO INTERRUMPIDO","Interrumpido",IF(Transportes!F230="TRÁNSITO RESTRINGIDO","Restringido","Normal")))</f>
        <v>Normal</v>
      </c>
      <c r="T230" t="e">
        <f>TRIM(IF(MID(TRIM(Transportes!H230),1,FIND("-",TRIM(Transportes!H230),1)-2)="Acción humana","H","F"))</f>
        <v>#VALUE!</v>
      </c>
      <c r="U230" s="53">
        <f>Transportes!G230</f>
        <v>0</v>
      </c>
    </row>
    <row r="231" spans="18:21">
      <c r="R231" t="e">
        <f>TRIM(MID(TRIM(Transportes!D231),1,FIND(CHAR(10),TRIM(Transportes!D231),1)-1))</f>
        <v>#VALUE!</v>
      </c>
      <c r="S231" t="str">
        <f>TRIM(IF(Transportes!F231="TRÁNSITO INTERRUMPIDO","Interrumpido",IF(Transportes!F231="TRÁNSITO RESTRINGIDO","Restringido","Normal")))</f>
        <v>Normal</v>
      </c>
      <c r="T231" t="e">
        <f>TRIM(IF(MID(TRIM(Transportes!H231),1,FIND("-",TRIM(Transportes!H231),1)-2)="Acción humana","H","F"))</f>
        <v>#VALUE!</v>
      </c>
      <c r="U231" s="53">
        <f>Transportes!G231</f>
        <v>0</v>
      </c>
    </row>
    <row r="232" spans="18:21">
      <c r="R232" t="e">
        <f>TRIM(MID(TRIM(Transportes!D232),1,FIND(CHAR(10),TRIM(Transportes!D232),1)-1))</f>
        <v>#VALUE!</v>
      </c>
      <c r="S232" t="str">
        <f>TRIM(IF(Transportes!F232="TRÁNSITO INTERRUMPIDO","Interrumpido",IF(Transportes!F232="TRÁNSITO RESTRINGIDO","Restringido","Normal")))</f>
        <v>Normal</v>
      </c>
      <c r="T232" t="e">
        <f>TRIM(IF(MID(TRIM(Transportes!H232),1,FIND("-",TRIM(Transportes!H232),1)-2)="Acción humana","H","F"))</f>
        <v>#VALUE!</v>
      </c>
      <c r="U232" s="53">
        <f>Transportes!G232</f>
        <v>0</v>
      </c>
    </row>
    <row r="233" spans="18:21">
      <c r="R233" t="e">
        <f>TRIM(MID(TRIM(Transportes!D233),1,FIND(CHAR(10),TRIM(Transportes!D233),1)-1))</f>
        <v>#VALUE!</v>
      </c>
      <c r="S233" t="str">
        <f>TRIM(IF(Transportes!F233="TRÁNSITO INTERRUMPIDO","Interrumpido",IF(Transportes!F233="TRÁNSITO RESTRINGIDO","Restringido","Normal")))</f>
        <v>Normal</v>
      </c>
      <c r="T233" t="e">
        <f>TRIM(IF(MID(TRIM(Transportes!H233),1,FIND("-",TRIM(Transportes!H233),1)-2)="Acción humana","H","F"))</f>
        <v>#VALUE!</v>
      </c>
      <c r="U233" s="53">
        <f>Transportes!G233</f>
        <v>0</v>
      </c>
    </row>
    <row r="234" spans="18:21">
      <c r="R234" t="e">
        <f>TRIM(MID(TRIM(Transportes!D234),1,FIND(CHAR(10),TRIM(Transportes!D234),1)-1))</f>
        <v>#VALUE!</v>
      </c>
      <c r="S234" t="str">
        <f>TRIM(IF(Transportes!F234="TRÁNSITO INTERRUMPIDO","Interrumpido",IF(Transportes!F234="TRÁNSITO RESTRINGIDO","Restringido","Normal")))</f>
        <v>Normal</v>
      </c>
      <c r="T234" t="e">
        <f>TRIM(IF(MID(TRIM(Transportes!H234),1,FIND("-",TRIM(Transportes!H234),1)-2)="Acción humana","H","F"))</f>
        <v>#VALUE!</v>
      </c>
      <c r="U234" s="53">
        <f>Transportes!G234</f>
        <v>0</v>
      </c>
    </row>
    <row r="235" spans="18:21">
      <c r="R235" t="e">
        <f>TRIM(MID(TRIM(Transportes!D235),1,FIND(CHAR(10),TRIM(Transportes!D235),1)-1))</f>
        <v>#VALUE!</v>
      </c>
      <c r="S235" t="str">
        <f>TRIM(IF(Transportes!F235="TRÁNSITO INTERRUMPIDO","Interrumpido",IF(Transportes!F235="TRÁNSITO RESTRINGIDO","Restringido","Normal")))</f>
        <v>Normal</v>
      </c>
      <c r="T235" t="e">
        <f>TRIM(IF(MID(TRIM(Transportes!H235),1,FIND("-",TRIM(Transportes!H235),1)-2)="Acción humana","H","F"))</f>
        <v>#VALUE!</v>
      </c>
      <c r="U235" s="53">
        <f>Transportes!G235</f>
        <v>0</v>
      </c>
    </row>
    <row r="236" spans="18:21">
      <c r="R236" t="e">
        <f>TRIM(MID(TRIM(Transportes!D236),1,FIND(CHAR(10),TRIM(Transportes!D236),1)-1))</f>
        <v>#VALUE!</v>
      </c>
      <c r="S236" t="str">
        <f>TRIM(IF(Transportes!F236="TRÁNSITO INTERRUMPIDO","Interrumpido",IF(Transportes!F236="TRÁNSITO RESTRINGIDO","Restringido","Normal")))</f>
        <v>Normal</v>
      </c>
      <c r="T236" t="e">
        <f>TRIM(IF(MID(TRIM(Transportes!H236),1,FIND("-",TRIM(Transportes!H236),1)-2)="Acción humana","H","F"))</f>
        <v>#VALUE!</v>
      </c>
      <c r="U236" s="53">
        <f>Transportes!G236</f>
        <v>0</v>
      </c>
    </row>
    <row r="237" spans="18:21">
      <c r="R237" t="e">
        <f>TRIM(MID(TRIM(Transportes!D237),1,FIND(CHAR(10),TRIM(Transportes!D237),1)-1))</f>
        <v>#VALUE!</v>
      </c>
      <c r="S237" t="str">
        <f>TRIM(IF(Transportes!F237="TRÁNSITO INTERRUMPIDO","Interrumpido",IF(Transportes!F237="TRÁNSITO RESTRINGIDO","Restringido","Normal")))</f>
        <v>Normal</v>
      </c>
      <c r="T237" t="e">
        <f>TRIM(IF(MID(TRIM(Transportes!H237),1,FIND("-",TRIM(Transportes!H237),1)-2)="Acción humana","H","F"))</f>
        <v>#VALUE!</v>
      </c>
      <c r="U237" s="53">
        <f>Transportes!G237</f>
        <v>0</v>
      </c>
    </row>
    <row r="238" spans="18:21">
      <c r="R238" t="e">
        <f>TRIM(MID(TRIM(Transportes!D238),1,FIND(CHAR(10),TRIM(Transportes!D238),1)-1))</f>
        <v>#VALUE!</v>
      </c>
      <c r="S238" t="str">
        <f>TRIM(IF(Transportes!F238="TRÁNSITO INTERRUMPIDO","Interrumpido",IF(Transportes!F238="TRÁNSITO RESTRINGIDO","Restringido","Normal")))</f>
        <v>Normal</v>
      </c>
      <c r="T238" t="e">
        <f>TRIM(IF(MID(TRIM(Transportes!H238),1,FIND("-",TRIM(Transportes!H238),1)-2)="Acción humana","H","F"))</f>
        <v>#VALUE!</v>
      </c>
      <c r="U238" s="53">
        <f>Transportes!G238</f>
        <v>0</v>
      </c>
    </row>
    <row r="239" spans="18:21">
      <c r="R239" t="e">
        <f>TRIM(MID(TRIM(Transportes!D239),1,FIND(CHAR(10),TRIM(Transportes!D239),1)-1))</f>
        <v>#VALUE!</v>
      </c>
      <c r="S239" t="str">
        <f>TRIM(IF(Transportes!F239="TRÁNSITO INTERRUMPIDO","Interrumpido",IF(Transportes!F239="TRÁNSITO RESTRINGIDO","Restringido","Normal")))</f>
        <v>Normal</v>
      </c>
      <c r="T239" t="e">
        <f>TRIM(IF(MID(TRIM(Transportes!H239),1,FIND("-",TRIM(Transportes!H239),1)-2)="Acción humana","H","F"))</f>
        <v>#VALUE!</v>
      </c>
      <c r="U239" s="53">
        <f>Transportes!G239</f>
        <v>0</v>
      </c>
    </row>
    <row r="240" spans="18:21">
      <c r="R240" t="e">
        <f>TRIM(MID(TRIM(Transportes!D240),1,FIND(CHAR(10),TRIM(Transportes!D240),1)-1))</f>
        <v>#VALUE!</v>
      </c>
      <c r="S240" t="str">
        <f>TRIM(IF(Transportes!F240="TRÁNSITO INTERRUMPIDO","Interrumpido",IF(Transportes!F240="TRÁNSITO RESTRINGIDO","Restringido","Normal")))</f>
        <v>Normal</v>
      </c>
      <c r="T240" t="e">
        <f>TRIM(IF(MID(TRIM(Transportes!H240),1,FIND("-",TRIM(Transportes!H240),1)-2)="Acción humana","H","F"))</f>
        <v>#VALUE!</v>
      </c>
      <c r="U240" s="53">
        <f>Transportes!G240</f>
        <v>0</v>
      </c>
    </row>
    <row r="241" spans="18:21">
      <c r="R241" t="e">
        <f>TRIM(MID(TRIM(Transportes!D241),1,FIND(CHAR(10),TRIM(Transportes!D241),1)-1))</f>
        <v>#VALUE!</v>
      </c>
      <c r="S241" t="str">
        <f>TRIM(IF(Transportes!F241="TRÁNSITO INTERRUMPIDO","Interrumpido",IF(Transportes!F241="TRÁNSITO RESTRINGIDO","Restringido","Normal")))</f>
        <v>Normal</v>
      </c>
      <c r="T241" t="e">
        <f>TRIM(IF(MID(TRIM(Transportes!H241),1,FIND("-",TRIM(Transportes!H241),1)-2)="Acción humana","H","F"))</f>
        <v>#VALUE!</v>
      </c>
      <c r="U241" s="53">
        <f>Transportes!G241</f>
        <v>0</v>
      </c>
    </row>
    <row r="242" spans="18:21">
      <c r="R242" t="e">
        <f>TRIM(MID(TRIM(Transportes!D242),1,FIND(CHAR(10),TRIM(Transportes!D242),1)-1))</f>
        <v>#VALUE!</v>
      </c>
      <c r="S242" t="str">
        <f>TRIM(IF(Transportes!F242="TRÁNSITO INTERRUMPIDO","Interrumpido",IF(Transportes!F242="TRÁNSITO RESTRINGIDO","Restringido","Normal")))</f>
        <v>Normal</v>
      </c>
      <c r="T242" t="e">
        <f>TRIM(IF(MID(TRIM(Transportes!H242),1,FIND("-",TRIM(Transportes!H242),1)-2)="Acción humana","H","F"))</f>
        <v>#VALUE!</v>
      </c>
      <c r="U242" s="53">
        <f>Transportes!G242</f>
        <v>0</v>
      </c>
    </row>
    <row r="243" spans="18:21">
      <c r="R243" t="e">
        <f>TRIM(MID(TRIM(Transportes!D243),1,FIND(CHAR(10),TRIM(Transportes!D243),1)-1))</f>
        <v>#VALUE!</v>
      </c>
      <c r="S243" t="str">
        <f>TRIM(IF(Transportes!F243="TRÁNSITO INTERRUMPIDO","Interrumpido",IF(Transportes!F243="TRÁNSITO RESTRINGIDO","Restringido","Normal")))</f>
        <v>Normal</v>
      </c>
      <c r="T243" t="e">
        <f>TRIM(IF(MID(TRIM(Transportes!H243),1,FIND("-",TRIM(Transportes!H243),1)-2)="Acción humana","H","F"))</f>
        <v>#VALUE!</v>
      </c>
      <c r="U243" s="53">
        <f>Transportes!G243</f>
        <v>0</v>
      </c>
    </row>
    <row r="244" spans="18:21">
      <c r="R244" t="e">
        <f>TRIM(MID(TRIM(Transportes!D244),1,FIND(CHAR(10),TRIM(Transportes!D244),1)-1))</f>
        <v>#VALUE!</v>
      </c>
      <c r="S244" t="str">
        <f>TRIM(IF(Transportes!F244="TRÁNSITO INTERRUMPIDO","Interrumpido",IF(Transportes!F244="TRÁNSITO RESTRINGIDO","Restringido","Normal")))</f>
        <v>Normal</v>
      </c>
      <c r="T244" t="e">
        <f>TRIM(IF(MID(TRIM(Transportes!H244),1,FIND("-",TRIM(Transportes!H244),1)-2)="Acción humana","H","F"))</f>
        <v>#VALUE!</v>
      </c>
      <c r="U244" s="53">
        <f>Transportes!G244</f>
        <v>0</v>
      </c>
    </row>
    <row r="245" spans="18:21">
      <c r="R245" t="e">
        <f>TRIM(MID(TRIM(Transportes!D245),1,FIND(CHAR(10),TRIM(Transportes!D245),1)-1))</f>
        <v>#VALUE!</v>
      </c>
      <c r="S245" t="str">
        <f>TRIM(IF(Transportes!F245="TRÁNSITO INTERRUMPIDO","Interrumpido",IF(Transportes!F245="TRÁNSITO RESTRINGIDO","Restringido","Normal")))</f>
        <v>Normal</v>
      </c>
      <c r="T245" t="e">
        <f>TRIM(IF(MID(TRIM(Transportes!H245),1,FIND("-",TRIM(Transportes!H245),1)-2)="Acción humana","H","F"))</f>
        <v>#VALUE!</v>
      </c>
      <c r="U245" s="53">
        <f>Transportes!G245</f>
        <v>0</v>
      </c>
    </row>
    <row r="246" spans="18:21">
      <c r="R246" t="e">
        <f>TRIM(MID(TRIM(Transportes!D246),1,FIND(CHAR(10),TRIM(Transportes!D246),1)-1))</f>
        <v>#VALUE!</v>
      </c>
      <c r="S246" t="str">
        <f>TRIM(IF(Transportes!F246="TRÁNSITO INTERRUMPIDO","Interrumpido",IF(Transportes!F246="TRÁNSITO RESTRINGIDO","Restringido","Normal")))</f>
        <v>Normal</v>
      </c>
      <c r="T246" t="e">
        <f>TRIM(IF(MID(TRIM(Transportes!H246),1,FIND("-",TRIM(Transportes!H246),1)-2)="Acción humana","H","F"))</f>
        <v>#VALUE!</v>
      </c>
      <c r="U246" s="53">
        <f>Transportes!G246</f>
        <v>0</v>
      </c>
    </row>
    <row r="247" spans="18:21">
      <c r="R247" t="e">
        <f>TRIM(MID(TRIM(Transportes!D247),1,FIND(CHAR(10),TRIM(Transportes!D247),1)-1))</f>
        <v>#VALUE!</v>
      </c>
      <c r="S247" t="str">
        <f>TRIM(IF(Transportes!F247="TRÁNSITO INTERRUMPIDO","Interrumpido",IF(Transportes!F247="TRÁNSITO RESTRINGIDO","Restringido","Normal")))</f>
        <v>Normal</v>
      </c>
      <c r="T247" t="e">
        <f>TRIM(IF(MID(TRIM(Transportes!H247),1,FIND("-",TRIM(Transportes!H247),1)-2)="Acción humana","H","F"))</f>
        <v>#VALUE!</v>
      </c>
      <c r="U247" s="53">
        <f>Transportes!G247</f>
        <v>0</v>
      </c>
    </row>
    <row r="248" spans="18:21">
      <c r="R248" t="e">
        <f>TRIM(MID(TRIM(Transportes!D248),1,FIND(CHAR(10),TRIM(Transportes!D248),1)-1))</f>
        <v>#VALUE!</v>
      </c>
      <c r="S248" t="str">
        <f>TRIM(IF(Transportes!F248="TRÁNSITO INTERRUMPIDO","Interrumpido",IF(Transportes!F248="TRÁNSITO RESTRINGIDO","Restringido","Normal")))</f>
        <v>Normal</v>
      </c>
      <c r="T248" t="e">
        <f>TRIM(IF(MID(TRIM(Transportes!H248),1,FIND("-",TRIM(Transportes!H248),1)-2)="Acción humana","H","F"))</f>
        <v>#VALUE!</v>
      </c>
      <c r="U248" s="53">
        <f>Transportes!G248</f>
        <v>0</v>
      </c>
    </row>
    <row r="249" spans="18:21">
      <c r="R249" t="e">
        <f>TRIM(MID(TRIM(Transportes!D249),1,FIND(CHAR(10),TRIM(Transportes!D249),1)-1))</f>
        <v>#VALUE!</v>
      </c>
      <c r="S249" t="str">
        <f>TRIM(IF(Transportes!F249="TRÁNSITO INTERRUMPIDO","Interrumpido",IF(Transportes!F249="TRÁNSITO RESTRINGIDO","Restringido","Normal")))</f>
        <v>Normal</v>
      </c>
      <c r="T249" t="e">
        <f>TRIM(IF(MID(TRIM(Transportes!H249),1,FIND("-",TRIM(Transportes!H249),1)-2)="Acción humana","H","F"))</f>
        <v>#VALUE!</v>
      </c>
      <c r="U249" s="53">
        <f>Transportes!G249</f>
        <v>0</v>
      </c>
    </row>
    <row r="250" spans="18:21">
      <c r="R250" t="e">
        <f>TRIM(MID(TRIM(Transportes!D250),1,FIND(CHAR(10),TRIM(Transportes!D250),1)-1))</f>
        <v>#VALUE!</v>
      </c>
      <c r="S250" t="str">
        <f>TRIM(IF(Transportes!F250="TRÁNSITO INTERRUMPIDO","Interrumpido",IF(Transportes!F250="TRÁNSITO RESTRINGIDO","Restringido","Normal")))</f>
        <v>Normal</v>
      </c>
      <c r="T250" t="e">
        <f>TRIM(IF(MID(TRIM(Transportes!H250),1,FIND("-",TRIM(Transportes!H250),1)-2)="Acción humana","H","F"))</f>
        <v>#VALUE!</v>
      </c>
      <c r="U250" s="53">
        <f>Transportes!G250</f>
        <v>0</v>
      </c>
    </row>
    <row r="251" spans="18:21">
      <c r="R251" t="e">
        <f>TRIM(MID(TRIM(Transportes!D251),1,FIND(CHAR(10),TRIM(Transportes!D251),1)-1))</f>
        <v>#VALUE!</v>
      </c>
      <c r="S251" t="str">
        <f>TRIM(IF(Transportes!F251="TRÁNSITO INTERRUMPIDO","Interrumpido",IF(Transportes!F251="TRÁNSITO RESTRINGIDO","Restringido","Normal")))</f>
        <v>Normal</v>
      </c>
      <c r="T251" t="e">
        <f>TRIM(IF(MID(TRIM(Transportes!H251),1,FIND("-",TRIM(Transportes!H251),1)-2)="Acción humana","H","F"))</f>
        <v>#VALUE!</v>
      </c>
      <c r="U251" s="53">
        <f>Transportes!G251</f>
        <v>0</v>
      </c>
    </row>
    <row r="252" spans="18:21">
      <c r="R252" t="e">
        <f>TRIM(MID(TRIM(Transportes!D252),1,FIND(CHAR(10),TRIM(Transportes!D252),1)-1))</f>
        <v>#VALUE!</v>
      </c>
      <c r="S252" t="str">
        <f>TRIM(IF(Transportes!F252="TRÁNSITO INTERRUMPIDO","Interrumpido",IF(Transportes!F252="TRÁNSITO RESTRINGIDO","Restringido","Normal")))</f>
        <v>Normal</v>
      </c>
      <c r="T252" t="e">
        <f>TRIM(IF(MID(TRIM(Transportes!H252),1,FIND("-",TRIM(Transportes!H252),1)-2)="Acción humana","H","F"))</f>
        <v>#VALUE!</v>
      </c>
      <c r="U252" s="53">
        <f>Transportes!G252</f>
        <v>0</v>
      </c>
    </row>
    <row r="253" spans="18:21">
      <c r="R253" t="e">
        <f>TRIM(MID(TRIM(Transportes!D253),1,FIND(CHAR(10),TRIM(Transportes!D253),1)-1))</f>
        <v>#VALUE!</v>
      </c>
      <c r="S253" t="str">
        <f>TRIM(IF(Transportes!F253="TRÁNSITO INTERRUMPIDO","Interrumpido",IF(Transportes!F253="TRÁNSITO RESTRINGIDO","Restringido","Normal")))</f>
        <v>Normal</v>
      </c>
      <c r="T253" t="e">
        <f>TRIM(IF(MID(TRIM(Transportes!H253),1,FIND("-",TRIM(Transportes!H253),1)-2)="Acción humana","H","F"))</f>
        <v>#VALUE!</v>
      </c>
      <c r="U253" s="53">
        <f>Transportes!G253</f>
        <v>0</v>
      </c>
    </row>
    <row r="254" spans="18:21">
      <c r="R254" t="e">
        <f>TRIM(MID(TRIM(Transportes!D254),1,FIND(CHAR(10),TRIM(Transportes!D254),1)-1))</f>
        <v>#VALUE!</v>
      </c>
      <c r="S254" t="str">
        <f>TRIM(IF(Transportes!F254="TRÁNSITO INTERRUMPIDO","Interrumpido",IF(Transportes!F254="TRÁNSITO RESTRINGIDO","Restringido","Normal")))</f>
        <v>Normal</v>
      </c>
      <c r="T254" t="e">
        <f>TRIM(IF(MID(TRIM(Transportes!H254),1,FIND("-",TRIM(Transportes!H254),1)-2)="Acción humana","H","F"))</f>
        <v>#VALUE!</v>
      </c>
      <c r="U254" s="53">
        <f>Transportes!G254</f>
        <v>0</v>
      </c>
    </row>
    <row r="255" spans="18:21">
      <c r="R255" t="e">
        <f>TRIM(MID(TRIM(Transportes!D255),1,FIND(CHAR(10),TRIM(Transportes!D255),1)-1))</f>
        <v>#VALUE!</v>
      </c>
      <c r="S255" t="str">
        <f>TRIM(IF(Transportes!F255="TRÁNSITO INTERRUMPIDO","Interrumpido",IF(Transportes!F255="TRÁNSITO RESTRINGIDO","Restringido","Normal")))</f>
        <v>Normal</v>
      </c>
      <c r="T255" t="e">
        <f>TRIM(IF(MID(TRIM(Transportes!H255),1,FIND("-",TRIM(Transportes!H255),1)-2)="Acción humana","H","F"))</f>
        <v>#VALUE!</v>
      </c>
      <c r="U255" s="53">
        <f>Transportes!G255</f>
        <v>0</v>
      </c>
    </row>
    <row r="256" spans="18:21">
      <c r="R256" t="e">
        <f>TRIM(MID(TRIM(Transportes!D256),1,FIND(CHAR(10),TRIM(Transportes!D256),1)-1))</f>
        <v>#VALUE!</v>
      </c>
      <c r="S256" t="str">
        <f>TRIM(IF(Transportes!F256="TRÁNSITO INTERRUMPIDO","Interrumpido",IF(Transportes!F256="TRÁNSITO RESTRINGIDO","Restringido","Normal")))</f>
        <v>Normal</v>
      </c>
      <c r="T256" t="e">
        <f>TRIM(IF(MID(TRIM(Transportes!H256),1,FIND("-",TRIM(Transportes!H256),1)-2)="Acción humana","H","F"))</f>
        <v>#VALUE!</v>
      </c>
      <c r="U256" s="53">
        <f>Transportes!G256</f>
        <v>0</v>
      </c>
    </row>
    <row r="257" spans="18:21">
      <c r="R257" t="e">
        <f>TRIM(MID(TRIM(Transportes!D257),1,FIND(CHAR(10),TRIM(Transportes!D257),1)-1))</f>
        <v>#VALUE!</v>
      </c>
      <c r="S257" t="str">
        <f>TRIM(IF(Transportes!F257="TRÁNSITO INTERRUMPIDO","Interrumpido",IF(Transportes!F257="TRÁNSITO RESTRINGIDO","Restringido","Normal")))</f>
        <v>Normal</v>
      </c>
      <c r="T257" t="e">
        <f>TRIM(IF(MID(TRIM(Transportes!H257),1,FIND("-",TRIM(Transportes!H257),1)-2)="Acción humana","H","F"))</f>
        <v>#VALUE!</v>
      </c>
      <c r="U257" s="53">
        <f>Transportes!G257</f>
        <v>0</v>
      </c>
    </row>
    <row r="258" spans="18:21">
      <c r="R258" t="e">
        <f>TRIM(MID(TRIM(Transportes!D258),1,FIND(CHAR(10),TRIM(Transportes!D258),1)-1))</f>
        <v>#VALUE!</v>
      </c>
      <c r="S258" t="str">
        <f>TRIM(IF(Transportes!F258="TRÁNSITO INTERRUMPIDO","Interrumpido",IF(Transportes!F258="TRÁNSITO RESTRINGIDO","Restringido","Normal")))</f>
        <v>Normal</v>
      </c>
      <c r="T258" t="e">
        <f>TRIM(IF(MID(TRIM(Transportes!H258),1,FIND("-",TRIM(Transportes!H258),1)-2)="Acción humana","H","F"))</f>
        <v>#VALUE!</v>
      </c>
      <c r="U258" s="53">
        <f>Transportes!G258</f>
        <v>0</v>
      </c>
    </row>
    <row r="259" spans="18:21">
      <c r="R259" t="e">
        <f>TRIM(MID(TRIM(Transportes!D259),1,FIND(CHAR(10),TRIM(Transportes!D259),1)-1))</f>
        <v>#VALUE!</v>
      </c>
      <c r="S259" t="str">
        <f>TRIM(IF(Transportes!F259="TRÁNSITO INTERRUMPIDO","Interrumpido",IF(Transportes!F259="TRÁNSITO RESTRINGIDO","Restringido","Normal")))</f>
        <v>Normal</v>
      </c>
      <c r="T259" t="e">
        <f>TRIM(IF(MID(TRIM(Transportes!H259),1,FIND("-",TRIM(Transportes!H259),1)-2)="Acción humana","H","F"))</f>
        <v>#VALUE!</v>
      </c>
      <c r="U259" s="53">
        <f>Transportes!G259</f>
        <v>0</v>
      </c>
    </row>
    <row r="260" spans="18:21">
      <c r="R260" t="e">
        <f>TRIM(MID(TRIM(Transportes!D260),1,FIND(CHAR(10),TRIM(Transportes!D260),1)-1))</f>
        <v>#VALUE!</v>
      </c>
      <c r="S260" t="str">
        <f>TRIM(IF(Transportes!F260="TRÁNSITO INTERRUMPIDO","Interrumpido",IF(Transportes!F260="TRÁNSITO RESTRINGIDO","Restringido","Normal")))</f>
        <v>Normal</v>
      </c>
      <c r="T260" t="e">
        <f>TRIM(IF(MID(TRIM(Transportes!H260),1,FIND("-",TRIM(Transportes!H260),1)-2)="Acción humana","H","F"))</f>
        <v>#VALUE!</v>
      </c>
      <c r="U260" s="53">
        <f>Transportes!G260</f>
        <v>0</v>
      </c>
    </row>
    <row r="261" spans="18:21">
      <c r="R261" t="e">
        <f>TRIM(MID(TRIM(Transportes!D261),1,FIND(CHAR(10),TRIM(Transportes!D261),1)-1))</f>
        <v>#VALUE!</v>
      </c>
      <c r="S261" t="str">
        <f>TRIM(IF(Transportes!F261="TRÁNSITO INTERRUMPIDO","Interrumpido",IF(Transportes!F261="TRÁNSITO RESTRINGIDO","Restringido","Normal")))</f>
        <v>Normal</v>
      </c>
      <c r="T261" t="e">
        <f>TRIM(IF(MID(TRIM(Transportes!H261),1,FIND("-",TRIM(Transportes!H261),1)-2)="Acción humana","H","F"))</f>
        <v>#VALUE!</v>
      </c>
      <c r="U261" s="53">
        <f>Transportes!G261</f>
        <v>0</v>
      </c>
    </row>
    <row r="262" spans="18:21">
      <c r="R262" t="e">
        <f>TRIM(MID(TRIM(Transportes!D262),1,FIND(CHAR(10),TRIM(Transportes!D262),1)-1))</f>
        <v>#VALUE!</v>
      </c>
      <c r="S262" t="str">
        <f>TRIM(IF(Transportes!F262="TRÁNSITO INTERRUMPIDO","Interrumpido",IF(Transportes!F262="TRÁNSITO RESTRINGIDO","Restringido","Normal")))</f>
        <v>Normal</v>
      </c>
      <c r="T262" t="e">
        <f>TRIM(IF(MID(TRIM(Transportes!H262),1,FIND("-",TRIM(Transportes!H262),1)-2)="Acción humana","H","F"))</f>
        <v>#VALUE!</v>
      </c>
      <c r="U262" s="53">
        <f>Transportes!G262</f>
        <v>0</v>
      </c>
    </row>
    <row r="263" spans="18:21">
      <c r="R263" t="e">
        <f>TRIM(MID(TRIM(Transportes!D263),1,FIND(CHAR(10),TRIM(Transportes!D263),1)-1))</f>
        <v>#VALUE!</v>
      </c>
      <c r="S263" t="str">
        <f>TRIM(IF(Transportes!F263="TRÁNSITO INTERRUMPIDO","Interrumpido",IF(Transportes!F263="TRÁNSITO RESTRINGIDO","Restringido","Normal")))</f>
        <v>Normal</v>
      </c>
      <c r="T263" t="e">
        <f>TRIM(IF(MID(TRIM(Transportes!H263),1,FIND("-",TRIM(Transportes!H263),1)-2)="Acción humana","H","F"))</f>
        <v>#VALUE!</v>
      </c>
      <c r="U263" s="53">
        <f>Transportes!G263</f>
        <v>0</v>
      </c>
    </row>
    <row r="264" spans="18:21">
      <c r="R264" t="e">
        <f>TRIM(MID(TRIM(Transportes!D264),1,FIND(CHAR(10),TRIM(Transportes!D264),1)-1))</f>
        <v>#VALUE!</v>
      </c>
      <c r="S264" t="str">
        <f>TRIM(IF(Transportes!F264="TRÁNSITO INTERRUMPIDO","Interrumpido",IF(Transportes!F264="TRÁNSITO RESTRINGIDO","Restringido","Normal")))</f>
        <v>Normal</v>
      </c>
      <c r="T264" t="e">
        <f>TRIM(IF(MID(TRIM(Transportes!H264),1,FIND("-",TRIM(Transportes!H264),1)-2)="Acción humana","H","F"))</f>
        <v>#VALUE!</v>
      </c>
      <c r="U264" s="53">
        <f>Transportes!G264</f>
        <v>0</v>
      </c>
    </row>
    <row r="265" spans="18:21">
      <c r="R265" t="e">
        <f>TRIM(MID(TRIM(Transportes!D265),1,FIND(CHAR(10),TRIM(Transportes!D265),1)-1))</f>
        <v>#VALUE!</v>
      </c>
      <c r="S265" t="str">
        <f>TRIM(IF(Transportes!F265="TRÁNSITO INTERRUMPIDO","Interrumpido",IF(Transportes!F265="TRÁNSITO RESTRINGIDO","Restringido","Normal")))</f>
        <v>Normal</v>
      </c>
      <c r="T265" t="e">
        <f>TRIM(IF(MID(TRIM(Transportes!H265),1,FIND("-",TRIM(Transportes!H265),1)-2)="Acción humana","H","F"))</f>
        <v>#VALUE!</v>
      </c>
      <c r="U265" s="53">
        <f>Transportes!G265</f>
        <v>0</v>
      </c>
    </row>
    <row r="266" spans="18:21">
      <c r="R266" t="e">
        <f>TRIM(MID(TRIM(Transportes!D266),1,FIND(CHAR(10),TRIM(Transportes!D266),1)-1))</f>
        <v>#VALUE!</v>
      </c>
      <c r="S266" t="str">
        <f>TRIM(IF(Transportes!F266="TRÁNSITO INTERRUMPIDO","Interrumpido",IF(Transportes!F266="TRÁNSITO RESTRINGIDO","Restringido","Normal")))</f>
        <v>Normal</v>
      </c>
      <c r="T266" t="e">
        <f>TRIM(IF(MID(TRIM(Transportes!H266),1,FIND("-",TRIM(Transportes!H266),1)-2)="Acción humana","H","F"))</f>
        <v>#VALUE!</v>
      </c>
      <c r="U266" s="53">
        <f>Transportes!G266</f>
        <v>0</v>
      </c>
    </row>
    <row r="267" spans="18:21">
      <c r="R267" t="e">
        <f>TRIM(MID(TRIM(Transportes!D267),1,FIND(CHAR(10),TRIM(Transportes!D267),1)-1))</f>
        <v>#VALUE!</v>
      </c>
      <c r="S267" t="str">
        <f>TRIM(IF(Transportes!F267="TRÁNSITO INTERRUMPIDO","Interrumpido",IF(Transportes!F267="TRÁNSITO RESTRINGIDO","Restringido","Normal")))</f>
        <v>Normal</v>
      </c>
      <c r="T267" t="e">
        <f>TRIM(IF(MID(TRIM(Transportes!H267),1,FIND("-",TRIM(Transportes!H267),1)-2)="Acción humana","H","F"))</f>
        <v>#VALUE!</v>
      </c>
      <c r="U267" s="53">
        <f>Transportes!G267</f>
        <v>0</v>
      </c>
    </row>
    <row r="268" spans="18:21">
      <c r="R268" t="e">
        <f>TRIM(MID(TRIM(Transportes!D268),1,FIND(CHAR(10),TRIM(Transportes!D268),1)-1))</f>
        <v>#VALUE!</v>
      </c>
      <c r="S268" t="str">
        <f>TRIM(IF(Transportes!F268="TRÁNSITO INTERRUMPIDO","Interrumpido",IF(Transportes!F268="TRÁNSITO RESTRINGIDO","Restringido","Normal")))</f>
        <v>Normal</v>
      </c>
      <c r="T268" t="e">
        <f>TRIM(IF(MID(TRIM(Transportes!H268),1,FIND("-",TRIM(Transportes!H268),1)-2)="Acción humana","H","F"))</f>
        <v>#VALUE!</v>
      </c>
      <c r="U268" s="53">
        <f>Transportes!G268</f>
        <v>0</v>
      </c>
    </row>
    <row r="269" spans="18:21">
      <c r="R269" t="e">
        <f>TRIM(MID(TRIM(Transportes!D269),1,FIND(CHAR(10),TRIM(Transportes!D269),1)-1))</f>
        <v>#VALUE!</v>
      </c>
      <c r="S269" t="str">
        <f>TRIM(IF(Transportes!F269="TRÁNSITO INTERRUMPIDO","Interrumpido",IF(Transportes!F269="TRÁNSITO RESTRINGIDO","Restringido","Normal")))</f>
        <v>Normal</v>
      </c>
      <c r="T269" t="e">
        <f>TRIM(IF(MID(TRIM(Transportes!H269),1,FIND("-",TRIM(Transportes!H269),1)-2)="Acción humana","H","F"))</f>
        <v>#VALUE!</v>
      </c>
      <c r="U269" s="53">
        <f>Transportes!G269</f>
        <v>0</v>
      </c>
    </row>
    <row r="270" spans="18:21">
      <c r="R270" t="e">
        <f>TRIM(MID(TRIM(Transportes!D270),1,FIND(CHAR(10),TRIM(Transportes!D270),1)-1))</f>
        <v>#VALUE!</v>
      </c>
      <c r="S270" t="str">
        <f>TRIM(IF(Transportes!F270="TRÁNSITO INTERRUMPIDO","Interrumpido",IF(Transportes!F270="TRÁNSITO RESTRINGIDO","Restringido","Normal")))</f>
        <v>Normal</v>
      </c>
      <c r="T270" t="e">
        <f>TRIM(IF(MID(TRIM(Transportes!H270),1,FIND("-",TRIM(Transportes!H270),1)-2)="Acción humana","H","F"))</f>
        <v>#VALUE!</v>
      </c>
      <c r="U270" s="53">
        <f>Transportes!G270</f>
        <v>0</v>
      </c>
    </row>
    <row r="271" spans="18:21">
      <c r="R271" t="e">
        <f>TRIM(MID(TRIM(Transportes!D271),1,FIND(CHAR(10),TRIM(Transportes!D271),1)-1))</f>
        <v>#VALUE!</v>
      </c>
      <c r="S271" t="str">
        <f>TRIM(IF(Transportes!F271="TRÁNSITO INTERRUMPIDO","Interrumpido",IF(Transportes!F271="TRÁNSITO RESTRINGIDO","Restringido","Normal")))</f>
        <v>Normal</v>
      </c>
      <c r="T271" t="e">
        <f>TRIM(IF(MID(TRIM(Transportes!H271),1,FIND("-",TRIM(Transportes!H271),1)-2)="Acción humana","H","F"))</f>
        <v>#VALUE!</v>
      </c>
      <c r="U271" s="53">
        <f>Transportes!G271</f>
        <v>0</v>
      </c>
    </row>
    <row r="272" spans="18:21">
      <c r="R272" t="e">
        <f>TRIM(MID(TRIM(Transportes!D272),1,FIND(CHAR(10),TRIM(Transportes!D272),1)-1))</f>
        <v>#VALUE!</v>
      </c>
      <c r="S272" t="str">
        <f>TRIM(IF(Transportes!F272="TRÁNSITO INTERRUMPIDO","Interrumpido",IF(Transportes!F272="TRÁNSITO RESTRINGIDO","Restringido","Normal")))</f>
        <v>Normal</v>
      </c>
      <c r="T272" t="e">
        <f>TRIM(IF(MID(TRIM(Transportes!H272),1,FIND("-",TRIM(Transportes!H272),1)-2)="Acción humana","H","F"))</f>
        <v>#VALUE!</v>
      </c>
      <c r="U272" s="53">
        <f>Transportes!G272</f>
        <v>0</v>
      </c>
    </row>
    <row r="273" spans="18:21">
      <c r="R273" t="e">
        <f>TRIM(MID(TRIM(Transportes!D273),1,FIND(CHAR(10),TRIM(Transportes!D273),1)-1))</f>
        <v>#VALUE!</v>
      </c>
      <c r="S273" t="str">
        <f>TRIM(IF(Transportes!F273="TRÁNSITO INTERRUMPIDO","Interrumpido",IF(Transportes!F273="TRÁNSITO RESTRINGIDO","Restringido","Normal")))</f>
        <v>Normal</v>
      </c>
      <c r="T273" t="e">
        <f>TRIM(IF(MID(TRIM(Transportes!H273),1,FIND("-",TRIM(Transportes!H273),1)-2)="Acción humana","H","F"))</f>
        <v>#VALUE!</v>
      </c>
      <c r="U273" s="53">
        <f>Transportes!G273</f>
        <v>0</v>
      </c>
    </row>
    <row r="274" spans="18:21">
      <c r="R274" t="e">
        <f>TRIM(MID(TRIM(Transportes!D274),1,FIND(CHAR(10),TRIM(Transportes!D274),1)-1))</f>
        <v>#VALUE!</v>
      </c>
      <c r="S274" t="str">
        <f>TRIM(IF(Transportes!F274="TRÁNSITO INTERRUMPIDO","Interrumpido",IF(Transportes!F274="TRÁNSITO RESTRINGIDO","Restringido","Normal")))</f>
        <v>Normal</v>
      </c>
      <c r="T274" t="e">
        <f>TRIM(IF(MID(TRIM(Transportes!H274),1,FIND("-",TRIM(Transportes!H274),1)-2)="Acción humana","H","F"))</f>
        <v>#VALUE!</v>
      </c>
      <c r="U274" s="53">
        <f>Transportes!G274</f>
        <v>0</v>
      </c>
    </row>
    <row r="275" spans="18:21">
      <c r="R275" t="e">
        <f>TRIM(MID(TRIM(Transportes!D275),1,FIND(CHAR(10),TRIM(Transportes!D275),1)-1))</f>
        <v>#VALUE!</v>
      </c>
      <c r="S275" t="str">
        <f>TRIM(IF(Transportes!F275="TRÁNSITO INTERRUMPIDO","Interrumpido",IF(Transportes!F275="TRÁNSITO RESTRINGIDO","Restringido","Normal")))</f>
        <v>Normal</v>
      </c>
      <c r="T275" t="e">
        <f>TRIM(IF(MID(TRIM(Transportes!H275),1,FIND("-",TRIM(Transportes!H275),1)-2)="Acción humana","H","F"))</f>
        <v>#VALUE!</v>
      </c>
      <c r="U275" s="53">
        <f>Transportes!G275</f>
        <v>0</v>
      </c>
    </row>
    <row r="276" spans="18:21">
      <c r="R276" t="e">
        <f>TRIM(MID(TRIM(Transportes!D276),1,FIND(CHAR(10),TRIM(Transportes!D276),1)-1))</f>
        <v>#VALUE!</v>
      </c>
      <c r="S276" t="str">
        <f>TRIM(IF(Transportes!F276="TRÁNSITO INTERRUMPIDO","Interrumpido",IF(Transportes!F276="TRÁNSITO RESTRINGIDO","Restringido","Normal")))</f>
        <v>Normal</v>
      </c>
      <c r="T276" t="e">
        <f>TRIM(IF(MID(TRIM(Transportes!H276),1,FIND("-",TRIM(Transportes!H276),1)-2)="Acción humana","H","F"))</f>
        <v>#VALUE!</v>
      </c>
      <c r="U276" s="53">
        <f>Transportes!G276</f>
        <v>0</v>
      </c>
    </row>
    <row r="277" spans="18:21">
      <c r="R277" t="e">
        <f>TRIM(MID(TRIM(Transportes!D277),1,FIND(CHAR(10),TRIM(Transportes!D277),1)-1))</f>
        <v>#VALUE!</v>
      </c>
      <c r="S277" t="str">
        <f>TRIM(IF(Transportes!F277="TRÁNSITO INTERRUMPIDO","Interrumpido",IF(Transportes!F277="TRÁNSITO RESTRINGIDO","Restringido","Normal")))</f>
        <v>Normal</v>
      </c>
      <c r="T277" t="e">
        <f>TRIM(IF(MID(TRIM(Transportes!H277),1,FIND("-",TRIM(Transportes!H277),1)-2)="Acción humana","H","F"))</f>
        <v>#VALUE!</v>
      </c>
      <c r="U277" s="53">
        <f>Transportes!G277</f>
        <v>0</v>
      </c>
    </row>
    <row r="278" spans="18:21">
      <c r="R278" t="e">
        <f>TRIM(MID(TRIM(Transportes!D278),1,FIND(CHAR(10),TRIM(Transportes!D278),1)-1))</f>
        <v>#VALUE!</v>
      </c>
      <c r="S278" t="str">
        <f>TRIM(IF(Transportes!F278="TRÁNSITO INTERRUMPIDO","Interrumpido",IF(Transportes!F278="TRÁNSITO RESTRINGIDO","Restringido","Normal")))</f>
        <v>Normal</v>
      </c>
      <c r="T278" t="e">
        <f>TRIM(IF(MID(TRIM(Transportes!H278),1,FIND("-",TRIM(Transportes!H278),1)-2)="Acción humana","H","F"))</f>
        <v>#VALUE!</v>
      </c>
      <c r="U278" s="53">
        <f>Transportes!G278</f>
        <v>0</v>
      </c>
    </row>
    <row r="279" spans="18:21">
      <c r="R279" t="e">
        <f>TRIM(MID(TRIM(Transportes!D279),1,FIND(CHAR(10),TRIM(Transportes!D279),1)-1))</f>
        <v>#VALUE!</v>
      </c>
      <c r="S279" t="str">
        <f>TRIM(IF(Transportes!F279="TRÁNSITO INTERRUMPIDO","Interrumpido",IF(Transportes!F279="TRÁNSITO RESTRINGIDO","Restringido","Normal")))</f>
        <v>Normal</v>
      </c>
      <c r="T279" t="e">
        <f>TRIM(IF(MID(TRIM(Transportes!H279),1,FIND("-",TRIM(Transportes!H279),1)-2)="Acción humana","H","F"))</f>
        <v>#VALUE!</v>
      </c>
      <c r="U279" s="53">
        <f>Transportes!G279</f>
        <v>0</v>
      </c>
    </row>
    <row r="280" spans="18:21">
      <c r="R280" t="e">
        <f>TRIM(MID(TRIM(Transportes!D280),1,FIND(CHAR(10),TRIM(Transportes!D280),1)-1))</f>
        <v>#VALUE!</v>
      </c>
      <c r="S280" t="str">
        <f>TRIM(IF(Transportes!F280="TRÁNSITO INTERRUMPIDO","Interrumpido",IF(Transportes!F280="TRÁNSITO RESTRINGIDO","Restringido","Normal")))</f>
        <v>Normal</v>
      </c>
      <c r="T280" t="e">
        <f>TRIM(IF(MID(TRIM(Transportes!H280),1,FIND("-",TRIM(Transportes!H280),1)-2)="Acción humana","H","F"))</f>
        <v>#VALUE!</v>
      </c>
      <c r="U280" s="53">
        <f>Transportes!G280</f>
        <v>0</v>
      </c>
    </row>
    <row r="281" spans="18:21">
      <c r="R281" t="e">
        <f>TRIM(MID(TRIM(Transportes!D281),1,FIND(CHAR(10),TRIM(Transportes!D281),1)-1))</f>
        <v>#VALUE!</v>
      </c>
      <c r="S281" t="str">
        <f>TRIM(IF(Transportes!F281="TRÁNSITO INTERRUMPIDO","Interrumpido",IF(Transportes!F281="TRÁNSITO RESTRINGIDO","Restringido","Normal")))</f>
        <v>Normal</v>
      </c>
      <c r="T281" t="e">
        <f>TRIM(IF(MID(TRIM(Transportes!H281),1,FIND("-",TRIM(Transportes!H281),1)-2)="Acción humana","H","F"))</f>
        <v>#VALUE!</v>
      </c>
      <c r="U281" s="53">
        <f>Transportes!G281</f>
        <v>0</v>
      </c>
    </row>
    <row r="282" spans="18:21">
      <c r="R282" t="e">
        <f>TRIM(MID(TRIM(Transportes!D282),1,FIND(CHAR(10),TRIM(Transportes!D282),1)-1))</f>
        <v>#VALUE!</v>
      </c>
      <c r="S282" t="str">
        <f>TRIM(IF(Transportes!F282="TRÁNSITO INTERRUMPIDO","Interrumpido",IF(Transportes!F282="TRÁNSITO RESTRINGIDO","Restringido","Normal")))</f>
        <v>Normal</v>
      </c>
      <c r="T282" t="e">
        <f>TRIM(IF(MID(TRIM(Transportes!H282),1,FIND("-",TRIM(Transportes!H282),1)-2)="Acción humana","H","F"))</f>
        <v>#VALUE!</v>
      </c>
      <c r="U282" s="53">
        <f>Transportes!G282</f>
        <v>0</v>
      </c>
    </row>
    <row r="283" spans="18:21">
      <c r="R283" t="e">
        <f>TRIM(MID(TRIM(Transportes!D283),1,FIND(CHAR(10),TRIM(Transportes!D283),1)-1))</f>
        <v>#VALUE!</v>
      </c>
      <c r="S283" t="str">
        <f>TRIM(IF(Transportes!F283="TRÁNSITO INTERRUMPIDO","Interrumpido",IF(Transportes!F283="TRÁNSITO RESTRINGIDO","Restringido","Normal")))</f>
        <v>Normal</v>
      </c>
      <c r="T283" t="e">
        <f>TRIM(IF(MID(TRIM(Transportes!H283),1,FIND("-",TRIM(Transportes!H283),1)-2)="Acción humana","H","F"))</f>
        <v>#VALUE!</v>
      </c>
      <c r="U283" s="53">
        <f>Transportes!G283</f>
        <v>0</v>
      </c>
    </row>
    <row r="284" spans="18:21">
      <c r="R284" t="e">
        <f>TRIM(MID(TRIM(Transportes!D284),1,FIND(CHAR(10),TRIM(Transportes!D284),1)-1))</f>
        <v>#VALUE!</v>
      </c>
      <c r="S284" t="str">
        <f>TRIM(IF(Transportes!F284="TRÁNSITO INTERRUMPIDO","Interrumpido",IF(Transportes!F284="TRÁNSITO RESTRINGIDO","Restringido","Normal")))</f>
        <v>Normal</v>
      </c>
      <c r="T284" t="e">
        <f>TRIM(IF(MID(TRIM(Transportes!H284),1,FIND("-",TRIM(Transportes!H284),1)-2)="Acción humana","H","F"))</f>
        <v>#VALUE!</v>
      </c>
      <c r="U284" s="53">
        <f>Transportes!G284</f>
        <v>0</v>
      </c>
    </row>
    <row r="285" spans="18:21">
      <c r="R285" t="e">
        <f>TRIM(MID(TRIM(Transportes!D285),1,FIND(CHAR(10),TRIM(Transportes!D285),1)-1))</f>
        <v>#VALUE!</v>
      </c>
      <c r="S285" t="str">
        <f>TRIM(IF(Transportes!F285="TRÁNSITO INTERRUMPIDO","Interrumpido",IF(Transportes!F285="TRÁNSITO RESTRINGIDO","Restringido","Normal")))</f>
        <v>Normal</v>
      </c>
      <c r="T285" t="e">
        <f>TRIM(IF(MID(TRIM(Transportes!H285),1,FIND("-",TRIM(Transportes!H285),1)-2)="Acción humana","H","F"))</f>
        <v>#VALUE!</v>
      </c>
      <c r="U285" s="53">
        <f>Transportes!G285</f>
        <v>0</v>
      </c>
    </row>
    <row r="286" spans="18:21">
      <c r="R286" t="e">
        <f>TRIM(MID(TRIM(Transportes!D286),1,FIND(CHAR(10),TRIM(Transportes!D286),1)-1))</f>
        <v>#VALUE!</v>
      </c>
      <c r="S286" t="str">
        <f>TRIM(IF(Transportes!F286="TRÁNSITO INTERRUMPIDO","Interrumpido",IF(Transportes!F286="TRÁNSITO RESTRINGIDO","Restringido","Normal")))</f>
        <v>Normal</v>
      </c>
      <c r="T286" t="e">
        <f>TRIM(IF(MID(TRIM(Transportes!H286),1,FIND("-",TRIM(Transportes!H286),1)-2)="Acción humana","H","F"))</f>
        <v>#VALUE!</v>
      </c>
      <c r="U286" s="53">
        <f>Transportes!G286</f>
        <v>0</v>
      </c>
    </row>
    <row r="287" spans="18:21">
      <c r="R287" t="e">
        <f>TRIM(MID(TRIM(Transportes!D287),1,FIND(CHAR(10),TRIM(Transportes!D287),1)-1))</f>
        <v>#VALUE!</v>
      </c>
      <c r="S287" t="str">
        <f>TRIM(IF(Transportes!F287="TRÁNSITO INTERRUMPIDO","Interrumpido",IF(Transportes!F287="TRÁNSITO RESTRINGIDO","Restringido","Normal")))</f>
        <v>Normal</v>
      </c>
      <c r="T287" t="e">
        <f>TRIM(IF(MID(TRIM(Transportes!H287),1,FIND("-",TRIM(Transportes!H287),1)-2)="Acción humana","H","F"))</f>
        <v>#VALUE!</v>
      </c>
      <c r="U287" s="53">
        <f>Transportes!G287</f>
        <v>0</v>
      </c>
    </row>
    <row r="288" spans="18:21">
      <c r="R288" t="e">
        <f>TRIM(MID(TRIM(Transportes!D288),1,FIND(CHAR(10),TRIM(Transportes!D288),1)-1))</f>
        <v>#VALUE!</v>
      </c>
      <c r="S288" t="str">
        <f>TRIM(IF(Transportes!F288="TRÁNSITO INTERRUMPIDO","Interrumpido",IF(Transportes!F288="TRÁNSITO RESTRINGIDO","Restringido","Normal")))</f>
        <v>Normal</v>
      </c>
      <c r="T288" t="e">
        <f>TRIM(IF(MID(TRIM(Transportes!H288),1,FIND("-",TRIM(Transportes!H288),1)-2)="Acción humana","H","F"))</f>
        <v>#VALUE!</v>
      </c>
      <c r="U288" s="53">
        <f>Transportes!G288</f>
        <v>0</v>
      </c>
    </row>
    <row r="289" spans="18:21">
      <c r="R289" t="e">
        <f>TRIM(MID(TRIM(Transportes!D289),1,FIND(CHAR(10),TRIM(Transportes!D289),1)-1))</f>
        <v>#VALUE!</v>
      </c>
      <c r="S289" t="str">
        <f>TRIM(IF(Transportes!F289="TRÁNSITO INTERRUMPIDO","Interrumpido",IF(Transportes!F289="TRÁNSITO RESTRINGIDO","Restringido","Normal")))</f>
        <v>Normal</v>
      </c>
      <c r="T289" t="e">
        <f>TRIM(IF(MID(TRIM(Transportes!H289),1,FIND("-",TRIM(Transportes!H289),1)-2)="Acción humana","H","F"))</f>
        <v>#VALUE!</v>
      </c>
      <c r="U289" s="53">
        <f>Transportes!G289</f>
        <v>0</v>
      </c>
    </row>
    <row r="290" spans="18:21">
      <c r="R290" t="e">
        <f>TRIM(MID(TRIM(Transportes!D290),1,FIND(CHAR(10),TRIM(Transportes!D290),1)-1))</f>
        <v>#VALUE!</v>
      </c>
      <c r="S290" t="str">
        <f>TRIM(IF(Transportes!F290="TRÁNSITO INTERRUMPIDO","Interrumpido",IF(Transportes!F290="TRÁNSITO RESTRINGIDO","Restringido","Normal")))</f>
        <v>Normal</v>
      </c>
      <c r="T290" t="e">
        <f>TRIM(IF(MID(TRIM(Transportes!H290),1,FIND("-",TRIM(Transportes!H290),1)-2)="Acción humana","H","F"))</f>
        <v>#VALUE!</v>
      </c>
      <c r="U290" s="53">
        <f>Transportes!G290</f>
        <v>0</v>
      </c>
    </row>
    <row r="291" spans="18:21">
      <c r="R291" t="e">
        <f>TRIM(MID(TRIM(Transportes!D291),1,FIND(CHAR(10),TRIM(Transportes!D291),1)-1))</f>
        <v>#VALUE!</v>
      </c>
      <c r="S291" t="str">
        <f>TRIM(IF(Transportes!F291="TRÁNSITO INTERRUMPIDO","Interrumpido",IF(Transportes!F291="TRÁNSITO RESTRINGIDO","Restringido","Normal")))</f>
        <v>Normal</v>
      </c>
      <c r="T291" t="e">
        <f>TRIM(IF(MID(TRIM(Transportes!H291),1,FIND("-",TRIM(Transportes!H291),1)-2)="Acción humana","H","F"))</f>
        <v>#VALUE!</v>
      </c>
      <c r="U291" s="53">
        <f>Transportes!G291</f>
        <v>0</v>
      </c>
    </row>
    <row r="292" spans="18:21">
      <c r="R292" t="e">
        <f>TRIM(MID(TRIM(Transportes!D292),1,FIND(CHAR(10),TRIM(Transportes!D292),1)-1))</f>
        <v>#VALUE!</v>
      </c>
      <c r="S292" t="str">
        <f>TRIM(IF(Transportes!F292="TRÁNSITO INTERRUMPIDO","Interrumpido",IF(Transportes!F292="TRÁNSITO RESTRINGIDO","Restringido","Normal")))</f>
        <v>Normal</v>
      </c>
      <c r="T292" t="e">
        <f>TRIM(IF(MID(TRIM(Transportes!H292),1,FIND("-",TRIM(Transportes!H292),1)-2)="Acción humana","H","F"))</f>
        <v>#VALUE!</v>
      </c>
      <c r="U292" s="53">
        <f>Transportes!G292</f>
        <v>0</v>
      </c>
    </row>
    <row r="293" spans="18:21">
      <c r="R293" t="e">
        <f>TRIM(MID(TRIM(Transportes!D293),1,FIND(CHAR(10),TRIM(Transportes!D293),1)-1))</f>
        <v>#VALUE!</v>
      </c>
      <c r="S293" t="str">
        <f>TRIM(IF(Transportes!F293="TRÁNSITO INTERRUMPIDO","Interrumpido",IF(Transportes!F293="TRÁNSITO RESTRINGIDO","Restringido","Normal")))</f>
        <v>Normal</v>
      </c>
      <c r="T293" t="e">
        <f>TRIM(IF(MID(TRIM(Transportes!H293),1,FIND("-",TRIM(Transportes!H293),1)-2)="Acción humana","H","F"))</f>
        <v>#VALUE!</v>
      </c>
      <c r="U293" s="53">
        <f>Transportes!G293</f>
        <v>0</v>
      </c>
    </row>
    <row r="294" spans="18:21">
      <c r="R294" t="e">
        <f>TRIM(MID(TRIM(Transportes!D294),1,FIND(CHAR(10),TRIM(Transportes!D294),1)-1))</f>
        <v>#VALUE!</v>
      </c>
      <c r="S294" t="str">
        <f>TRIM(IF(Transportes!F294="TRÁNSITO INTERRUMPIDO","Interrumpido",IF(Transportes!F294="TRÁNSITO RESTRINGIDO","Restringido","Normal")))</f>
        <v>Normal</v>
      </c>
      <c r="T294" t="e">
        <f>TRIM(IF(MID(TRIM(Transportes!H294),1,FIND("-",TRIM(Transportes!H294),1)-2)="Acción humana","H","F"))</f>
        <v>#VALUE!</v>
      </c>
      <c r="U294" s="53">
        <f>Transportes!G294</f>
        <v>0</v>
      </c>
    </row>
    <row r="295" spans="18:21">
      <c r="R295" t="e">
        <f>TRIM(MID(TRIM(Transportes!D295),1,FIND(CHAR(10),TRIM(Transportes!D295),1)-1))</f>
        <v>#VALUE!</v>
      </c>
      <c r="S295" t="str">
        <f>TRIM(IF(Transportes!F295="TRÁNSITO INTERRUMPIDO","Interrumpido",IF(Transportes!F295="TRÁNSITO RESTRINGIDO","Restringido","Normal")))</f>
        <v>Normal</v>
      </c>
      <c r="T295" t="e">
        <f>TRIM(IF(MID(TRIM(Transportes!H295),1,FIND("-",TRIM(Transportes!H295),1)-2)="Acción humana","H","F"))</f>
        <v>#VALUE!</v>
      </c>
      <c r="U295" s="53">
        <f>Transportes!G295</f>
        <v>0</v>
      </c>
    </row>
    <row r="296" spans="18:21">
      <c r="R296" t="e">
        <f>TRIM(MID(TRIM(Transportes!D296),1,FIND(CHAR(10),TRIM(Transportes!D296),1)-1))</f>
        <v>#VALUE!</v>
      </c>
      <c r="S296" t="str">
        <f>TRIM(IF(Transportes!F296="TRÁNSITO INTERRUMPIDO","Interrumpido",IF(Transportes!F296="TRÁNSITO RESTRINGIDO","Restringido","Normal")))</f>
        <v>Normal</v>
      </c>
      <c r="T296" t="e">
        <f>TRIM(IF(MID(TRIM(Transportes!H296),1,FIND("-",TRIM(Transportes!H296),1)-2)="Acción humana","H","F"))</f>
        <v>#VALUE!</v>
      </c>
      <c r="U296" s="53">
        <f>Transportes!G296</f>
        <v>0</v>
      </c>
    </row>
    <row r="297" spans="18:21">
      <c r="R297" t="e">
        <f>TRIM(MID(TRIM(Transportes!D297),1,FIND(CHAR(10),TRIM(Transportes!D297),1)-1))</f>
        <v>#VALUE!</v>
      </c>
      <c r="S297" t="str">
        <f>TRIM(IF(Transportes!F297="TRÁNSITO INTERRUMPIDO","Interrumpido",IF(Transportes!F297="TRÁNSITO RESTRINGIDO","Restringido","Normal")))</f>
        <v>Normal</v>
      </c>
      <c r="T297" t="e">
        <f>TRIM(IF(MID(TRIM(Transportes!H297),1,FIND("-",TRIM(Transportes!H297),1)-2)="Acción humana","H","F"))</f>
        <v>#VALUE!</v>
      </c>
      <c r="U297" s="53">
        <f>Transportes!G297</f>
        <v>0</v>
      </c>
    </row>
    <row r="298" spans="18:21">
      <c r="R298" t="e">
        <f>TRIM(MID(TRIM(Transportes!D298),1,FIND(CHAR(10),TRIM(Transportes!D298),1)-1))</f>
        <v>#VALUE!</v>
      </c>
      <c r="S298" t="str">
        <f>TRIM(IF(Transportes!F298="TRÁNSITO INTERRUMPIDO","Interrumpido",IF(Transportes!F298="TRÁNSITO RESTRINGIDO","Restringido","Normal")))</f>
        <v>Normal</v>
      </c>
      <c r="T298" t="e">
        <f>TRIM(IF(MID(TRIM(Transportes!H298),1,FIND("-",TRIM(Transportes!H298),1)-2)="Acción humana","H","F"))</f>
        <v>#VALUE!</v>
      </c>
      <c r="U298" s="53">
        <f>Transportes!G298</f>
        <v>0</v>
      </c>
    </row>
    <row r="299" spans="18:21">
      <c r="R299" t="e">
        <f>TRIM(MID(TRIM(Transportes!D299),1,FIND(CHAR(10),TRIM(Transportes!D299),1)-1))</f>
        <v>#VALUE!</v>
      </c>
      <c r="S299" t="str">
        <f>TRIM(IF(Transportes!F299="TRÁNSITO INTERRUMPIDO","Interrumpido",IF(Transportes!F299="TRÁNSITO RESTRINGIDO","Restringido","Normal")))</f>
        <v>Normal</v>
      </c>
      <c r="T299" t="e">
        <f>TRIM(IF(MID(TRIM(Transportes!H299),1,FIND("-",TRIM(Transportes!H299),1)-2)="Acción humana","H","F"))</f>
        <v>#VALUE!</v>
      </c>
      <c r="U299" s="53">
        <f>Transportes!G299</f>
        <v>0</v>
      </c>
    </row>
    <row r="300" spans="18:21">
      <c r="R300" t="e">
        <f>TRIM(MID(TRIM(Transportes!D300),1,FIND(CHAR(10),TRIM(Transportes!D300),1)-1))</f>
        <v>#VALUE!</v>
      </c>
      <c r="S300" t="str">
        <f>TRIM(IF(Transportes!F300="TRÁNSITO INTERRUMPIDO","Interrumpido",IF(Transportes!F300="TRÁNSITO RESTRINGIDO","Restringido","Normal")))</f>
        <v>Normal</v>
      </c>
      <c r="T300" t="e">
        <f>TRIM(IF(MID(TRIM(Transportes!H300),1,FIND("-",TRIM(Transportes!H300),1)-2)="Acción humana","H","F"))</f>
        <v>#VALUE!</v>
      </c>
      <c r="U300" s="53">
        <f>Transportes!G300</f>
        <v>0</v>
      </c>
    </row>
    <row r="301" spans="18:21">
      <c r="R301" t="e">
        <f>TRIM(MID(TRIM(Transportes!D301),1,FIND(CHAR(10),TRIM(Transportes!D301),1)-1))</f>
        <v>#VALUE!</v>
      </c>
      <c r="S301" t="str">
        <f>TRIM(IF(Transportes!F301="TRÁNSITO INTERRUMPIDO","Interrumpido",IF(Transportes!F301="TRÁNSITO RESTRINGIDO","Restringido","Normal")))</f>
        <v>Normal</v>
      </c>
      <c r="T301" t="e">
        <f>TRIM(IF(MID(TRIM(Transportes!H301),1,FIND("-",TRIM(Transportes!H301),1)-2)="Acción humana","H","F"))</f>
        <v>#VALUE!</v>
      </c>
      <c r="U301" s="53">
        <f>Transportes!G301</f>
        <v>0</v>
      </c>
    </row>
    <row r="302" spans="18:21">
      <c r="R302" t="e">
        <f>TRIM(MID(TRIM(Transportes!D302),1,FIND(CHAR(10),TRIM(Transportes!D302),1)-1))</f>
        <v>#VALUE!</v>
      </c>
      <c r="S302" t="str">
        <f>TRIM(IF(Transportes!F302="TRÁNSITO INTERRUMPIDO","Interrumpido",IF(Transportes!F302="TRÁNSITO RESTRINGIDO","Restringido","Normal")))</f>
        <v>Normal</v>
      </c>
      <c r="T302" t="e">
        <f>TRIM(IF(MID(TRIM(Transportes!H302),1,FIND("-",TRIM(Transportes!H302),1)-2)="Acción humana","H","F"))</f>
        <v>#VALUE!</v>
      </c>
      <c r="U302" s="53">
        <f>Transportes!G302</f>
        <v>0</v>
      </c>
    </row>
    <row r="303" spans="18:21">
      <c r="R303" t="e">
        <f>TRIM(MID(TRIM(Transportes!D303),1,FIND(CHAR(10),TRIM(Transportes!D303),1)-1))</f>
        <v>#VALUE!</v>
      </c>
      <c r="S303" t="str">
        <f>TRIM(IF(Transportes!F303="TRÁNSITO INTERRUMPIDO","Interrumpido",IF(Transportes!F303="TRÁNSITO RESTRINGIDO","Restringido","Normal")))</f>
        <v>Normal</v>
      </c>
      <c r="T303" t="e">
        <f>TRIM(IF(MID(TRIM(Transportes!H303),1,FIND("-",TRIM(Transportes!H303),1)-2)="Acción humana","H","F"))</f>
        <v>#VALUE!</v>
      </c>
      <c r="U303" s="53">
        <f>Transportes!G303</f>
        <v>0</v>
      </c>
    </row>
    <row r="304" spans="18:21">
      <c r="R304" t="e">
        <f>TRIM(MID(TRIM(Transportes!D304),1,FIND(CHAR(10),TRIM(Transportes!D304),1)-1))</f>
        <v>#VALUE!</v>
      </c>
      <c r="S304" t="str">
        <f>TRIM(IF(Transportes!F304="TRÁNSITO INTERRUMPIDO","Interrumpido",IF(Transportes!F304="TRÁNSITO RESTRINGIDO","Restringido","Normal")))</f>
        <v>Normal</v>
      </c>
      <c r="T304" t="e">
        <f>TRIM(IF(MID(TRIM(Transportes!H304),1,FIND("-",TRIM(Transportes!H304),1)-2)="Acción humana","H","F"))</f>
        <v>#VALUE!</v>
      </c>
      <c r="U304" s="53">
        <f>Transportes!G304</f>
        <v>0</v>
      </c>
    </row>
    <row r="305" spans="18:21">
      <c r="R305" t="e">
        <f>TRIM(MID(TRIM(Transportes!D305),1,FIND(CHAR(10),TRIM(Transportes!D305),1)-1))</f>
        <v>#VALUE!</v>
      </c>
      <c r="S305" t="str">
        <f>TRIM(IF(Transportes!F305="TRÁNSITO INTERRUMPIDO","Interrumpido",IF(Transportes!F305="TRÁNSITO RESTRINGIDO","Restringido","Normal")))</f>
        <v>Normal</v>
      </c>
      <c r="T305" t="e">
        <f>TRIM(IF(MID(TRIM(Transportes!H305),1,FIND("-",TRIM(Transportes!H305),1)-2)="Acción humana","H","F"))</f>
        <v>#VALUE!</v>
      </c>
      <c r="U305" s="53">
        <f>Transportes!G305</f>
        <v>0</v>
      </c>
    </row>
    <row r="306" spans="18:21">
      <c r="R306" t="e">
        <f>TRIM(MID(TRIM(Transportes!D306),1,FIND(CHAR(10),TRIM(Transportes!D306),1)-1))</f>
        <v>#VALUE!</v>
      </c>
      <c r="S306" t="str">
        <f>TRIM(IF(Transportes!F306="TRÁNSITO INTERRUMPIDO","Interrumpido",IF(Transportes!F306="TRÁNSITO RESTRINGIDO","Restringido","Normal")))</f>
        <v>Normal</v>
      </c>
      <c r="T306" t="e">
        <f>TRIM(IF(MID(TRIM(Transportes!H306),1,FIND("-",TRIM(Transportes!H306),1)-2)="Acción humana","H","F"))</f>
        <v>#VALUE!</v>
      </c>
      <c r="U306" s="53">
        <f>Transportes!G306</f>
        <v>0</v>
      </c>
    </row>
    <row r="307" spans="18:21">
      <c r="R307" t="e">
        <f>TRIM(MID(TRIM(Transportes!D307),1,FIND(CHAR(10),TRIM(Transportes!D307),1)-1))</f>
        <v>#VALUE!</v>
      </c>
      <c r="S307" t="str">
        <f>TRIM(IF(Transportes!F307="TRÁNSITO INTERRUMPIDO","Interrumpido",IF(Transportes!F307="TRÁNSITO RESTRINGIDO","Restringido","Normal")))</f>
        <v>Normal</v>
      </c>
      <c r="T307" t="e">
        <f>TRIM(IF(MID(TRIM(Transportes!H307),1,FIND("-",TRIM(Transportes!H307),1)-2)="Acción humana","H","F"))</f>
        <v>#VALUE!</v>
      </c>
      <c r="U307" s="53">
        <f>Transportes!G307</f>
        <v>0</v>
      </c>
    </row>
    <row r="308" spans="18:21">
      <c r="R308" t="e">
        <f>TRIM(MID(TRIM(Transportes!D308),1,FIND(CHAR(10),TRIM(Transportes!D308),1)-1))</f>
        <v>#VALUE!</v>
      </c>
      <c r="S308" t="str">
        <f>TRIM(IF(Transportes!F308="TRÁNSITO INTERRUMPIDO","Interrumpido",IF(Transportes!F308="TRÁNSITO RESTRINGIDO","Restringido","Normal")))</f>
        <v>Normal</v>
      </c>
      <c r="T308" t="e">
        <f>TRIM(IF(MID(TRIM(Transportes!H308),1,FIND("-",TRIM(Transportes!H308),1)-2)="Acción humana","H","F"))</f>
        <v>#VALUE!</v>
      </c>
      <c r="U308" s="53">
        <f>Transportes!G308</f>
        <v>0</v>
      </c>
    </row>
    <row r="309" spans="18:21">
      <c r="R309" t="e">
        <f>TRIM(MID(TRIM(Transportes!D309),1,FIND(CHAR(10),TRIM(Transportes!D309),1)-1))</f>
        <v>#VALUE!</v>
      </c>
      <c r="S309" t="str">
        <f>TRIM(IF(Transportes!F309="TRÁNSITO INTERRUMPIDO","Interrumpido",IF(Transportes!F309="TRÁNSITO RESTRINGIDO","Restringido","Normal")))</f>
        <v>Normal</v>
      </c>
      <c r="T309" t="e">
        <f>TRIM(IF(MID(TRIM(Transportes!H309),1,FIND("-",TRIM(Transportes!H309),1)-2)="Acción humana","H","F"))</f>
        <v>#VALUE!</v>
      </c>
      <c r="U309" s="53">
        <f>Transportes!G309</f>
        <v>0</v>
      </c>
    </row>
    <row r="310" spans="18:21">
      <c r="R310" t="e">
        <f>TRIM(MID(TRIM(Transportes!D310),1,FIND(CHAR(10),TRIM(Transportes!D310),1)-1))</f>
        <v>#VALUE!</v>
      </c>
      <c r="S310" t="str">
        <f>TRIM(IF(Transportes!F310="TRÁNSITO INTERRUMPIDO","Interrumpido",IF(Transportes!F310="TRÁNSITO RESTRINGIDO","Restringido","Normal")))</f>
        <v>Normal</v>
      </c>
      <c r="T310" t="e">
        <f>TRIM(IF(MID(TRIM(Transportes!H310),1,FIND("-",TRIM(Transportes!H310),1)-2)="Acción humana","H","F"))</f>
        <v>#VALUE!</v>
      </c>
      <c r="U310" s="53">
        <f>Transportes!G310</f>
        <v>0</v>
      </c>
    </row>
    <row r="311" spans="18:21">
      <c r="R311" t="e">
        <f>TRIM(MID(TRIM(Transportes!D311),1,FIND(CHAR(10),TRIM(Transportes!D311),1)-1))</f>
        <v>#VALUE!</v>
      </c>
      <c r="S311" t="str">
        <f>TRIM(IF(Transportes!F311="TRÁNSITO INTERRUMPIDO","Interrumpido",IF(Transportes!F311="TRÁNSITO RESTRINGIDO","Restringido","Normal")))</f>
        <v>Normal</v>
      </c>
      <c r="T311" t="e">
        <f>TRIM(IF(MID(TRIM(Transportes!H311),1,FIND("-",TRIM(Transportes!H311),1)-2)="Acción humana","H","F"))</f>
        <v>#VALUE!</v>
      </c>
      <c r="U311" s="53">
        <f>Transportes!G311</f>
        <v>0</v>
      </c>
    </row>
    <row r="312" spans="18:21">
      <c r="R312" t="e">
        <f>TRIM(MID(TRIM(Transportes!D312),1,FIND(CHAR(10),TRIM(Transportes!D312),1)-1))</f>
        <v>#VALUE!</v>
      </c>
      <c r="S312" t="str">
        <f>TRIM(IF(Transportes!F312="TRÁNSITO INTERRUMPIDO","Interrumpido",IF(Transportes!F312="TRÁNSITO RESTRINGIDO","Restringido","Normal")))</f>
        <v>Normal</v>
      </c>
      <c r="T312" t="e">
        <f>TRIM(IF(MID(TRIM(Transportes!H312),1,FIND("-",TRIM(Transportes!H312),1)-2)="Acción humana","H","F"))</f>
        <v>#VALUE!</v>
      </c>
      <c r="U312" s="53">
        <f>Transportes!G312</f>
        <v>0</v>
      </c>
    </row>
    <row r="313" spans="18:21">
      <c r="R313" t="e">
        <f>TRIM(MID(TRIM(Transportes!D313),1,FIND(CHAR(10),TRIM(Transportes!D313),1)-1))</f>
        <v>#VALUE!</v>
      </c>
      <c r="S313" t="str">
        <f>TRIM(IF(Transportes!F313="TRÁNSITO INTERRUMPIDO","Interrumpido",IF(Transportes!F313="TRÁNSITO RESTRINGIDO","Restringido","Normal")))</f>
        <v>Normal</v>
      </c>
      <c r="T313" t="e">
        <f>TRIM(IF(MID(TRIM(Transportes!H313),1,FIND("-",TRIM(Transportes!H313),1)-2)="Acción humana","H","F"))</f>
        <v>#VALUE!</v>
      </c>
      <c r="U313" s="53">
        <f>Transportes!G313</f>
        <v>0</v>
      </c>
    </row>
    <row r="314" spans="18:21">
      <c r="R314" t="e">
        <f>TRIM(MID(TRIM(Transportes!D314),1,FIND(CHAR(10),TRIM(Transportes!D314),1)-1))</f>
        <v>#VALUE!</v>
      </c>
      <c r="S314" t="str">
        <f>TRIM(IF(Transportes!F314="TRÁNSITO INTERRUMPIDO","Interrumpido",IF(Transportes!F314="TRÁNSITO RESTRINGIDO","Restringido","Normal")))</f>
        <v>Normal</v>
      </c>
      <c r="T314" t="e">
        <f>TRIM(IF(MID(TRIM(Transportes!H314),1,FIND("-",TRIM(Transportes!H314),1)-2)="Acción humana","H","F"))</f>
        <v>#VALUE!</v>
      </c>
      <c r="U314" s="53">
        <f>Transportes!G314</f>
        <v>0</v>
      </c>
    </row>
    <row r="315" spans="18:21">
      <c r="R315" t="e">
        <f>TRIM(MID(TRIM(Transportes!D315),1,FIND(CHAR(10),TRIM(Transportes!D315),1)-1))</f>
        <v>#VALUE!</v>
      </c>
      <c r="S315" t="str">
        <f>TRIM(IF(Transportes!F315="TRÁNSITO INTERRUMPIDO","Interrumpido",IF(Transportes!F315="TRÁNSITO RESTRINGIDO","Restringido","Normal")))</f>
        <v>Normal</v>
      </c>
      <c r="T315" t="e">
        <f>TRIM(IF(MID(TRIM(Transportes!H315),1,FIND("-",TRIM(Transportes!H315),1)-2)="Acción humana","H","F"))</f>
        <v>#VALUE!</v>
      </c>
      <c r="U315" s="53">
        <f>Transportes!G315</f>
        <v>0</v>
      </c>
    </row>
    <row r="316" spans="18:21">
      <c r="R316" t="e">
        <f>TRIM(MID(TRIM(Transportes!D316),1,FIND(CHAR(10),TRIM(Transportes!D316),1)-1))</f>
        <v>#VALUE!</v>
      </c>
      <c r="S316" t="str">
        <f>TRIM(IF(Transportes!F316="TRÁNSITO INTERRUMPIDO","Interrumpido",IF(Transportes!F316="TRÁNSITO RESTRINGIDO","Restringido","Normal")))</f>
        <v>Normal</v>
      </c>
      <c r="T316" t="e">
        <f>TRIM(IF(MID(TRIM(Transportes!H316),1,FIND("-",TRIM(Transportes!H316),1)-2)="Acción humana","H","F"))</f>
        <v>#VALUE!</v>
      </c>
      <c r="U316" s="53">
        <f>Transportes!G316</f>
        <v>0</v>
      </c>
    </row>
    <row r="317" spans="18:21">
      <c r="R317" t="e">
        <f>TRIM(MID(TRIM(Transportes!D317),1,FIND(CHAR(10),TRIM(Transportes!D317),1)-1))</f>
        <v>#VALUE!</v>
      </c>
      <c r="S317" t="str">
        <f>TRIM(IF(Transportes!F317="TRÁNSITO INTERRUMPIDO","Interrumpido",IF(Transportes!F317="TRÁNSITO RESTRINGIDO","Restringido","Normal")))</f>
        <v>Normal</v>
      </c>
      <c r="T317" t="e">
        <f>TRIM(IF(MID(TRIM(Transportes!H317),1,FIND("-",TRIM(Transportes!H317),1)-2)="Acción humana","H","F"))</f>
        <v>#VALUE!</v>
      </c>
      <c r="U317" s="53">
        <f>Transportes!G317</f>
        <v>0</v>
      </c>
    </row>
    <row r="318" spans="18:21">
      <c r="R318" t="e">
        <f>TRIM(MID(TRIM(Transportes!D318),1,FIND(CHAR(10),TRIM(Transportes!D318),1)-1))</f>
        <v>#VALUE!</v>
      </c>
      <c r="S318" t="str">
        <f>TRIM(IF(Transportes!F318="TRÁNSITO INTERRUMPIDO","Interrumpido",IF(Transportes!F318="TRÁNSITO RESTRINGIDO","Restringido","Normal")))</f>
        <v>Normal</v>
      </c>
      <c r="T318" t="e">
        <f>TRIM(IF(MID(TRIM(Transportes!H318),1,FIND("-",TRIM(Transportes!H318),1)-2)="Acción humana","H","F"))</f>
        <v>#VALUE!</v>
      </c>
      <c r="U318" s="53">
        <f>Transportes!G318</f>
        <v>0</v>
      </c>
    </row>
    <row r="319" spans="18:21">
      <c r="R319" t="e">
        <f>TRIM(MID(TRIM(Transportes!D319),1,FIND(CHAR(10),TRIM(Transportes!D319),1)-1))</f>
        <v>#VALUE!</v>
      </c>
      <c r="S319" t="str">
        <f>TRIM(IF(Transportes!F319="TRÁNSITO INTERRUMPIDO","Interrumpido",IF(Transportes!F319="TRÁNSITO RESTRINGIDO","Restringido","Normal")))</f>
        <v>Normal</v>
      </c>
      <c r="T319" t="e">
        <f>TRIM(IF(MID(TRIM(Transportes!H319),1,FIND("-",TRIM(Transportes!H319),1)-2)="Acción humana","H","F"))</f>
        <v>#VALUE!</v>
      </c>
      <c r="U319" s="53">
        <f>Transportes!G319</f>
        <v>0</v>
      </c>
    </row>
    <row r="320" spans="18:21">
      <c r="R320" t="e">
        <f>TRIM(MID(TRIM(Transportes!D320),1,FIND(CHAR(10),TRIM(Transportes!D320),1)-1))</f>
        <v>#VALUE!</v>
      </c>
      <c r="S320" t="str">
        <f>TRIM(IF(Transportes!F320="TRÁNSITO INTERRUMPIDO","Interrumpido",IF(Transportes!F320="TRÁNSITO RESTRINGIDO","Restringido","Normal")))</f>
        <v>Normal</v>
      </c>
      <c r="T320" t="e">
        <f>TRIM(IF(MID(TRIM(Transportes!H320),1,FIND("-",TRIM(Transportes!H320),1)-2)="Acción humana","H","F"))</f>
        <v>#VALUE!</v>
      </c>
      <c r="U320" s="53">
        <f>Transportes!G320</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2" type="noConversion"/>
  <hyperlinks>
    <hyperlink ref="B69" r:id="rId1" xr:uid="{FAF91C51-B5BF-44BC-B848-35633AD133F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163"/>
  <sheetViews>
    <sheetView showGridLines="0" zoomScale="96" zoomScaleNormal="96" zoomScaleSheetLayoutView="100" workbookViewId="0">
      <selection activeCell="C3" sqref="C3"/>
    </sheetView>
  </sheetViews>
  <sheetFormatPr baseColWidth="10" defaultColWidth="11" defaultRowHeight="14.25"/>
  <cols>
    <col min="1" max="1" width="4.875" style="64" bestFit="1" customWidth="1"/>
    <col min="2" max="2" width="12.875" style="190" bestFit="1" customWidth="1"/>
    <col min="3" max="3" width="10.375" bestFit="1" customWidth="1"/>
    <col min="4" max="4" width="20.75" bestFit="1" customWidth="1"/>
    <col min="5" max="5" width="29.125" style="55" customWidth="1"/>
    <col min="6" max="6" width="13.625" style="55" bestFit="1" customWidth="1"/>
    <col min="7" max="7" width="8.75" style="53" hidden="1" customWidth="1"/>
    <col min="8" max="8" width="58" bestFit="1" customWidth="1"/>
    <col min="9" max="9" width="20.375" customWidth="1"/>
    <col min="10" max="10" width="27" bestFit="1" customWidth="1"/>
    <col min="11" max="11" width="10.125" style="189" bestFit="1" customWidth="1"/>
    <col min="12" max="12" width="12" style="153" customWidth="1"/>
    <col min="13" max="13" width="12.625" style="154" customWidth="1"/>
  </cols>
  <sheetData>
    <row r="1" spans="1:13" ht="18.75">
      <c r="B1" s="182"/>
      <c r="D1" s="307" t="s">
        <v>147</v>
      </c>
      <c r="E1" s="307"/>
      <c r="F1" s="307"/>
      <c r="G1" s="307"/>
      <c r="H1" s="307"/>
      <c r="I1" s="307"/>
      <c r="J1" s="307"/>
      <c r="K1" s="307"/>
    </row>
    <row r="2" spans="1:13" ht="26.25">
      <c r="A2" s="68"/>
      <c r="B2" s="183"/>
      <c r="C2" s="48" t="s">
        <v>0</v>
      </c>
      <c r="D2" s="308" t="s">
        <v>1</v>
      </c>
      <c r="E2" s="308"/>
      <c r="F2" s="308"/>
      <c r="G2" s="308"/>
      <c r="H2" s="308"/>
      <c r="I2" s="308"/>
      <c r="J2" s="308"/>
      <c r="K2" s="308"/>
      <c r="L2" s="155"/>
    </row>
    <row r="3" spans="1:13" ht="26.25">
      <c r="A3" s="68"/>
      <c r="B3" s="184" t="s">
        <v>14</v>
      </c>
      <c r="C3" s="47" t="s">
        <v>731</v>
      </c>
      <c r="D3" s="49"/>
      <c r="E3" s="13"/>
      <c r="F3" s="13"/>
      <c r="G3" s="50"/>
      <c r="H3" s="51"/>
      <c r="I3" s="52"/>
      <c r="J3" s="51"/>
      <c r="K3" s="156"/>
      <c r="L3" s="157"/>
    </row>
    <row r="4" spans="1:13" ht="25.5">
      <c r="A4" s="57" t="s">
        <v>374</v>
      </c>
      <c r="B4" s="57" t="s">
        <v>3</v>
      </c>
      <c r="C4" s="57" t="s">
        <v>17</v>
      </c>
      <c r="D4" s="57" t="s">
        <v>4</v>
      </c>
      <c r="E4" s="266" t="s">
        <v>5</v>
      </c>
      <c r="F4" s="57" t="s">
        <v>7</v>
      </c>
      <c r="G4" s="58" t="s">
        <v>86</v>
      </c>
      <c r="H4" s="57" t="s">
        <v>23</v>
      </c>
      <c r="I4" s="57" t="s">
        <v>728</v>
      </c>
      <c r="J4" s="57" t="s">
        <v>82</v>
      </c>
      <c r="K4" s="57" t="s">
        <v>9</v>
      </c>
      <c r="L4" s="158" t="s">
        <v>10</v>
      </c>
      <c r="M4" s="159" t="s">
        <v>11</v>
      </c>
    </row>
    <row r="5" spans="1:13" ht="89.25">
      <c r="A5" s="146">
        <v>158</v>
      </c>
      <c r="B5" s="180" t="s">
        <v>588</v>
      </c>
      <c r="C5" s="89">
        <v>45792</v>
      </c>
      <c r="D5" s="83" t="s">
        <v>123</v>
      </c>
      <c r="E5" s="80" t="s">
        <v>592</v>
      </c>
      <c r="F5" s="134" t="s">
        <v>28</v>
      </c>
      <c r="G5" s="91">
        <v>25</v>
      </c>
      <c r="H5" s="84" t="s">
        <v>734</v>
      </c>
      <c r="I5" s="87" t="s">
        <v>111</v>
      </c>
      <c r="J5" s="86" t="s">
        <v>177</v>
      </c>
      <c r="K5" s="188" t="s">
        <v>30</v>
      </c>
      <c r="L5" s="254">
        <v>-10.074085</v>
      </c>
      <c r="M5" s="255">
        <v>-77.145172000000002</v>
      </c>
    </row>
    <row r="6" spans="1:13" ht="140.25">
      <c r="A6" s="146">
        <v>157</v>
      </c>
      <c r="B6" s="180" t="s">
        <v>559</v>
      </c>
      <c r="C6" s="89">
        <v>45790</v>
      </c>
      <c r="D6" s="90" t="s">
        <v>560</v>
      </c>
      <c r="E6" s="80" t="s">
        <v>561</v>
      </c>
      <c r="F6" s="134" t="s">
        <v>28</v>
      </c>
      <c r="G6" s="91">
        <v>1</v>
      </c>
      <c r="H6" s="81" t="s">
        <v>735</v>
      </c>
      <c r="I6" s="87" t="s">
        <v>562</v>
      </c>
      <c r="J6" s="88" t="s">
        <v>218</v>
      </c>
      <c r="K6" s="187" t="s">
        <v>30</v>
      </c>
      <c r="L6" s="82">
        <v>-6.7519439999999999</v>
      </c>
      <c r="M6" s="66">
        <v>-79.724999999999994</v>
      </c>
    </row>
    <row r="7" spans="1:13" ht="114.75">
      <c r="A7" s="146">
        <v>156</v>
      </c>
      <c r="B7" s="180" t="s">
        <v>269</v>
      </c>
      <c r="C7" s="89">
        <v>45726</v>
      </c>
      <c r="D7" s="90" t="s">
        <v>267</v>
      </c>
      <c r="E7" s="80" t="s">
        <v>268</v>
      </c>
      <c r="F7" s="134" t="s">
        <v>28</v>
      </c>
      <c r="G7" s="91">
        <v>260</v>
      </c>
      <c r="H7" s="81" t="s">
        <v>736</v>
      </c>
      <c r="I7" s="87" t="s">
        <v>273</v>
      </c>
      <c r="J7" s="86" t="s">
        <v>191</v>
      </c>
      <c r="K7" s="187" t="s">
        <v>30</v>
      </c>
      <c r="L7" s="82">
        <v>-7.6618000000000004</v>
      </c>
      <c r="M7" s="66">
        <v>-77.866600000000005</v>
      </c>
    </row>
    <row r="8" spans="1:13" ht="165.75">
      <c r="A8" s="146">
        <v>155</v>
      </c>
      <c r="B8" s="180" t="s">
        <v>246</v>
      </c>
      <c r="C8" s="89">
        <v>45719</v>
      </c>
      <c r="D8" s="90" t="s">
        <v>247</v>
      </c>
      <c r="E8" s="80" t="s">
        <v>248</v>
      </c>
      <c r="F8" s="134" t="s">
        <v>28</v>
      </c>
      <c r="G8" s="91">
        <v>30</v>
      </c>
      <c r="H8" s="81" t="s">
        <v>737</v>
      </c>
      <c r="I8" s="87" t="s">
        <v>249</v>
      </c>
      <c r="J8" s="86" t="s">
        <v>191</v>
      </c>
      <c r="K8" s="187" t="s">
        <v>30</v>
      </c>
      <c r="L8" s="82">
        <v>-7.6699510000000002</v>
      </c>
      <c r="M8" s="66">
        <v>-77.848448000000005</v>
      </c>
    </row>
    <row r="9" spans="1:13" ht="102">
      <c r="A9" s="146">
        <v>154</v>
      </c>
      <c r="B9" s="180" t="s">
        <v>183</v>
      </c>
      <c r="C9" s="89">
        <v>45670</v>
      </c>
      <c r="D9" s="90" t="s">
        <v>182</v>
      </c>
      <c r="E9" s="80" t="s">
        <v>438</v>
      </c>
      <c r="F9" s="134" t="s">
        <v>28</v>
      </c>
      <c r="G9" s="119">
        <v>200</v>
      </c>
      <c r="H9" s="97" t="s">
        <v>738</v>
      </c>
      <c r="I9" s="87"/>
      <c r="J9" s="88" t="s">
        <v>219</v>
      </c>
      <c r="K9" s="187" t="s">
        <v>30</v>
      </c>
      <c r="L9" s="120">
        <v>-17.151049</v>
      </c>
      <c r="M9" s="121">
        <v>-71.785892000000004</v>
      </c>
    </row>
    <row r="10" spans="1:13" ht="105.75" customHeight="1">
      <c r="A10" s="146">
        <v>153</v>
      </c>
      <c r="B10" s="251" t="s">
        <v>905</v>
      </c>
      <c r="C10" s="89">
        <v>45804</v>
      </c>
      <c r="D10" s="83" t="s">
        <v>134</v>
      </c>
      <c r="E10" s="80" t="s">
        <v>906</v>
      </c>
      <c r="F10" s="94" t="s">
        <v>12</v>
      </c>
      <c r="G10" s="91">
        <v>10</v>
      </c>
      <c r="H10" s="81" t="s">
        <v>907</v>
      </c>
      <c r="I10" s="85" t="s">
        <v>464</v>
      </c>
      <c r="J10" s="88" t="s">
        <v>178</v>
      </c>
      <c r="K10" s="257" t="s">
        <v>30</v>
      </c>
      <c r="L10" s="82">
        <v>-5.7673040000000002</v>
      </c>
      <c r="M10" s="66">
        <v>-79.457882999999995</v>
      </c>
    </row>
    <row r="11" spans="1:13" s="324" customFormat="1" ht="116.25" customHeight="1">
      <c r="A11" s="146">
        <v>152</v>
      </c>
      <c r="B11" s="251" t="s">
        <v>883</v>
      </c>
      <c r="C11" s="89">
        <v>45804</v>
      </c>
      <c r="D11" s="83" t="s">
        <v>881</v>
      </c>
      <c r="E11" s="176" t="s">
        <v>882</v>
      </c>
      <c r="F11" s="94" t="s">
        <v>12</v>
      </c>
      <c r="G11" s="36" t="s">
        <v>102</v>
      </c>
      <c r="H11" s="31" t="s">
        <v>890</v>
      </c>
      <c r="I11" s="87" t="s">
        <v>889</v>
      </c>
      <c r="J11" s="88" t="s">
        <v>201</v>
      </c>
      <c r="K11" s="257" t="s">
        <v>30</v>
      </c>
      <c r="L11" s="82">
        <v>-14.813345</v>
      </c>
      <c r="M11" s="66">
        <v>-73.984785000000002</v>
      </c>
    </row>
    <row r="12" spans="1:13" ht="121.5" customHeight="1">
      <c r="A12" s="146">
        <v>151</v>
      </c>
      <c r="B12" s="251" t="s">
        <v>725</v>
      </c>
      <c r="C12" s="89">
        <v>45803</v>
      </c>
      <c r="D12" s="83" t="s">
        <v>665</v>
      </c>
      <c r="E12" s="80" t="s">
        <v>729</v>
      </c>
      <c r="F12" s="94" t="s">
        <v>12</v>
      </c>
      <c r="G12" s="91">
        <v>10</v>
      </c>
      <c r="H12" s="81" t="s">
        <v>739</v>
      </c>
      <c r="I12" s="34" t="s">
        <v>891</v>
      </c>
      <c r="J12" s="88" t="s">
        <v>218</v>
      </c>
      <c r="K12" s="257" t="s">
        <v>30</v>
      </c>
      <c r="L12" s="82">
        <v>-6.2335070000000004</v>
      </c>
      <c r="M12" s="66">
        <v>-78.733136999999999</v>
      </c>
    </row>
    <row r="13" spans="1:13" ht="102">
      <c r="A13" s="146">
        <v>150</v>
      </c>
      <c r="B13" s="286" t="s">
        <v>726</v>
      </c>
      <c r="C13" s="89">
        <v>45803</v>
      </c>
      <c r="D13" s="83" t="s">
        <v>356</v>
      </c>
      <c r="E13" s="131" t="s">
        <v>724</v>
      </c>
      <c r="F13" s="94" t="s">
        <v>12</v>
      </c>
      <c r="G13" s="116">
        <v>20</v>
      </c>
      <c r="H13" s="84" t="s">
        <v>740</v>
      </c>
      <c r="I13" s="87" t="s">
        <v>377</v>
      </c>
      <c r="J13" s="86" t="s">
        <v>259</v>
      </c>
      <c r="K13" s="257" t="s">
        <v>30</v>
      </c>
      <c r="L13" s="82">
        <v>-17.466985000000001</v>
      </c>
      <c r="M13" s="66">
        <v>-70.024193999999994</v>
      </c>
    </row>
    <row r="14" spans="1:13" ht="108.75" customHeight="1">
      <c r="A14" s="146">
        <v>149</v>
      </c>
      <c r="B14" s="251" t="s">
        <v>722</v>
      </c>
      <c r="C14" s="89">
        <v>45803</v>
      </c>
      <c r="D14" s="96" t="s">
        <v>723</v>
      </c>
      <c r="E14" s="130" t="s">
        <v>730</v>
      </c>
      <c r="F14" s="94" t="s">
        <v>12</v>
      </c>
      <c r="G14" s="91">
        <v>50</v>
      </c>
      <c r="H14" s="81" t="s">
        <v>741</v>
      </c>
      <c r="I14" s="87" t="s">
        <v>27</v>
      </c>
      <c r="J14" s="88" t="s">
        <v>532</v>
      </c>
      <c r="K14" s="257" t="s">
        <v>30</v>
      </c>
      <c r="L14" s="82">
        <v>-13.731812</v>
      </c>
      <c r="M14" s="66">
        <v>-72.349795999999998</v>
      </c>
    </row>
    <row r="15" spans="1:13" ht="76.5">
      <c r="A15" s="146">
        <v>148</v>
      </c>
      <c r="B15" s="251" t="s">
        <v>718</v>
      </c>
      <c r="C15" s="89">
        <v>45803</v>
      </c>
      <c r="D15" s="83" t="s">
        <v>690</v>
      </c>
      <c r="E15" s="80" t="s">
        <v>717</v>
      </c>
      <c r="F15" s="94" t="s">
        <v>12</v>
      </c>
      <c r="G15" s="91">
        <v>25</v>
      </c>
      <c r="H15" s="81" t="s">
        <v>742</v>
      </c>
      <c r="I15" s="34" t="s">
        <v>892</v>
      </c>
      <c r="J15" s="86" t="s">
        <v>159</v>
      </c>
      <c r="K15" s="257" t="s">
        <v>30</v>
      </c>
      <c r="L15" s="283">
        <v>-10.482284</v>
      </c>
      <c r="M15" s="284">
        <v>-77.176055000000005</v>
      </c>
    </row>
    <row r="16" spans="1:13" ht="102">
      <c r="A16" s="146">
        <v>147</v>
      </c>
      <c r="B16" s="251" t="s">
        <v>716</v>
      </c>
      <c r="C16" s="89">
        <v>45801</v>
      </c>
      <c r="D16" s="90" t="s">
        <v>266</v>
      </c>
      <c r="E16" s="80" t="s">
        <v>714</v>
      </c>
      <c r="F16" s="94" t="s">
        <v>12</v>
      </c>
      <c r="G16" s="91">
        <v>120</v>
      </c>
      <c r="H16" s="97" t="s">
        <v>743</v>
      </c>
      <c r="I16" s="87" t="s">
        <v>715</v>
      </c>
      <c r="J16" s="88" t="s">
        <v>527</v>
      </c>
      <c r="K16" s="257" t="s">
        <v>30</v>
      </c>
      <c r="L16" s="268">
        <v>-9.5095130000000001</v>
      </c>
      <c r="M16" s="269">
        <v>-75.025260000000003</v>
      </c>
    </row>
    <row r="17" spans="1:13" ht="76.5">
      <c r="A17" s="146">
        <v>146</v>
      </c>
      <c r="B17" s="251" t="s">
        <v>711</v>
      </c>
      <c r="C17" s="89">
        <v>45801</v>
      </c>
      <c r="D17" s="83" t="s">
        <v>661</v>
      </c>
      <c r="E17" s="176" t="s">
        <v>710</v>
      </c>
      <c r="F17" s="94" t="s">
        <v>12</v>
      </c>
      <c r="G17" s="36">
        <v>20</v>
      </c>
      <c r="H17" s="31" t="s">
        <v>888</v>
      </c>
      <c r="I17" s="87" t="s">
        <v>887</v>
      </c>
      <c r="J17" s="88" t="s">
        <v>201</v>
      </c>
      <c r="K17" s="257" t="s">
        <v>30</v>
      </c>
      <c r="L17" s="268">
        <v>-14.977220000000001</v>
      </c>
      <c r="M17" s="269">
        <v>-73.811565999999999</v>
      </c>
    </row>
    <row r="18" spans="1:13" ht="76.5">
      <c r="A18" s="146">
        <v>145</v>
      </c>
      <c r="B18" s="258" t="s">
        <v>706</v>
      </c>
      <c r="C18" s="89">
        <v>45801</v>
      </c>
      <c r="D18" s="90" t="s">
        <v>704</v>
      </c>
      <c r="E18" s="80" t="s">
        <v>705</v>
      </c>
      <c r="F18" s="94" t="s">
        <v>12</v>
      </c>
      <c r="G18" s="207">
        <v>10</v>
      </c>
      <c r="H18" s="81" t="s">
        <v>862</v>
      </c>
      <c r="I18" s="87" t="s">
        <v>523</v>
      </c>
      <c r="J18" s="88" t="s">
        <v>345</v>
      </c>
      <c r="K18" s="257" t="s">
        <v>30</v>
      </c>
      <c r="L18" s="208">
        <v>-5.7676600000000002</v>
      </c>
      <c r="M18" s="209">
        <v>-78.138508999999999</v>
      </c>
    </row>
    <row r="19" spans="1:13" ht="127.5">
      <c r="A19" s="146">
        <v>144</v>
      </c>
      <c r="B19" s="251" t="s">
        <v>700</v>
      </c>
      <c r="C19" s="89">
        <v>45800</v>
      </c>
      <c r="D19" s="83" t="s">
        <v>665</v>
      </c>
      <c r="E19" s="80" t="s">
        <v>701</v>
      </c>
      <c r="F19" s="94" t="s">
        <v>12</v>
      </c>
      <c r="G19" s="91">
        <v>10</v>
      </c>
      <c r="H19" s="81" t="s">
        <v>739</v>
      </c>
      <c r="I19" s="34" t="s">
        <v>891</v>
      </c>
      <c r="J19" s="88" t="s">
        <v>218</v>
      </c>
      <c r="K19" s="170" t="s">
        <v>30</v>
      </c>
      <c r="L19" s="82">
        <v>-6.1999110000000002</v>
      </c>
      <c r="M19" s="66">
        <v>-78.738152999999997</v>
      </c>
    </row>
    <row r="20" spans="1:13" ht="89.25">
      <c r="A20" s="146">
        <v>143</v>
      </c>
      <c r="B20" s="251" t="s">
        <v>692</v>
      </c>
      <c r="C20" s="89">
        <v>45800</v>
      </c>
      <c r="D20" s="83" t="s">
        <v>690</v>
      </c>
      <c r="E20" s="80" t="s">
        <v>691</v>
      </c>
      <c r="F20" s="94" t="s">
        <v>12</v>
      </c>
      <c r="G20" s="91">
        <v>40</v>
      </c>
      <c r="H20" s="81" t="s">
        <v>744</v>
      </c>
      <c r="I20" s="34" t="s">
        <v>893</v>
      </c>
      <c r="J20" s="86" t="s">
        <v>159</v>
      </c>
      <c r="K20" s="170" t="s">
        <v>30</v>
      </c>
      <c r="L20" s="82">
        <v>-10.473741</v>
      </c>
      <c r="M20" s="66">
        <v>-77.164047999999994</v>
      </c>
    </row>
    <row r="21" spans="1:13" ht="102">
      <c r="A21" s="146">
        <v>142</v>
      </c>
      <c r="B21" s="251" t="s">
        <v>695</v>
      </c>
      <c r="C21" s="89">
        <v>45799</v>
      </c>
      <c r="D21" s="83" t="s">
        <v>696</v>
      </c>
      <c r="E21" s="80" t="s">
        <v>697</v>
      </c>
      <c r="F21" s="94" t="s">
        <v>12</v>
      </c>
      <c r="G21" s="91">
        <v>20</v>
      </c>
      <c r="H21" s="81" t="s">
        <v>745</v>
      </c>
      <c r="I21" s="34" t="s">
        <v>702</v>
      </c>
      <c r="J21" s="88" t="s">
        <v>534</v>
      </c>
      <c r="K21" s="170" t="s">
        <v>30</v>
      </c>
      <c r="L21" s="82">
        <v>-14.515703</v>
      </c>
      <c r="M21" s="66">
        <v>-72.037209000000004</v>
      </c>
    </row>
    <row r="22" spans="1:13" ht="114.75">
      <c r="A22" s="146">
        <v>141</v>
      </c>
      <c r="B22" s="251" t="s">
        <v>672</v>
      </c>
      <c r="C22" s="89">
        <v>45799</v>
      </c>
      <c r="D22" s="83" t="s">
        <v>675</v>
      </c>
      <c r="E22" s="80" t="s">
        <v>673</v>
      </c>
      <c r="F22" s="94" t="s">
        <v>12</v>
      </c>
      <c r="G22" s="91">
        <v>20</v>
      </c>
      <c r="H22" s="81" t="s">
        <v>746</v>
      </c>
      <c r="I22" s="34" t="s">
        <v>703</v>
      </c>
      <c r="J22" s="88" t="s">
        <v>674</v>
      </c>
      <c r="K22" s="170" t="s">
        <v>30</v>
      </c>
      <c r="L22" s="82">
        <v>-10.651515</v>
      </c>
      <c r="M22" s="66">
        <v>-75.114142000000001</v>
      </c>
    </row>
    <row r="23" spans="1:13" ht="89.25">
      <c r="A23" s="146">
        <v>140</v>
      </c>
      <c r="B23" s="251" t="s">
        <v>667</v>
      </c>
      <c r="C23" s="89">
        <v>45799</v>
      </c>
      <c r="D23" s="83" t="s">
        <v>665</v>
      </c>
      <c r="E23" s="80" t="s">
        <v>666</v>
      </c>
      <c r="F23" s="94" t="s">
        <v>12</v>
      </c>
      <c r="G23" s="91">
        <v>10</v>
      </c>
      <c r="H23" s="81" t="s">
        <v>747</v>
      </c>
      <c r="I23" s="34" t="s">
        <v>387</v>
      </c>
      <c r="J23" s="88" t="s">
        <v>218</v>
      </c>
      <c r="K23" s="170" t="s">
        <v>30</v>
      </c>
      <c r="L23" s="82">
        <v>-6.2005780000000001</v>
      </c>
      <c r="M23" s="66">
        <v>-78.738353000000004</v>
      </c>
    </row>
    <row r="24" spans="1:13" ht="126" customHeight="1">
      <c r="A24" s="146">
        <v>139</v>
      </c>
      <c r="B24" s="251" t="s">
        <v>652</v>
      </c>
      <c r="C24" s="89">
        <v>45799</v>
      </c>
      <c r="D24" s="96" t="s">
        <v>577</v>
      </c>
      <c r="E24" s="80" t="s">
        <v>689</v>
      </c>
      <c r="F24" s="94" t="s">
        <v>12</v>
      </c>
      <c r="G24" s="91">
        <v>30</v>
      </c>
      <c r="H24" s="81" t="s">
        <v>751</v>
      </c>
      <c r="I24" s="87" t="s">
        <v>653</v>
      </c>
      <c r="J24" s="88" t="s">
        <v>178</v>
      </c>
      <c r="K24" s="170" t="s">
        <v>30</v>
      </c>
      <c r="L24" s="82">
        <v>-4.7562670000000002</v>
      </c>
      <c r="M24" s="66">
        <v>-79.617176999999998</v>
      </c>
    </row>
    <row r="25" spans="1:13" ht="126" customHeight="1">
      <c r="A25" s="146">
        <v>138</v>
      </c>
      <c r="B25" s="326" t="s">
        <v>908</v>
      </c>
      <c r="C25" s="89">
        <v>45798</v>
      </c>
      <c r="D25" s="83" t="s">
        <v>909</v>
      </c>
      <c r="E25" s="176" t="s">
        <v>910</v>
      </c>
      <c r="F25" s="94" t="s">
        <v>12</v>
      </c>
      <c r="G25" s="36">
        <v>15</v>
      </c>
      <c r="H25" s="31" t="s">
        <v>911</v>
      </c>
      <c r="I25" s="87" t="s">
        <v>27</v>
      </c>
      <c r="J25" s="88" t="s">
        <v>181</v>
      </c>
      <c r="K25" s="257" t="s">
        <v>30</v>
      </c>
      <c r="L25" s="82">
        <v>-13.637276999999999</v>
      </c>
      <c r="M25" s="66">
        <v>-75.697784999999996</v>
      </c>
    </row>
    <row r="26" spans="1:13" ht="98.25" customHeight="1">
      <c r="A26" s="146">
        <v>137</v>
      </c>
      <c r="B26" s="251" t="s">
        <v>662</v>
      </c>
      <c r="C26" s="89">
        <v>45798</v>
      </c>
      <c r="D26" s="83" t="s">
        <v>663</v>
      </c>
      <c r="E26" s="80" t="s">
        <v>664</v>
      </c>
      <c r="F26" s="94" t="s">
        <v>12</v>
      </c>
      <c r="G26" s="191">
        <v>100</v>
      </c>
      <c r="H26" s="97" t="s">
        <v>750</v>
      </c>
      <c r="I26" s="87" t="s">
        <v>27</v>
      </c>
      <c r="J26" s="86" t="s">
        <v>346</v>
      </c>
      <c r="K26" s="170" t="s">
        <v>30</v>
      </c>
      <c r="L26" s="192">
        <v>-7.0855420000000002</v>
      </c>
      <c r="M26" s="193">
        <v>-76.637118999999998</v>
      </c>
    </row>
    <row r="27" spans="1:13" ht="89.25">
      <c r="A27" s="146">
        <v>136</v>
      </c>
      <c r="B27" s="251" t="s">
        <v>642</v>
      </c>
      <c r="C27" s="89">
        <v>45433</v>
      </c>
      <c r="D27" s="90" t="s">
        <v>656</v>
      </c>
      <c r="E27" s="80" t="s">
        <v>641</v>
      </c>
      <c r="F27" s="94" t="s">
        <v>12</v>
      </c>
      <c r="G27" s="91">
        <v>30</v>
      </c>
      <c r="H27" s="81" t="s">
        <v>749</v>
      </c>
      <c r="I27" s="92" t="s">
        <v>655</v>
      </c>
      <c r="J27" s="88" t="s">
        <v>240</v>
      </c>
      <c r="K27" s="257" t="s">
        <v>30</v>
      </c>
      <c r="L27" s="274">
        <v>-6.509557</v>
      </c>
      <c r="M27" s="275">
        <v>-78.715943999999993</v>
      </c>
    </row>
    <row r="28" spans="1:13" ht="76.5">
      <c r="A28" s="146">
        <v>135</v>
      </c>
      <c r="B28" s="170" t="s">
        <v>636</v>
      </c>
      <c r="C28" s="89">
        <v>45432</v>
      </c>
      <c r="D28" s="90" t="s">
        <v>31</v>
      </c>
      <c r="E28" s="80" t="s">
        <v>698</v>
      </c>
      <c r="F28" s="94" t="s">
        <v>12</v>
      </c>
      <c r="G28" s="91" t="s">
        <v>102</v>
      </c>
      <c r="H28" s="97" t="s">
        <v>926</v>
      </c>
      <c r="I28" s="87" t="s">
        <v>925</v>
      </c>
      <c r="J28" s="88" t="s">
        <v>548</v>
      </c>
      <c r="K28" s="170" t="s">
        <v>30</v>
      </c>
      <c r="L28" s="82">
        <v>-9.0845099999999999</v>
      </c>
      <c r="M28" s="66">
        <v>-75.721131</v>
      </c>
    </row>
    <row r="29" spans="1:13" ht="76.5">
      <c r="A29" s="146">
        <v>134</v>
      </c>
      <c r="B29" s="180" t="s">
        <v>629</v>
      </c>
      <c r="C29" s="89">
        <v>45797</v>
      </c>
      <c r="D29" s="90" t="s">
        <v>627</v>
      </c>
      <c r="E29" s="80" t="s">
        <v>628</v>
      </c>
      <c r="F29" s="94" t="s">
        <v>12</v>
      </c>
      <c r="G29" s="91">
        <v>30</v>
      </c>
      <c r="H29" s="97" t="s">
        <v>748</v>
      </c>
      <c r="I29" s="87" t="s">
        <v>924</v>
      </c>
      <c r="J29" s="88" t="s">
        <v>527</v>
      </c>
      <c r="K29" s="257" t="s">
        <v>30</v>
      </c>
      <c r="L29" s="268">
        <v>-9.5364730000000009</v>
      </c>
      <c r="M29" s="269">
        <v>-75.176770000000005</v>
      </c>
    </row>
    <row r="30" spans="1:13" ht="76.5">
      <c r="A30" s="146">
        <v>133</v>
      </c>
      <c r="B30" s="251" t="s">
        <v>623</v>
      </c>
      <c r="C30" s="89">
        <v>45797</v>
      </c>
      <c r="D30" s="83" t="s">
        <v>621</v>
      </c>
      <c r="E30" s="176" t="s">
        <v>622</v>
      </c>
      <c r="F30" s="94" t="s">
        <v>12</v>
      </c>
      <c r="G30" s="36">
        <v>20</v>
      </c>
      <c r="H30" s="31" t="s">
        <v>752</v>
      </c>
      <c r="I30" s="87" t="s">
        <v>634</v>
      </c>
      <c r="J30" s="88" t="s">
        <v>201</v>
      </c>
      <c r="K30" s="170" t="s">
        <v>30</v>
      </c>
      <c r="L30" s="268">
        <v>-14.979514999999999</v>
      </c>
      <c r="M30" s="269">
        <v>-73.816463999999996</v>
      </c>
    </row>
    <row r="31" spans="1:13" ht="102">
      <c r="A31" s="146">
        <v>132</v>
      </c>
      <c r="B31" s="251" t="s">
        <v>619</v>
      </c>
      <c r="C31" s="89">
        <v>45797</v>
      </c>
      <c r="D31" s="83" t="s">
        <v>126</v>
      </c>
      <c r="E31" s="80" t="s">
        <v>620</v>
      </c>
      <c r="F31" s="94" t="s">
        <v>12</v>
      </c>
      <c r="G31" s="91">
        <v>20</v>
      </c>
      <c r="H31" s="81" t="s">
        <v>753</v>
      </c>
      <c r="I31" s="34" t="s">
        <v>387</v>
      </c>
      <c r="J31" s="88" t="s">
        <v>218</v>
      </c>
      <c r="K31" s="170" t="s">
        <v>30</v>
      </c>
      <c r="L31" s="82">
        <v>-6.1089370000000001</v>
      </c>
      <c r="M31" s="66">
        <v>-78.714099000000004</v>
      </c>
    </row>
    <row r="32" spans="1:13" ht="102">
      <c r="A32" s="146">
        <v>131</v>
      </c>
      <c r="B32" s="251" t="s">
        <v>618</v>
      </c>
      <c r="C32" s="89">
        <v>45797</v>
      </c>
      <c r="D32" s="96" t="s">
        <v>616</v>
      </c>
      <c r="E32" s="80" t="s">
        <v>617</v>
      </c>
      <c r="F32" s="94" t="s">
        <v>12</v>
      </c>
      <c r="G32" s="91">
        <v>40</v>
      </c>
      <c r="H32" s="81" t="s">
        <v>755</v>
      </c>
      <c r="I32" s="87" t="s">
        <v>894</v>
      </c>
      <c r="J32" s="88" t="s">
        <v>227</v>
      </c>
      <c r="K32" s="170" t="s">
        <v>30</v>
      </c>
      <c r="L32" s="82">
        <v>-14.363448999999999</v>
      </c>
      <c r="M32" s="66">
        <v>-69.478427999999994</v>
      </c>
    </row>
    <row r="33" spans="1:17" ht="76.5">
      <c r="A33" s="146">
        <v>130</v>
      </c>
      <c r="B33" s="251" t="s">
        <v>626</v>
      </c>
      <c r="C33" s="89">
        <v>45796</v>
      </c>
      <c r="D33" s="96" t="s">
        <v>624</v>
      </c>
      <c r="E33" s="80" t="s">
        <v>625</v>
      </c>
      <c r="F33" s="94" t="s">
        <v>12</v>
      </c>
      <c r="G33" s="267">
        <v>50</v>
      </c>
      <c r="H33" s="81" t="s">
        <v>754</v>
      </c>
      <c r="I33" s="87" t="s">
        <v>127</v>
      </c>
      <c r="J33" s="88" t="s">
        <v>518</v>
      </c>
      <c r="K33" s="170" t="s">
        <v>30</v>
      </c>
      <c r="L33" s="268">
        <v>-10.613597</v>
      </c>
      <c r="M33" s="269">
        <v>-76.179884000000001</v>
      </c>
    </row>
    <row r="34" spans="1:17" ht="127.5">
      <c r="A34" s="146">
        <v>129</v>
      </c>
      <c r="B34" s="180" t="s">
        <v>615</v>
      </c>
      <c r="C34" s="89">
        <v>45796</v>
      </c>
      <c r="D34" s="96" t="s">
        <v>535</v>
      </c>
      <c r="E34" s="130" t="s">
        <v>614</v>
      </c>
      <c r="F34" s="94" t="s">
        <v>12</v>
      </c>
      <c r="G34" s="91">
        <v>5</v>
      </c>
      <c r="H34" s="81" t="s">
        <v>757</v>
      </c>
      <c r="I34" s="34" t="s">
        <v>635</v>
      </c>
      <c r="J34" s="88" t="s">
        <v>534</v>
      </c>
      <c r="K34" s="170" t="s">
        <v>30</v>
      </c>
      <c r="L34" s="82">
        <v>-14.070356</v>
      </c>
      <c r="M34" s="66">
        <v>-72.559875000000005</v>
      </c>
    </row>
    <row r="35" spans="1:17" ht="102">
      <c r="A35" s="146">
        <v>128</v>
      </c>
      <c r="B35" s="251" t="s">
        <v>611</v>
      </c>
      <c r="C35" s="89">
        <v>45796</v>
      </c>
      <c r="D35" s="90" t="s">
        <v>267</v>
      </c>
      <c r="E35" s="80" t="s">
        <v>612</v>
      </c>
      <c r="F35" s="94" t="s">
        <v>12</v>
      </c>
      <c r="G35" s="91">
        <v>70</v>
      </c>
      <c r="H35" s="81" t="s">
        <v>756</v>
      </c>
      <c r="I35" s="87" t="s">
        <v>613</v>
      </c>
      <c r="J35" s="86" t="s">
        <v>191</v>
      </c>
      <c r="K35" s="170" t="s">
        <v>30</v>
      </c>
      <c r="L35" s="82">
        <v>-7.6673770000000001</v>
      </c>
      <c r="M35" s="66">
        <v>-77.8476</v>
      </c>
    </row>
    <row r="36" spans="1:17" ht="89.25">
      <c r="A36" s="146">
        <v>127</v>
      </c>
      <c r="B36" s="251" t="s">
        <v>610</v>
      </c>
      <c r="C36" s="89">
        <v>45796</v>
      </c>
      <c r="D36" s="83" t="s">
        <v>128</v>
      </c>
      <c r="E36" s="80" t="s">
        <v>609</v>
      </c>
      <c r="F36" s="94" t="s">
        <v>12</v>
      </c>
      <c r="G36" s="91">
        <v>10</v>
      </c>
      <c r="H36" s="81" t="s">
        <v>758</v>
      </c>
      <c r="I36" s="34" t="s">
        <v>608</v>
      </c>
      <c r="J36" s="88" t="s">
        <v>218</v>
      </c>
      <c r="K36" s="170" t="s">
        <v>30</v>
      </c>
      <c r="L36" s="228">
        <v>-6.3662619999999999</v>
      </c>
      <c r="M36" s="229">
        <v>-78.795406999999997</v>
      </c>
    </row>
    <row r="37" spans="1:17" ht="76.5">
      <c r="A37" s="146">
        <v>126</v>
      </c>
      <c r="B37" s="258" t="s">
        <v>607</v>
      </c>
      <c r="C37" s="89">
        <v>45796</v>
      </c>
      <c r="D37" s="90" t="s">
        <v>129</v>
      </c>
      <c r="E37" s="80" t="s">
        <v>606</v>
      </c>
      <c r="F37" s="94" t="s">
        <v>12</v>
      </c>
      <c r="G37" s="207">
        <v>20</v>
      </c>
      <c r="H37" s="81" t="s">
        <v>762</v>
      </c>
      <c r="I37" s="87" t="s">
        <v>523</v>
      </c>
      <c r="J37" s="88" t="s">
        <v>345</v>
      </c>
      <c r="K37" s="257" t="s">
        <v>30</v>
      </c>
      <c r="L37" s="208">
        <v>-5.1074973000000004</v>
      </c>
      <c r="M37" s="209">
        <v>-78.365061999999995</v>
      </c>
    </row>
    <row r="38" spans="1:17" ht="89.25">
      <c r="A38" s="146">
        <v>125</v>
      </c>
      <c r="B38" s="258" t="s">
        <v>676</v>
      </c>
      <c r="C38" s="89">
        <v>45793</v>
      </c>
      <c r="D38" s="90" t="s">
        <v>677</v>
      </c>
      <c r="E38" s="80" t="s">
        <v>678</v>
      </c>
      <c r="F38" s="94" t="s">
        <v>12</v>
      </c>
      <c r="G38" s="91">
        <v>20</v>
      </c>
      <c r="H38" s="81" t="s">
        <v>761</v>
      </c>
      <c r="I38" s="87" t="s">
        <v>679</v>
      </c>
      <c r="J38" s="88" t="s">
        <v>218</v>
      </c>
      <c r="K38" s="170" t="s">
        <v>30</v>
      </c>
      <c r="L38" s="82">
        <v>-6.630833</v>
      </c>
      <c r="M38" s="66">
        <v>-79.125277999999994</v>
      </c>
      <c r="Q38" t="s">
        <v>0</v>
      </c>
    </row>
    <row r="39" spans="1:17" ht="89.25">
      <c r="A39" s="146">
        <v>124</v>
      </c>
      <c r="B39" s="251" t="s">
        <v>593</v>
      </c>
      <c r="C39" s="89">
        <v>45793</v>
      </c>
      <c r="D39" s="96" t="s">
        <v>577</v>
      </c>
      <c r="E39" s="80" t="s">
        <v>594</v>
      </c>
      <c r="F39" s="94" t="s">
        <v>12</v>
      </c>
      <c r="G39" s="91">
        <v>40</v>
      </c>
      <c r="H39" s="81" t="s">
        <v>760</v>
      </c>
      <c r="I39" s="87" t="s">
        <v>464</v>
      </c>
      <c r="J39" s="88" t="s">
        <v>178</v>
      </c>
      <c r="K39" s="257" t="s">
        <v>30</v>
      </c>
      <c r="L39" s="82">
        <v>-4.8402310000000002</v>
      </c>
      <c r="M39" s="66">
        <v>-79.605215000000001</v>
      </c>
    </row>
    <row r="40" spans="1:17" ht="121.5" customHeight="1">
      <c r="A40" s="146">
        <v>123</v>
      </c>
      <c r="B40" s="251" t="s">
        <v>600</v>
      </c>
      <c r="C40" s="89">
        <v>45792</v>
      </c>
      <c r="D40" s="79" t="s">
        <v>595</v>
      </c>
      <c r="E40" s="80" t="s">
        <v>596</v>
      </c>
      <c r="F40" s="94" t="s">
        <v>12</v>
      </c>
      <c r="G40" s="91" t="s">
        <v>102</v>
      </c>
      <c r="H40" s="81" t="s">
        <v>759</v>
      </c>
      <c r="I40" s="87" t="s">
        <v>27</v>
      </c>
      <c r="J40" s="88" t="s">
        <v>532</v>
      </c>
      <c r="K40" s="257" t="s">
        <v>30</v>
      </c>
      <c r="L40" s="82">
        <v>-14.66864666</v>
      </c>
      <c r="M40" s="66">
        <v>-71.280101536999993</v>
      </c>
    </row>
    <row r="41" spans="1:17" ht="132" customHeight="1">
      <c r="A41" s="146">
        <v>122</v>
      </c>
      <c r="B41" s="251" t="s">
        <v>599</v>
      </c>
      <c r="C41" s="89">
        <v>45792</v>
      </c>
      <c r="D41" s="79" t="s">
        <v>597</v>
      </c>
      <c r="E41" s="80" t="s">
        <v>598</v>
      </c>
      <c r="F41" s="94" t="s">
        <v>12</v>
      </c>
      <c r="G41" s="91" t="s">
        <v>102</v>
      </c>
      <c r="H41" s="81" t="s">
        <v>759</v>
      </c>
      <c r="I41" s="87" t="s">
        <v>27</v>
      </c>
      <c r="J41" s="88" t="s">
        <v>532</v>
      </c>
      <c r="K41" s="257" t="s">
        <v>30</v>
      </c>
      <c r="L41" s="82">
        <v>-14.635122000000001</v>
      </c>
      <c r="M41" s="66">
        <v>-71.276989999999998</v>
      </c>
    </row>
    <row r="42" spans="1:17" ht="123.75" customHeight="1">
      <c r="A42" s="146">
        <v>121</v>
      </c>
      <c r="B42" s="180" t="s">
        <v>585</v>
      </c>
      <c r="C42" s="89">
        <v>45792</v>
      </c>
      <c r="D42" s="96" t="s">
        <v>577</v>
      </c>
      <c r="E42" s="80" t="s">
        <v>584</v>
      </c>
      <c r="F42" s="94" t="s">
        <v>12</v>
      </c>
      <c r="G42" s="91">
        <v>40</v>
      </c>
      <c r="H42" s="81" t="s">
        <v>760</v>
      </c>
      <c r="I42" s="87" t="s">
        <v>464</v>
      </c>
      <c r="J42" s="88" t="s">
        <v>178</v>
      </c>
      <c r="K42" s="188" t="s">
        <v>30</v>
      </c>
      <c r="L42" s="82">
        <v>-4.6125980000000002</v>
      </c>
      <c r="M42" s="66">
        <v>-79.645229</v>
      </c>
    </row>
    <row r="43" spans="1:17" ht="89.25">
      <c r="A43" s="146">
        <v>120</v>
      </c>
      <c r="B43" s="180" t="s">
        <v>583</v>
      </c>
      <c r="C43" s="89">
        <v>45792</v>
      </c>
      <c r="D43" s="96" t="s">
        <v>581</v>
      </c>
      <c r="E43" s="80" t="s">
        <v>582</v>
      </c>
      <c r="F43" s="94" t="s">
        <v>12</v>
      </c>
      <c r="G43" s="91">
        <v>30</v>
      </c>
      <c r="H43" s="81" t="s">
        <v>763</v>
      </c>
      <c r="I43" s="87" t="s">
        <v>603</v>
      </c>
      <c r="J43" s="88" t="s">
        <v>218</v>
      </c>
      <c r="K43" s="188" t="s">
        <v>30</v>
      </c>
      <c r="L43" s="82">
        <v>-6.3282129999999999</v>
      </c>
      <c r="M43" s="66">
        <v>-78.709185000000005</v>
      </c>
    </row>
    <row r="44" spans="1:17" ht="121.5" customHeight="1">
      <c r="A44" s="146">
        <v>119</v>
      </c>
      <c r="B44" s="181" t="s">
        <v>580</v>
      </c>
      <c r="C44" s="89">
        <v>45790</v>
      </c>
      <c r="D44" s="79" t="s">
        <v>578</v>
      </c>
      <c r="E44" s="80" t="s">
        <v>579</v>
      </c>
      <c r="F44" s="94" t="s">
        <v>12</v>
      </c>
      <c r="G44" s="238">
        <v>100</v>
      </c>
      <c r="H44" s="81" t="s">
        <v>764</v>
      </c>
      <c r="I44" s="87" t="s">
        <v>135</v>
      </c>
      <c r="J44" s="88" t="s">
        <v>532</v>
      </c>
      <c r="K44" s="188" t="s">
        <v>30</v>
      </c>
      <c r="L44" s="239">
        <v>-12.934186</v>
      </c>
      <c r="M44" s="240">
        <v>-72.668447</v>
      </c>
    </row>
    <row r="45" spans="1:17" ht="119.25" customHeight="1">
      <c r="A45" s="146">
        <v>118</v>
      </c>
      <c r="B45" s="180" t="s">
        <v>555</v>
      </c>
      <c r="C45" s="89">
        <v>45790</v>
      </c>
      <c r="D45" s="96" t="s">
        <v>553</v>
      </c>
      <c r="E45" s="80" t="s">
        <v>554</v>
      </c>
      <c r="F45" s="94" t="s">
        <v>12</v>
      </c>
      <c r="G45" s="91">
        <v>12</v>
      </c>
      <c r="H45" s="81" t="s">
        <v>766</v>
      </c>
      <c r="I45" s="87" t="s">
        <v>572</v>
      </c>
      <c r="J45" s="88" t="s">
        <v>178</v>
      </c>
      <c r="K45" s="188" t="s">
        <v>30</v>
      </c>
      <c r="L45" s="82">
        <v>-4.981541</v>
      </c>
      <c r="M45" s="66">
        <v>-79.637241000000003</v>
      </c>
    </row>
    <row r="46" spans="1:17" ht="102">
      <c r="A46" s="146">
        <v>117</v>
      </c>
      <c r="B46" s="180" t="s">
        <v>556</v>
      </c>
      <c r="C46" s="89">
        <v>45789</v>
      </c>
      <c r="D46" s="83" t="s">
        <v>557</v>
      </c>
      <c r="E46" s="80" t="s">
        <v>558</v>
      </c>
      <c r="F46" s="94" t="s">
        <v>12</v>
      </c>
      <c r="G46" s="91" t="s">
        <v>102</v>
      </c>
      <c r="H46" s="81" t="s">
        <v>765</v>
      </c>
      <c r="I46" s="87" t="s">
        <v>573</v>
      </c>
      <c r="J46" s="86" t="s">
        <v>177</v>
      </c>
      <c r="K46" s="188" t="s">
        <v>30</v>
      </c>
      <c r="L46" s="82">
        <v>-8.5755040000000005</v>
      </c>
      <c r="M46" s="66">
        <v>-77.762568000000002</v>
      </c>
    </row>
    <row r="47" spans="1:17" ht="143.25" customHeight="1">
      <c r="A47" s="146">
        <v>116</v>
      </c>
      <c r="B47" s="187" t="s">
        <v>550</v>
      </c>
      <c r="C47" s="89">
        <v>45788</v>
      </c>
      <c r="D47" s="90" t="s">
        <v>533</v>
      </c>
      <c r="E47" s="80" t="s">
        <v>551</v>
      </c>
      <c r="F47" s="94" t="s">
        <v>12</v>
      </c>
      <c r="G47" s="167">
        <v>60</v>
      </c>
      <c r="H47" s="81" t="s">
        <v>863</v>
      </c>
      <c r="I47" s="87" t="s">
        <v>468</v>
      </c>
      <c r="J47" s="88" t="s">
        <v>117</v>
      </c>
      <c r="K47" s="187" t="s">
        <v>30</v>
      </c>
      <c r="L47" s="128">
        <v>-6.0614555555555496</v>
      </c>
      <c r="M47" s="129">
        <v>-78.8984194444444</v>
      </c>
    </row>
    <row r="48" spans="1:17" ht="120.75" customHeight="1">
      <c r="A48" s="146">
        <v>115</v>
      </c>
      <c r="B48" s="251" t="s">
        <v>604</v>
      </c>
      <c r="C48" s="89">
        <v>45787</v>
      </c>
      <c r="D48" s="90" t="s">
        <v>104</v>
      </c>
      <c r="E48" s="80" t="s">
        <v>546</v>
      </c>
      <c r="F48" s="94" t="s">
        <v>12</v>
      </c>
      <c r="G48" s="91">
        <v>50</v>
      </c>
      <c r="H48" s="81" t="s">
        <v>767</v>
      </c>
      <c r="I48" s="87" t="s">
        <v>547</v>
      </c>
      <c r="J48" s="88" t="s">
        <v>348</v>
      </c>
      <c r="K48" s="170" t="s">
        <v>30</v>
      </c>
      <c r="L48" s="128">
        <v>-5.8822570000000001</v>
      </c>
      <c r="M48" s="129">
        <v>-79.530708000000004</v>
      </c>
    </row>
    <row r="49" spans="1:13" ht="76.5">
      <c r="A49" s="146">
        <v>114</v>
      </c>
      <c r="B49" s="180" t="s">
        <v>566</v>
      </c>
      <c r="C49" s="89">
        <v>45785</v>
      </c>
      <c r="D49" s="32" t="s">
        <v>567</v>
      </c>
      <c r="E49" s="176" t="s">
        <v>568</v>
      </c>
      <c r="F49" s="94" t="s">
        <v>12</v>
      </c>
      <c r="G49" s="36">
        <v>15</v>
      </c>
      <c r="H49" s="31" t="s">
        <v>768</v>
      </c>
      <c r="I49" s="87" t="s">
        <v>27</v>
      </c>
      <c r="J49" s="88" t="s">
        <v>181</v>
      </c>
      <c r="K49" s="187" t="s">
        <v>30</v>
      </c>
      <c r="L49" s="82">
        <v>-13.353954999999999</v>
      </c>
      <c r="M49" s="66">
        <v>-74.668083999999993</v>
      </c>
    </row>
    <row r="50" spans="1:13" ht="76.5">
      <c r="A50" s="146">
        <v>113</v>
      </c>
      <c r="B50" s="180" t="s">
        <v>563</v>
      </c>
      <c r="C50" s="89">
        <v>45784</v>
      </c>
      <c r="D50" s="32" t="s">
        <v>564</v>
      </c>
      <c r="E50" s="176" t="s">
        <v>565</v>
      </c>
      <c r="F50" s="94" t="s">
        <v>12</v>
      </c>
      <c r="G50" s="36" t="s">
        <v>102</v>
      </c>
      <c r="H50" s="31" t="s">
        <v>770</v>
      </c>
      <c r="I50" s="87" t="s">
        <v>27</v>
      </c>
      <c r="J50" s="88" t="s">
        <v>181</v>
      </c>
      <c r="K50" s="188" t="s">
        <v>30</v>
      </c>
      <c r="L50" s="82">
        <v>-15.676631</v>
      </c>
      <c r="M50" s="66">
        <v>-74.524173000000005</v>
      </c>
    </row>
    <row r="51" spans="1:13" ht="76.5">
      <c r="A51" s="146">
        <v>112</v>
      </c>
      <c r="B51" s="180" t="s">
        <v>543</v>
      </c>
      <c r="C51" s="89">
        <v>45784</v>
      </c>
      <c r="D51" s="32" t="s">
        <v>544</v>
      </c>
      <c r="E51" s="176" t="s">
        <v>545</v>
      </c>
      <c r="F51" s="94" t="s">
        <v>12</v>
      </c>
      <c r="G51" s="36" t="s">
        <v>102</v>
      </c>
      <c r="H51" s="31" t="s">
        <v>769</v>
      </c>
      <c r="I51" s="87" t="s">
        <v>27</v>
      </c>
      <c r="J51" s="88" t="s">
        <v>518</v>
      </c>
      <c r="K51" s="188" t="s">
        <v>30</v>
      </c>
      <c r="L51" s="82">
        <v>-9.9623980000000003</v>
      </c>
      <c r="M51" s="66">
        <v>-76.245536999999999</v>
      </c>
    </row>
    <row r="52" spans="1:13" ht="76.5">
      <c r="A52" s="146">
        <v>111</v>
      </c>
      <c r="B52" s="181" t="s">
        <v>538</v>
      </c>
      <c r="C52" s="89">
        <v>45784</v>
      </c>
      <c r="D52" s="79" t="s">
        <v>536</v>
      </c>
      <c r="E52" s="80" t="s">
        <v>537</v>
      </c>
      <c r="F52" s="94" t="s">
        <v>12</v>
      </c>
      <c r="G52" s="238">
        <v>250</v>
      </c>
      <c r="H52" s="81" t="s">
        <v>771</v>
      </c>
      <c r="I52" s="87" t="s">
        <v>27</v>
      </c>
      <c r="J52" s="88" t="s">
        <v>532</v>
      </c>
      <c r="K52" s="188" t="s">
        <v>30</v>
      </c>
      <c r="L52" s="239">
        <v>-13.130601</v>
      </c>
      <c r="M52" s="240">
        <v>-72.593124000000003</v>
      </c>
    </row>
    <row r="53" spans="1:13" ht="89.25">
      <c r="A53" s="146">
        <v>110</v>
      </c>
      <c r="B53" s="180" t="s">
        <v>528</v>
      </c>
      <c r="C53" s="89">
        <v>45784</v>
      </c>
      <c r="D53" s="83" t="s">
        <v>134</v>
      </c>
      <c r="E53" s="80" t="s">
        <v>529</v>
      </c>
      <c r="F53" s="94" t="s">
        <v>12</v>
      </c>
      <c r="G53" s="91">
        <v>50</v>
      </c>
      <c r="H53" s="81" t="s">
        <v>772</v>
      </c>
      <c r="I53" s="85" t="s">
        <v>464</v>
      </c>
      <c r="J53" s="88" t="s">
        <v>178</v>
      </c>
      <c r="K53" s="187" t="s">
        <v>30</v>
      </c>
      <c r="L53" s="82">
        <v>-5.6853210000000001</v>
      </c>
      <c r="M53" s="66">
        <v>-79.517317000000006</v>
      </c>
    </row>
    <row r="54" spans="1:13" ht="76.5">
      <c r="A54" s="146">
        <v>109</v>
      </c>
      <c r="B54" s="180" t="s">
        <v>525</v>
      </c>
      <c r="C54" s="89">
        <v>45784</v>
      </c>
      <c r="D54" s="90" t="s">
        <v>378</v>
      </c>
      <c r="E54" s="80" t="s">
        <v>526</v>
      </c>
      <c r="F54" s="94" t="s">
        <v>12</v>
      </c>
      <c r="G54" s="91">
        <v>120</v>
      </c>
      <c r="H54" s="81" t="s">
        <v>775</v>
      </c>
      <c r="I54" s="34" t="s">
        <v>493</v>
      </c>
      <c r="J54" s="88" t="s">
        <v>527</v>
      </c>
      <c r="K54" s="187" t="s">
        <v>30</v>
      </c>
      <c r="L54" s="82">
        <v>-10.413309999999999</v>
      </c>
      <c r="M54" s="66">
        <v>-75.532516999999999</v>
      </c>
    </row>
    <row r="55" spans="1:13" ht="89.25">
      <c r="A55" s="146">
        <v>108</v>
      </c>
      <c r="B55" s="187" t="s">
        <v>540</v>
      </c>
      <c r="C55" s="89">
        <v>45783</v>
      </c>
      <c r="D55" s="90" t="s">
        <v>115</v>
      </c>
      <c r="E55" s="80" t="s">
        <v>542</v>
      </c>
      <c r="F55" s="94" t="s">
        <v>12</v>
      </c>
      <c r="G55" s="167">
        <v>60</v>
      </c>
      <c r="H55" s="81" t="s">
        <v>774</v>
      </c>
      <c r="I55" s="87" t="s">
        <v>541</v>
      </c>
      <c r="J55" s="88" t="s">
        <v>117</v>
      </c>
      <c r="K55" s="187" t="s">
        <v>30</v>
      </c>
      <c r="L55" s="128">
        <v>-6.4840694444444402</v>
      </c>
      <c r="M55" s="129">
        <v>-78.858088888888801</v>
      </c>
    </row>
    <row r="56" spans="1:13" ht="76.5">
      <c r="A56" s="146">
        <v>107</v>
      </c>
      <c r="B56" s="181" t="s">
        <v>515</v>
      </c>
      <c r="C56" s="89">
        <v>45783</v>
      </c>
      <c r="D56" s="79" t="s">
        <v>340</v>
      </c>
      <c r="E56" s="80" t="s">
        <v>516</v>
      </c>
      <c r="F56" s="94" t="s">
        <v>12</v>
      </c>
      <c r="G56" s="91" t="s">
        <v>102</v>
      </c>
      <c r="H56" s="81" t="s">
        <v>773</v>
      </c>
      <c r="I56" s="87" t="s">
        <v>95</v>
      </c>
      <c r="J56" s="88" t="s">
        <v>99</v>
      </c>
      <c r="K56" s="188"/>
      <c r="L56" s="82">
        <v>-5.7883777233971898</v>
      </c>
      <c r="M56" s="66">
        <v>-79.390254020690904</v>
      </c>
    </row>
    <row r="57" spans="1:13" ht="89.25">
      <c r="A57" s="146">
        <v>106</v>
      </c>
      <c r="B57" s="181" t="s">
        <v>521</v>
      </c>
      <c r="C57" s="89">
        <v>45783</v>
      </c>
      <c r="D57" s="90" t="s">
        <v>519</v>
      </c>
      <c r="E57" s="80" t="s">
        <v>520</v>
      </c>
      <c r="F57" s="94" t="s">
        <v>12</v>
      </c>
      <c r="G57" s="241" t="s">
        <v>102</v>
      </c>
      <c r="H57" s="97" t="s">
        <v>776</v>
      </c>
      <c r="I57" s="87" t="s">
        <v>27</v>
      </c>
      <c r="J57" s="88" t="s">
        <v>330</v>
      </c>
      <c r="K57" s="187" t="s">
        <v>30</v>
      </c>
      <c r="L57" s="242">
        <v>-10.890098</v>
      </c>
      <c r="M57" s="243">
        <v>-74.954255000000003</v>
      </c>
    </row>
    <row r="58" spans="1:13" ht="89.25">
      <c r="A58" s="146">
        <v>105</v>
      </c>
      <c r="B58" s="180" t="s">
        <v>514</v>
      </c>
      <c r="C58" s="89">
        <v>45783</v>
      </c>
      <c r="D58" s="90" t="s">
        <v>513</v>
      </c>
      <c r="E58" s="80" t="s">
        <v>517</v>
      </c>
      <c r="F58" s="94" t="s">
        <v>12</v>
      </c>
      <c r="G58" s="91">
        <v>900</v>
      </c>
      <c r="H58" s="81" t="s">
        <v>864</v>
      </c>
      <c r="I58" s="87" t="s">
        <v>27</v>
      </c>
      <c r="J58" s="88" t="s">
        <v>163</v>
      </c>
      <c r="K58" s="188" t="s">
        <v>30</v>
      </c>
      <c r="L58" s="82">
        <v>-3.7630479999999999</v>
      </c>
      <c r="M58" s="66">
        <v>-80.793040000000005</v>
      </c>
    </row>
    <row r="59" spans="1:13" ht="76.5">
      <c r="A59" s="146">
        <v>104</v>
      </c>
      <c r="B59" s="181" t="s">
        <v>512</v>
      </c>
      <c r="C59" s="89">
        <v>45783</v>
      </c>
      <c r="D59" s="79" t="s">
        <v>340</v>
      </c>
      <c r="E59" s="80" t="s">
        <v>927</v>
      </c>
      <c r="F59" s="94" t="s">
        <v>12</v>
      </c>
      <c r="G59" s="91" t="s">
        <v>102</v>
      </c>
      <c r="H59" s="81" t="s">
        <v>778</v>
      </c>
      <c r="I59" s="87" t="s">
        <v>95</v>
      </c>
      <c r="J59" s="88" t="s">
        <v>348</v>
      </c>
      <c r="K59" s="188" t="s">
        <v>30</v>
      </c>
      <c r="L59" s="82">
        <v>-5.7980400000000003</v>
      </c>
      <c r="M59" s="66">
        <v>-79.377009999999999</v>
      </c>
    </row>
    <row r="60" spans="1:13" ht="76.5">
      <c r="A60" s="146">
        <v>103</v>
      </c>
      <c r="B60" s="181" t="s">
        <v>511</v>
      </c>
      <c r="C60" s="89">
        <v>45783</v>
      </c>
      <c r="D60" s="79" t="s">
        <v>340</v>
      </c>
      <c r="E60" s="80" t="s">
        <v>524</v>
      </c>
      <c r="F60" s="94" t="s">
        <v>12</v>
      </c>
      <c r="G60" s="91" t="s">
        <v>102</v>
      </c>
      <c r="H60" s="81" t="s">
        <v>777</v>
      </c>
      <c r="I60" s="87" t="s">
        <v>95</v>
      </c>
      <c r="J60" s="88" t="s">
        <v>348</v>
      </c>
      <c r="K60" s="188" t="s">
        <v>30</v>
      </c>
      <c r="L60" s="82">
        <v>-5.7992600000000003</v>
      </c>
      <c r="M60" s="66">
        <v>-79.337509999999995</v>
      </c>
    </row>
    <row r="61" spans="1:13" ht="89.25">
      <c r="A61" s="146">
        <v>102</v>
      </c>
      <c r="B61" s="181" t="s">
        <v>506</v>
      </c>
      <c r="C61" s="89">
        <v>45782</v>
      </c>
      <c r="D61" s="90" t="s">
        <v>507</v>
      </c>
      <c r="E61" s="80" t="s">
        <v>508</v>
      </c>
      <c r="F61" s="94" t="s">
        <v>12</v>
      </c>
      <c r="G61" s="91">
        <v>600</v>
      </c>
      <c r="H61" s="81" t="s">
        <v>780</v>
      </c>
      <c r="I61" s="87" t="s">
        <v>522</v>
      </c>
      <c r="J61" s="86" t="s">
        <v>346</v>
      </c>
      <c r="K61" s="188" t="s">
        <v>30</v>
      </c>
      <c r="L61" s="82">
        <v>-7.7010930000000002</v>
      </c>
      <c r="M61" s="66">
        <v>-76.667962000000003</v>
      </c>
    </row>
    <row r="62" spans="1:13" ht="102">
      <c r="A62" s="146">
        <v>101</v>
      </c>
      <c r="B62" s="181" t="s">
        <v>505</v>
      </c>
      <c r="C62" s="89">
        <v>45782</v>
      </c>
      <c r="D62" s="90" t="s">
        <v>129</v>
      </c>
      <c r="E62" s="80" t="s">
        <v>504</v>
      </c>
      <c r="F62" s="94" t="s">
        <v>12</v>
      </c>
      <c r="G62" s="235">
        <v>10</v>
      </c>
      <c r="H62" s="81" t="s">
        <v>779</v>
      </c>
      <c r="I62" s="87" t="s">
        <v>523</v>
      </c>
      <c r="J62" s="88" t="s">
        <v>345</v>
      </c>
      <c r="K62" s="188" t="s">
        <v>30</v>
      </c>
      <c r="L62" s="236">
        <v>-5.1044710000000002</v>
      </c>
      <c r="M62" s="237">
        <v>-78.364018999999999</v>
      </c>
    </row>
    <row r="63" spans="1:13" ht="96" customHeight="1">
      <c r="A63" s="146">
        <v>100</v>
      </c>
      <c r="B63" s="187" t="s">
        <v>496</v>
      </c>
      <c r="C63" s="89">
        <v>45778</v>
      </c>
      <c r="D63" s="90" t="s">
        <v>317</v>
      </c>
      <c r="E63" s="80" t="s">
        <v>498</v>
      </c>
      <c r="F63" s="94" t="s">
        <v>12</v>
      </c>
      <c r="G63" s="167">
        <v>50</v>
      </c>
      <c r="H63" s="81" t="s">
        <v>781</v>
      </c>
      <c r="I63" s="87" t="s">
        <v>499</v>
      </c>
      <c r="J63" s="88" t="s">
        <v>117</v>
      </c>
      <c r="K63" s="187" t="s">
        <v>30</v>
      </c>
      <c r="L63" s="128">
        <v>-6.5538777777777701</v>
      </c>
      <c r="M63" s="129">
        <v>-78.751011111111097</v>
      </c>
    </row>
    <row r="64" spans="1:13" ht="110.25" customHeight="1">
      <c r="A64" s="146">
        <v>99</v>
      </c>
      <c r="B64" s="187" t="s">
        <v>495</v>
      </c>
      <c r="C64" s="89">
        <v>45778</v>
      </c>
      <c r="D64" s="233" t="s">
        <v>503</v>
      </c>
      <c r="E64" s="92" t="s">
        <v>502</v>
      </c>
      <c r="F64" s="94" t="s">
        <v>12</v>
      </c>
      <c r="G64" s="167">
        <v>80</v>
      </c>
      <c r="H64" s="81" t="s">
        <v>781</v>
      </c>
      <c r="I64" s="87" t="s">
        <v>465</v>
      </c>
      <c r="J64" s="88" t="s">
        <v>117</v>
      </c>
      <c r="K64" s="187" t="s">
        <v>30</v>
      </c>
      <c r="L64" s="128">
        <v>-6.50305</v>
      </c>
      <c r="M64" s="129">
        <v>-78.812124999999995</v>
      </c>
    </row>
    <row r="65" spans="1:13" ht="110.25" customHeight="1">
      <c r="A65" s="146">
        <v>98</v>
      </c>
      <c r="B65" s="326" t="s">
        <v>912</v>
      </c>
      <c r="C65" s="89">
        <v>45777</v>
      </c>
      <c r="D65" s="83" t="s">
        <v>913</v>
      </c>
      <c r="E65" s="80" t="s">
        <v>915</v>
      </c>
      <c r="F65" s="94" t="s">
        <v>12</v>
      </c>
      <c r="G65" s="91" t="s">
        <v>102</v>
      </c>
      <c r="H65" s="81" t="s">
        <v>914</v>
      </c>
      <c r="I65" s="87" t="s">
        <v>27</v>
      </c>
      <c r="J65" s="88" t="s">
        <v>330</v>
      </c>
      <c r="K65" s="170" t="s">
        <v>30</v>
      </c>
      <c r="L65" s="204">
        <v>-11.542871999999999</v>
      </c>
      <c r="M65" s="205">
        <v>-76.278538999999995</v>
      </c>
    </row>
    <row r="66" spans="1:13" ht="76.5">
      <c r="A66" s="146">
        <v>97</v>
      </c>
      <c r="B66" s="187" t="s">
        <v>680</v>
      </c>
      <c r="C66" s="89">
        <v>45777</v>
      </c>
      <c r="D66" s="83" t="s">
        <v>681</v>
      </c>
      <c r="E66" s="80" t="s">
        <v>682</v>
      </c>
      <c r="F66" s="94" t="s">
        <v>12</v>
      </c>
      <c r="G66" s="91">
        <v>15</v>
      </c>
      <c r="H66" s="81" t="s">
        <v>782</v>
      </c>
      <c r="I66" s="87" t="s">
        <v>27</v>
      </c>
      <c r="J66" s="86" t="s">
        <v>177</v>
      </c>
      <c r="K66" s="170" t="s">
        <v>30</v>
      </c>
      <c r="L66" s="82">
        <v>-8.9671070000000004</v>
      </c>
      <c r="M66" s="66">
        <v>-77.354515000000006</v>
      </c>
    </row>
    <row r="67" spans="1:13" ht="102">
      <c r="A67" s="146">
        <v>96</v>
      </c>
      <c r="B67" s="187" t="s">
        <v>494</v>
      </c>
      <c r="C67" s="89">
        <v>45777</v>
      </c>
      <c r="D67" s="90" t="s">
        <v>115</v>
      </c>
      <c r="E67" s="80" t="s">
        <v>497</v>
      </c>
      <c r="F67" s="94" t="s">
        <v>12</v>
      </c>
      <c r="G67" s="167">
        <v>80</v>
      </c>
      <c r="H67" s="81" t="s">
        <v>784</v>
      </c>
      <c r="I67" s="87" t="s">
        <v>465</v>
      </c>
      <c r="J67" s="88" t="s">
        <v>117</v>
      </c>
      <c r="K67" s="187" t="s">
        <v>30</v>
      </c>
      <c r="L67" s="128">
        <v>-6.5020027777777702</v>
      </c>
      <c r="M67" s="129">
        <v>-78.814266666666597</v>
      </c>
    </row>
    <row r="68" spans="1:13" ht="102">
      <c r="A68" s="146">
        <v>95</v>
      </c>
      <c r="B68" s="180" t="s">
        <v>484</v>
      </c>
      <c r="C68" s="89">
        <v>45777</v>
      </c>
      <c r="D68" s="83" t="s">
        <v>482</v>
      </c>
      <c r="E68" s="80" t="s">
        <v>483</v>
      </c>
      <c r="F68" s="94" t="s">
        <v>12</v>
      </c>
      <c r="G68" s="227">
        <v>40</v>
      </c>
      <c r="H68" s="81" t="s">
        <v>783</v>
      </c>
      <c r="I68" s="87" t="s">
        <v>27</v>
      </c>
      <c r="J68" s="88" t="s">
        <v>202</v>
      </c>
      <c r="K68" s="187" t="s">
        <v>30</v>
      </c>
      <c r="L68" s="228">
        <v>-13.370086000000001</v>
      </c>
      <c r="M68" s="229">
        <v>-75.447986</v>
      </c>
    </row>
    <row r="69" spans="1:13" ht="76.5">
      <c r="A69" s="146">
        <v>94</v>
      </c>
      <c r="B69" s="180" t="s">
        <v>481</v>
      </c>
      <c r="C69" s="89">
        <v>45777</v>
      </c>
      <c r="D69" s="83" t="s">
        <v>552</v>
      </c>
      <c r="E69" s="80" t="s">
        <v>480</v>
      </c>
      <c r="F69" s="94" t="s">
        <v>12</v>
      </c>
      <c r="G69" s="91">
        <v>600</v>
      </c>
      <c r="H69" s="81" t="s">
        <v>787</v>
      </c>
      <c r="I69" s="87" t="s">
        <v>500</v>
      </c>
      <c r="J69" s="88" t="s">
        <v>227</v>
      </c>
      <c r="K69" s="187" t="s">
        <v>30</v>
      </c>
      <c r="L69" s="82">
        <v>-14.427738</v>
      </c>
      <c r="M69" s="66">
        <v>-69.505979999999994</v>
      </c>
    </row>
    <row r="70" spans="1:13" ht="76.5">
      <c r="A70" s="146">
        <v>93</v>
      </c>
      <c r="B70" s="180" t="s">
        <v>476</v>
      </c>
      <c r="C70" s="89">
        <v>45776</v>
      </c>
      <c r="D70" s="83" t="s">
        <v>474</v>
      </c>
      <c r="E70" s="80" t="s">
        <v>475</v>
      </c>
      <c r="F70" s="94" t="s">
        <v>12</v>
      </c>
      <c r="G70" s="122">
        <v>25</v>
      </c>
      <c r="H70" s="81" t="s">
        <v>786</v>
      </c>
      <c r="I70" s="87" t="s">
        <v>27</v>
      </c>
      <c r="J70" s="88" t="s">
        <v>330</v>
      </c>
      <c r="K70" s="187" t="s">
        <v>30</v>
      </c>
      <c r="L70" s="204">
        <v>-11.05847</v>
      </c>
      <c r="M70" s="205">
        <v>-75.331942999999995</v>
      </c>
    </row>
    <row r="71" spans="1:13" ht="89.25">
      <c r="A71" s="146">
        <v>92</v>
      </c>
      <c r="B71" s="180" t="s">
        <v>683</v>
      </c>
      <c r="C71" s="89">
        <v>45775</v>
      </c>
      <c r="D71" s="83" t="s">
        <v>684</v>
      </c>
      <c r="E71" s="80" t="s">
        <v>685</v>
      </c>
      <c r="F71" s="94" t="s">
        <v>12</v>
      </c>
      <c r="G71" s="91">
        <v>40</v>
      </c>
      <c r="H71" s="81" t="s">
        <v>785</v>
      </c>
      <c r="I71" s="87" t="s">
        <v>27</v>
      </c>
      <c r="J71" s="86" t="s">
        <v>177</v>
      </c>
      <c r="K71" s="170" t="s">
        <v>30</v>
      </c>
      <c r="L71" s="82">
        <v>-9.2372999999999994</v>
      </c>
      <c r="M71" s="66">
        <v>-76.974068000000003</v>
      </c>
    </row>
    <row r="72" spans="1:13" ht="76.5">
      <c r="A72" s="146">
        <v>91</v>
      </c>
      <c r="B72" s="181" t="s">
        <v>473</v>
      </c>
      <c r="C72" s="89">
        <v>45775</v>
      </c>
      <c r="D72" s="90" t="s">
        <v>472</v>
      </c>
      <c r="E72" s="80" t="s">
        <v>539</v>
      </c>
      <c r="F72" s="94" t="s">
        <v>12</v>
      </c>
      <c r="G72" s="207">
        <v>16</v>
      </c>
      <c r="H72" s="81" t="s">
        <v>865</v>
      </c>
      <c r="I72" s="87" t="s">
        <v>135</v>
      </c>
      <c r="J72" s="86" t="s">
        <v>346</v>
      </c>
      <c r="K72" s="188" t="s">
        <v>30</v>
      </c>
      <c r="L72" s="208">
        <v>-6.2358419999999999</v>
      </c>
      <c r="M72" s="209">
        <v>-77.196231999999995</v>
      </c>
    </row>
    <row r="73" spans="1:13" ht="102">
      <c r="A73" s="146">
        <v>90</v>
      </c>
      <c r="B73" s="181" t="s">
        <v>469</v>
      </c>
      <c r="C73" s="89">
        <v>45775</v>
      </c>
      <c r="D73" s="90" t="s">
        <v>132</v>
      </c>
      <c r="E73" s="80" t="s">
        <v>470</v>
      </c>
      <c r="F73" s="94" t="s">
        <v>12</v>
      </c>
      <c r="G73" s="207">
        <v>130</v>
      </c>
      <c r="H73" s="81" t="s">
        <v>789</v>
      </c>
      <c r="I73" s="87" t="s">
        <v>471</v>
      </c>
      <c r="J73" s="86" t="s">
        <v>191</v>
      </c>
      <c r="K73" s="188" t="s">
        <v>30</v>
      </c>
      <c r="L73" s="208">
        <v>-7.8206540000000002</v>
      </c>
      <c r="M73" s="209">
        <v>-77.658400999999998</v>
      </c>
    </row>
    <row r="74" spans="1:13" ht="76.5">
      <c r="A74" s="146">
        <v>89</v>
      </c>
      <c r="B74" s="187" t="s">
        <v>466</v>
      </c>
      <c r="C74" s="89">
        <v>45772</v>
      </c>
      <c r="D74" s="90" t="s">
        <v>128</v>
      </c>
      <c r="E74" s="80" t="s">
        <v>467</v>
      </c>
      <c r="F74" s="94" t="s">
        <v>12</v>
      </c>
      <c r="G74" s="167">
        <v>35</v>
      </c>
      <c r="H74" s="81" t="s">
        <v>788</v>
      </c>
      <c r="I74" s="87" t="s">
        <v>468</v>
      </c>
      <c r="J74" s="88" t="s">
        <v>117</v>
      </c>
      <c r="K74" s="187" t="s">
        <v>30</v>
      </c>
      <c r="L74" s="128">
        <v>-6.3264888888888802</v>
      </c>
      <c r="M74" s="129">
        <v>-78.830383333333302</v>
      </c>
    </row>
    <row r="75" spans="1:13" ht="76.5">
      <c r="A75" s="146">
        <v>88</v>
      </c>
      <c r="B75" s="180" t="s">
        <v>446</v>
      </c>
      <c r="C75" s="89">
        <v>45772</v>
      </c>
      <c r="D75" s="83" t="s">
        <v>125</v>
      </c>
      <c r="E75" s="80" t="s">
        <v>445</v>
      </c>
      <c r="F75" s="94" t="s">
        <v>12</v>
      </c>
      <c r="G75" s="122">
        <v>120</v>
      </c>
      <c r="H75" s="81" t="s">
        <v>790</v>
      </c>
      <c r="I75" s="87" t="s">
        <v>501</v>
      </c>
      <c r="J75" s="86" t="s">
        <v>191</v>
      </c>
      <c r="K75" s="187" t="s">
        <v>30</v>
      </c>
      <c r="L75" s="204">
        <v>-7.9349379999999998</v>
      </c>
      <c r="M75" s="205">
        <v>-77.561670000000007</v>
      </c>
    </row>
    <row r="76" spans="1:13" ht="102">
      <c r="A76" s="146">
        <v>87</v>
      </c>
      <c r="B76" s="180" t="s">
        <v>490</v>
      </c>
      <c r="C76" s="89">
        <v>45771</v>
      </c>
      <c r="D76" s="83" t="s">
        <v>488</v>
      </c>
      <c r="E76" s="80" t="s">
        <v>489</v>
      </c>
      <c r="F76" s="94" t="s">
        <v>12</v>
      </c>
      <c r="G76" s="91">
        <v>45</v>
      </c>
      <c r="H76" s="81" t="s">
        <v>792</v>
      </c>
      <c r="I76" s="87" t="s">
        <v>27</v>
      </c>
      <c r="J76" s="86" t="s">
        <v>177</v>
      </c>
      <c r="K76" s="187" t="s">
        <v>30</v>
      </c>
      <c r="L76" s="82">
        <v>-8.5288500000000003</v>
      </c>
      <c r="M76" s="66">
        <v>-77.399497999999994</v>
      </c>
    </row>
    <row r="77" spans="1:13" ht="89.25">
      <c r="A77" s="146">
        <v>86</v>
      </c>
      <c r="B77" s="180" t="s">
        <v>453</v>
      </c>
      <c r="C77" s="89">
        <v>45771</v>
      </c>
      <c r="D77" s="83" t="s">
        <v>451</v>
      </c>
      <c r="E77" s="80" t="s">
        <v>452</v>
      </c>
      <c r="F77" s="94" t="s">
        <v>12</v>
      </c>
      <c r="G77" s="122">
        <v>150</v>
      </c>
      <c r="H77" s="81" t="s">
        <v>791</v>
      </c>
      <c r="I77" s="87" t="s">
        <v>27</v>
      </c>
      <c r="J77" s="88" t="s">
        <v>330</v>
      </c>
      <c r="K77" s="187" t="s">
        <v>30</v>
      </c>
      <c r="L77" s="204">
        <v>-11.517265999999999</v>
      </c>
      <c r="M77" s="205">
        <v>-74.449680999999998</v>
      </c>
    </row>
    <row r="78" spans="1:13" ht="89.25">
      <c r="A78" s="146">
        <v>85</v>
      </c>
      <c r="B78" s="180" t="s">
        <v>450</v>
      </c>
      <c r="C78" s="89">
        <v>45771</v>
      </c>
      <c r="D78" s="83" t="s">
        <v>394</v>
      </c>
      <c r="E78" s="80" t="s">
        <v>449</v>
      </c>
      <c r="F78" s="94" t="s">
        <v>12</v>
      </c>
      <c r="G78" s="91">
        <v>80</v>
      </c>
      <c r="H78" s="81" t="s">
        <v>791</v>
      </c>
      <c r="I78" s="87" t="s">
        <v>27</v>
      </c>
      <c r="J78" s="88" t="s">
        <v>330</v>
      </c>
      <c r="K78" s="187" t="s">
        <v>30</v>
      </c>
      <c r="L78" s="204">
        <v>-11.268234439949801</v>
      </c>
      <c r="M78" s="205">
        <v>-74.424197673797593</v>
      </c>
    </row>
    <row r="79" spans="1:13" ht="76.5">
      <c r="A79" s="146">
        <v>84</v>
      </c>
      <c r="B79" s="180" t="s">
        <v>448</v>
      </c>
      <c r="C79" s="89">
        <v>45771</v>
      </c>
      <c r="D79" s="83" t="s">
        <v>447</v>
      </c>
      <c r="E79" s="80" t="s">
        <v>575</v>
      </c>
      <c r="F79" s="94" t="s">
        <v>12</v>
      </c>
      <c r="G79" s="203">
        <v>50</v>
      </c>
      <c r="H79" s="84" t="s">
        <v>794</v>
      </c>
      <c r="I79" s="87" t="s">
        <v>27</v>
      </c>
      <c r="J79" s="86" t="s">
        <v>177</v>
      </c>
      <c r="K79" s="187" t="s">
        <v>30</v>
      </c>
      <c r="L79" s="204">
        <v>-8.5007839999999995</v>
      </c>
      <c r="M79" s="205">
        <v>-77.298874999999995</v>
      </c>
    </row>
    <row r="80" spans="1:13" ht="89.25">
      <c r="A80" s="146">
        <v>83</v>
      </c>
      <c r="B80" s="180" t="s">
        <v>441</v>
      </c>
      <c r="C80" s="89">
        <v>45770</v>
      </c>
      <c r="D80" s="83" t="s">
        <v>303</v>
      </c>
      <c r="E80" s="80" t="s">
        <v>440</v>
      </c>
      <c r="F80" s="94" t="s">
        <v>12</v>
      </c>
      <c r="G80" s="91">
        <v>135</v>
      </c>
      <c r="H80" s="81" t="s">
        <v>793</v>
      </c>
      <c r="I80" s="87" t="s">
        <v>27</v>
      </c>
      <c r="J80" s="88" t="s">
        <v>181</v>
      </c>
      <c r="K80" s="187" t="s">
        <v>30</v>
      </c>
      <c r="L80" s="82">
        <v>-14.3927</v>
      </c>
      <c r="M80" s="66">
        <v>-75.598640000000003</v>
      </c>
    </row>
    <row r="81" spans="1:13" ht="102">
      <c r="A81" s="146">
        <v>82</v>
      </c>
      <c r="B81" s="180" t="s">
        <v>444</v>
      </c>
      <c r="C81" s="89">
        <v>45770</v>
      </c>
      <c r="D81" s="83" t="s">
        <v>442</v>
      </c>
      <c r="E81" s="80" t="s">
        <v>443</v>
      </c>
      <c r="F81" s="94" t="s">
        <v>12</v>
      </c>
      <c r="G81" s="91">
        <v>30</v>
      </c>
      <c r="H81" s="81" t="s">
        <v>795</v>
      </c>
      <c r="I81" s="87" t="s">
        <v>27</v>
      </c>
      <c r="J81" s="88" t="s">
        <v>163</v>
      </c>
      <c r="K81" s="187" t="s">
        <v>30</v>
      </c>
      <c r="L81" s="200">
        <v>-5.4047900000000002</v>
      </c>
      <c r="M81" s="201">
        <v>-79.621875000000003</v>
      </c>
    </row>
    <row r="82" spans="1:13" ht="89.25">
      <c r="A82" s="146">
        <v>81</v>
      </c>
      <c r="B82" s="180" t="s">
        <v>434</v>
      </c>
      <c r="C82" s="89">
        <v>45770</v>
      </c>
      <c r="D82" s="90" t="s">
        <v>136</v>
      </c>
      <c r="E82" s="80" t="s">
        <v>432</v>
      </c>
      <c r="F82" s="94" t="s">
        <v>12</v>
      </c>
      <c r="G82" s="91">
        <v>100</v>
      </c>
      <c r="H82" s="81" t="s">
        <v>798</v>
      </c>
      <c r="I82" s="85" t="s">
        <v>433</v>
      </c>
      <c r="J82" s="88" t="s">
        <v>178</v>
      </c>
      <c r="K82" s="187" t="s">
        <v>30</v>
      </c>
      <c r="L82" s="168">
        <v>-4.670223</v>
      </c>
      <c r="M82" s="169">
        <v>-79.600038999999995</v>
      </c>
    </row>
    <row r="83" spans="1:13" ht="117.75" customHeight="1">
      <c r="A83" s="146">
        <v>80</v>
      </c>
      <c r="B83" s="180" t="s">
        <v>426</v>
      </c>
      <c r="C83" s="89">
        <v>45768</v>
      </c>
      <c r="D83" s="83" t="s">
        <v>424</v>
      </c>
      <c r="E83" s="80" t="s">
        <v>425</v>
      </c>
      <c r="F83" s="94" t="s">
        <v>12</v>
      </c>
      <c r="G83" s="91" t="s">
        <v>102</v>
      </c>
      <c r="H83" s="81" t="s">
        <v>797</v>
      </c>
      <c r="I83" s="87" t="s">
        <v>27</v>
      </c>
      <c r="J83" s="88" t="s">
        <v>280</v>
      </c>
      <c r="K83" s="188" t="s">
        <v>30</v>
      </c>
      <c r="L83" s="82">
        <v>-12.679361</v>
      </c>
      <c r="M83" s="66">
        <v>-73.686762000000002</v>
      </c>
    </row>
    <row r="84" spans="1:13" ht="89.25">
      <c r="A84" s="146">
        <v>79</v>
      </c>
      <c r="B84" s="180" t="s">
        <v>435</v>
      </c>
      <c r="C84" s="89">
        <v>45762</v>
      </c>
      <c r="D84" s="83" t="s">
        <v>436</v>
      </c>
      <c r="E84" s="80" t="s">
        <v>699</v>
      </c>
      <c r="F84" s="94" t="s">
        <v>12</v>
      </c>
      <c r="G84" s="91">
        <v>130</v>
      </c>
      <c r="H84" s="81" t="s">
        <v>796</v>
      </c>
      <c r="I84" s="87" t="s">
        <v>437</v>
      </c>
      <c r="J84" s="88" t="s">
        <v>178</v>
      </c>
      <c r="K84" s="188" t="s">
        <v>30</v>
      </c>
      <c r="L84" s="192">
        <v>-4.7083000000000004</v>
      </c>
      <c r="M84" s="193">
        <v>-79.818700000000007</v>
      </c>
    </row>
    <row r="85" spans="1:13" ht="76.5">
      <c r="A85" s="146">
        <v>78</v>
      </c>
      <c r="B85" s="180" t="s">
        <v>412</v>
      </c>
      <c r="C85" s="89">
        <v>45762</v>
      </c>
      <c r="D85" s="83" t="s">
        <v>410</v>
      </c>
      <c r="E85" s="80" t="s">
        <v>411</v>
      </c>
      <c r="F85" s="94" t="s">
        <v>12</v>
      </c>
      <c r="G85" s="91">
        <v>28</v>
      </c>
      <c r="H85" s="84" t="s">
        <v>866</v>
      </c>
      <c r="I85" s="87" t="s">
        <v>27</v>
      </c>
      <c r="J85" s="86" t="s">
        <v>177</v>
      </c>
      <c r="K85" s="187" t="s">
        <v>30</v>
      </c>
      <c r="L85" s="82">
        <v>-8.3244369999999996</v>
      </c>
      <c r="M85" s="66">
        <v>-77.970228000000006</v>
      </c>
    </row>
    <row r="86" spans="1:13" ht="89.25">
      <c r="A86" s="146">
        <v>77</v>
      </c>
      <c r="B86" s="180" t="s">
        <v>408</v>
      </c>
      <c r="C86" s="89">
        <v>45762</v>
      </c>
      <c r="D86" s="83" t="s">
        <v>406</v>
      </c>
      <c r="E86" s="80" t="s">
        <v>407</v>
      </c>
      <c r="F86" s="94" t="s">
        <v>12</v>
      </c>
      <c r="G86" s="191">
        <v>300</v>
      </c>
      <c r="H86" s="97" t="s">
        <v>867</v>
      </c>
      <c r="I86" s="87" t="s">
        <v>27</v>
      </c>
      <c r="J86" s="86" t="s">
        <v>346</v>
      </c>
      <c r="K86" s="187" t="s">
        <v>30</v>
      </c>
      <c r="L86" s="192">
        <v>-7.2650750000000004</v>
      </c>
      <c r="M86" s="193">
        <v>-76.735725000000002</v>
      </c>
    </row>
    <row r="87" spans="1:13" ht="117" customHeight="1">
      <c r="A87" s="146">
        <v>76</v>
      </c>
      <c r="B87" s="180" t="s">
        <v>402</v>
      </c>
      <c r="C87" s="89">
        <v>45761</v>
      </c>
      <c r="D87" s="83" t="s">
        <v>405</v>
      </c>
      <c r="E87" s="80" t="s">
        <v>417</v>
      </c>
      <c r="F87" s="94" t="s">
        <v>12</v>
      </c>
      <c r="G87" s="91">
        <v>50</v>
      </c>
      <c r="H87" s="81" t="s">
        <v>801</v>
      </c>
      <c r="I87" s="87" t="s">
        <v>403</v>
      </c>
      <c r="J87" s="86" t="s">
        <v>404</v>
      </c>
      <c r="K87" s="188" t="s">
        <v>30</v>
      </c>
      <c r="L87" s="82">
        <v>-11.789118</v>
      </c>
      <c r="M87" s="66">
        <v>-75.690263999999999</v>
      </c>
    </row>
    <row r="88" spans="1:13" ht="114.75">
      <c r="A88" s="146">
        <v>75</v>
      </c>
      <c r="B88" s="180" t="s">
        <v>401</v>
      </c>
      <c r="C88" s="89">
        <v>45761</v>
      </c>
      <c r="D88" s="83" t="s">
        <v>113</v>
      </c>
      <c r="E88" s="80" t="s">
        <v>400</v>
      </c>
      <c r="F88" s="94" t="s">
        <v>12</v>
      </c>
      <c r="G88" s="91">
        <v>100</v>
      </c>
      <c r="H88" s="81" t="s">
        <v>800</v>
      </c>
      <c r="I88" s="87" t="s">
        <v>127</v>
      </c>
      <c r="J88" s="88" t="s">
        <v>217</v>
      </c>
      <c r="K88" s="188" t="s">
        <v>30</v>
      </c>
      <c r="L88" s="151">
        <v>-7.6089560000000001</v>
      </c>
      <c r="M88" s="152">
        <v>-76.680706999999998</v>
      </c>
    </row>
    <row r="89" spans="1:13" ht="114.75">
      <c r="A89" s="146">
        <v>74</v>
      </c>
      <c r="B89" s="180" t="s">
        <v>399</v>
      </c>
      <c r="C89" s="89">
        <v>45761</v>
      </c>
      <c r="D89" s="83" t="s">
        <v>113</v>
      </c>
      <c r="E89" s="80" t="s">
        <v>398</v>
      </c>
      <c r="F89" s="94" t="s">
        <v>12</v>
      </c>
      <c r="G89" s="91">
        <v>200</v>
      </c>
      <c r="H89" s="81" t="s">
        <v>799</v>
      </c>
      <c r="I89" s="87" t="s">
        <v>127</v>
      </c>
      <c r="J89" s="88" t="s">
        <v>217</v>
      </c>
      <c r="K89" s="188" t="s">
        <v>30</v>
      </c>
      <c r="L89" s="151">
        <v>-7.6093390000000003</v>
      </c>
      <c r="M89" s="152">
        <v>-76.680835999999999</v>
      </c>
    </row>
    <row r="90" spans="1:13" ht="134.25" customHeight="1">
      <c r="A90" s="146">
        <v>73</v>
      </c>
      <c r="B90" s="181" t="s">
        <v>390</v>
      </c>
      <c r="C90" s="89">
        <v>45759</v>
      </c>
      <c r="D90" s="79" t="s">
        <v>389</v>
      </c>
      <c r="E90" s="80" t="s">
        <v>391</v>
      </c>
      <c r="F90" s="94" t="s">
        <v>12</v>
      </c>
      <c r="G90" s="91">
        <v>100</v>
      </c>
      <c r="H90" s="81" t="s">
        <v>802</v>
      </c>
      <c r="I90" s="87" t="s">
        <v>510</v>
      </c>
      <c r="J90" s="88" t="s">
        <v>348</v>
      </c>
      <c r="K90" s="188" t="s">
        <v>30</v>
      </c>
      <c r="L90" s="185">
        <v>-5.8245511958332701</v>
      </c>
      <c r="M90" s="186">
        <v>-78.257423043250995</v>
      </c>
    </row>
    <row r="91" spans="1:13" ht="76.5">
      <c r="A91" s="146">
        <v>72</v>
      </c>
      <c r="B91" s="180" t="s">
        <v>395</v>
      </c>
      <c r="C91" s="89">
        <v>45758</v>
      </c>
      <c r="D91" s="83" t="s">
        <v>394</v>
      </c>
      <c r="E91" s="80" t="s">
        <v>393</v>
      </c>
      <c r="F91" s="94" t="s">
        <v>12</v>
      </c>
      <c r="G91" s="91" t="s">
        <v>102</v>
      </c>
      <c r="H91" s="81" t="s">
        <v>803</v>
      </c>
      <c r="I91" s="87" t="s">
        <v>591</v>
      </c>
      <c r="J91" s="88" t="s">
        <v>330</v>
      </c>
      <c r="K91" s="188" t="s">
        <v>30</v>
      </c>
      <c r="L91" s="82">
        <v>-11.291700000000001</v>
      </c>
      <c r="M91" s="66">
        <v>-74.434454000000002</v>
      </c>
    </row>
    <row r="92" spans="1:13" ht="89.25">
      <c r="A92" s="146">
        <v>71</v>
      </c>
      <c r="B92" s="180" t="s">
        <v>384</v>
      </c>
      <c r="C92" s="89">
        <v>45758</v>
      </c>
      <c r="D92" s="83" t="s">
        <v>331</v>
      </c>
      <c r="E92" s="80" t="s">
        <v>385</v>
      </c>
      <c r="F92" s="94" t="s">
        <v>12</v>
      </c>
      <c r="G92" s="91" t="s">
        <v>102</v>
      </c>
      <c r="H92" s="81" t="s">
        <v>804</v>
      </c>
      <c r="I92" s="92" t="s">
        <v>343</v>
      </c>
      <c r="J92" s="88" t="s">
        <v>181</v>
      </c>
      <c r="K92" s="188" t="s">
        <v>30</v>
      </c>
      <c r="L92" s="82">
        <v>-13.4526520316583</v>
      </c>
      <c r="M92" s="66">
        <v>-74.997353553771902</v>
      </c>
    </row>
    <row r="93" spans="1:13" ht="89.25">
      <c r="A93" s="146">
        <v>70</v>
      </c>
      <c r="B93" s="180" t="s">
        <v>383</v>
      </c>
      <c r="C93" s="89">
        <v>45756</v>
      </c>
      <c r="D93" s="83" t="s">
        <v>382</v>
      </c>
      <c r="E93" s="130" t="s">
        <v>457</v>
      </c>
      <c r="F93" s="94" t="s">
        <v>12</v>
      </c>
      <c r="G93" s="91">
        <v>415</v>
      </c>
      <c r="H93" s="81" t="s">
        <v>805</v>
      </c>
      <c r="I93" s="87" t="s">
        <v>27</v>
      </c>
      <c r="J93" s="88" t="s">
        <v>163</v>
      </c>
      <c r="K93" s="188" t="s">
        <v>30</v>
      </c>
      <c r="L93" s="82">
        <v>-3.5743510000000001</v>
      </c>
      <c r="M93" s="66">
        <v>-80.463727000000006</v>
      </c>
    </row>
    <row r="94" spans="1:13" ht="89.25">
      <c r="A94" s="146">
        <v>69</v>
      </c>
      <c r="B94" s="180" t="s">
        <v>381</v>
      </c>
      <c r="C94" s="89">
        <v>45755</v>
      </c>
      <c r="D94" s="83" t="s">
        <v>382</v>
      </c>
      <c r="E94" s="130" t="s">
        <v>458</v>
      </c>
      <c r="F94" s="94" t="s">
        <v>12</v>
      </c>
      <c r="G94" s="91" t="s">
        <v>102</v>
      </c>
      <c r="H94" s="81" t="s">
        <v>805</v>
      </c>
      <c r="I94" s="87" t="s">
        <v>27</v>
      </c>
      <c r="J94" s="88" t="s">
        <v>163</v>
      </c>
      <c r="K94" s="187" t="s">
        <v>30</v>
      </c>
      <c r="L94" s="82">
        <v>-3.6095060000000001</v>
      </c>
      <c r="M94" s="66">
        <v>-80.506831000000005</v>
      </c>
    </row>
    <row r="95" spans="1:13" ht="125.25" customHeight="1">
      <c r="A95" s="146">
        <v>68</v>
      </c>
      <c r="B95" s="180" t="s">
        <v>379</v>
      </c>
      <c r="C95" s="89">
        <v>45755</v>
      </c>
      <c r="D95" s="83" t="s">
        <v>290</v>
      </c>
      <c r="E95" s="80" t="s">
        <v>380</v>
      </c>
      <c r="F95" s="94" t="s">
        <v>12</v>
      </c>
      <c r="G95" s="91">
        <v>200</v>
      </c>
      <c r="H95" s="81" t="s">
        <v>797</v>
      </c>
      <c r="I95" s="87" t="s">
        <v>27</v>
      </c>
      <c r="J95" s="88" t="s">
        <v>280</v>
      </c>
      <c r="K95" s="187" t="s">
        <v>30</v>
      </c>
      <c r="L95" s="178">
        <v>-12.618480999999999</v>
      </c>
      <c r="M95" s="179">
        <v>-72.839072999999999</v>
      </c>
    </row>
    <row r="96" spans="1:13" ht="102">
      <c r="A96" s="146">
        <v>67</v>
      </c>
      <c r="B96" s="180" t="s">
        <v>368</v>
      </c>
      <c r="C96" s="89">
        <v>45754</v>
      </c>
      <c r="D96" s="90" t="s">
        <v>366</v>
      </c>
      <c r="E96" s="80" t="s">
        <v>367</v>
      </c>
      <c r="F96" s="94" t="s">
        <v>12</v>
      </c>
      <c r="G96" s="91">
        <v>50</v>
      </c>
      <c r="H96" s="81" t="s">
        <v>806</v>
      </c>
      <c r="I96" s="85" t="s">
        <v>27</v>
      </c>
      <c r="J96" s="86" t="s">
        <v>177</v>
      </c>
      <c r="K96" s="187" t="s">
        <v>30</v>
      </c>
      <c r="L96" s="168">
        <v>-8.4742669999999993</v>
      </c>
      <c r="M96" s="169">
        <v>-78.017394999999993</v>
      </c>
    </row>
    <row r="97" spans="1:13" ht="76.5">
      <c r="A97" s="146">
        <v>66</v>
      </c>
      <c r="B97" s="181" t="s">
        <v>376</v>
      </c>
      <c r="C97" s="89">
        <v>45754</v>
      </c>
      <c r="D97" s="79" t="s">
        <v>340</v>
      </c>
      <c r="E97" s="80" t="s">
        <v>375</v>
      </c>
      <c r="F97" s="94" t="s">
        <v>12</v>
      </c>
      <c r="G97" s="91" t="s">
        <v>102</v>
      </c>
      <c r="H97" s="81" t="s">
        <v>807</v>
      </c>
      <c r="I97" s="87" t="s">
        <v>95</v>
      </c>
      <c r="J97" s="88" t="s">
        <v>348</v>
      </c>
      <c r="K97" s="188"/>
      <c r="L97" s="82">
        <v>-5.8129</v>
      </c>
      <c r="M97" s="66">
        <v>-79.376999999999995</v>
      </c>
    </row>
    <row r="98" spans="1:13" ht="76.5">
      <c r="A98" s="146">
        <v>65</v>
      </c>
      <c r="B98" s="180" t="s">
        <v>359</v>
      </c>
      <c r="C98" s="89">
        <v>45754</v>
      </c>
      <c r="D98" s="83" t="s">
        <v>357</v>
      </c>
      <c r="E98" s="80" t="s">
        <v>360</v>
      </c>
      <c r="F98" s="94" t="s">
        <v>12</v>
      </c>
      <c r="G98" s="91" t="s">
        <v>102</v>
      </c>
      <c r="H98" s="81" t="s">
        <v>808</v>
      </c>
      <c r="I98" s="87" t="s">
        <v>358</v>
      </c>
      <c r="J98" s="88" t="s">
        <v>345</v>
      </c>
      <c r="K98" s="187" t="s">
        <v>30</v>
      </c>
      <c r="L98" s="82">
        <v>-6.7148770000000004</v>
      </c>
      <c r="M98" s="66">
        <v>-77.818928999999997</v>
      </c>
    </row>
    <row r="99" spans="1:13" ht="102">
      <c r="A99" s="146">
        <v>64</v>
      </c>
      <c r="B99" s="180" t="s">
        <v>355</v>
      </c>
      <c r="C99" s="89">
        <v>45754</v>
      </c>
      <c r="D99" s="83" t="s">
        <v>356</v>
      </c>
      <c r="E99" s="131" t="s">
        <v>365</v>
      </c>
      <c r="F99" s="94" t="s">
        <v>12</v>
      </c>
      <c r="G99" s="116">
        <v>60</v>
      </c>
      <c r="H99" s="84" t="s">
        <v>809</v>
      </c>
      <c r="I99" s="87" t="s">
        <v>377</v>
      </c>
      <c r="J99" s="86" t="s">
        <v>259</v>
      </c>
      <c r="K99" s="187" t="s">
        <v>30</v>
      </c>
      <c r="L99" s="117">
        <v>-17.497316000000001</v>
      </c>
      <c r="M99" s="118">
        <v>-70.032859000000002</v>
      </c>
    </row>
    <row r="100" spans="1:13" ht="102">
      <c r="A100" s="146">
        <v>63</v>
      </c>
      <c r="B100" s="180" t="s">
        <v>352</v>
      </c>
      <c r="C100" s="89">
        <v>45753</v>
      </c>
      <c r="D100" s="32" t="s">
        <v>351</v>
      </c>
      <c r="E100" s="176" t="s">
        <v>353</v>
      </c>
      <c r="F100" s="94" t="s">
        <v>12</v>
      </c>
      <c r="G100" s="36">
        <v>100</v>
      </c>
      <c r="H100" s="31" t="s">
        <v>812</v>
      </c>
      <c r="I100" s="34" t="s">
        <v>354</v>
      </c>
      <c r="J100" s="88" t="s">
        <v>530</v>
      </c>
      <c r="K100" s="188" t="s">
        <v>30</v>
      </c>
      <c r="L100" s="82">
        <v>-9.7617139999999996</v>
      </c>
      <c r="M100" s="66">
        <v>-76.798074</v>
      </c>
    </row>
    <row r="101" spans="1:13" ht="118.5" customHeight="1">
      <c r="A101" s="146">
        <v>62</v>
      </c>
      <c r="B101" s="181" t="s">
        <v>339</v>
      </c>
      <c r="C101" s="89">
        <v>45748</v>
      </c>
      <c r="D101" s="79" t="s">
        <v>340</v>
      </c>
      <c r="E101" s="80" t="s">
        <v>341</v>
      </c>
      <c r="F101" s="94" t="s">
        <v>12</v>
      </c>
      <c r="G101" s="91" t="s">
        <v>102</v>
      </c>
      <c r="H101" s="81" t="s">
        <v>811</v>
      </c>
      <c r="I101" s="87" t="s">
        <v>344</v>
      </c>
      <c r="J101" s="88" t="s">
        <v>348</v>
      </c>
      <c r="K101" s="188" t="s">
        <v>30</v>
      </c>
      <c r="L101" s="82">
        <v>5.7949000000000002</v>
      </c>
      <c r="M101" s="66">
        <v>-79.3857</v>
      </c>
    </row>
    <row r="102" spans="1:13" ht="89.25">
      <c r="A102" s="146">
        <v>61</v>
      </c>
      <c r="B102" s="180" t="s">
        <v>338</v>
      </c>
      <c r="C102" s="89">
        <v>45748</v>
      </c>
      <c r="D102" s="90" t="s">
        <v>336</v>
      </c>
      <c r="E102" s="80" t="s">
        <v>337</v>
      </c>
      <c r="F102" s="94" t="s">
        <v>12</v>
      </c>
      <c r="G102" s="91">
        <v>80</v>
      </c>
      <c r="H102" s="81" t="s">
        <v>810</v>
      </c>
      <c r="I102" s="87" t="s">
        <v>249</v>
      </c>
      <c r="J102" s="86" t="s">
        <v>191</v>
      </c>
      <c r="K102" s="187" t="s">
        <v>30</v>
      </c>
      <c r="L102" s="174">
        <v>-7.7879589999999999</v>
      </c>
      <c r="M102" s="175">
        <v>-77.901156</v>
      </c>
    </row>
    <row r="103" spans="1:13" ht="89.25">
      <c r="A103" s="146">
        <v>60</v>
      </c>
      <c r="B103" s="180" t="s">
        <v>335</v>
      </c>
      <c r="C103" s="89">
        <v>45748</v>
      </c>
      <c r="D103" s="83" t="s">
        <v>136</v>
      </c>
      <c r="E103" s="80" t="s">
        <v>334</v>
      </c>
      <c r="F103" s="94" t="s">
        <v>12</v>
      </c>
      <c r="G103" s="171">
        <v>100</v>
      </c>
      <c r="H103" s="81" t="s">
        <v>814</v>
      </c>
      <c r="I103" s="87" t="s">
        <v>333</v>
      </c>
      <c r="J103" s="88" t="s">
        <v>178</v>
      </c>
      <c r="K103" s="188" t="s">
        <v>30</v>
      </c>
      <c r="L103" s="172">
        <v>-4.6405479999999999</v>
      </c>
      <c r="M103" s="173">
        <v>-79.612014000000002</v>
      </c>
    </row>
    <row r="104" spans="1:13" ht="76.5">
      <c r="A104" s="146">
        <v>59</v>
      </c>
      <c r="B104" s="180" t="s">
        <v>326</v>
      </c>
      <c r="C104" s="89">
        <v>45745</v>
      </c>
      <c r="D104" s="83" t="s">
        <v>327</v>
      </c>
      <c r="E104" s="80" t="s">
        <v>328</v>
      </c>
      <c r="F104" s="94" t="s">
        <v>12</v>
      </c>
      <c r="G104" s="91">
        <v>50</v>
      </c>
      <c r="H104" s="81" t="s">
        <v>813</v>
      </c>
      <c r="I104" s="87" t="s">
        <v>27</v>
      </c>
      <c r="J104" s="88" t="s">
        <v>330</v>
      </c>
      <c r="K104" s="188" t="s">
        <v>30</v>
      </c>
      <c r="L104" s="82">
        <v>-11.189406</v>
      </c>
      <c r="M104" s="66">
        <v>-75.466669699999997</v>
      </c>
    </row>
    <row r="105" spans="1:13" ht="76.5">
      <c r="A105" s="146">
        <v>58</v>
      </c>
      <c r="B105" s="180" t="s">
        <v>325</v>
      </c>
      <c r="C105" s="89">
        <v>45745</v>
      </c>
      <c r="D105" s="83" t="s">
        <v>321</v>
      </c>
      <c r="E105" s="80" t="s">
        <v>324</v>
      </c>
      <c r="F105" s="94" t="s">
        <v>12</v>
      </c>
      <c r="G105" s="91">
        <v>300</v>
      </c>
      <c r="H105" s="84" t="s">
        <v>815</v>
      </c>
      <c r="I105" s="87" t="s">
        <v>111</v>
      </c>
      <c r="J105" s="86" t="s">
        <v>177</v>
      </c>
      <c r="K105" s="187" t="s">
        <v>30</v>
      </c>
      <c r="L105" s="82">
        <v>-10.143331</v>
      </c>
      <c r="M105" s="66">
        <v>-77.418736999999993</v>
      </c>
    </row>
    <row r="106" spans="1:13" ht="76.5">
      <c r="A106" s="146">
        <v>57</v>
      </c>
      <c r="B106" s="180" t="s">
        <v>350</v>
      </c>
      <c r="C106" s="177">
        <v>45744</v>
      </c>
      <c r="D106" s="90" t="s">
        <v>132</v>
      </c>
      <c r="E106" s="80" t="s">
        <v>364</v>
      </c>
      <c r="F106" s="94" t="s">
        <v>12</v>
      </c>
      <c r="G106" s="91">
        <v>186</v>
      </c>
      <c r="H106" s="81" t="s">
        <v>816</v>
      </c>
      <c r="I106" s="87" t="s">
        <v>388</v>
      </c>
      <c r="J106" s="86" t="s">
        <v>191</v>
      </c>
      <c r="K106" s="187" t="s">
        <v>30</v>
      </c>
      <c r="L106" s="82">
        <v>-7.8278540000000003</v>
      </c>
      <c r="M106" s="66">
        <v>-77.639292999999995</v>
      </c>
    </row>
    <row r="107" spans="1:13" ht="76.5">
      <c r="A107" s="146">
        <v>56</v>
      </c>
      <c r="B107" s="180" t="s">
        <v>419</v>
      </c>
      <c r="C107" s="89">
        <v>45743</v>
      </c>
      <c r="D107" s="90" t="s">
        <v>131</v>
      </c>
      <c r="E107" s="80" t="s">
        <v>418</v>
      </c>
      <c r="F107" s="94" t="s">
        <v>12</v>
      </c>
      <c r="G107" s="91">
        <v>63</v>
      </c>
      <c r="H107" s="97" t="s">
        <v>817</v>
      </c>
      <c r="I107" s="92" t="s">
        <v>27</v>
      </c>
      <c r="J107" s="88" t="s">
        <v>245</v>
      </c>
      <c r="K107" s="187" t="s">
        <v>30</v>
      </c>
      <c r="L107" s="194">
        <v>-4.1072790000000001</v>
      </c>
      <c r="M107" s="195">
        <v>-81.056887000000003</v>
      </c>
    </row>
    <row r="108" spans="1:13" ht="76.5">
      <c r="A108" s="146">
        <v>55</v>
      </c>
      <c r="B108" s="180" t="s">
        <v>349</v>
      </c>
      <c r="C108" s="89">
        <v>45743</v>
      </c>
      <c r="D108" s="90" t="s">
        <v>131</v>
      </c>
      <c r="E108" s="80" t="s">
        <v>409</v>
      </c>
      <c r="F108" s="94" t="s">
        <v>12</v>
      </c>
      <c r="G108" s="91">
        <v>200</v>
      </c>
      <c r="H108" s="97" t="s">
        <v>817</v>
      </c>
      <c r="I108" s="92" t="s">
        <v>27</v>
      </c>
      <c r="J108" s="88" t="s">
        <v>245</v>
      </c>
      <c r="K108" s="188" t="s">
        <v>30</v>
      </c>
      <c r="L108" s="82">
        <v>-4.1048220000000004</v>
      </c>
      <c r="M108" s="66">
        <v>-81.040464999999998</v>
      </c>
    </row>
    <row r="109" spans="1:13" ht="102">
      <c r="A109" s="146">
        <v>54</v>
      </c>
      <c r="B109" s="180" t="s">
        <v>347</v>
      </c>
      <c r="C109" s="115">
        <v>45743</v>
      </c>
      <c r="D109" s="83" t="s">
        <v>179</v>
      </c>
      <c r="E109" s="131" t="s">
        <v>332</v>
      </c>
      <c r="F109" s="94" t="s">
        <v>12</v>
      </c>
      <c r="G109" s="116">
        <v>25</v>
      </c>
      <c r="H109" s="84" t="s">
        <v>818</v>
      </c>
      <c r="I109" s="87" t="s">
        <v>27</v>
      </c>
      <c r="J109" s="86" t="s">
        <v>220</v>
      </c>
      <c r="K109" s="187" t="s">
        <v>30</v>
      </c>
      <c r="L109" s="117">
        <v>-16.621767999999999</v>
      </c>
      <c r="M109" s="118">
        <v>-71.071156999999999</v>
      </c>
    </row>
    <row r="110" spans="1:13" ht="127.5">
      <c r="A110" s="146">
        <v>53</v>
      </c>
      <c r="B110" s="180" t="s">
        <v>371</v>
      </c>
      <c r="C110" s="89">
        <v>45743</v>
      </c>
      <c r="D110" s="79" t="s">
        <v>351</v>
      </c>
      <c r="E110" s="80" t="s">
        <v>372</v>
      </c>
      <c r="F110" s="94" t="s">
        <v>12</v>
      </c>
      <c r="G110" s="91">
        <v>60</v>
      </c>
      <c r="H110" s="81" t="s">
        <v>819</v>
      </c>
      <c r="I110" s="87" t="s">
        <v>373</v>
      </c>
      <c r="J110" s="88" t="s">
        <v>531</v>
      </c>
      <c r="K110" s="188" t="s">
        <v>30</v>
      </c>
      <c r="L110" s="82">
        <v>-9.7791340000000009</v>
      </c>
      <c r="M110" s="66">
        <v>-76.805539999999993</v>
      </c>
    </row>
    <row r="111" spans="1:13" ht="76.5">
      <c r="A111" s="146">
        <v>52</v>
      </c>
      <c r="B111" s="180" t="s">
        <v>320</v>
      </c>
      <c r="C111" s="89">
        <v>45742</v>
      </c>
      <c r="D111" s="90" t="s">
        <v>317</v>
      </c>
      <c r="E111" s="80" t="s">
        <v>318</v>
      </c>
      <c r="F111" s="94" t="s">
        <v>12</v>
      </c>
      <c r="G111" s="91" t="s">
        <v>102</v>
      </c>
      <c r="H111" s="81" t="s">
        <v>821</v>
      </c>
      <c r="I111" s="92" t="s">
        <v>427</v>
      </c>
      <c r="J111" s="88" t="s">
        <v>319</v>
      </c>
      <c r="K111" s="187" t="s">
        <v>30</v>
      </c>
      <c r="L111" s="82">
        <v>-6.5590590000000004</v>
      </c>
      <c r="M111" s="66">
        <v>-78.737170000000006</v>
      </c>
    </row>
    <row r="112" spans="1:13" ht="89.25">
      <c r="A112" s="146">
        <v>51</v>
      </c>
      <c r="B112" s="187" t="s">
        <v>313</v>
      </c>
      <c r="C112" s="89">
        <v>45742</v>
      </c>
      <c r="D112" s="90" t="s">
        <v>312</v>
      </c>
      <c r="E112" s="80" t="s">
        <v>428</v>
      </c>
      <c r="F112" s="94" t="s">
        <v>12</v>
      </c>
      <c r="G112" s="91">
        <v>50</v>
      </c>
      <c r="H112" s="97" t="s">
        <v>820</v>
      </c>
      <c r="I112" s="85" t="s">
        <v>27</v>
      </c>
      <c r="J112" s="88" t="s">
        <v>202</v>
      </c>
      <c r="K112" s="187" t="s">
        <v>30</v>
      </c>
      <c r="L112" s="82">
        <v>-12.688105999999999</v>
      </c>
      <c r="M112" s="66">
        <v>-74.588984999999994</v>
      </c>
    </row>
    <row r="113" spans="1:13" ht="89.25">
      <c r="A113" s="146">
        <v>50</v>
      </c>
      <c r="B113" s="187" t="s">
        <v>310</v>
      </c>
      <c r="C113" s="89">
        <v>45741</v>
      </c>
      <c r="D113" s="90" t="s">
        <v>309</v>
      </c>
      <c r="E113" s="80" t="s">
        <v>311</v>
      </c>
      <c r="F113" s="94" t="s">
        <v>12</v>
      </c>
      <c r="G113" s="91">
        <v>30</v>
      </c>
      <c r="H113" s="97" t="s">
        <v>822</v>
      </c>
      <c r="I113" s="87" t="s">
        <v>27</v>
      </c>
      <c r="J113" s="88" t="s">
        <v>202</v>
      </c>
      <c r="K113" s="187" t="s">
        <v>30</v>
      </c>
      <c r="L113" s="82">
        <v>-12.796348999999999</v>
      </c>
      <c r="M113" s="66">
        <v>-74.476848000000004</v>
      </c>
    </row>
    <row r="114" spans="1:13" ht="109.5" customHeight="1">
      <c r="A114" s="146">
        <v>49</v>
      </c>
      <c r="B114" s="180" t="s">
        <v>308</v>
      </c>
      <c r="C114" s="89">
        <v>45741</v>
      </c>
      <c r="D114" s="79" t="s">
        <v>305</v>
      </c>
      <c r="E114" s="80" t="s">
        <v>307</v>
      </c>
      <c r="F114" s="94" t="s">
        <v>12</v>
      </c>
      <c r="G114" s="91">
        <v>30</v>
      </c>
      <c r="H114" s="97" t="s">
        <v>823</v>
      </c>
      <c r="I114" s="87" t="s">
        <v>127</v>
      </c>
      <c r="J114" s="88" t="s">
        <v>315</v>
      </c>
      <c r="K114" s="187" t="s">
        <v>30</v>
      </c>
      <c r="L114" s="82">
        <v>-6.2105487999999998</v>
      </c>
      <c r="M114" s="66">
        <v>-78.286106000000004</v>
      </c>
    </row>
    <row r="115" spans="1:13" ht="102">
      <c r="A115" s="146">
        <v>48</v>
      </c>
      <c r="B115" s="180" t="s">
        <v>306</v>
      </c>
      <c r="C115" s="89">
        <v>45741</v>
      </c>
      <c r="D115" s="79" t="s">
        <v>305</v>
      </c>
      <c r="E115" s="80" t="s">
        <v>304</v>
      </c>
      <c r="F115" s="94" t="s">
        <v>12</v>
      </c>
      <c r="G115" s="91">
        <v>35</v>
      </c>
      <c r="H115" s="97" t="s">
        <v>826</v>
      </c>
      <c r="I115" s="87" t="s">
        <v>316</v>
      </c>
      <c r="J115" s="88" t="s">
        <v>315</v>
      </c>
      <c r="K115" s="187" t="s">
        <v>30</v>
      </c>
      <c r="L115" s="82">
        <v>-6.2105701</v>
      </c>
      <c r="M115" s="66">
        <v>-78.285870000000003</v>
      </c>
    </row>
    <row r="116" spans="1:13" ht="89.25">
      <c r="A116" s="146">
        <v>47</v>
      </c>
      <c r="B116" s="180" t="s">
        <v>294</v>
      </c>
      <c r="C116" s="89">
        <v>45739</v>
      </c>
      <c r="D116" s="90" t="s">
        <v>295</v>
      </c>
      <c r="E116" s="80" t="s">
        <v>296</v>
      </c>
      <c r="F116" s="94" t="s">
        <v>12</v>
      </c>
      <c r="G116" s="164">
        <v>120</v>
      </c>
      <c r="H116" s="81" t="s">
        <v>824</v>
      </c>
      <c r="I116" s="87" t="s">
        <v>314</v>
      </c>
      <c r="J116" s="86" t="s">
        <v>177</v>
      </c>
      <c r="K116" s="187" t="s">
        <v>30</v>
      </c>
      <c r="L116" s="165">
        <v>-8.9705159999999999</v>
      </c>
      <c r="M116" s="166">
        <v>-77.363794999999996</v>
      </c>
    </row>
    <row r="117" spans="1:13" ht="102">
      <c r="A117" s="146">
        <v>46</v>
      </c>
      <c r="B117" s="180" t="s">
        <v>283</v>
      </c>
      <c r="C117" s="89">
        <v>45736</v>
      </c>
      <c r="D117" s="79" t="s">
        <v>34</v>
      </c>
      <c r="E117" s="80" t="s">
        <v>297</v>
      </c>
      <c r="F117" s="94" t="s">
        <v>12</v>
      </c>
      <c r="G117" s="91">
        <v>50</v>
      </c>
      <c r="H117" s="81" t="s">
        <v>825</v>
      </c>
      <c r="I117" s="87" t="s">
        <v>29</v>
      </c>
      <c r="J117" s="88" t="s">
        <v>154</v>
      </c>
      <c r="K117" s="188" t="s">
        <v>30</v>
      </c>
      <c r="L117" s="82">
        <v>-17.076312000000001</v>
      </c>
      <c r="M117" s="66">
        <v>-70.840873000000002</v>
      </c>
    </row>
    <row r="118" spans="1:13" ht="102">
      <c r="A118" s="146">
        <v>45</v>
      </c>
      <c r="B118" s="180" t="s">
        <v>302</v>
      </c>
      <c r="C118" s="89">
        <v>45735</v>
      </c>
      <c r="D118" s="90" t="s">
        <v>300</v>
      </c>
      <c r="E118" s="80" t="s">
        <v>301</v>
      </c>
      <c r="F118" s="94" t="s">
        <v>12</v>
      </c>
      <c r="G118" s="167">
        <v>5</v>
      </c>
      <c r="H118" s="81" t="s">
        <v>828</v>
      </c>
      <c r="I118" s="87" t="s">
        <v>27</v>
      </c>
      <c r="J118" s="86" t="s">
        <v>220</v>
      </c>
      <c r="K118" s="188" t="s">
        <v>30</v>
      </c>
      <c r="L118" s="128">
        <v>-16.998090999999999</v>
      </c>
      <c r="M118" s="129">
        <v>-69.454730999999995</v>
      </c>
    </row>
    <row r="119" spans="1:13" ht="89.25">
      <c r="A119" s="146">
        <v>44</v>
      </c>
      <c r="B119" s="180" t="s">
        <v>292</v>
      </c>
      <c r="C119" s="89">
        <v>45735</v>
      </c>
      <c r="D119" s="90" t="s">
        <v>293</v>
      </c>
      <c r="E119" s="80" t="s">
        <v>298</v>
      </c>
      <c r="F119" s="94" t="s">
        <v>12</v>
      </c>
      <c r="G119" s="91">
        <v>10</v>
      </c>
      <c r="H119" s="81" t="s">
        <v>827</v>
      </c>
      <c r="I119" s="87" t="s">
        <v>27</v>
      </c>
      <c r="J119" s="86" t="s">
        <v>177</v>
      </c>
      <c r="K119" s="187" t="s">
        <v>30</v>
      </c>
      <c r="L119" s="82">
        <v>-9.1105710000000002</v>
      </c>
      <c r="M119" s="66">
        <v>-77.315596999999997</v>
      </c>
    </row>
    <row r="120" spans="1:13" ht="89.25">
      <c r="A120" s="146">
        <v>43</v>
      </c>
      <c r="B120" s="180" t="s">
        <v>291</v>
      </c>
      <c r="C120" s="89">
        <v>45735</v>
      </c>
      <c r="D120" s="90" t="s">
        <v>133</v>
      </c>
      <c r="E120" s="80" t="s">
        <v>288</v>
      </c>
      <c r="F120" s="94" t="s">
        <v>12</v>
      </c>
      <c r="G120" s="164">
        <v>15</v>
      </c>
      <c r="H120" s="81" t="s">
        <v>829</v>
      </c>
      <c r="I120" s="87" t="s">
        <v>27</v>
      </c>
      <c r="J120" s="86" t="s">
        <v>177</v>
      </c>
      <c r="K120" s="187" t="s">
        <v>30</v>
      </c>
      <c r="L120" s="165">
        <v>-9.0419610000000006</v>
      </c>
      <c r="M120" s="166">
        <v>-77.362418000000005</v>
      </c>
    </row>
    <row r="121" spans="1:13" ht="76.5">
      <c r="A121" s="146">
        <v>42</v>
      </c>
      <c r="B121" s="180" t="s">
        <v>289</v>
      </c>
      <c r="C121" s="89">
        <v>45735</v>
      </c>
      <c r="D121" s="90" t="s">
        <v>287</v>
      </c>
      <c r="E121" s="80" t="s">
        <v>299</v>
      </c>
      <c r="F121" s="94" t="s">
        <v>12</v>
      </c>
      <c r="G121" s="164">
        <v>12</v>
      </c>
      <c r="H121" s="81" t="s">
        <v>832</v>
      </c>
      <c r="I121" s="87" t="s">
        <v>27</v>
      </c>
      <c r="J121" s="86" t="s">
        <v>177</v>
      </c>
      <c r="K121" s="187" t="s">
        <v>30</v>
      </c>
      <c r="L121" s="165">
        <v>-8.8485910000000008</v>
      </c>
      <c r="M121" s="166">
        <v>-77.406182999999999</v>
      </c>
    </row>
    <row r="122" spans="1:13" ht="89.25">
      <c r="A122" s="146">
        <v>41</v>
      </c>
      <c r="B122" s="180" t="s">
        <v>286</v>
      </c>
      <c r="C122" s="89">
        <v>45735</v>
      </c>
      <c r="D122" s="90" t="s">
        <v>284</v>
      </c>
      <c r="E122" s="80" t="s">
        <v>285</v>
      </c>
      <c r="F122" s="94" t="s">
        <v>12</v>
      </c>
      <c r="G122" s="91">
        <v>16</v>
      </c>
      <c r="H122" s="81" t="s">
        <v>831</v>
      </c>
      <c r="I122" s="87" t="s">
        <v>27</v>
      </c>
      <c r="J122" s="86" t="s">
        <v>177</v>
      </c>
      <c r="K122" s="188" t="s">
        <v>30</v>
      </c>
      <c r="L122" s="161">
        <v>-8.9195620000000009</v>
      </c>
      <c r="M122" s="162">
        <v>-77.353319999999997</v>
      </c>
    </row>
    <row r="123" spans="1:13" ht="89.25">
      <c r="A123" s="146">
        <v>40</v>
      </c>
      <c r="B123" s="180" t="s">
        <v>275</v>
      </c>
      <c r="C123" s="89">
        <v>45730</v>
      </c>
      <c r="D123" s="90" t="s">
        <v>267</v>
      </c>
      <c r="E123" s="80" t="s">
        <v>276</v>
      </c>
      <c r="F123" s="94" t="s">
        <v>12</v>
      </c>
      <c r="G123" s="91">
        <v>600</v>
      </c>
      <c r="H123" s="81" t="s">
        <v>830</v>
      </c>
      <c r="I123" s="87" t="s">
        <v>249</v>
      </c>
      <c r="J123" s="86" t="s">
        <v>191</v>
      </c>
      <c r="K123" s="187" t="s">
        <v>30</v>
      </c>
      <c r="L123" s="82">
        <v>-7.7816000000000001</v>
      </c>
      <c r="M123" s="66">
        <v>-77.863200000000006</v>
      </c>
    </row>
    <row r="124" spans="1:13" ht="76.5">
      <c r="A124" s="146">
        <v>39</v>
      </c>
      <c r="B124" s="180" t="s">
        <v>278</v>
      </c>
      <c r="C124" s="89">
        <v>45729</v>
      </c>
      <c r="D124" s="96" t="s">
        <v>277</v>
      </c>
      <c r="E124" s="130" t="s">
        <v>282</v>
      </c>
      <c r="F124" s="94" t="s">
        <v>12</v>
      </c>
      <c r="G124" s="91">
        <v>50</v>
      </c>
      <c r="H124" s="81" t="s">
        <v>834</v>
      </c>
      <c r="I124" s="87" t="s">
        <v>27</v>
      </c>
      <c r="J124" s="88" t="s">
        <v>532</v>
      </c>
      <c r="K124" s="187" t="s">
        <v>30</v>
      </c>
      <c r="L124" s="82">
        <v>-14.013590000000001</v>
      </c>
      <c r="M124" s="66">
        <v>-72.363420000000005</v>
      </c>
    </row>
    <row r="125" spans="1:13" ht="89.25">
      <c r="A125" s="146">
        <v>38</v>
      </c>
      <c r="B125" s="180" t="s">
        <v>271</v>
      </c>
      <c r="C125" s="89">
        <v>45728</v>
      </c>
      <c r="D125" s="83" t="s">
        <v>113</v>
      </c>
      <c r="E125" s="80" t="s">
        <v>272</v>
      </c>
      <c r="F125" s="94" t="s">
        <v>12</v>
      </c>
      <c r="G125" s="91">
        <v>150</v>
      </c>
      <c r="H125" s="81" t="s">
        <v>833</v>
      </c>
      <c r="I125" s="92" t="s">
        <v>27</v>
      </c>
      <c r="J125" s="88" t="s">
        <v>217</v>
      </c>
      <c r="K125" s="188" t="s">
        <v>30</v>
      </c>
      <c r="L125" s="151">
        <v>-7.5290169999999996</v>
      </c>
      <c r="M125" s="152">
        <v>-76.671807999999999</v>
      </c>
    </row>
    <row r="126" spans="1:13" ht="114" customHeight="1">
      <c r="A126" s="146">
        <v>37</v>
      </c>
      <c r="B126" s="181" t="s">
        <v>270</v>
      </c>
      <c r="C126" s="89">
        <v>45723</v>
      </c>
      <c r="D126" s="90" t="s">
        <v>130</v>
      </c>
      <c r="E126" s="80" t="s">
        <v>459</v>
      </c>
      <c r="F126" s="94" t="s">
        <v>12</v>
      </c>
      <c r="G126" s="91">
        <v>50</v>
      </c>
      <c r="H126" s="97" t="s">
        <v>835</v>
      </c>
      <c r="I126" s="92" t="s">
        <v>27</v>
      </c>
      <c r="J126" s="88" t="s">
        <v>245</v>
      </c>
      <c r="K126" s="188" t="s">
        <v>30</v>
      </c>
      <c r="L126" s="82">
        <v>-4.1789940000000003</v>
      </c>
      <c r="M126" s="66">
        <v>-81.129051000000004</v>
      </c>
    </row>
    <row r="127" spans="1:13" ht="76.5">
      <c r="A127" s="146">
        <v>36</v>
      </c>
      <c r="B127" s="180" t="s">
        <v>397</v>
      </c>
      <c r="C127" s="89">
        <v>45720</v>
      </c>
      <c r="D127" s="83" t="s">
        <v>114</v>
      </c>
      <c r="E127" s="80" t="s">
        <v>396</v>
      </c>
      <c r="F127" s="94" t="s">
        <v>12</v>
      </c>
      <c r="G127" s="91">
        <v>950</v>
      </c>
      <c r="H127" s="84" t="s">
        <v>837</v>
      </c>
      <c r="I127" s="87" t="s">
        <v>111</v>
      </c>
      <c r="J127" s="86" t="s">
        <v>177</v>
      </c>
      <c r="K127" s="187" t="s">
        <v>30</v>
      </c>
      <c r="L127" s="82">
        <v>-8.6627340000000004</v>
      </c>
      <c r="M127" s="66">
        <v>-78.292974999999998</v>
      </c>
    </row>
    <row r="128" spans="1:13" ht="111.75" customHeight="1">
      <c r="A128" s="146">
        <v>35</v>
      </c>
      <c r="B128" s="181" t="s">
        <v>254</v>
      </c>
      <c r="C128" s="89">
        <v>45720</v>
      </c>
      <c r="D128" s="79" t="s">
        <v>234</v>
      </c>
      <c r="E128" s="80" t="s">
        <v>255</v>
      </c>
      <c r="F128" s="94" t="s">
        <v>12</v>
      </c>
      <c r="G128" s="91"/>
      <c r="H128" s="81" t="s">
        <v>836</v>
      </c>
      <c r="I128" s="87" t="s">
        <v>95</v>
      </c>
      <c r="J128" s="88" t="s">
        <v>348</v>
      </c>
      <c r="K128" s="188" t="s">
        <v>30</v>
      </c>
      <c r="L128" s="82">
        <v>-5.8907970000000001</v>
      </c>
      <c r="M128" s="66">
        <v>-78.170940000000002</v>
      </c>
    </row>
    <row r="129" spans="1:13" ht="114.75">
      <c r="A129" s="146">
        <v>34</v>
      </c>
      <c r="B129" s="181" t="s">
        <v>256</v>
      </c>
      <c r="C129" s="89">
        <v>45719</v>
      </c>
      <c r="D129" s="83" t="s">
        <v>260</v>
      </c>
      <c r="E129" s="80" t="s">
        <v>257</v>
      </c>
      <c r="F129" s="94" t="s">
        <v>12</v>
      </c>
      <c r="G129" s="91">
        <v>15</v>
      </c>
      <c r="H129" s="84" t="s">
        <v>838</v>
      </c>
      <c r="I129" s="87" t="s">
        <v>258</v>
      </c>
      <c r="J129" s="86" t="s">
        <v>259</v>
      </c>
      <c r="K129" s="187" t="s">
        <v>30</v>
      </c>
      <c r="L129" s="82">
        <v>-17.529775000000001</v>
      </c>
      <c r="M129" s="66">
        <v>-70.035994000000002</v>
      </c>
    </row>
    <row r="130" spans="1:13" ht="102.75" customHeight="1">
      <c r="A130" s="146">
        <v>33</v>
      </c>
      <c r="B130" s="180" t="s">
        <v>251</v>
      </c>
      <c r="C130" s="89">
        <v>45719</v>
      </c>
      <c r="D130" s="79" t="s">
        <v>252</v>
      </c>
      <c r="E130" s="80" t="s">
        <v>253</v>
      </c>
      <c r="F130" s="94" t="s">
        <v>12</v>
      </c>
      <c r="G130" s="91">
        <v>16</v>
      </c>
      <c r="H130" s="97" t="s">
        <v>840</v>
      </c>
      <c r="I130" s="87" t="s">
        <v>185</v>
      </c>
      <c r="J130" s="88" t="s">
        <v>240</v>
      </c>
      <c r="K130" s="187" t="s">
        <v>30</v>
      </c>
      <c r="L130" s="82">
        <v>-6.3433950000000001</v>
      </c>
      <c r="M130" s="66">
        <v>-77.930058000000002</v>
      </c>
    </row>
    <row r="131" spans="1:13" ht="140.25">
      <c r="A131" s="146">
        <v>32</v>
      </c>
      <c r="B131" s="180" t="s">
        <v>243</v>
      </c>
      <c r="C131" s="89">
        <v>45719</v>
      </c>
      <c r="D131" s="96" t="s">
        <v>239</v>
      </c>
      <c r="E131" s="130" t="s">
        <v>242</v>
      </c>
      <c r="F131" s="94" t="s">
        <v>12</v>
      </c>
      <c r="G131" s="91">
        <v>30</v>
      </c>
      <c r="H131" s="84" t="s">
        <v>839</v>
      </c>
      <c r="I131" s="137" t="s">
        <v>261</v>
      </c>
      <c r="J131" s="88" t="s">
        <v>240</v>
      </c>
      <c r="K131" s="187" t="s">
        <v>30</v>
      </c>
      <c r="L131" s="82">
        <v>-5.4831269999999996</v>
      </c>
      <c r="M131" s="66">
        <v>-78.822682999999998</v>
      </c>
    </row>
    <row r="132" spans="1:13" ht="102">
      <c r="A132" s="146">
        <v>31</v>
      </c>
      <c r="B132" s="180" t="s">
        <v>244</v>
      </c>
      <c r="C132" s="89">
        <v>45718</v>
      </c>
      <c r="D132" s="90" t="s">
        <v>131</v>
      </c>
      <c r="E132" s="80" t="s">
        <v>420</v>
      </c>
      <c r="F132" s="94" t="s">
        <v>12</v>
      </c>
      <c r="G132" s="91">
        <v>184</v>
      </c>
      <c r="H132" s="97" t="s">
        <v>868</v>
      </c>
      <c r="I132" s="92" t="s">
        <v>27</v>
      </c>
      <c r="J132" s="88" t="s">
        <v>245</v>
      </c>
      <c r="K132" s="187" t="s">
        <v>30</v>
      </c>
      <c r="L132" s="82">
        <v>-4.1054079999999997</v>
      </c>
      <c r="M132" s="66">
        <v>-81.043093999999996</v>
      </c>
    </row>
    <row r="133" spans="1:13" ht="114.75" customHeight="1">
      <c r="A133" s="146">
        <v>30</v>
      </c>
      <c r="B133" s="181" t="s">
        <v>236</v>
      </c>
      <c r="C133" s="89">
        <v>45718</v>
      </c>
      <c r="D133" s="79" t="s">
        <v>234</v>
      </c>
      <c r="E133" s="80" t="s">
        <v>233</v>
      </c>
      <c r="F133" s="94" t="s">
        <v>12</v>
      </c>
      <c r="G133" s="91"/>
      <c r="H133" s="81" t="s">
        <v>869</v>
      </c>
      <c r="I133" s="87" t="s">
        <v>235</v>
      </c>
      <c r="J133" s="88" t="s">
        <v>348</v>
      </c>
      <c r="K133" s="188"/>
      <c r="L133" s="82">
        <v>-5.8842872880251802</v>
      </c>
      <c r="M133" s="66">
        <v>-78.173367977142306</v>
      </c>
    </row>
    <row r="134" spans="1:13" ht="89.25">
      <c r="A134" s="146">
        <v>29</v>
      </c>
      <c r="B134" s="181" t="s">
        <v>238</v>
      </c>
      <c r="C134" s="89">
        <v>45718</v>
      </c>
      <c r="D134" s="79" t="s">
        <v>234</v>
      </c>
      <c r="E134" s="80" t="s">
        <v>237</v>
      </c>
      <c r="F134" s="94" t="s">
        <v>12</v>
      </c>
      <c r="G134" s="91"/>
      <c r="H134" s="81" t="s">
        <v>870</v>
      </c>
      <c r="I134" s="87" t="s">
        <v>235</v>
      </c>
      <c r="J134" s="88" t="s">
        <v>348</v>
      </c>
      <c r="K134" s="188"/>
      <c r="L134" s="82">
        <v>-5.8835402261386696</v>
      </c>
      <c r="M134" s="66">
        <v>-78.174462318420396</v>
      </c>
    </row>
    <row r="135" spans="1:13" ht="89.25">
      <c r="A135" s="146">
        <v>28</v>
      </c>
      <c r="B135" s="180" t="s">
        <v>231</v>
      </c>
      <c r="C135" s="89">
        <v>45716</v>
      </c>
      <c r="D135" s="79" t="s">
        <v>232</v>
      </c>
      <c r="E135" s="80" t="s">
        <v>250</v>
      </c>
      <c r="F135" s="94" t="s">
        <v>12</v>
      </c>
      <c r="G135" s="56">
        <v>250</v>
      </c>
      <c r="H135" s="81" t="s">
        <v>843</v>
      </c>
      <c r="I135" s="87" t="s">
        <v>274</v>
      </c>
      <c r="J135" s="88" t="s">
        <v>117</v>
      </c>
      <c r="K135" s="188" t="s">
        <v>30</v>
      </c>
      <c r="L135" s="82">
        <v>-7.2686000000000002</v>
      </c>
      <c r="M135" s="66">
        <v>-78.514700000000005</v>
      </c>
    </row>
    <row r="136" spans="1:13" ht="89.25">
      <c r="A136" s="146">
        <v>27</v>
      </c>
      <c r="B136" s="180" t="s">
        <v>221</v>
      </c>
      <c r="C136" s="89">
        <v>45709</v>
      </c>
      <c r="D136" s="96" t="s">
        <v>224</v>
      </c>
      <c r="E136" s="130" t="s">
        <v>222</v>
      </c>
      <c r="F136" s="94" t="s">
        <v>12</v>
      </c>
      <c r="G136" s="91">
        <v>20</v>
      </c>
      <c r="H136" s="81" t="s">
        <v>842</v>
      </c>
      <c r="I136" s="87" t="s">
        <v>223</v>
      </c>
      <c r="J136" s="88" t="s">
        <v>227</v>
      </c>
      <c r="K136" s="188" t="s">
        <v>30</v>
      </c>
      <c r="L136" s="82">
        <v>-16.091723000000002</v>
      </c>
      <c r="M136" s="66">
        <v>-69.632259000000005</v>
      </c>
    </row>
    <row r="137" spans="1:13" ht="89.25">
      <c r="A137" s="146">
        <v>26</v>
      </c>
      <c r="B137" s="180" t="s">
        <v>229</v>
      </c>
      <c r="C137" s="89">
        <v>45709</v>
      </c>
      <c r="D137" s="96" t="s">
        <v>228</v>
      </c>
      <c r="E137" s="130" t="s">
        <v>460</v>
      </c>
      <c r="F137" s="94" t="s">
        <v>12</v>
      </c>
      <c r="G137" s="127">
        <v>40</v>
      </c>
      <c r="H137" s="81" t="s">
        <v>841</v>
      </c>
      <c r="I137" s="92" t="s">
        <v>27</v>
      </c>
      <c r="J137" s="88" t="s">
        <v>163</v>
      </c>
      <c r="K137" s="187" t="s">
        <v>30</v>
      </c>
      <c r="L137" s="128">
        <v>-3.5451000000000001</v>
      </c>
      <c r="M137" s="129">
        <v>-80.394999999999996</v>
      </c>
    </row>
    <row r="138" spans="1:13" ht="102">
      <c r="A138" s="146">
        <v>25</v>
      </c>
      <c r="B138" s="180" t="s">
        <v>212</v>
      </c>
      <c r="C138" s="89">
        <v>45707</v>
      </c>
      <c r="D138" s="79" t="s">
        <v>204</v>
      </c>
      <c r="E138" s="80" t="s">
        <v>213</v>
      </c>
      <c r="F138" s="94" t="s">
        <v>12</v>
      </c>
      <c r="G138" s="91">
        <v>300</v>
      </c>
      <c r="H138" s="84" t="s">
        <v>844</v>
      </c>
      <c r="I138" s="92" t="s">
        <v>124</v>
      </c>
      <c r="J138" s="88" t="s">
        <v>181</v>
      </c>
      <c r="K138" s="188" t="s">
        <v>30</v>
      </c>
      <c r="L138" s="82">
        <v>-14.68004</v>
      </c>
      <c r="M138" s="66">
        <v>-75.139840000000007</v>
      </c>
    </row>
    <row r="139" spans="1:13" ht="267.75">
      <c r="A139" s="146">
        <v>24</v>
      </c>
      <c r="B139" s="180" t="s">
        <v>208</v>
      </c>
      <c r="C139" s="89">
        <v>45701</v>
      </c>
      <c r="D139" s="96" t="s">
        <v>205</v>
      </c>
      <c r="E139" s="130" t="s">
        <v>210</v>
      </c>
      <c r="F139" s="94" t="s">
        <v>12</v>
      </c>
      <c r="G139" s="91">
        <v>50</v>
      </c>
      <c r="H139" s="84" t="s">
        <v>845</v>
      </c>
      <c r="I139" s="85" t="s">
        <v>206</v>
      </c>
      <c r="J139" s="86" t="s">
        <v>207</v>
      </c>
      <c r="K139" s="188" t="s">
        <v>30</v>
      </c>
      <c r="L139" s="135">
        <v>-11.6073</v>
      </c>
      <c r="M139" s="136">
        <v>-77.239900000000006</v>
      </c>
    </row>
    <row r="140" spans="1:13" ht="120.75" customHeight="1">
      <c r="A140" s="146">
        <v>23</v>
      </c>
      <c r="B140" s="180" t="s">
        <v>200</v>
      </c>
      <c r="C140" s="89">
        <v>45688</v>
      </c>
      <c r="D140" s="90" t="s">
        <v>198</v>
      </c>
      <c r="E140" s="80" t="s">
        <v>199</v>
      </c>
      <c r="F140" s="94" t="s">
        <v>12</v>
      </c>
      <c r="G140" s="91">
        <v>15</v>
      </c>
      <c r="H140" s="81" t="s">
        <v>846</v>
      </c>
      <c r="I140" s="85" t="s">
        <v>185</v>
      </c>
      <c r="J140" s="88" t="s">
        <v>176</v>
      </c>
      <c r="K140" s="187" t="s">
        <v>30</v>
      </c>
      <c r="L140" s="125">
        <v>-6.8551000000000002</v>
      </c>
      <c r="M140" s="126">
        <v>-78.066299999999998</v>
      </c>
    </row>
    <row r="141" spans="1:13" ht="102">
      <c r="A141" s="146">
        <v>22</v>
      </c>
      <c r="B141" s="180" t="s">
        <v>195</v>
      </c>
      <c r="C141" s="89">
        <v>45687</v>
      </c>
      <c r="D141" s="90" t="s">
        <v>119</v>
      </c>
      <c r="E141" s="80" t="s">
        <v>196</v>
      </c>
      <c r="F141" s="94" t="s">
        <v>12</v>
      </c>
      <c r="G141" s="91">
        <v>36</v>
      </c>
      <c r="H141" s="81" t="s">
        <v>871</v>
      </c>
      <c r="I141" s="87" t="s">
        <v>116</v>
      </c>
      <c r="J141" s="88" t="s">
        <v>117</v>
      </c>
      <c r="K141" s="187" t="s">
        <v>30</v>
      </c>
      <c r="L141" s="82">
        <v>-7.9260000000000002</v>
      </c>
      <c r="M141" s="66">
        <v>-78.575999999999993</v>
      </c>
    </row>
    <row r="142" spans="1:13" ht="102">
      <c r="A142" s="146">
        <v>21</v>
      </c>
      <c r="B142" s="180" t="s">
        <v>194</v>
      </c>
      <c r="C142" s="115">
        <v>45687</v>
      </c>
      <c r="D142" s="96" t="s">
        <v>193</v>
      </c>
      <c r="E142" s="130" t="s">
        <v>461</v>
      </c>
      <c r="F142" s="94" t="s">
        <v>12</v>
      </c>
      <c r="G142" s="127">
        <v>13</v>
      </c>
      <c r="H142" s="81" t="s">
        <v>847</v>
      </c>
      <c r="I142" s="85" t="s">
        <v>27</v>
      </c>
      <c r="J142" s="88" t="s">
        <v>163</v>
      </c>
      <c r="K142" s="187" t="s">
        <v>30</v>
      </c>
      <c r="L142" s="128">
        <v>-3.576508</v>
      </c>
      <c r="M142" s="129">
        <v>-80.465653000000003</v>
      </c>
    </row>
    <row r="143" spans="1:13" ht="114.75">
      <c r="A143" s="146">
        <v>20</v>
      </c>
      <c r="B143" s="180" t="s">
        <v>186</v>
      </c>
      <c r="C143" s="115">
        <v>45677</v>
      </c>
      <c r="D143" s="90" t="s">
        <v>184</v>
      </c>
      <c r="E143" s="80" t="s">
        <v>189</v>
      </c>
      <c r="F143" s="94" t="s">
        <v>12</v>
      </c>
      <c r="G143" s="91">
        <v>2</v>
      </c>
      <c r="H143" s="81" t="s">
        <v>848</v>
      </c>
      <c r="I143" s="85" t="s">
        <v>185</v>
      </c>
      <c r="J143" s="88" t="s">
        <v>176</v>
      </c>
      <c r="K143" s="187" t="s">
        <v>30</v>
      </c>
      <c r="L143" s="117">
        <v>-6.7638400000000001</v>
      </c>
      <c r="M143" s="118">
        <v>-78.533422999999999</v>
      </c>
    </row>
    <row r="144" spans="1:13" ht="140.25">
      <c r="A144" s="146">
        <v>19</v>
      </c>
      <c r="B144" s="187" t="s">
        <v>166</v>
      </c>
      <c r="C144" s="89">
        <v>45595</v>
      </c>
      <c r="D144" s="96" t="s">
        <v>167</v>
      </c>
      <c r="E144" s="80" t="s">
        <v>462</v>
      </c>
      <c r="F144" s="94" t="s">
        <v>12</v>
      </c>
      <c r="G144" s="91">
        <v>130</v>
      </c>
      <c r="H144" s="81" t="s">
        <v>849</v>
      </c>
      <c r="I144" s="92" t="s">
        <v>27</v>
      </c>
      <c r="J144" s="88" t="s">
        <v>163</v>
      </c>
      <c r="K144" s="187" t="s">
        <v>30</v>
      </c>
      <c r="L144" s="82">
        <v>-4.8320970000000001</v>
      </c>
      <c r="M144" s="66">
        <v>-80.901155000000003</v>
      </c>
    </row>
    <row r="145" spans="1:13" ht="129" customHeight="1">
      <c r="A145" s="146">
        <v>18</v>
      </c>
      <c r="B145" s="187" t="s">
        <v>165</v>
      </c>
      <c r="C145" s="89">
        <v>45595</v>
      </c>
      <c r="D145" s="96" t="s">
        <v>164</v>
      </c>
      <c r="E145" s="80" t="s">
        <v>463</v>
      </c>
      <c r="F145" s="94" t="s">
        <v>12</v>
      </c>
      <c r="G145" s="91">
        <v>11</v>
      </c>
      <c r="H145" s="81" t="s">
        <v>850</v>
      </c>
      <c r="I145" s="92" t="s">
        <v>27</v>
      </c>
      <c r="J145" s="88" t="s">
        <v>163</v>
      </c>
      <c r="K145" s="187" t="s">
        <v>30</v>
      </c>
      <c r="L145" s="82">
        <v>-3.5291060000000001</v>
      </c>
      <c r="M145" s="66">
        <v>-80.363461000000001</v>
      </c>
    </row>
    <row r="146" spans="1:13" ht="89.25">
      <c r="A146" s="146">
        <v>17</v>
      </c>
      <c r="B146" s="187" t="s">
        <v>149</v>
      </c>
      <c r="C146" s="89">
        <v>45391</v>
      </c>
      <c r="D146" s="90" t="s">
        <v>31</v>
      </c>
      <c r="E146" s="80" t="s">
        <v>151</v>
      </c>
      <c r="F146" s="94" t="s">
        <v>12</v>
      </c>
      <c r="G146" s="91">
        <v>283</v>
      </c>
      <c r="H146" s="97" t="s">
        <v>855</v>
      </c>
      <c r="I146" s="87" t="s">
        <v>83</v>
      </c>
      <c r="J146" s="88" t="s">
        <v>548</v>
      </c>
      <c r="K146" s="187" t="s">
        <v>30</v>
      </c>
      <c r="L146" s="82">
        <v>-9.0373579999999993</v>
      </c>
      <c r="M146" s="66">
        <v>-75.505527999999998</v>
      </c>
    </row>
    <row r="147" spans="1:13" ht="76.5">
      <c r="A147" s="146">
        <v>16</v>
      </c>
      <c r="B147" s="187" t="s">
        <v>103</v>
      </c>
      <c r="C147" s="89">
        <v>45024</v>
      </c>
      <c r="D147" s="90" t="s">
        <v>104</v>
      </c>
      <c r="E147" s="80" t="s">
        <v>112</v>
      </c>
      <c r="F147" s="94" t="s">
        <v>12</v>
      </c>
      <c r="G147" s="91">
        <v>30</v>
      </c>
      <c r="H147" s="81" t="s">
        <v>854</v>
      </c>
      <c r="I147" s="87" t="s">
        <v>95</v>
      </c>
      <c r="J147" s="88" t="s">
        <v>348</v>
      </c>
      <c r="K147" s="282"/>
      <c r="L147" s="82">
        <v>-5.9253954853169102</v>
      </c>
      <c r="M147" s="66">
        <v>-79.551036357879596</v>
      </c>
    </row>
    <row r="148" spans="1:13" ht="63.75">
      <c r="A148" s="146">
        <v>15</v>
      </c>
      <c r="B148" s="187" t="s">
        <v>98</v>
      </c>
      <c r="C148" s="89">
        <v>45024</v>
      </c>
      <c r="D148" s="90" t="s">
        <v>141</v>
      </c>
      <c r="E148" s="80" t="s">
        <v>153</v>
      </c>
      <c r="F148" s="94" t="s">
        <v>12</v>
      </c>
      <c r="G148" s="91">
        <v>200</v>
      </c>
      <c r="H148" s="132" t="s">
        <v>853</v>
      </c>
      <c r="I148" s="87" t="s">
        <v>95</v>
      </c>
      <c r="J148" s="88" t="s">
        <v>348</v>
      </c>
      <c r="K148" s="282"/>
      <c r="L148" s="82">
        <v>-6.4113724456344103</v>
      </c>
      <c r="M148" s="66">
        <v>-76.619019806384998</v>
      </c>
    </row>
    <row r="149" spans="1:13" ht="63.75">
      <c r="A149" s="146">
        <v>14</v>
      </c>
      <c r="B149" s="187" t="s">
        <v>108</v>
      </c>
      <c r="C149" s="89">
        <v>45021</v>
      </c>
      <c r="D149" s="90" t="s">
        <v>109</v>
      </c>
      <c r="E149" s="95" t="s">
        <v>110</v>
      </c>
      <c r="F149" s="94" t="s">
        <v>12</v>
      </c>
      <c r="G149" s="91">
        <v>20</v>
      </c>
      <c r="H149" s="81" t="s">
        <v>852</v>
      </c>
      <c r="I149" s="87" t="s">
        <v>509</v>
      </c>
      <c r="J149" s="88" t="s">
        <v>348</v>
      </c>
      <c r="K149" s="282"/>
      <c r="L149" s="82">
        <v>-5.6072516903480301</v>
      </c>
      <c r="M149" s="66">
        <v>-79.897191524505601</v>
      </c>
    </row>
    <row r="150" spans="1:13" ht="76.5">
      <c r="A150" s="146">
        <v>13</v>
      </c>
      <c r="B150" s="187" t="s">
        <v>97</v>
      </c>
      <c r="C150" s="89">
        <v>45014</v>
      </c>
      <c r="D150" s="90" t="s">
        <v>122</v>
      </c>
      <c r="E150" s="95" t="s">
        <v>140</v>
      </c>
      <c r="F150" s="94" t="s">
        <v>12</v>
      </c>
      <c r="G150" s="91">
        <v>45</v>
      </c>
      <c r="H150" s="81" t="s">
        <v>851</v>
      </c>
      <c r="I150" s="87" t="s">
        <v>95</v>
      </c>
      <c r="J150" s="88" t="s">
        <v>348</v>
      </c>
      <c r="K150" s="282"/>
      <c r="L150" s="82">
        <v>-5.8556340786628898</v>
      </c>
      <c r="M150" s="66">
        <v>-77.985540926456395</v>
      </c>
    </row>
    <row r="151" spans="1:13" ht="63.75">
      <c r="A151" s="146">
        <v>12</v>
      </c>
      <c r="B151" s="187" t="s">
        <v>105</v>
      </c>
      <c r="C151" s="89">
        <v>45010</v>
      </c>
      <c r="D151" s="90" t="s">
        <v>106</v>
      </c>
      <c r="E151" s="80" t="s">
        <v>143</v>
      </c>
      <c r="F151" s="94" t="s">
        <v>12</v>
      </c>
      <c r="G151" s="91" t="s">
        <v>102</v>
      </c>
      <c r="H151" s="81" t="s">
        <v>857</v>
      </c>
      <c r="I151" s="87" t="s">
        <v>95</v>
      </c>
      <c r="J151" s="88" t="s">
        <v>348</v>
      </c>
      <c r="K151" s="282"/>
      <c r="L151" s="82">
        <v>-5.88631502237057</v>
      </c>
      <c r="M151" s="66">
        <v>-78.180116415023804</v>
      </c>
    </row>
    <row r="152" spans="1:13" ht="76.5">
      <c r="A152" s="146">
        <v>11</v>
      </c>
      <c r="B152" s="187" t="s">
        <v>107</v>
      </c>
      <c r="C152" s="89">
        <v>44999</v>
      </c>
      <c r="D152" s="90" t="s">
        <v>106</v>
      </c>
      <c r="E152" s="80" t="s">
        <v>142</v>
      </c>
      <c r="F152" s="94" t="s">
        <v>12</v>
      </c>
      <c r="G152" s="91">
        <v>15</v>
      </c>
      <c r="H152" s="81" t="s">
        <v>856</v>
      </c>
      <c r="I152" s="87" t="s">
        <v>95</v>
      </c>
      <c r="J152" s="88" t="s">
        <v>348</v>
      </c>
      <c r="K152" s="282"/>
      <c r="L152" s="82">
        <v>-5.8581101753540397</v>
      </c>
      <c r="M152" s="66">
        <v>-78.225035369396196</v>
      </c>
    </row>
    <row r="153" spans="1:13" ht="89.25">
      <c r="A153" s="146">
        <v>10</v>
      </c>
      <c r="B153" s="187" t="s">
        <v>101</v>
      </c>
      <c r="C153" s="89">
        <v>44963</v>
      </c>
      <c r="D153" s="79" t="s">
        <v>32</v>
      </c>
      <c r="E153" s="80" t="s">
        <v>137</v>
      </c>
      <c r="F153" s="94" t="s">
        <v>12</v>
      </c>
      <c r="G153" s="91">
        <v>141</v>
      </c>
      <c r="H153" s="81" t="s">
        <v>858</v>
      </c>
      <c r="I153" s="87" t="s">
        <v>83</v>
      </c>
      <c r="J153" s="88" t="s">
        <v>548</v>
      </c>
      <c r="K153" s="187" t="s">
        <v>30</v>
      </c>
      <c r="L153" s="82">
        <v>-8.827</v>
      </c>
      <c r="M153" s="66">
        <v>-75.227999999999994</v>
      </c>
    </row>
    <row r="154" spans="1:13" ht="89.25">
      <c r="A154" s="146">
        <v>9</v>
      </c>
      <c r="B154" s="187" t="s">
        <v>100</v>
      </c>
      <c r="C154" s="89">
        <v>44963</v>
      </c>
      <c r="D154" s="79" t="s">
        <v>31</v>
      </c>
      <c r="E154" s="80" t="s">
        <v>138</v>
      </c>
      <c r="F154" s="94" t="s">
        <v>12</v>
      </c>
      <c r="G154" s="91">
        <v>81</v>
      </c>
      <c r="H154" s="81" t="s">
        <v>859</v>
      </c>
      <c r="I154" s="87" t="s">
        <v>83</v>
      </c>
      <c r="J154" s="88" t="s">
        <v>527</v>
      </c>
      <c r="K154" s="187" t="s">
        <v>30</v>
      </c>
      <c r="L154" s="82">
        <v>-9.1059999999999999</v>
      </c>
      <c r="M154" s="66">
        <v>-75.745000000000005</v>
      </c>
    </row>
    <row r="155" spans="1:13" ht="102">
      <c r="A155" s="146">
        <v>8</v>
      </c>
      <c r="B155" s="187" t="s">
        <v>35</v>
      </c>
      <c r="C155" s="89">
        <v>44240</v>
      </c>
      <c r="D155" s="79" t="s">
        <v>34</v>
      </c>
      <c r="E155" s="80" t="s">
        <v>262</v>
      </c>
      <c r="F155" s="94" t="s">
        <v>12</v>
      </c>
      <c r="G155" s="91">
        <v>40</v>
      </c>
      <c r="H155" s="81" t="s">
        <v>825</v>
      </c>
      <c r="I155" s="87" t="s">
        <v>29</v>
      </c>
      <c r="J155" s="88" t="s">
        <v>154</v>
      </c>
      <c r="K155" s="187" t="s">
        <v>30</v>
      </c>
      <c r="L155" s="82">
        <v>-17.07</v>
      </c>
      <c r="M155" s="66">
        <v>-70.850999999999999</v>
      </c>
    </row>
    <row r="156" spans="1:13" ht="153">
      <c r="A156" s="146">
        <v>7</v>
      </c>
      <c r="B156" s="187" t="s">
        <v>33</v>
      </c>
      <c r="C156" s="89">
        <v>43889</v>
      </c>
      <c r="D156" s="79" t="s">
        <v>34</v>
      </c>
      <c r="E156" s="80" t="s">
        <v>263</v>
      </c>
      <c r="F156" s="94" t="s">
        <v>12</v>
      </c>
      <c r="G156" s="91">
        <v>63</v>
      </c>
      <c r="H156" s="81" t="s">
        <v>860</v>
      </c>
      <c r="I156" s="87" t="s">
        <v>29</v>
      </c>
      <c r="J156" s="88" t="s">
        <v>154</v>
      </c>
      <c r="K156" s="187" t="s">
        <v>30</v>
      </c>
      <c r="L156" s="82">
        <v>-17.068999999999999</v>
      </c>
      <c r="M156" s="66">
        <v>-70.849999999999994</v>
      </c>
    </row>
    <row r="157" spans="1:13" ht="127.5">
      <c r="A157" s="146">
        <v>6</v>
      </c>
      <c r="B157" s="187" t="s">
        <v>118</v>
      </c>
      <c r="C157" s="89">
        <v>43539</v>
      </c>
      <c r="D157" s="79" t="s">
        <v>119</v>
      </c>
      <c r="E157" s="80" t="s">
        <v>120</v>
      </c>
      <c r="F157" s="94" t="s">
        <v>12</v>
      </c>
      <c r="G157" s="93" t="s">
        <v>102</v>
      </c>
      <c r="H157" s="81" t="s">
        <v>872</v>
      </c>
      <c r="I157" s="87" t="s">
        <v>116</v>
      </c>
      <c r="J157" s="88" t="s">
        <v>117</v>
      </c>
      <c r="K157" s="187" t="s">
        <v>30</v>
      </c>
      <c r="L157" s="82">
        <v>-7.9779999999999998</v>
      </c>
      <c r="M157" s="66">
        <v>-78.646000000000001</v>
      </c>
    </row>
    <row r="158" spans="1:13" ht="114.75">
      <c r="A158" s="146">
        <v>5</v>
      </c>
      <c r="B158" s="187" t="s">
        <v>36</v>
      </c>
      <c r="C158" s="89">
        <v>43531</v>
      </c>
      <c r="D158" s="79" t="s">
        <v>37</v>
      </c>
      <c r="E158" s="80" t="s">
        <v>264</v>
      </c>
      <c r="F158" s="94" t="s">
        <v>12</v>
      </c>
      <c r="G158" s="93">
        <v>60</v>
      </c>
      <c r="H158" s="81" t="s">
        <v>861</v>
      </c>
      <c r="I158" s="81" t="s">
        <v>18</v>
      </c>
      <c r="J158" s="87" t="s">
        <v>96</v>
      </c>
      <c r="K158" s="282"/>
      <c r="L158" s="82">
        <v>-13.802</v>
      </c>
      <c r="M158" s="66">
        <v>-70.474999999999994</v>
      </c>
    </row>
    <row r="159" spans="1:13" ht="192.75" customHeight="1">
      <c r="A159" s="146">
        <v>4</v>
      </c>
      <c r="B159" s="251" t="s">
        <v>709</v>
      </c>
      <c r="C159" s="89">
        <v>45801</v>
      </c>
      <c r="D159" s="83" t="s">
        <v>621</v>
      </c>
      <c r="E159" s="176" t="s">
        <v>707</v>
      </c>
      <c r="F159" s="287" t="s">
        <v>727</v>
      </c>
      <c r="G159" s="36"/>
      <c r="H159" s="31" t="s">
        <v>886</v>
      </c>
      <c r="I159" s="87" t="s">
        <v>708</v>
      </c>
      <c r="J159" s="88" t="s">
        <v>201</v>
      </c>
      <c r="K159" s="170"/>
      <c r="L159" s="268">
        <v>-14.959647</v>
      </c>
      <c r="M159" s="269">
        <v>-73.853942000000004</v>
      </c>
    </row>
    <row r="160" spans="1:13" ht="102">
      <c r="A160" s="146">
        <v>3</v>
      </c>
      <c r="B160" s="251" t="s">
        <v>640</v>
      </c>
      <c r="C160" s="89">
        <v>45433</v>
      </c>
      <c r="D160" s="96" t="s">
        <v>639</v>
      </c>
      <c r="E160" s="80" t="s">
        <v>643</v>
      </c>
      <c r="F160" s="287" t="s">
        <v>727</v>
      </c>
      <c r="G160" s="91">
        <v>40</v>
      </c>
      <c r="H160" s="81" t="s">
        <v>899</v>
      </c>
      <c r="I160" s="87" t="s">
        <v>654</v>
      </c>
      <c r="J160" s="88" t="s">
        <v>227</v>
      </c>
      <c r="K160" s="257" t="s">
        <v>30</v>
      </c>
      <c r="L160" s="274">
        <v>-14.240246000000001</v>
      </c>
      <c r="M160" s="275">
        <v>-69.156988999999996</v>
      </c>
    </row>
    <row r="161" spans="1:13" ht="144.75" customHeight="1">
      <c r="A161" s="146">
        <v>2</v>
      </c>
      <c r="B161" s="180" t="s">
        <v>602</v>
      </c>
      <c r="C161" s="89">
        <v>45792</v>
      </c>
      <c r="D161" s="96" t="s">
        <v>535</v>
      </c>
      <c r="E161" s="130" t="s">
        <v>601</v>
      </c>
      <c r="F161" s="287" t="s">
        <v>727</v>
      </c>
      <c r="G161" s="91">
        <v>5</v>
      </c>
      <c r="H161" s="81" t="s">
        <v>884</v>
      </c>
      <c r="I161" s="34" t="s">
        <v>574</v>
      </c>
      <c r="J161" s="88" t="s">
        <v>534</v>
      </c>
      <c r="K161" s="257" t="s">
        <v>30</v>
      </c>
      <c r="L161" s="82">
        <v>-14.067209</v>
      </c>
      <c r="M161" s="66">
        <v>-72.550335000000004</v>
      </c>
    </row>
    <row r="162" spans="1:13" ht="89.25">
      <c r="A162" s="146">
        <v>1</v>
      </c>
      <c r="B162" s="180" t="s">
        <v>549</v>
      </c>
      <c r="C162" s="89">
        <v>45789</v>
      </c>
      <c r="D162" s="96" t="s">
        <v>535</v>
      </c>
      <c r="E162" s="130" t="s">
        <v>576</v>
      </c>
      <c r="F162" s="287" t="s">
        <v>727</v>
      </c>
      <c r="G162" s="91">
        <v>5</v>
      </c>
      <c r="H162" s="81" t="s">
        <v>885</v>
      </c>
      <c r="I162" s="34" t="s">
        <v>574</v>
      </c>
      <c r="J162" s="88" t="s">
        <v>534</v>
      </c>
      <c r="K162" s="187" t="s">
        <v>30</v>
      </c>
      <c r="L162" s="82">
        <v>-14.069299000000001</v>
      </c>
      <c r="M162" s="66">
        <v>-72.554571999999993</v>
      </c>
    </row>
    <row r="163" spans="1:13">
      <c r="A163" s="309" t="s">
        <v>139</v>
      </c>
      <c r="B163" s="310"/>
      <c r="C163" s="310"/>
      <c r="D163" s="310"/>
      <c r="E163" s="310"/>
      <c r="F163" s="46"/>
      <c r="L163"/>
      <c r="M163"/>
    </row>
  </sheetData>
  <mergeCells count="3">
    <mergeCell ref="D1:K1"/>
    <mergeCell ref="D2:K2"/>
    <mergeCell ref="A163:E163"/>
  </mergeCells>
  <phoneticPr fontId="132" type="noConversion"/>
  <hyperlinks>
    <hyperlink ref="K153" r:id="rId1" xr:uid="{00000000-0004-0000-0400-000000000000}"/>
    <hyperlink ref="K156" r:id="rId2" xr:uid="{00000000-0004-0000-0400-000001000000}"/>
    <hyperlink ref="K155" r:id="rId3" xr:uid="{00000000-0004-0000-0400-000002000000}"/>
    <hyperlink ref="K154" r:id="rId4" xr:uid="{00000000-0004-0000-0400-000003000000}"/>
    <hyperlink ref="K145" r:id="rId5" xr:uid="{00000000-0004-0000-0400-000005000000}"/>
    <hyperlink ref="K157" r:id="rId6" xr:uid="{00000000-0004-0000-0400-000006000000}"/>
    <hyperlink ref="B9" r:id="rId7" xr:uid="{00000000-0004-0000-0400-000007000000}"/>
    <hyperlink ref="K9" r:id="rId8" xr:uid="{00000000-0004-0000-0400-000008000000}"/>
    <hyperlink ref="K143" r:id="rId9" xr:uid="{00000000-0004-0000-0400-000009000000}"/>
    <hyperlink ref="K142" r:id="rId10" xr:uid="{00000000-0004-0000-0400-00000B000000}"/>
    <hyperlink ref="K141" r:id="rId11" xr:uid="{00000000-0004-0000-0400-00000C000000}"/>
    <hyperlink ref="K140" r:id="rId12" xr:uid="{00000000-0004-0000-0400-00000D000000}"/>
    <hyperlink ref="A163" r:id="rId13" xr:uid="{00000000-0004-0000-0400-00000E000000}"/>
    <hyperlink ref="K146" r:id="rId14" xr:uid="{00000000-0004-0000-0400-000010000000}"/>
    <hyperlink ref="K139" r:id="rId15" xr:uid="{00000000-0004-0000-0400-000011000000}"/>
    <hyperlink ref="K138" r:id="rId16" xr:uid="{00000000-0004-0000-0400-000013000000}"/>
    <hyperlink ref="K136" r:id="rId17" xr:uid="{00000000-0004-0000-0400-000014000000}"/>
    <hyperlink ref="K137" r:id="rId18" xr:uid="{00000000-0004-0000-0400-000018000000}"/>
    <hyperlink ref="B8" r:id="rId19" xr:uid="{00000000-0004-0000-0400-000019000000}"/>
    <hyperlink ref="K128" r:id="rId20" xr:uid="{00000000-0004-0000-0400-00001A000000}"/>
    <hyperlink ref="K129" r:id="rId21" xr:uid="{00000000-0004-0000-0400-00001C000000}"/>
    <hyperlink ref="K130" r:id="rId22" xr:uid="{00000000-0004-0000-0400-00001E000000}"/>
    <hyperlink ref="K131" r:id="rId23" xr:uid="{00000000-0004-0000-0400-000020000000}"/>
    <hyperlink ref="K135" r:id="rId24" xr:uid="{00000000-0004-0000-0400-000022000000}"/>
    <hyperlink ref="B7" r:id="rId25" xr:uid="{00000000-0004-0000-0400-000027000000}"/>
    <hyperlink ref="K7" r:id="rId26" xr:uid="{00000000-0004-0000-0400-000028000000}"/>
    <hyperlink ref="K126" r:id="rId27" xr:uid="{00000000-0004-0000-0400-000029000000}"/>
    <hyperlink ref="B125" r:id="rId28" xr:uid="{00000000-0004-0000-0400-00002D000000}"/>
    <hyperlink ref="K125" r:id="rId29" xr:uid="{00000000-0004-0000-0400-00002E000000}"/>
    <hyperlink ref="B123" r:id="rId30" xr:uid="{00000000-0004-0000-0400-000030000000}"/>
    <hyperlink ref="K123" r:id="rId31" xr:uid="{00000000-0004-0000-0400-000031000000}"/>
    <hyperlink ref="B124" r:id="rId32" xr:uid="{00000000-0004-0000-0400-000032000000}"/>
    <hyperlink ref="K124" r:id="rId33" xr:uid="{00000000-0004-0000-0400-000033000000}"/>
    <hyperlink ref="B117" r:id="rId34" xr:uid="{00000000-0004-0000-0400-00003A000000}"/>
    <hyperlink ref="B122" r:id="rId35" xr:uid="{00000000-0004-0000-0400-00003B000000}"/>
    <hyperlink ref="B121" r:id="rId36" xr:uid="{00000000-0004-0000-0400-00003D000000}"/>
    <hyperlink ref="B120" r:id="rId37" xr:uid="{00000000-0004-0000-0400-00003E000000}"/>
    <hyperlink ref="K122" r:id="rId38" xr:uid="{00000000-0004-0000-0400-000042000000}"/>
    <hyperlink ref="K121" r:id="rId39" xr:uid="{00000000-0004-0000-0400-000043000000}"/>
    <hyperlink ref="K120" r:id="rId40" xr:uid="{00000000-0004-0000-0400-000044000000}"/>
    <hyperlink ref="K119" r:id="rId41" xr:uid="{00000000-0004-0000-0400-000045000000}"/>
    <hyperlink ref="B116" r:id="rId42" xr:uid="{00000000-0004-0000-0400-000048000000}"/>
    <hyperlink ref="K116" r:id="rId43" xr:uid="{00000000-0004-0000-0400-000049000000}"/>
    <hyperlink ref="K117" r:id="rId44" xr:uid="{00000000-0004-0000-0400-00004A000000}"/>
    <hyperlink ref="K8" r:id="rId45" xr:uid="{00000000-0004-0000-0400-00004B000000}"/>
    <hyperlink ref="B118" r:id="rId46" xr:uid="{00000000-0004-0000-0400-000050000000}"/>
    <hyperlink ref="K118" r:id="rId47" xr:uid="{00000000-0004-0000-0400-000054000000}"/>
    <hyperlink ref="B115" r:id="rId48" xr:uid="{00000000-0004-0000-0400-00005B000000}"/>
    <hyperlink ref="B114" r:id="rId49" xr:uid="{00000000-0004-0000-0400-00005C000000}"/>
    <hyperlink ref="B113" r:id="rId50" xr:uid="{00000000-0004-0000-0400-00005E000000}"/>
    <hyperlink ref="B112" r:id="rId51" xr:uid="{00000000-0004-0000-0400-00005F000000}"/>
    <hyperlink ref="K112" r:id="rId52" xr:uid="{00000000-0004-0000-0400-000060000000}"/>
    <hyperlink ref="K113" r:id="rId53" xr:uid="{00000000-0004-0000-0400-000068000000}"/>
    <hyperlink ref="K115" r:id="rId54" xr:uid="{00000000-0004-0000-0400-00006A000000}"/>
    <hyperlink ref="K114" r:id="rId55" xr:uid="{00000000-0004-0000-0400-00006B000000}"/>
    <hyperlink ref="B111" r:id="rId56" xr:uid="{00000000-0004-0000-0400-00006E000000}"/>
    <hyperlink ref="K111" r:id="rId57" xr:uid="{00000000-0004-0000-0400-00006F000000}"/>
    <hyperlink ref="B105" r:id="rId58" xr:uid="{00000000-0004-0000-0400-000076000000}"/>
    <hyperlink ref="K105" r:id="rId59" xr:uid="{00000000-0004-0000-0400-000077000000}"/>
    <hyperlink ref="B104" r:id="rId60" xr:uid="{00000000-0004-0000-0400-000078000000}"/>
    <hyperlink ref="K104" r:id="rId61" xr:uid="{00000000-0004-0000-0400-000079000000}"/>
    <hyperlink ref="B109" r:id="rId62" display="VIALES-003560" xr:uid="{00000000-0004-0000-0400-000082000000}"/>
    <hyperlink ref="K109" r:id="rId63" xr:uid="{00000000-0004-0000-0400-000083000000}"/>
    <hyperlink ref="B103" r:id="rId64" xr:uid="{00000000-0004-0000-0400-000086000000}"/>
    <hyperlink ref="B102" r:id="rId65" xr:uid="{00000000-0004-0000-0400-00008C000000}"/>
    <hyperlink ref="B101" r:id="rId66" xr:uid="{00000000-0004-0000-0400-000091000000}"/>
    <hyperlink ref="K103" r:id="rId67" xr:uid="{00000000-0004-0000-0400-000097000000}"/>
    <hyperlink ref="K102" r:id="rId68" xr:uid="{00000000-0004-0000-0400-00009C000000}"/>
    <hyperlink ref="K101" r:id="rId69" xr:uid="{00000000-0004-0000-0400-00009F000000}"/>
    <hyperlink ref="B108" r:id="rId70" xr:uid="{00000000-0004-0000-0400-0000A8000000}"/>
    <hyperlink ref="K108" r:id="rId71" xr:uid="{00000000-0004-0000-0400-0000A9000000}"/>
    <hyperlink ref="B106" r:id="rId72" xr:uid="{00000000-0004-0000-0400-0000B5000000}"/>
    <hyperlink ref="K106" r:id="rId73" xr:uid="{00000000-0004-0000-0400-0000B8000000}"/>
    <hyperlink ref="B100" r:id="rId74" xr:uid="{00000000-0004-0000-0400-0000BA000000}"/>
    <hyperlink ref="K100" r:id="rId75" xr:uid="{00000000-0004-0000-0400-0000BB000000}"/>
    <hyperlink ref="B99" r:id="rId76" xr:uid="{00000000-0004-0000-0400-0000C0000000}"/>
    <hyperlink ref="K99" r:id="rId77" xr:uid="{00000000-0004-0000-0400-0000C8000000}"/>
    <hyperlink ref="B96" r:id="rId78" xr:uid="{00000000-0004-0000-0400-0000D0000000}"/>
    <hyperlink ref="K96" r:id="rId79" xr:uid="{00000000-0004-0000-0400-0000D1000000}"/>
    <hyperlink ref="B110" r:id="rId80" xr:uid="{00000000-0004-0000-0400-0000D2000000}"/>
    <hyperlink ref="K110" r:id="rId81" xr:uid="{00000000-0004-0000-0400-0000D3000000}"/>
    <hyperlink ref="B97" r:id="rId82" xr:uid="{00000000-0004-0000-0400-0000D4000000}"/>
    <hyperlink ref="K98" r:id="rId83" xr:uid="{00000000-0004-0000-0400-0000D5000000}"/>
    <hyperlink ref="B98" r:id="rId84" xr:uid="{00000000-0004-0000-0400-0000D6000000}"/>
    <hyperlink ref="B149" r:id="rId85" xr:uid="{00000000-0004-0000-0400-0000DB000000}"/>
    <hyperlink ref="B151" r:id="rId86" xr:uid="{00000000-0004-0000-0400-0000DC000000}"/>
    <hyperlink ref="B152" r:id="rId87" xr:uid="{00000000-0004-0000-0400-0000DD000000}"/>
    <hyperlink ref="B148" r:id="rId88" xr:uid="{00000000-0004-0000-0400-0000DE000000}"/>
    <hyperlink ref="B154" r:id="rId89" xr:uid="{00000000-0004-0000-0400-0000DF000000}"/>
    <hyperlink ref="B153" r:id="rId90" xr:uid="{00000000-0004-0000-0400-0000E0000000}"/>
    <hyperlink ref="B156" r:id="rId91" xr:uid="{00000000-0004-0000-0400-0000E1000000}"/>
    <hyperlink ref="B155" r:id="rId92" xr:uid="{00000000-0004-0000-0400-0000E2000000}"/>
    <hyperlink ref="B150" r:id="rId93" xr:uid="{00000000-0004-0000-0400-0000E3000000}"/>
    <hyperlink ref="B157" r:id="rId94" xr:uid="{00000000-0004-0000-0400-0000E4000000}"/>
    <hyperlink ref="B158" r:id="rId95" xr:uid="{00000000-0004-0000-0400-0000E5000000}"/>
    <hyperlink ref="B147" r:id="rId96" xr:uid="{00000000-0004-0000-0400-0000E6000000}"/>
    <hyperlink ref="B146" r:id="rId97" xr:uid="{00000000-0004-0000-0400-0000E7000000}"/>
    <hyperlink ref="B145" r:id="rId98" xr:uid="{00000000-0004-0000-0400-0000E8000000}"/>
    <hyperlink ref="B144" r:id="rId99" xr:uid="{00000000-0004-0000-0400-0000E9000000}"/>
    <hyperlink ref="B143" r:id="rId100" xr:uid="{00000000-0004-0000-0400-0000EA000000}"/>
    <hyperlink ref="B142" r:id="rId101" xr:uid="{00000000-0004-0000-0400-0000EC000000}"/>
    <hyperlink ref="B141" r:id="rId102" xr:uid="{00000000-0004-0000-0400-0000ED000000}"/>
    <hyperlink ref="B140" r:id="rId103" xr:uid="{00000000-0004-0000-0400-0000EE000000}"/>
    <hyperlink ref="B139" r:id="rId104" xr:uid="{00000000-0004-0000-0400-0000F0000000}"/>
    <hyperlink ref="B138" r:id="rId105" xr:uid="{00000000-0004-0000-0400-0000F3000000}"/>
    <hyperlink ref="B136" r:id="rId106" xr:uid="{00000000-0004-0000-0400-0000F4000000}"/>
    <hyperlink ref="B137" r:id="rId107" xr:uid="{00000000-0004-0000-0400-0000F5000000}"/>
    <hyperlink ref="B135" r:id="rId108" xr:uid="{00000000-0004-0000-0400-0000F6000000}"/>
    <hyperlink ref="B133" r:id="rId109" xr:uid="{00000000-0004-0000-0400-0000F8000000}"/>
    <hyperlink ref="B134" r:id="rId110" xr:uid="{00000000-0004-0000-0400-0000F9000000}"/>
    <hyperlink ref="B131" r:id="rId111" xr:uid="{00000000-0004-0000-0400-0000FA000000}"/>
    <hyperlink ref="B132" r:id="rId112" xr:uid="{00000000-0004-0000-0400-0000FC000000}"/>
    <hyperlink ref="B130" r:id="rId113" xr:uid="{00000000-0004-0000-0400-0000FD000000}"/>
    <hyperlink ref="B129" r:id="rId114" xr:uid="{00000000-0004-0000-0400-0000FF000000}"/>
    <hyperlink ref="B128" r:id="rId115" xr:uid="{00000000-0004-0000-0400-000000010000}"/>
    <hyperlink ref="B126" r:id="rId116" xr:uid="{00000000-0004-0000-0400-000006010000}"/>
    <hyperlink ref="B95" r:id="rId117" xr:uid="{00000000-0004-0000-0400-00000F010000}"/>
    <hyperlink ref="B94" r:id="rId118" xr:uid="{00000000-0004-0000-0400-000011010000}"/>
    <hyperlink ref="B93" r:id="rId119" xr:uid="{00000000-0004-0000-0400-000015010000}"/>
    <hyperlink ref="B92" r:id="rId120" xr:uid="{00000000-0004-0000-0400-00001C010000}"/>
    <hyperlink ref="K92" r:id="rId121" xr:uid="{00000000-0004-0000-0400-00001D010000}"/>
    <hyperlink ref="K95" r:id="rId122" xr:uid="{00000000-0004-0000-0400-000022010000}"/>
    <hyperlink ref="K94" r:id="rId123" xr:uid="{00000000-0004-0000-0400-000023010000}"/>
    <hyperlink ref="K93" r:id="rId124" xr:uid="{00000000-0004-0000-0400-000025010000}"/>
    <hyperlink ref="K90" r:id="rId125" xr:uid="{00000000-0004-0000-0400-00002E010000}"/>
    <hyperlink ref="B90" r:id="rId126" xr:uid="{00000000-0004-0000-0400-00002F010000}"/>
    <hyperlink ref="B91" r:id="rId127" xr:uid="{00000000-0004-0000-0400-00003B010000}"/>
    <hyperlink ref="B127" r:id="rId128" xr:uid="{00000000-0004-0000-0400-00003C010000}"/>
    <hyperlink ref="B89" r:id="rId129" xr:uid="{00000000-0004-0000-0400-00003D010000}"/>
    <hyperlink ref="K89" r:id="rId130" xr:uid="{00000000-0004-0000-0400-00003E010000}"/>
    <hyperlink ref="B88" r:id="rId131" xr:uid="{00000000-0004-0000-0400-00003F010000}"/>
    <hyperlink ref="K88" r:id="rId132" xr:uid="{00000000-0004-0000-0400-000040010000}"/>
    <hyperlink ref="B86" r:id="rId133" xr:uid="{00000000-0004-0000-0400-000045010000}"/>
    <hyperlink ref="B85" r:id="rId134" xr:uid="{00000000-0004-0000-0400-00004A010000}"/>
    <hyperlink ref="K85" r:id="rId135" xr:uid="{00000000-0004-0000-0400-00004B010000}"/>
    <hyperlink ref="B107" r:id="rId136" xr:uid="{00000000-0004-0000-0400-000051010000}"/>
    <hyperlink ref="K107" r:id="rId137" xr:uid="{00000000-0004-0000-0400-000052010000}"/>
    <hyperlink ref="K86" r:id="rId138" xr:uid="{00000000-0004-0000-0400-000058010000}"/>
    <hyperlink ref="K91" r:id="rId139" xr:uid="{00000000-0004-0000-0400-00005E010000}"/>
    <hyperlink ref="K132" r:id="rId140" xr:uid="{00000000-0004-0000-0400-000063010000}"/>
    <hyperlink ref="K127" r:id="rId141" xr:uid="{00000000-0004-0000-0400-000064010000}"/>
    <hyperlink ref="B83" r:id="rId142" xr:uid="{E344A6B5-286C-4BD8-AC7D-4FDA2E39F58F}"/>
    <hyperlink ref="K83" r:id="rId143" xr:uid="{D67C5215-85BE-41D5-80B2-D094B6EDA1A5}"/>
    <hyperlink ref="B119" r:id="rId144" xr:uid="{729F65E9-1AE0-4D14-86DD-514F6A9BD84B}"/>
    <hyperlink ref="B82" r:id="rId145" xr:uid="{A08F1C29-72A7-4F44-9208-CA2133A893E4}"/>
    <hyperlink ref="B84" r:id="rId146" xr:uid="{23F47771-AD45-4C7B-BF81-EE82DB604965}"/>
    <hyperlink ref="K84" r:id="rId147" xr:uid="{977ED29F-6095-4BC1-8EEA-22E8CC4FF82D}"/>
    <hyperlink ref="K82" r:id="rId148" xr:uid="{202857DC-AC57-465A-8019-948A817B0253}"/>
    <hyperlink ref="B80" r:id="rId149" xr:uid="{33807A9D-A5D7-455A-8E39-4E036C48E2A6}"/>
    <hyperlink ref="B81" r:id="rId150" xr:uid="{6FE6C53E-E5AD-4EB8-A935-FAC31B67E897}"/>
    <hyperlink ref="B75" r:id="rId151" xr:uid="{604825DA-DBE2-470E-9BB3-3F83225F2E1B}"/>
    <hyperlink ref="B79" r:id="rId152" xr:uid="{341E0508-EC4D-4F7D-B437-698AC71C862E}"/>
    <hyperlink ref="B78" r:id="rId153" xr:uid="{77CB9978-DC60-4DDA-902D-525587BCC130}"/>
    <hyperlink ref="B77" r:id="rId154" xr:uid="{55378A49-6E15-4A72-A528-3EDF6A2FAE4E}"/>
    <hyperlink ref="K75" r:id="rId155" xr:uid="{4E09AFA5-4FDF-46A1-925B-B2D5B4724E8C}"/>
    <hyperlink ref="K77" r:id="rId156" xr:uid="{62D044EA-F23D-47E4-907B-69E112A497DA}"/>
    <hyperlink ref="K78" r:id="rId157" xr:uid="{D4B748BC-C0B6-4D84-AFE9-E75C8C5059E5}"/>
    <hyperlink ref="K79" r:id="rId158" xr:uid="{7C3725E6-C53B-4B14-8002-C5803A448166}"/>
    <hyperlink ref="K81" r:id="rId159" xr:uid="{F91BC24B-BBC3-4985-ADBC-3B2732543F8B}"/>
    <hyperlink ref="K80" r:id="rId160" xr:uid="{E1BA9E79-B83C-4F7E-A26E-19101D9369FE}"/>
    <hyperlink ref="B74" r:id="rId161" xr:uid="{733666DB-74C7-4909-99A7-2D947379EDE8}"/>
    <hyperlink ref="K74" r:id="rId162" xr:uid="{8620876C-4A50-40A1-A45B-D2C4919550F6}"/>
    <hyperlink ref="B73" r:id="rId163" xr:uid="{8AEB1A03-C5C6-4780-AF1E-B36A213468FA}"/>
    <hyperlink ref="B72" r:id="rId164" xr:uid="{7910FA57-AAB3-4EF6-81E1-2131E82DA4CA}"/>
    <hyperlink ref="K72" r:id="rId165" xr:uid="{4A2EB28E-6EF8-4C80-AEF3-3144C223B508}"/>
    <hyperlink ref="K73" r:id="rId166" xr:uid="{AFF2D086-4105-43AD-974C-E6A1179645F9}"/>
    <hyperlink ref="B70" r:id="rId167" xr:uid="{ED6AD9BD-DC98-4A5D-BB6A-0C5A89D32734}"/>
    <hyperlink ref="K70" r:id="rId168" xr:uid="{683C88C4-217D-47C7-8C54-6C56FFED8DEB}"/>
    <hyperlink ref="B69" r:id="rId169" xr:uid="{344C7A97-4DB4-4802-A191-0706166E60A2}"/>
    <hyperlink ref="B68" r:id="rId170" xr:uid="{42052296-E819-4296-8540-0A09312E50C8}"/>
    <hyperlink ref="K69" r:id="rId171" xr:uid="{5424F7F0-2C56-45FA-BEB2-69B9CCE19AD3}"/>
    <hyperlink ref="K68" r:id="rId172" xr:uid="{A2EE41B3-D760-4975-81E9-21F93541019F}"/>
    <hyperlink ref="B76" r:id="rId173" xr:uid="{B9D1B892-852B-49D8-903A-9DB62A6F6148}"/>
    <hyperlink ref="B64" r:id="rId174" xr:uid="{394C875B-49E2-4179-964E-6DA4B89094BF}"/>
    <hyperlink ref="K64" r:id="rId175" xr:uid="{27664E5F-B215-4961-AD13-CB3333C6B7AF}"/>
    <hyperlink ref="B67" r:id="rId176" xr:uid="{A5A4E074-0034-4AC5-9E20-0E15E7474D56}"/>
    <hyperlink ref="K67" r:id="rId177" xr:uid="{F0BBB2DA-69AA-4706-8F74-754722B7AF16}"/>
    <hyperlink ref="B63" r:id="rId178" xr:uid="{61D690A3-5A4A-4870-A23A-889A2E67D752}"/>
    <hyperlink ref="K63" r:id="rId179" xr:uid="{7C0B8701-9561-4E96-B586-B1DA68AAD75E}"/>
    <hyperlink ref="K76" r:id="rId180" xr:uid="{9EB88A72-26E3-4BEB-9589-C035E64845EF}"/>
    <hyperlink ref="B62" r:id="rId181" xr:uid="{9DEAD408-F771-4490-8EE8-46AA473321B7}"/>
    <hyperlink ref="B61" r:id="rId182" xr:uid="{FC3F069D-D508-4F7E-BC64-658093FFBE9C}"/>
    <hyperlink ref="B60" r:id="rId183" xr:uid="{ED573692-2BFC-4ABB-AFEF-F3BEA15BB68F}"/>
    <hyperlink ref="B59" r:id="rId184" xr:uid="{99DA7085-A7E4-4531-A916-87EDEC062582}"/>
    <hyperlink ref="K59" r:id="rId185" xr:uid="{46D3C6EA-67CD-461B-8A4D-6F56C60BEC47}"/>
    <hyperlink ref="K60" r:id="rId186" xr:uid="{24D30687-307C-4180-95E2-E55B0979802F}"/>
    <hyperlink ref="B58" r:id="rId187" xr:uid="{7E3C3CC3-30EE-41EA-967F-C068E0BF6852}"/>
    <hyperlink ref="K61" r:id="rId188" xr:uid="{675DA10D-9043-4DB5-A206-E3F93DCDE013}"/>
    <hyperlink ref="K62" r:id="rId189" xr:uid="{B5CEFF87-819A-448A-BBEA-0E2F7C5E700A}"/>
    <hyperlink ref="B56" r:id="rId190" xr:uid="{5131EE49-71AF-4288-8006-91598987F1DA}"/>
    <hyperlink ref="K58" r:id="rId191" xr:uid="{4682DDC2-FFB1-4F68-9C71-121667DE63AA}"/>
    <hyperlink ref="B57" r:id="rId192" xr:uid="{59525D7C-48B8-436B-B3E6-564DDFDAC249}"/>
    <hyperlink ref="K57" r:id="rId193" xr:uid="{2168B2E3-9E7E-4773-88CA-4CE413E11182}"/>
    <hyperlink ref="B54" r:id="rId194" xr:uid="{8886AE3C-C9AB-442D-9848-A6BF56F1F36E}"/>
    <hyperlink ref="K54" r:id="rId195" xr:uid="{E99ED0C0-8095-470F-9B3D-D3A78A1BB034}"/>
    <hyperlink ref="B53" r:id="rId196" xr:uid="{38142EC1-570F-4CE2-964F-4FC94ECAF957}"/>
    <hyperlink ref="K53" r:id="rId197" xr:uid="{30409E3C-1327-4A97-BE4F-0A83EB7F832A}"/>
    <hyperlink ref="K52" r:id="rId198" xr:uid="{3764B2C0-7BB4-4376-B4FB-83BEDE40DE11}"/>
    <hyperlink ref="B52" r:id="rId199" xr:uid="{1BDC83E9-A5BA-4B2F-9C7D-0761972A059C}"/>
    <hyperlink ref="B55" r:id="rId200" xr:uid="{A93F3FF2-B2F3-4913-82EE-5C6790B40CBC}"/>
    <hyperlink ref="K55" r:id="rId201" xr:uid="{96C63ECC-7644-4A07-AE8B-683AB1717CA8}"/>
    <hyperlink ref="B51" r:id="rId202" xr:uid="{20047922-93D6-44EE-A2A6-72CD77479155}"/>
    <hyperlink ref="K51" r:id="rId203" xr:uid="{B40566A3-8C05-4AAD-9757-98505981AE36}"/>
    <hyperlink ref="K144" r:id="rId204" xr:uid="{00000000-0004-0000-0400-000004000000}"/>
    <hyperlink ref="B48" r:id="rId205" xr:uid="{0C2B484D-F4DB-4F00-8206-70F26CBDD95B}"/>
    <hyperlink ref="K48" r:id="rId206" xr:uid="{41028F58-F11E-4331-971D-0556FCD5E369}"/>
    <hyperlink ref="B162" r:id="rId207" xr:uid="{51CD16F2-57EF-476C-8E43-BB584D3DF5C9}"/>
    <hyperlink ref="K162" r:id="rId208" xr:uid="{006979FC-AEA2-4F32-A652-9D6136DA745F}"/>
    <hyperlink ref="B47" r:id="rId209" xr:uid="{4FDC5407-964A-462F-B4AF-A997987050C6}"/>
    <hyperlink ref="K47" r:id="rId210" xr:uid="{8C4DD6D1-A2A7-43F1-8615-D065E3EC703E}"/>
    <hyperlink ref="B45" r:id="rId211" display="VIALES-004004" xr:uid="{3AAD95F3-F1E2-4BFE-B0B7-6E6C0714B05E}"/>
    <hyperlink ref="B46" r:id="rId212" xr:uid="{8223D711-19AC-4D74-B8BA-2A29B56DD0A4}"/>
    <hyperlink ref="B6" r:id="rId213" xr:uid="{319AD337-316F-4167-89BC-0D8729F048C6}"/>
    <hyperlink ref="K45" r:id="rId214" xr:uid="{5E5BB715-B1AE-4FFC-B358-51ACAEA93C2F}"/>
    <hyperlink ref="B50" r:id="rId215" xr:uid="{DDAE54ED-3AAF-472B-A8E6-699FF22B63D6}"/>
    <hyperlink ref="K50" r:id="rId216" xr:uid="{3551B86D-3BC8-409E-B565-1AAC300FDAC2}"/>
    <hyperlink ref="K49" r:id="rId217" xr:uid="{76346364-6CA4-4324-A3F3-E3A6FEEABA08}"/>
    <hyperlink ref="B49" r:id="rId218" xr:uid="{AC658C2E-B94D-4CD3-AC4F-69BCF0BB76FA}"/>
    <hyperlink ref="K6" r:id="rId219" xr:uid="{AE70CE30-CE08-4568-BBF4-1BFDF1742A21}"/>
    <hyperlink ref="K46" r:id="rId220" xr:uid="{322A9694-686C-4766-9F17-0C10A1C7A097}"/>
    <hyperlink ref="K44" r:id="rId221" xr:uid="{EB091778-91B7-4E6B-8B67-4E5AF8D72ADF}"/>
    <hyperlink ref="B44" r:id="rId222" xr:uid="{9432901D-B001-4EBF-A56D-1E23636C52F8}"/>
    <hyperlink ref="B43" r:id="rId223" xr:uid="{A287B05B-1AAA-43F8-8434-A56EC12C647C}"/>
    <hyperlink ref="B42" r:id="rId224" xr:uid="{0B5F69E9-3EFA-465D-828B-4ECD876BA174}"/>
    <hyperlink ref="B5" r:id="rId225" xr:uid="{7B48C8D7-ABFB-427B-9A92-515B5E27780C}"/>
    <hyperlink ref="K5" r:id="rId226" xr:uid="{B9EB7440-B82E-4183-88F4-9B0B4F3B1C44}"/>
    <hyperlink ref="K42" r:id="rId227" xr:uid="{8887060F-17B5-46B3-A0A6-EC6C163E80D5}"/>
    <hyperlink ref="K43" r:id="rId228" xr:uid="{76A31A71-E1E1-473F-B42C-CCC6A7E620E7}"/>
    <hyperlink ref="B39" r:id="rId229" xr:uid="{C723A593-D9FB-47DB-B565-764C7197C280}"/>
    <hyperlink ref="B40" r:id="rId230" xr:uid="{F4264D5F-FB81-40BC-B5C1-24AE2592327F}"/>
    <hyperlink ref="B41" r:id="rId231" xr:uid="{53E5BF69-07FC-4BAB-8D38-7018C86E12C2}"/>
    <hyperlink ref="B161" r:id="rId232" xr:uid="{7D7058E3-9D26-4121-8916-F5A0C3D44E99}"/>
    <hyperlink ref="K161" r:id="rId233" xr:uid="{F0D31606-FA68-4902-942E-D886690A7B5F}"/>
    <hyperlink ref="K40" r:id="rId234" xr:uid="{1C4C367D-1658-4ECF-9AB1-6E8D4C682865}"/>
    <hyperlink ref="K41" r:id="rId235" xr:uid="{564A35FC-6A54-4798-BA9B-51DCC8B81656}"/>
    <hyperlink ref="K39" r:id="rId236" xr:uid="{70FF2CA9-7D8C-4B27-8931-D44B2C5CA496}"/>
    <hyperlink ref="B37" r:id="rId237" xr:uid="{9624C027-5F21-407E-B6E7-7E30145677CB}"/>
    <hyperlink ref="B36" r:id="rId238" display="VIALES-004045" xr:uid="{6E20DA78-8F8F-43C6-BE9A-458E21CECF86}"/>
    <hyperlink ref="B35" r:id="rId239" xr:uid="{A1B152DA-0E0C-4881-9FDE-2C5847067623}"/>
    <hyperlink ref="K37" r:id="rId240" xr:uid="{1EFC0B15-0926-45CF-B58E-EB12A3B95D51}"/>
    <hyperlink ref="K36" r:id="rId241" xr:uid="{DF2C5D1A-DB34-4BAE-9865-AABB84CE5B02}"/>
    <hyperlink ref="K35" r:id="rId242" xr:uid="{0DC4C4DB-EB4B-448A-8446-077B644A72CF}"/>
    <hyperlink ref="B34" r:id="rId243" xr:uid="{C6F88101-5856-4047-BA24-5CD560FBE2BE}"/>
    <hyperlink ref="B32" r:id="rId244" xr:uid="{68742672-C7C2-4A65-8601-530FA0115F1A}"/>
    <hyperlink ref="K32" r:id="rId245" xr:uid="{1634F03B-C65E-411B-AAE6-37C2774B686F}"/>
    <hyperlink ref="B31" r:id="rId246" xr:uid="{AE138EAB-F5A2-4300-8563-8B2555123E12}"/>
    <hyperlink ref="B30" r:id="rId247" xr:uid="{AB45C493-AFA9-4284-857E-D0AD7FC6CE05}"/>
    <hyperlink ref="B33" r:id="rId248" xr:uid="{07A99CE0-574B-4371-B8E1-88D72FA165B7}"/>
    <hyperlink ref="B29" r:id="rId249" xr:uid="{FA8ECE74-E1DF-4E86-BCED-F0CD021E0B4B}"/>
    <hyperlink ref="K30" r:id="rId250" xr:uid="{68527749-33E5-41DE-BB60-9841D114755E}"/>
    <hyperlink ref="K31" r:id="rId251" xr:uid="{E47663E3-39E9-4498-BDAA-9FC9212107B1}"/>
    <hyperlink ref="K34" r:id="rId252" xr:uid="{0EE71A37-3AEB-4830-A331-7CC8DFAB19C0}"/>
    <hyperlink ref="K33" r:id="rId253" xr:uid="{8A10FBE7-92D0-493E-A8CD-3267F76F9116}"/>
    <hyperlink ref="B28" r:id="rId254" xr:uid="{55430AB5-DBE7-4979-9295-5E02A5C11CE2}"/>
    <hyperlink ref="K28" r:id="rId255" xr:uid="{9D7606A4-EC67-40FE-9272-7C751A5F9BF6}"/>
    <hyperlink ref="K29" r:id="rId256" xr:uid="{050ABC44-18C7-4C0F-91B0-BCC35E397E10}"/>
    <hyperlink ref="B160" r:id="rId257" xr:uid="{B3A61079-2E0A-46C1-8A00-E606FE41A57E}"/>
    <hyperlink ref="B27" r:id="rId258" xr:uid="{E7C1EAFA-9B98-4811-966C-929FAF885CE1}"/>
    <hyperlink ref="K27" r:id="rId259" xr:uid="{C49A766A-E4D4-432D-AB7C-2A69E98AD458}"/>
    <hyperlink ref="K160" r:id="rId260" xr:uid="{D8E86EC7-449D-48AE-9EBD-0C24AFE88A92}"/>
    <hyperlink ref="B24" r:id="rId261" xr:uid="{64860555-2145-4F29-8D97-B7EB9B079131}"/>
    <hyperlink ref="B26" r:id="rId262" xr:uid="{B11DB7E9-5FF6-4016-9C9A-85DD01C01F9E}"/>
    <hyperlink ref="K26" r:id="rId263" xr:uid="{FA146D5B-3B35-465B-A726-97C313AE95F6}"/>
    <hyperlink ref="K24" r:id="rId264" xr:uid="{3E745DBF-68BA-432A-8F79-AC4C01F47A09}"/>
    <hyperlink ref="B23" r:id="rId265" xr:uid="{D70C25DF-CDF5-458C-AAB6-0C2C4F887723}"/>
    <hyperlink ref="B22" r:id="rId266" xr:uid="{8B1E6D8B-8A2C-424C-BBB2-F8B07BF014A0}"/>
    <hyperlink ref="B38" r:id="rId267" xr:uid="{6E8556C2-B7A2-4B47-B5DE-1DE92C99E03B}"/>
    <hyperlink ref="K38" r:id="rId268" xr:uid="{52085CC2-E618-4453-B28B-9F59BE827122}"/>
    <hyperlink ref="B66" r:id="rId269" xr:uid="{1571D22B-DDE6-44B7-8DAA-0E54C073913C}"/>
    <hyperlink ref="K66" r:id="rId270" xr:uid="{C35D571A-9404-415E-B04A-CABF6453687B}"/>
    <hyperlink ref="B71" r:id="rId271" xr:uid="{E6C27532-06A0-439C-85F6-F0DB1B8D0518}"/>
    <hyperlink ref="K71" r:id="rId272" xr:uid="{4300023A-9EAA-43E2-B69B-0D6B3E9B074D}"/>
    <hyperlink ref="K23" r:id="rId273" xr:uid="{DE7EF2F2-AE78-497C-B43A-A6A31F09874E}"/>
    <hyperlink ref="B20" r:id="rId274" xr:uid="{0D76B3D2-DAA6-4C85-8BC7-042C6561F7A0}"/>
    <hyperlink ref="K20" r:id="rId275" xr:uid="{C903551D-1A68-48DA-825E-B037DA51D5CA}"/>
    <hyperlink ref="B21" r:id="rId276" xr:uid="{445346DE-F35A-4288-8A97-E3ACDFF2B7B4}"/>
    <hyperlink ref="B19" r:id="rId277" xr:uid="{6512AE25-68FB-49EB-9A09-6A0619CFF354}"/>
    <hyperlink ref="K19" r:id="rId278" xr:uid="{6D3060EF-C585-4178-BD17-D17F8ACCA5FC}"/>
    <hyperlink ref="B87" r:id="rId279" xr:uid="{ADB1A552-4B55-4D35-B023-3802E8BD01BE}"/>
    <hyperlink ref="K87" r:id="rId280" xr:uid="{5B09BAF2-5D46-4D89-AB2C-5B904D3F3CE3}"/>
    <hyperlink ref="B18" r:id="rId281" xr:uid="{B4116429-B094-4A36-BA5F-729DE0BD9BE8}"/>
    <hyperlink ref="B159" r:id="rId282" xr:uid="{14C5876A-6EC9-4ACD-81EA-2584ED79F8F3}"/>
    <hyperlink ref="B17" r:id="rId283" xr:uid="{DF8CC5E4-ADA9-4992-844B-8FE52E3B575F}"/>
    <hyperlink ref="B16" r:id="rId284" xr:uid="{B238DDBA-C75B-4AA2-A973-6667A7B7C0DC}"/>
    <hyperlink ref="K16" r:id="rId285" xr:uid="{C9801CED-B849-4001-87C3-CBAB48442DAC}"/>
    <hyperlink ref="K18" r:id="rId286" xr:uid="{C78F38D6-64C9-454E-8821-EDF643378322}"/>
    <hyperlink ref="K22" r:id="rId287" xr:uid="{6CD339DB-3AF9-4813-83D2-6CA8A43CB77D}"/>
    <hyperlink ref="B15" r:id="rId288" xr:uid="{01A3D943-E2B3-44AA-B2BF-BC5F64CABBE0}"/>
    <hyperlink ref="K15" r:id="rId289" xr:uid="{39EB2AEF-80C4-4562-B560-1F7DAEC7C387}"/>
    <hyperlink ref="B12" r:id="rId290" xr:uid="{41494BA1-A502-466E-92E3-8E79E4EA5470}"/>
    <hyperlink ref="B13" r:id="rId291" xr:uid="{48F03EE3-2852-4B29-BB67-2B27EF2F5D40}"/>
    <hyperlink ref="K12" r:id="rId292" xr:uid="{437CF40D-75F1-4A73-AADB-1FA2BCD140BE}"/>
    <hyperlink ref="K13" r:id="rId293" xr:uid="{A0E424E8-83E2-4B6F-AD6C-3A58C24C2E9D}"/>
    <hyperlink ref="B14" r:id="rId294" xr:uid="{D96C4AB8-EA93-465C-9829-05473D408153}"/>
    <hyperlink ref="K14" r:id="rId295" xr:uid="{0C08733B-9C58-4338-9B0B-36595E8D0631}"/>
    <hyperlink ref="B11" r:id="rId296" xr:uid="{B60699EE-4ACF-40BE-B0B3-21CF495171FF}"/>
    <hyperlink ref="K17" r:id="rId297" xr:uid="{CC635B91-1ECC-461D-AC57-6F6FE6595D07}"/>
    <hyperlink ref="K21" r:id="rId298" xr:uid="{E7476222-16D1-4908-BD31-9A8C066903DA}"/>
    <hyperlink ref="K11" r:id="rId299" xr:uid="{9DE64792-6B5B-46D5-8633-EB7E578BCAB4}"/>
    <hyperlink ref="B10" r:id="rId300" xr:uid="{F79169C6-78AC-4423-BA0B-48FF6BDF544C}"/>
    <hyperlink ref="B25" r:id="rId301" xr:uid="{3EA244B1-FA58-450A-BEFF-64CC3FC41D15}"/>
    <hyperlink ref="K25" r:id="rId302" xr:uid="{164C6EED-23D8-4748-9739-84D9267EC7DA}"/>
    <hyperlink ref="B65" r:id="rId303" xr:uid="{D0F7EE46-ECE6-4EA7-85FB-5B12B285FCE9}"/>
    <hyperlink ref="K65" r:id="rId304" xr:uid="{49F8AA7F-C87F-4A6B-8F34-CF872AD89989}"/>
    <hyperlink ref="K10" r:id="rId305" xr:uid="{744C6940-CC08-4369-8B87-1CE05ADC6C35}"/>
  </hyperlinks>
  <pageMargins left="0.7" right="0.7" top="0.75" bottom="0.75" header="0.3" footer="0.3"/>
  <pageSetup paperSize="9" scale="43" fitToHeight="0" orientation="landscape" horizontalDpi="300" verticalDpi="300" r:id="rId306"/>
  <drawing r:id="rId307"/>
  <tableParts count="1">
    <tablePart r:id="rId30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FJ326"/>
  <sheetViews>
    <sheetView zoomScale="98" zoomScaleNormal="98" workbookViewId="0">
      <selection activeCell="C4" sqref="C4"/>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18.75">
      <c r="A2" s="311" t="s">
        <v>19</v>
      </c>
      <c r="B2" s="312"/>
      <c r="C2" s="312"/>
      <c r="D2" s="312"/>
      <c r="E2" s="312"/>
      <c r="F2" s="312"/>
      <c r="EZ2" s="44"/>
      <c r="FA2" s="44"/>
      <c r="FB2" s="44"/>
      <c r="FC2" s="44"/>
      <c r="FD2" s="44"/>
      <c r="FE2" s="44"/>
      <c r="FF2" s="44"/>
      <c r="FG2" s="44"/>
      <c r="FH2" s="44"/>
      <c r="FI2" s="44"/>
      <c r="FJ2" s="44"/>
    </row>
    <row r="3" spans="1:166" s="38" customFormat="1" ht="21">
      <c r="A3" s="313" t="s">
        <v>13</v>
      </c>
      <c r="B3" s="314"/>
      <c r="C3" s="314"/>
      <c r="D3" s="314"/>
      <c r="E3" s="314"/>
      <c r="F3" s="314"/>
      <c r="EZ3" s="44"/>
      <c r="FA3" s="44"/>
      <c r="FB3" s="44"/>
      <c r="FC3" s="44"/>
      <c r="FD3" s="44"/>
      <c r="FE3" s="44"/>
      <c r="FF3" s="44"/>
      <c r="FG3" s="44"/>
      <c r="FH3" s="44"/>
      <c r="FI3" s="44"/>
      <c r="FJ3" s="44"/>
    </row>
    <row r="4" spans="1:166" s="38" customFormat="1">
      <c r="A4" s="40"/>
      <c r="B4" s="41" t="s">
        <v>14</v>
      </c>
      <c r="C4" s="47" t="s">
        <v>732</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10.75" customHeight="1">
      <c r="A6" s="262">
        <v>4</v>
      </c>
      <c r="B6" s="270" t="s">
        <v>922</v>
      </c>
      <c r="C6" s="271" t="s">
        <v>155</v>
      </c>
      <c r="D6" s="281" t="s">
        <v>923</v>
      </c>
      <c r="E6" s="260" t="s">
        <v>180</v>
      </c>
      <c r="F6" s="261" t="s">
        <v>174</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40.25">
      <c r="A7" s="259">
        <v>3</v>
      </c>
      <c r="B7" s="270" t="s">
        <v>920</v>
      </c>
      <c r="C7" s="272" t="s">
        <v>156</v>
      </c>
      <c r="D7" s="281" t="s">
        <v>921</v>
      </c>
      <c r="E7" s="260" t="s">
        <v>180</v>
      </c>
      <c r="F7" s="263" t="s">
        <v>170</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65.75">
      <c r="A8" s="259">
        <v>2</v>
      </c>
      <c r="B8" s="270" t="s">
        <v>587</v>
      </c>
      <c r="C8" s="272" t="s">
        <v>386</v>
      </c>
      <c r="D8" s="281" t="s">
        <v>928</v>
      </c>
      <c r="E8" s="265" t="s">
        <v>586</v>
      </c>
      <c r="F8" s="264" t="s">
        <v>423</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40.25">
      <c r="A9" s="262">
        <v>1</v>
      </c>
      <c r="B9" s="270" t="s">
        <v>587</v>
      </c>
      <c r="C9" s="273" t="s">
        <v>157</v>
      </c>
      <c r="D9" s="281" t="s">
        <v>928</v>
      </c>
      <c r="E9" s="265" t="s">
        <v>586</v>
      </c>
      <c r="F9" s="263" t="s">
        <v>605</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2"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I53"/>
  <sheetViews>
    <sheetView zoomScaleNormal="100" workbookViewId="0">
      <selection activeCell="C4" sqref="C4"/>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15"/>
      <c r="D1" s="315"/>
      <c r="E1" s="315"/>
      <c r="F1" s="315"/>
      <c r="G1" s="315"/>
      <c r="H1" s="315"/>
    </row>
    <row r="2" spans="1:9" ht="48" customHeight="1">
      <c r="C2" s="30" t="s">
        <v>84</v>
      </c>
      <c r="D2" s="317" t="s">
        <v>85</v>
      </c>
      <c r="E2" s="317"/>
      <c r="F2" s="317"/>
      <c r="G2" s="317"/>
      <c r="H2" s="317"/>
    </row>
    <row r="3" spans="1:9" ht="29.25" customHeight="1">
      <c r="A3" s="11"/>
      <c r="B3" s="11"/>
      <c r="C3" s="316" t="s">
        <v>15</v>
      </c>
      <c r="D3" s="316"/>
      <c r="E3" s="316"/>
      <c r="F3" s="316"/>
      <c r="G3" s="316"/>
      <c r="H3" s="316"/>
    </row>
    <row r="4" spans="1:9" ht="21" customHeight="1">
      <c r="A4" s="10"/>
      <c r="B4" s="9" t="s">
        <v>14</v>
      </c>
      <c r="C4" s="2" t="s">
        <v>733</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211</v>
      </c>
      <c r="C50" s="26" t="s">
        <v>158</v>
      </c>
      <c r="D50" s="26" t="s">
        <v>14</v>
      </c>
      <c r="E50" s="26" t="s">
        <v>5</v>
      </c>
      <c r="F50" s="26" t="s">
        <v>6</v>
      </c>
      <c r="G50" s="26" t="s">
        <v>7</v>
      </c>
      <c r="H50" s="163" t="s">
        <v>8</v>
      </c>
    </row>
    <row r="51" spans="1:8" ht="121.5" customHeight="1">
      <c r="A51" s="325">
        <v>3</v>
      </c>
      <c r="B51" s="148" t="s">
        <v>902</v>
      </c>
      <c r="C51" s="138" t="s">
        <v>900</v>
      </c>
      <c r="D51" s="139">
        <v>45804</v>
      </c>
      <c r="E51" s="140" t="s">
        <v>161</v>
      </c>
      <c r="F51" s="149" t="s">
        <v>901</v>
      </c>
      <c r="G51" s="141" t="s">
        <v>175</v>
      </c>
      <c r="H51" s="86" t="s">
        <v>903</v>
      </c>
    </row>
    <row r="52" spans="1:8" ht="111" customHeight="1">
      <c r="A52" s="147">
        <v>2</v>
      </c>
      <c r="B52" s="148" t="s">
        <v>342</v>
      </c>
      <c r="C52" s="138" t="s">
        <v>361</v>
      </c>
      <c r="D52" s="139">
        <v>45749</v>
      </c>
      <c r="E52" s="140" t="s">
        <v>161</v>
      </c>
      <c r="F52" s="149" t="s">
        <v>873</v>
      </c>
      <c r="G52" s="141" t="s">
        <v>175</v>
      </c>
      <c r="H52" s="86" t="s">
        <v>904</v>
      </c>
    </row>
    <row r="53" spans="1:8" ht="102">
      <c r="A53" s="147">
        <v>1</v>
      </c>
      <c r="B53" s="148" t="s">
        <v>203</v>
      </c>
      <c r="C53" s="138" t="s">
        <v>160</v>
      </c>
      <c r="D53" s="139">
        <v>45542</v>
      </c>
      <c r="E53" s="140" t="s">
        <v>161</v>
      </c>
      <c r="F53" s="149" t="s">
        <v>874</v>
      </c>
      <c r="G53" s="141" t="s">
        <v>175</v>
      </c>
      <c r="H53" s="86" t="s">
        <v>903</v>
      </c>
    </row>
  </sheetData>
  <mergeCells count="3">
    <mergeCell ref="C1:H1"/>
    <mergeCell ref="C3:H3"/>
    <mergeCell ref="D2:H2"/>
  </mergeCells>
  <phoneticPr fontId="132"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70"/>
  <sheetViews>
    <sheetView showGridLines="0" zoomScaleNormal="100" workbookViewId="0">
      <selection activeCell="C4" sqref="C4"/>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48"/>
      <c r="B1" s="248"/>
      <c r="C1" s="248"/>
      <c r="E1" s="248"/>
      <c r="F1" s="248"/>
      <c r="G1" s="248"/>
      <c r="H1" s="248"/>
      <c r="J1" s="3"/>
      <c r="K1" s="3"/>
      <c r="L1" s="3"/>
      <c r="M1" s="3"/>
      <c r="N1" s="3"/>
      <c r="O1" s="3"/>
      <c r="P1" s="3"/>
      <c r="Q1" s="3"/>
      <c r="R1" s="3"/>
      <c r="S1" s="3"/>
      <c r="T1" s="3"/>
      <c r="U1" s="3"/>
      <c r="V1" s="3"/>
      <c r="W1" s="3"/>
    </row>
    <row r="2" spans="1:23" ht="54" customHeight="1">
      <c r="A2" s="318" t="s">
        <v>38</v>
      </c>
      <c r="B2" s="319"/>
      <c r="C2" s="319"/>
      <c r="D2" s="319"/>
      <c r="E2" s="319"/>
      <c r="F2" s="319"/>
      <c r="G2" s="319"/>
      <c r="H2" s="319"/>
      <c r="J2" s="3"/>
      <c r="K2" s="3"/>
      <c r="L2" s="3"/>
      <c r="M2" s="3"/>
      <c r="N2" s="3"/>
      <c r="O2" s="3"/>
      <c r="P2" s="3"/>
      <c r="Q2" s="3"/>
      <c r="R2" s="3"/>
      <c r="S2" s="3"/>
      <c r="T2" s="3"/>
      <c r="U2" s="3"/>
      <c r="V2" s="3"/>
      <c r="W2" s="3"/>
    </row>
    <row r="3" spans="1:23" ht="21">
      <c r="A3" s="320" t="s">
        <v>39</v>
      </c>
      <c r="B3" s="320"/>
      <c r="C3" s="320"/>
      <c r="D3" s="320"/>
      <c r="E3" s="320"/>
      <c r="F3" s="320"/>
      <c r="G3" s="320"/>
      <c r="H3" s="320"/>
      <c r="J3" s="3"/>
      <c r="K3" s="3"/>
      <c r="L3" s="3"/>
      <c r="M3" s="3"/>
      <c r="N3" s="3"/>
      <c r="O3" s="3"/>
      <c r="P3" s="3"/>
      <c r="Q3" s="3"/>
      <c r="R3" s="3"/>
      <c r="S3" s="3"/>
      <c r="T3" s="3"/>
      <c r="U3" s="3"/>
      <c r="V3" s="3"/>
      <c r="W3" s="3"/>
    </row>
    <row r="4" spans="1:23" ht="18.75" customHeight="1">
      <c r="B4" s="54" t="s">
        <v>14</v>
      </c>
      <c r="C4" s="47" t="s">
        <v>733</v>
      </c>
      <c r="D4" s="249"/>
      <c r="E4" s="248"/>
      <c r="F4" s="248"/>
      <c r="G4" s="248"/>
      <c r="H4" s="248"/>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50"/>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21"/>
      <c r="B50" s="321"/>
      <c r="C50" s="321"/>
      <c r="D50" s="321"/>
      <c r="E50" s="321"/>
      <c r="F50" s="321"/>
    </row>
    <row r="56" spans="1:9" ht="29.25" customHeight="1">
      <c r="A56" s="196" t="s">
        <v>429</v>
      </c>
      <c r="B56" s="26" t="s">
        <v>211</v>
      </c>
      <c r="C56" s="26" t="s">
        <v>17</v>
      </c>
      <c r="D56" s="26" t="s">
        <v>158</v>
      </c>
      <c r="E56" s="26" t="s">
        <v>5</v>
      </c>
      <c r="F56" s="26" t="s">
        <v>6</v>
      </c>
      <c r="G56" s="26" t="s">
        <v>7</v>
      </c>
      <c r="H56" s="26" t="s">
        <v>430</v>
      </c>
      <c r="I56" s="27" t="s">
        <v>8</v>
      </c>
    </row>
    <row r="57" spans="1:9" ht="114" customHeight="1">
      <c r="A57" s="327">
        <v>14</v>
      </c>
      <c r="B57" s="278" t="s">
        <v>721</v>
      </c>
      <c r="C57" s="197">
        <v>45803</v>
      </c>
      <c r="D57" s="276" t="s">
        <v>71</v>
      </c>
      <c r="E57" s="199" t="s">
        <v>719</v>
      </c>
      <c r="F57" s="244" t="s">
        <v>875</v>
      </c>
      <c r="G57" s="141" t="s">
        <v>175</v>
      </c>
      <c r="H57" s="26"/>
      <c r="I57" s="245" t="s">
        <v>431</v>
      </c>
    </row>
    <row r="58" spans="1:9" ht="114" customHeight="1">
      <c r="A58" s="231">
        <v>13</v>
      </c>
      <c r="B58" s="277" t="s">
        <v>645</v>
      </c>
      <c r="C58" s="197">
        <v>45798</v>
      </c>
      <c r="D58" s="276" t="s">
        <v>40</v>
      </c>
      <c r="E58" s="199" t="s">
        <v>644</v>
      </c>
      <c r="F58" s="244" t="s">
        <v>878</v>
      </c>
      <c r="G58" s="141" t="s">
        <v>175</v>
      </c>
      <c r="H58" s="26"/>
      <c r="I58" s="245" t="s">
        <v>431</v>
      </c>
    </row>
    <row r="59" spans="1:9" ht="66">
      <c r="A59" s="327">
        <v>12</v>
      </c>
      <c r="B59" s="253" t="s">
        <v>633</v>
      </c>
      <c r="C59" s="197">
        <v>45797</v>
      </c>
      <c r="D59" s="198" t="s">
        <v>41</v>
      </c>
      <c r="E59" s="199" t="s">
        <v>630</v>
      </c>
      <c r="F59" s="244" t="s">
        <v>877</v>
      </c>
      <c r="G59" s="141" t="s">
        <v>175</v>
      </c>
      <c r="H59" s="26"/>
      <c r="I59" s="245" t="s">
        <v>431</v>
      </c>
    </row>
    <row r="60" spans="1:9" ht="114" customHeight="1">
      <c r="A60" s="231">
        <v>11</v>
      </c>
      <c r="B60" s="170" t="s">
        <v>632</v>
      </c>
      <c r="C60" s="197">
        <v>45797</v>
      </c>
      <c r="D60" s="198" t="s">
        <v>41</v>
      </c>
      <c r="E60" s="199" t="s">
        <v>631</v>
      </c>
      <c r="F60" s="244" t="s">
        <v>876</v>
      </c>
      <c r="G60" s="141" t="s">
        <v>175</v>
      </c>
      <c r="H60" s="163"/>
      <c r="I60" s="245" t="s">
        <v>431</v>
      </c>
    </row>
    <row r="61" spans="1:9" ht="76.5">
      <c r="A61" s="327">
        <v>10</v>
      </c>
      <c r="B61" s="170" t="s">
        <v>657</v>
      </c>
      <c r="C61" s="197">
        <v>45798</v>
      </c>
      <c r="D61" s="198" t="s">
        <v>41</v>
      </c>
      <c r="E61" s="199" t="s">
        <v>658</v>
      </c>
      <c r="F61" s="244" t="s">
        <v>879</v>
      </c>
      <c r="G61" s="202" t="s">
        <v>439</v>
      </c>
      <c r="H61" s="163"/>
      <c r="I61" s="245" t="s">
        <v>431</v>
      </c>
    </row>
    <row r="62" spans="1:9" ht="100.5" customHeight="1">
      <c r="A62" s="231">
        <v>9</v>
      </c>
      <c r="B62" s="278" t="s">
        <v>647</v>
      </c>
      <c r="C62" s="197">
        <v>45801</v>
      </c>
      <c r="D62" s="198" t="s">
        <v>71</v>
      </c>
      <c r="E62" s="199" t="s">
        <v>646</v>
      </c>
      <c r="F62" s="328" t="s">
        <v>917</v>
      </c>
      <c r="G62" s="285" t="s">
        <v>720</v>
      </c>
      <c r="H62" s="163"/>
      <c r="I62" s="329" t="s">
        <v>431</v>
      </c>
    </row>
    <row r="63" spans="1:9" ht="95.25" customHeight="1">
      <c r="A63" s="327">
        <v>8</v>
      </c>
      <c r="B63" s="278" t="s">
        <v>713</v>
      </c>
      <c r="C63" s="197">
        <v>45800</v>
      </c>
      <c r="D63" s="276" t="s">
        <v>70</v>
      </c>
      <c r="E63" s="199" t="s">
        <v>712</v>
      </c>
      <c r="F63" s="244" t="s">
        <v>895</v>
      </c>
      <c r="G63" s="285" t="s">
        <v>720</v>
      </c>
      <c r="H63" s="26"/>
      <c r="I63" s="245" t="s">
        <v>431</v>
      </c>
    </row>
    <row r="64" spans="1:9" ht="114.75">
      <c r="A64" s="231">
        <v>7</v>
      </c>
      <c r="B64" s="278" t="s">
        <v>694</v>
      </c>
      <c r="C64" s="197">
        <v>45800</v>
      </c>
      <c r="D64" s="276" t="s">
        <v>40</v>
      </c>
      <c r="E64" s="199" t="s">
        <v>693</v>
      </c>
      <c r="F64" s="244" t="s">
        <v>916</v>
      </c>
      <c r="G64" s="285" t="s">
        <v>720</v>
      </c>
      <c r="H64" s="26"/>
      <c r="I64" s="245" t="s">
        <v>431</v>
      </c>
    </row>
    <row r="65" spans="1:9" ht="76.5">
      <c r="A65" s="327">
        <v>6</v>
      </c>
      <c r="B65" s="278" t="s">
        <v>670</v>
      </c>
      <c r="C65" s="197">
        <v>45798</v>
      </c>
      <c r="D65" s="276" t="s">
        <v>322</v>
      </c>
      <c r="E65" s="199" t="s">
        <v>671</v>
      </c>
      <c r="F65" s="244" t="s">
        <v>896</v>
      </c>
      <c r="G65" s="285" t="s">
        <v>720</v>
      </c>
      <c r="H65" s="26"/>
      <c r="I65" s="245" t="s">
        <v>431</v>
      </c>
    </row>
    <row r="66" spans="1:9" ht="89.25">
      <c r="A66" s="231">
        <v>5</v>
      </c>
      <c r="B66" s="170" t="s">
        <v>668</v>
      </c>
      <c r="C66" s="197">
        <v>45798</v>
      </c>
      <c r="D66" s="198" t="s">
        <v>322</v>
      </c>
      <c r="E66" s="199" t="s">
        <v>669</v>
      </c>
      <c r="F66" s="244" t="s">
        <v>897</v>
      </c>
      <c r="G66" s="285" t="s">
        <v>720</v>
      </c>
      <c r="H66" s="163"/>
      <c r="I66" s="245" t="s">
        <v>431</v>
      </c>
    </row>
    <row r="67" spans="1:9" ht="114" customHeight="1">
      <c r="A67" s="327">
        <v>4</v>
      </c>
      <c r="B67" s="170" t="s">
        <v>659</v>
      </c>
      <c r="C67" s="197">
        <v>45798</v>
      </c>
      <c r="D67" s="198" t="s">
        <v>43</v>
      </c>
      <c r="E67" s="199" t="s">
        <v>660</v>
      </c>
      <c r="F67" s="244" t="s">
        <v>929</v>
      </c>
      <c r="G67" s="285" t="s">
        <v>720</v>
      </c>
      <c r="H67" s="163"/>
      <c r="I67" s="245" t="s">
        <v>431</v>
      </c>
    </row>
    <row r="68" spans="1:9" ht="123.75" customHeight="1">
      <c r="A68" s="231">
        <v>3</v>
      </c>
      <c r="B68" s="278" t="s">
        <v>651</v>
      </c>
      <c r="C68" s="197">
        <v>45798</v>
      </c>
      <c r="D68" s="276" t="s">
        <v>43</v>
      </c>
      <c r="E68" s="199" t="s">
        <v>648</v>
      </c>
      <c r="F68" s="328" t="s">
        <v>918</v>
      </c>
      <c r="G68" s="285" t="s">
        <v>720</v>
      </c>
      <c r="H68" s="26"/>
      <c r="I68" s="329" t="s">
        <v>431</v>
      </c>
    </row>
    <row r="69" spans="1:9" ht="76.5">
      <c r="A69" s="327">
        <v>2</v>
      </c>
      <c r="B69" s="278" t="s">
        <v>650</v>
      </c>
      <c r="C69" s="197">
        <v>45798</v>
      </c>
      <c r="D69" s="276" t="s">
        <v>43</v>
      </c>
      <c r="E69" s="199" t="s">
        <v>649</v>
      </c>
      <c r="F69" s="328" t="s">
        <v>919</v>
      </c>
      <c r="G69" s="285" t="s">
        <v>720</v>
      </c>
      <c r="H69" s="26"/>
      <c r="I69" s="329" t="s">
        <v>431</v>
      </c>
    </row>
    <row r="70" spans="1:9" ht="103.5" customHeight="1">
      <c r="A70" s="231">
        <v>1</v>
      </c>
      <c r="B70" s="170" t="s">
        <v>638</v>
      </c>
      <c r="C70" s="197">
        <v>45798</v>
      </c>
      <c r="D70" s="198" t="s">
        <v>44</v>
      </c>
      <c r="E70" s="199" t="s">
        <v>637</v>
      </c>
      <c r="F70" s="244" t="s">
        <v>898</v>
      </c>
      <c r="G70" s="285" t="s">
        <v>720</v>
      </c>
      <c r="H70" s="163"/>
      <c r="I70" s="245" t="s">
        <v>431</v>
      </c>
    </row>
  </sheetData>
  <mergeCells count="3">
    <mergeCell ref="A2:H2"/>
    <mergeCell ref="A3:H3"/>
    <mergeCell ref="A50:F50"/>
  </mergeCells>
  <phoneticPr fontId="132"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67"/>
  <sheetViews>
    <sheetView zoomScaleNormal="100" workbookViewId="0">
      <selection activeCell="C4" sqref="C4"/>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22" t="s">
        <v>22</v>
      </c>
      <c r="D2" s="322"/>
      <c r="E2" s="322"/>
      <c r="F2" s="322"/>
      <c r="G2" s="322"/>
      <c r="H2" s="322"/>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23" t="s">
        <v>20</v>
      </c>
      <c r="F3" s="323"/>
      <c r="G3" s="323"/>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733</v>
      </c>
      <c r="E4" s="323"/>
      <c r="F4" s="323"/>
      <c r="G4" s="323"/>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23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880</v>
      </c>
      <c r="H56" s="76" t="s">
        <v>25</v>
      </c>
      <c r="I56" s="76"/>
      <c r="J56" s="77" t="s">
        <v>144</v>
      </c>
      <c r="K56" s="78" t="s">
        <v>145</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2"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I s S a n d b o x E m b e d d e d " > < C u s t o m C o n t e n t > < ! [ C D A T A [ y e s ] ] > < / 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P o w e r P i v o t V e r s i o n " > < C u s t o m C o n t e n t > < ! [ C D A T A [ 2 0 1 1 . 1 1 0 . 2 8 3 0 . 7 7 ] ] > < / C u s t o m C o n t e n t > < / G e m i n i > 
</file>

<file path=customXml/item17.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T a b l e C o u n t I n S a n d b o x " > < C u s t o m C o n t e n t > < ! [ C D A T A [ 4 ] ] > < / C u s t o m C o n t e n t > < / G e m i n i > 
</file>

<file path=customXml/item3.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C l i e n t W i n d o w X M L " > < C u s t o m C o n t e n t > < ! [ C D A T A [ T a b l a 4 4 - 0 0 3 3 c 9 b 4 - f b c 5 - 4 2 a 9 - 8 f 4 e - 9 2 b 0 2 f a b 1 6 b 5 ] ] > < / C u s t o m C o n t e n t > < / G e m i n i > 
</file>

<file path=customXml/item5.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h o w H i d d e n " > < C u s t o m C o n t e n t > < ! [ C D A T A [ T r u e ] ] > < / C u s t o m C o n t e n t > < / G e m i n i > 
</file>

<file path=customXml/item7.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8.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565FAF2F-CDF8-4D9B-9DB1-723A5202FCD9}">
  <ds:schemaRefs/>
</ds:datastoreItem>
</file>

<file path=customXml/itemProps10.xml><?xml version="1.0" encoding="utf-8"?>
<ds:datastoreItem xmlns:ds="http://schemas.openxmlformats.org/officeDocument/2006/customXml" ds:itemID="{897101B1-B533-42A6-9CF8-E0A2774842EC}">
  <ds:schemaRefs/>
</ds:datastoreItem>
</file>

<file path=customXml/itemProps11.xml><?xml version="1.0" encoding="utf-8"?>
<ds:datastoreItem xmlns:ds="http://schemas.openxmlformats.org/officeDocument/2006/customXml" ds:itemID="{B1D91E2A-9BF8-4484-8D97-AF9F15BA4DCF}">
  <ds:schemaRefs/>
</ds:datastoreItem>
</file>

<file path=customXml/itemProps12.xml><?xml version="1.0" encoding="utf-8"?>
<ds:datastoreItem xmlns:ds="http://schemas.openxmlformats.org/officeDocument/2006/customXml" ds:itemID="{47806E59-B666-4E4F-A9EF-515835BDA5CC}">
  <ds:schemaRefs/>
</ds:datastoreItem>
</file>

<file path=customXml/itemProps13.xml><?xml version="1.0" encoding="utf-8"?>
<ds:datastoreItem xmlns:ds="http://schemas.openxmlformats.org/officeDocument/2006/customXml" ds:itemID="{BF961A73-91DE-46DF-A08D-6F6FEAED216D}">
  <ds:schemaRefs/>
</ds:datastoreItem>
</file>

<file path=customXml/itemProps14.xml><?xml version="1.0" encoding="utf-8"?>
<ds:datastoreItem xmlns:ds="http://schemas.openxmlformats.org/officeDocument/2006/customXml" ds:itemID="{89A2FFA1-8A53-4480-8F71-57C7875DFE23}">
  <ds:schemaRefs/>
</ds:datastoreItem>
</file>

<file path=customXml/itemProps15.xml><?xml version="1.0" encoding="utf-8"?>
<ds:datastoreItem xmlns:ds="http://schemas.openxmlformats.org/officeDocument/2006/customXml" ds:itemID="{69873A09-A0B6-469D-A8AD-6D3DDFCE584C}">
  <ds:schemaRefs/>
</ds:datastoreItem>
</file>

<file path=customXml/itemProps16.xml><?xml version="1.0" encoding="utf-8"?>
<ds:datastoreItem xmlns:ds="http://schemas.openxmlformats.org/officeDocument/2006/customXml" ds:itemID="{218715B1-4521-4E8A-BF8B-0FBD9ED46596}">
  <ds:schemaRefs/>
</ds:datastoreItem>
</file>

<file path=customXml/itemProps17.xml><?xml version="1.0" encoding="utf-8"?>
<ds:datastoreItem xmlns:ds="http://schemas.openxmlformats.org/officeDocument/2006/customXml" ds:itemID="{A6C4CC20-07D0-4FAB-90BA-AA3AF71D0C83}">
  <ds:schemaRefs/>
</ds:datastoreItem>
</file>

<file path=customXml/itemProps18.xml><?xml version="1.0" encoding="utf-8"?>
<ds:datastoreItem xmlns:ds="http://schemas.openxmlformats.org/officeDocument/2006/customXml" ds:itemID="{F6D7CB4A-0242-4934-8079-EA0FFD4F9AEC}">
  <ds:schemaRefs/>
</ds:datastoreItem>
</file>

<file path=customXml/itemProps19.xml><?xml version="1.0" encoding="utf-8"?>
<ds:datastoreItem xmlns:ds="http://schemas.openxmlformats.org/officeDocument/2006/customXml" ds:itemID="{28249FC2-C963-4A7F-B9FA-C5FD6B63336D}">
  <ds:schemaRefs/>
</ds:datastoreItem>
</file>

<file path=customXml/itemProps2.xml><?xml version="1.0" encoding="utf-8"?>
<ds:datastoreItem xmlns:ds="http://schemas.openxmlformats.org/officeDocument/2006/customXml" ds:itemID="{FA6A0B5C-5758-43AB-A084-60139027D6CB}">
  <ds:schemaRefs/>
</ds:datastoreItem>
</file>

<file path=customXml/itemProps3.xml><?xml version="1.0" encoding="utf-8"?>
<ds:datastoreItem xmlns:ds="http://schemas.openxmlformats.org/officeDocument/2006/customXml" ds:itemID="{DAFFD2B6-02E4-4138-B091-F8A8464F1E0C}">
  <ds:schemaRefs/>
</ds:datastoreItem>
</file>

<file path=customXml/itemProps4.xml><?xml version="1.0" encoding="utf-8"?>
<ds:datastoreItem xmlns:ds="http://schemas.openxmlformats.org/officeDocument/2006/customXml" ds:itemID="{AFCC17EF-CF5E-4D30-B67D-6235BF54EF22}">
  <ds:schemaRefs/>
</ds:datastoreItem>
</file>

<file path=customXml/itemProps5.xml><?xml version="1.0" encoding="utf-8"?>
<ds:datastoreItem xmlns:ds="http://schemas.openxmlformats.org/officeDocument/2006/customXml" ds:itemID="{B4C28FA2-4938-485F-9D52-B1FFCAD550E2}">
  <ds:schemaRefs/>
</ds:datastoreItem>
</file>

<file path=customXml/itemProps6.xml><?xml version="1.0" encoding="utf-8"?>
<ds:datastoreItem xmlns:ds="http://schemas.openxmlformats.org/officeDocument/2006/customXml" ds:itemID="{01826096-6DAC-4512-946B-92569085B7AC}">
  <ds:schemaRefs/>
</ds:datastoreItem>
</file>

<file path=customXml/itemProps7.xml><?xml version="1.0" encoding="utf-8"?>
<ds:datastoreItem xmlns:ds="http://schemas.openxmlformats.org/officeDocument/2006/customXml" ds:itemID="{4EF338B6-8AB7-45AA-8780-DD415674FA39}">
  <ds:schemaRefs/>
</ds:datastoreItem>
</file>

<file path=customXml/itemProps8.xml><?xml version="1.0" encoding="utf-8"?>
<ds:datastoreItem xmlns:ds="http://schemas.openxmlformats.org/officeDocument/2006/customXml" ds:itemID="{4B388139-D34D-4941-981B-5D321C889B8A}">
  <ds:schemaRefs/>
</ds:datastoreItem>
</file>

<file path=customXml/itemProps9.xml><?xml version="1.0" encoding="utf-8"?>
<ds:datastoreItem xmlns:ds="http://schemas.openxmlformats.org/officeDocument/2006/customXml" ds:itemID="{AE82DAE6-89F1-4EC4-8445-2E73E9F21F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2025-05-27T23:28:02Z</dcterms:modified>
</cp:coreProperties>
</file>