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Data\2025\02.M.Operaciones\02. Reporte de Eventos Diarios\06 Junio\"/>
    </mc:Choice>
  </mc:AlternateContent>
  <xr:revisionPtr revIDLastSave="0" documentId="13_ncr:1_{4B4616A4-C649-4D86-A105-6AC7593E8AF9}"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U5" i="78"/>
  <c r="T5" i="78"/>
  <c r="S5" i="78"/>
  <c r="R5"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<sst xmlns="http://schemas.openxmlformats.org/spreadsheetml/2006/main" count="1560" uniqueCount="886">
  <si>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</si>
  <si>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</si>
  <si>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</si>
  <si>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</si>
  <si>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</si>
  <si>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</si>
  <si>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</si>
  <si>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</si>
  <si>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</si>
  <si>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</si>
  <si>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</si>
  <si>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</si>
  <si>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</si>
  <si>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</si>
  <si>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</si>
  <si>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</si>
  <si>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</si>
  <si>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</si>
  <si>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</si>
  <si>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</si>
  <si>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</si>
  <si>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</si>
  <si>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</si>
  <si>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</si>
  <si>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</si>
  <si>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</si>
  <si>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</si>
  <si>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</si>
  <si>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</si>
  <si>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</si>
  <si>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</si>
  <si>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</si>
  <si>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</si>
  <si>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</si>
  <si>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</si>
  <si>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</si>
  <si>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</si>
  <si>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</si>
  <si>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</si>
  <si>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</si>
  <si>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</si>
  <si>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</si>
  <si>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</si>
  <si>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</si>
  <si>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</si>
  <si>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</si>
  <si>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</si>
  <si>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</si>
  <si>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</si>
  <si>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</si>
  <si>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</si>
  <si>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</si>
  <si>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</si>
  <si>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</si>
  <si>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</si>
  <si>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</si>
  <si>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</si>
  <si>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</si>
  <si>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</si>
  <si>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</si>
  <si>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</si>
  <si>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</si>
  <si>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</si>
  <si>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</si>
  <si>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</si>
  <si>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</si>
  <si>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</si>
  <si>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</si>
  <si>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</si>
  <si>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</si>
  <si>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</si>
  <si>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</si>
  <si>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</si>
  <si>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</si>
  <si>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</si>
  <si>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</si>
  <si>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</si>
  <si>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</si>
  <si>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</si>
  <si>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</si>
  <si>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</si>
  <si>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</si>
  <si>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</si>
  <si>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</si>
  <si>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</si>
  <si>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</si>
  <si>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</si>
  <si>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</si>
  <si>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</si>
  <si>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</si>
  <si>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</si>
  <si>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</si>
  <si>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</si>
  <si>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</si>
  <si>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</si>
  <si>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</si>
  <si>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</si>
  <si>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</si>
  <si>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</si>
  <si>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</si>
  <si>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</si>
  <si>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</si>
  <si>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</si>
  <si>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</si>
  <si>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</si>
  <si>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</si>
  <si>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</si>
  <si>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</si>
  <si>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</si>
  <si>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</si>
  <si>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</si>
  <si>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</si>
  <si>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</si>
  <si>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</si>
  <si>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</si>
  <si>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</si>
  <si>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</si>
  <si>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</si>
  <si>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</si>
  <si>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</si>
  <si>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</si>
  <si>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</si>
  <si>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</si>
  <si>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t>Maquinaria de PVN
01 Excavadora</t>
  </si>
  <si>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</si>
  <si>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</si>
  <si>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</si>
  <si>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</si>
  <si>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</si>
  <si>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</si>
  <si>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</si>
  <si>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</si>
  <si>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</si>
  <si>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</si>
  <si>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</si>
  <si>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</si>
  <si>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</si>
  <si>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</si>
  <si>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</si>
  <si>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</si>
  <si>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</si>
  <si>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</si>
  <si>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</si>
  <si>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</si>
  <si>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</si>
  <si>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</si>
  <si>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</si>
  <si>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</si>
  <si>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</si>
  <si>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</si>
  <si>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</si>
  <si>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</si>
  <si>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</si>
  <si>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</si>
  <si>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</si>
  <si>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</si>
  <si>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</si>
  <si>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</si>
  <si>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</si>
  <si>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</si>
  <si>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</si>
  <si>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</si>
  <si>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</si>
  <si>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</si>
  <si>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</si>
  <si>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</si>
  <si>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</si>
  <si>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</si>
  <si>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</si>
  <si>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</si>
  <si>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</si>
  <si>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</si>
  <si>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</si>
  <si>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</si>
  <si>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</si>
  <si>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</si>
  <si>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</si>
  <si>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</si>
  <si>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</si>
  <si>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</si>
  <si>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</si>
  <si>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</si>
  <si>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</si>
  <si>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</si>
  <si>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</si>
  <si>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</si>
  <si>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</si>
  <si>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</si>
  <si>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</si>
  <si>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</si>
  <si>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</si>
  <si>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</si>
  <si>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</si>
  <si>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</si>
  <si>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</si>
  <si>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</si>
  <si>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</si>
  <si>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</si>
  <si>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</si>
  <si>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</si>
  <si>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</si>
  <si>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</si>
  <si>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</si>
  <si>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</si>
  <si>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</si>
  <si>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</si>
  <si>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</si>
  <si>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</si>
  <si>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</si>
  <si>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</si>
  <si>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</si>
  <si>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</si>
  <si>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</si>
  <si>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</si>
  <si>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</si>
  <si>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</si>
  <si>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</si>
  <si>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</si>
  <si>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</si>
  <si>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</si>
  <si>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</si>
  <si>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</si>
  <si>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</si>
  <si>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</si>
  <si>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</si>
  <si>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</si>
  <si>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</si>
  <si>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</si>
  <si>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</si>
  <si>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</si>
  <si>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</si>
  <si>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</si>
  <si>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</si>
  <si>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</si>
  <si>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</si>
  <si>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</si>
  <si>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</si>
  <si>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</si>
  <si>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</si>
  <si>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</si>
  <si>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</si>
  <si>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</si>
  <si>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</si>
  <si>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</si>
  <si>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</si>
  <si>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</si>
  <si>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</si>
  <si>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</si>
  <si>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</si>
  <si>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</si>
  <si>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</si>
  <si>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La Libertad
</t>
    </r>
    <r>
      <rPr>
        <sz val="10"/>
        <color theme="1"/>
        <rFont val="Arial"/>
        <family val="2"/>
      </rPr>
      <t>Sánchez Carrión / Chugay</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</si>
  <si>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</si>
  <si>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</si>
  <si>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</si>
  <si>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</si>
  <si>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Maquinaria de la Concesionaria CONVIAL SIERRA NORTE
01 Retroxcavadora
01 Excavadora
04 Camión volquete</t>
  </si>
  <si>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</si>
  <si>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</si>
  <si>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</si>
  <si>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</si>
  <si>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</si>
  <si>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</si>
  <si>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</si>
  <si>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</si>
  <si>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</si>
  <si>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</si>
  <si>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</si>
  <si>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</si>
  <si>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</si>
  <si>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</si>
  <si>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</si>
  <si>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</si>
  <si>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</si>
  <si>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</si>
  <si>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</si>
  <si>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</si>
  <si>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</si>
  <si>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</si>
  <si>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</si>
  <si>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Ica
</t>
    </r>
    <r>
      <rPr>
        <sz val="10"/>
        <color theme="1"/>
        <rFont val="Arial"/>
        <family val="2"/>
      </rPr>
      <t>Ica / Santiago</t>
    </r>
  </si>
  <si>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</si>
  <si>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</si>
  <si>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</si>
  <si>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</si>
  <si>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</si>
  <si>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</si>
  <si>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t xml:space="preserve">Cajamarca
</t>
    </r>
    <r>
      <rPr>
        <sz val="10"/>
        <color theme="1"/>
        <rFont val="Arial"/>
        <family val="2"/>
      </rPr>
      <t>Chota / Lajas</t>
    </r>
  </si>
  <si>
    <t>Áncash</t>
  </si>
  <si>
    <t>28.03.25</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</si>
  <si>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</si>
  <si>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</si>
  <si>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</si>
  <si>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r>
      <rPr>
        <b/>
        <sz val="10"/>
        <rFont val="Arial"/>
        <family val="2"/>
      </rPr>
      <t xml:space="preserve">PVN
</t>
    </r>
    <r>
      <rPr>
        <sz val="10"/>
        <rFont val="Arial"/>
        <family val="2"/>
      </rPr>
      <t>Administración directa
Jefatura zonal Junín - Pasco 
Ronald Blanco Gonzales - Jefe zonal Correo:rblanco@pvn.gob.pe</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</si>
  <si>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</si>
  <si>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</si>
  <si>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</si>
  <si>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</si>
  <si>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t>AEROPUERTO-0032</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</si>
  <si>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</si>
  <si>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</si>
  <si>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</si>
  <si>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</si>
  <si>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</si>
  <si>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</si>
  <si>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</si>
  <si>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</si>
  <si>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</si>
  <si>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</si>
  <si>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</si>
  <si>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</si>
  <si>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</si>
  <si>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</si>
  <si>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</si>
  <si>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</si>
  <si>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</si>
  <si>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</si>
  <si>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</si>
  <si>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</si>
  <si>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</si>
  <si>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</si>
  <si>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</si>
  <si>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</si>
  <si>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t>Maquinaria del Contratista Conservador Consorcio Conservación Vial Mazocruz
01 Excavadora</t>
  </si>
  <si>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</si>
  <si>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</si>
  <si>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</si>
  <si>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</si>
  <si>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</si>
  <si>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r>
      <t xml:space="preserve">BITEL:
</t>
    </r>
    <r>
      <rPr>
        <sz val="10"/>
        <color theme="1"/>
        <rFont val="Arial"/>
        <family val="2"/>
      </rPr>
      <t>Telefonía móvil Internet móvil</t>
    </r>
  </si>
  <si>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</si>
  <si>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</si>
  <si>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</si>
  <si>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</si>
  <si>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</si>
  <si>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Junín
</t>
    </r>
    <r>
      <rPr>
        <sz val="10"/>
        <color theme="1"/>
        <rFont val="Arial"/>
        <family val="2"/>
      </rPr>
      <t>Satipo / Mazamari</t>
    </r>
  </si>
  <si>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</si>
  <si>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</si>
  <si>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</si>
  <si>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</si>
  <si>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</si>
  <si>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</si>
  <si>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</si>
  <si>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</si>
  <si>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</si>
  <si>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</si>
  <si>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t>15.04.25</t>
  </si>
  <si>
    <t>Huayabamba</t>
  </si>
  <si>
    <t>San Martin</t>
  </si>
  <si>
    <t>PE-3N</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</si>
  <si>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</si>
  <si>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</si>
  <si>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</si>
  <si>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</si>
  <si>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</si>
  <si>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</si>
  <si>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</si>
  <si>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</si>
  <si>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</si>
  <si>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</si>
  <si>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</si>
  <si>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</si>
  <si>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</si>
  <si>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</si>
  <si>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</si>
  <si>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</si>
  <si>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</si>
  <si>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</si>
  <si>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</si>
  <si>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</si>
  <si>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</si>
  <si>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</si>
  <si>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</si>
  <si>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</si>
  <si>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</si>
  <si>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</si>
  <si>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</si>
  <si>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</si>
  <si>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</si>
  <si>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</si>
  <si>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</si>
  <si>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</si>
  <si>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</si>
  <si>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</si>
  <si>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</si>
  <si>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</si>
  <si>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</si>
  <si>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</si>
  <si>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</si>
  <si>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</si>
  <si>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</si>
  <si>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</si>
  <si>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</si>
  <si>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</si>
  <si>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</si>
  <si>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</si>
  <si>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</si>
  <si>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</si>
  <si>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</si>
  <si>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</si>
  <si>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</si>
  <si>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Maquinaria del Contratista Conservador Calemar
02 Excavadora
01 Cargador frontal
02 Camión volquete</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</si>
  <si>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</si>
  <si>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</si>
  <si>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</si>
  <si>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</si>
  <si>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</si>
  <si>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</si>
  <si>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</si>
  <si>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</si>
  <si>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</si>
  <si>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</si>
  <si>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r>
      <rPr>
        <b/>
        <sz val="10"/>
        <rFont val="Arial"/>
        <family val="2"/>
      </rPr>
      <t>PVN</t>
    </r>
    <r>
      <rPr>
        <sz val="10"/>
        <rFont val="Arial"/>
        <family val="2"/>
      </rPr>
      <t xml:space="preserve">
Administración por contrato
Jefatura zonal Ucayali
Carlos Dávila Rivadeneyra  - Jefe zonal
Correo: Cdávila@pvn.gob.pe</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</si>
  <si>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</si>
  <si>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</si>
  <si>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</si>
  <si>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rPr>
        <b/>
        <sz val="10"/>
        <rFont val="Arial"/>
        <family val="2"/>
      </rPr>
      <t>PVN</t>
    </r>
    <r>
      <rPr>
        <sz val="10"/>
        <rFont val="Arial"/>
        <family val="2"/>
      </rPr>
      <t xml:space="preserve">
Administración por contrato
Jefatura zonal Cusco - Apurímac
Jimmy Eric Pairazaman Murrugarra- Jefe zonal
Correo:Cdávila@pvn.gob.pe</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</si>
  <si>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</si>
  <si>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</si>
  <si>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</si>
  <si>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</si>
  <si>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r>
      <rPr>
        <b/>
        <sz val="10"/>
        <rFont val="Arial"/>
        <family val="2"/>
      </rPr>
      <t>PVN</t>
    </r>
    <r>
      <rPr>
        <sz val="10"/>
        <rFont val="Arial"/>
        <family val="2"/>
      </rPr>
      <t xml:space="preserve">
Administración por contrato
Jefatura zonal Ucayali
Carlos Dávila Rivadeneyra - Jefe zonal
Correo: Cdávila@pvn.gob.pe</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</si>
  <si>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</si>
  <si>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</si>
  <si>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</si>
  <si>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</si>
  <si>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</si>
  <si>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</si>
  <si>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</si>
  <si>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</si>
  <si>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</si>
  <si>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</si>
  <si>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</si>
  <si>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</si>
  <si>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</si>
  <si>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</si>
  <si>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</si>
  <si>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</si>
  <si>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t>VIALES-004032</t>
  </si>
  <si>
    <t>Aquia</t>
  </si>
  <si>
    <t>15.05.25</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</si>
  <si>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</si>
  <si>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</si>
  <si>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</si>
  <si>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</si>
  <si>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</si>
  <si>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</si>
  <si>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</si>
  <si>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</si>
  <si>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rPr>
        <b/>
        <sz val="10"/>
        <color theme="1"/>
        <rFont val="Arial"/>
        <family val="2"/>
      </rPr>
      <t>Puno</t>
    </r>
    <r>
      <rPr>
        <sz val="10"/>
        <color theme="1"/>
        <rFont val="Arial"/>
        <family val="2"/>
      </rPr>
      <t xml:space="preserve">
Sandia / Sandia</t>
    </r>
  </si>
  <si>
    <r>
      <rPr>
        <b/>
        <sz val="10"/>
        <color theme="1"/>
        <rFont val="Arial"/>
        <family val="2"/>
      </rPr>
      <t>Pasco</t>
    </r>
    <r>
      <rPr>
        <sz val="10"/>
        <color theme="1"/>
        <rFont val="Arial"/>
        <family val="2"/>
      </rPr>
      <t xml:space="preserve">
Pasco / Yanacancha</t>
    </r>
  </si>
  <si>
    <t>VIALES-004053</t>
  </si>
  <si>
    <t>VIALES-004056</t>
  </si>
  <si>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</si>
  <si>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</si>
  <si>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</si>
  <si>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</si>
  <si>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</si>
  <si>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</si>
  <si>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</si>
  <si>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t>VIALES-004064</t>
  </si>
  <si>
    <r>
      <t xml:space="preserve">Red Vial Nacional: PE-5N,
Tramo: </t>
    </r>
    <r>
      <rPr>
        <sz val="10"/>
        <rFont val="Arial"/>
        <family val="2"/>
      </rPr>
      <t>San Juan Cacazu -</t>
    </r>
    <r>
      <rPr>
        <b/>
        <sz val="10"/>
        <rFont val="Arial"/>
        <family val="2"/>
      </rPr>
      <t xml:space="preserve"> </t>
    </r>
    <r>
      <rPr>
        <sz val="10"/>
        <rFont val="Arial"/>
        <family val="2"/>
      </rPr>
      <t>Puerto Bermúdez,</t>
    </r>
    <r>
      <rPr>
        <b/>
        <sz val="10"/>
        <rFont val="Arial"/>
        <family val="2"/>
      </rPr>
      <t xml:space="preserve">
Sector:</t>
    </r>
    <r>
      <rPr>
        <sz val="10"/>
        <rFont val="Arial"/>
        <family val="2"/>
      </rPr>
      <t xml:space="preserve"> San Juan de Cacazu Km 78+730 - Km 78+750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</si>
  <si>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</si>
  <si>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</si>
  <si>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</si>
  <si>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</si>
  <si>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</si>
  <si>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</si>
  <si>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</si>
  <si>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</si>
  <si>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</si>
  <si>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</si>
  <si>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</si>
  <si>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</si>
  <si>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</si>
  <si>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</si>
  <si>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Maquinaria del Contratista Conservador Mota - Engil Perú S.A.
01 Excavadora
06 Camión volquete
01 Retroexcavadora
01 Rodillo Liso
01 Motoniveladora</t>
  </si>
  <si>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</si>
  <si>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</si>
  <si>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</si>
  <si>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VIALES-004079</t>
  </si>
  <si>
    <t>MAQUINARIA
(Cantidad/tipo)</t>
  </si>
  <si>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</si>
  <si>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</si>
  <si>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</si>
  <si>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</si>
  <si>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</si>
  <si>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</si>
  <si>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Maquinaria del Contratista Conservador Consorcio Pumahuasi
01 Excavadora
02 Camión volquete</t>
  </si>
  <si>
    <t>Maquinaria del Contratista Conservador Construcción y Administración SA</t>
  </si>
  <si>
    <t>Maquinaria del Contratista Conservador Consorcio Matarani</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</si>
  <si>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</si>
  <si>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Río Moche Bajo.</t>
  </si>
  <si>
    <t>PE-10A</t>
  </si>
  <si>
    <t>Casmiche</t>
  </si>
  <si>
    <t>15.03.19</t>
  </si>
  <si>
    <r>
      <t xml:space="preserve">Áncash
</t>
    </r>
    <r>
      <rPr>
        <sz val="10"/>
        <color theme="1"/>
        <rFont val="Arial"/>
        <family val="2"/>
      </rPr>
      <t>Huari / Anra</t>
    </r>
  </si>
  <si>
    <r>
      <t xml:space="preserve">Red Vial Nacional: PE-14D,
Tramo: </t>
    </r>
    <r>
      <rPr>
        <sz val="10"/>
        <rFont val="Arial"/>
        <family val="2"/>
      </rPr>
      <t>Alpash - Puchca,</t>
    </r>
    <r>
      <rPr>
        <b/>
        <sz val="10"/>
        <rFont val="Arial"/>
        <family val="2"/>
      </rPr>
      <t xml:space="preserve">
Sector: </t>
    </r>
    <r>
      <rPr>
        <sz val="10"/>
        <rFont val="Arial"/>
        <family val="2"/>
      </rPr>
      <t>Maraypampa Km 1+200 - Km 1+240</t>
    </r>
  </si>
  <si>
    <t>VIALES-004098</t>
  </si>
  <si>
    <r>
      <t>Red Vial Nacional: PE-5N, 
Tramo:</t>
    </r>
    <r>
      <rPr>
        <sz val="10"/>
        <rFont val="Arial"/>
        <family val="2"/>
      </rPr>
      <t xml:space="preserve"> Villa Rica - Cacazu,
</t>
    </r>
    <r>
      <rPr>
        <b/>
        <sz val="10"/>
        <rFont val="Arial"/>
        <family val="2"/>
      </rPr>
      <t>Sector:</t>
    </r>
    <r>
      <rPr>
        <sz val="10"/>
        <rFont val="Arial"/>
        <family val="2"/>
      </rPr>
      <t xml:space="preserve"> Mellizos - Ticlio Chico Km 57+000 - Km 61+000</t>
    </r>
  </si>
  <si>
    <t>VIALES-004100</t>
  </si>
  <si>
    <r>
      <t>Red Vial Nacional: PE-3N, 
Tramo:</t>
    </r>
    <r>
      <rPr>
        <sz val="10"/>
        <rFont val="Arial"/>
        <family val="2"/>
      </rPr>
      <t xml:space="preserve"> Dv. Curilcas - Socchabamba,
</t>
    </r>
    <r>
      <rPr>
        <b/>
        <sz val="10"/>
        <rFont val="Arial"/>
        <family val="2"/>
      </rPr>
      <t>Sector:</t>
    </r>
    <r>
      <rPr>
        <sz val="10"/>
        <rFont val="Arial"/>
        <family val="2"/>
      </rPr>
      <t xml:space="preserve"> Hualcuy Bajo Km 1912+150 - Km 1912+160</t>
    </r>
  </si>
  <si>
    <t>VIALES-004103</t>
  </si>
  <si>
    <r>
      <t xml:space="preserve">Red Vial Nacional: PE-3S,
Tramo: </t>
    </r>
    <r>
      <rPr>
        <sz val="10"/>
        <rFont val="Arial"/>
        <family val="2"/>
      </rPr>
      <t xml:space="preserve">La Oroya - Huancayo,
</t>
    </r>
    <r>
      <rPr>
        <b/>
        <sz val="10"/>
        <rFont val="Arial"/>
        <family val="2"/>
      </rPr>
      <t>Sector:</t>
    </r>
    <r>
      <rPr>
        <sz val="10"/>
        <rFont val="Arial"/>
        <family val="2"/>
      </rPr>
      <t xml:space="preserve"> El Rosario Km 46+150 - Km 46+200</t>
    </r>
  </si>
  <si>
    <t>Huánuco
Aeropuerto de Huánuco</t>
  </si>
  <si>
    <t>AEROPUERTO-0035</t>
  </si>
  <si>
    <t xml:space="preserve">Maquinaria del Contratista Conservador Consorcio Calemar
01 Cargador frontal
01 Excavadora
</t>
  </si>
  <si>
    <r>
      <t xml:space="preserve">Amazonas
</t>
    </r>
    <r>
      <rPr>
        <sz val="10"/>
        <color theme="1"/>
        <rFont val="Arial"/>
        <family val="2"/>
      </rPr>
      <t>Bagua / Imaza</t>
    </r>
  </si>
  <si>
    <r>
      <t xml:space="preserve">Red Vial Nacional: PE-5NC,
Tramo: </t>
    </r>
    <r>
      <rPr>
        <sz val="10"/>
        <rFont val="Arial"/>
        <family val="2"/>
      </rPr>
      <t xml:space="preserve">Entrada Chiriaco - Wawico,
</t>
    </r>
    <r>
      <rPr>
        <b/>
        <sz val="10"/>
        <rFont val="Arial"/>
        <family val="2"/>
      </rPr>
      <t>Sector:</t>
    </r>
    <r>
      <rPr>
        <sz val="10"/>
        <rFont val="Arial"/>
        <family val="2"/>
      </rPr>
      <t xml:space="preserve"> Nazareth Km 115+400 - Km 115+413</t>
    </r>
  </si>
  <si>
    <t>VIALES-004110</t>
  </si>
  <si>
    <r>
      <rPr>
        <b/>
        <sz val="10"/>
        <color theme="1"/>
        <rFont val="Arial"/>
        <family val="2"/>
      </rPr>
      <t>Lima</t>
    </r>
    <r>
      <rPr>
        <sz val="10"/>
        <color theme="1"/>
        <rFont val="Arial"/>
        <family val="2"/>
      </rPr>
      <t xml:space="preserve">
Cajatambo / Huancapón</t>
    </r>
  </si>
  <si>
    <t>Maquinaria del Contratista Conservador Consorcio Vial Pamplona</t>
  </si>
  <si>
    <t>VIALES-004112</t>
  </si>
  <si>
    <r>
      <t xml:space="preserve">Lima
</t>
    </r>
    <r>
      <rPr>
        <sz val="10"/>
        <color theme="1"/>
        <rFont val="Arial"/>
        <family val="2"/>
      </rPr>
      <t>Yauyos / Colonia</t>
    </r>
  </si>
  <si>
    <r>
      <t xml:space="preserve">Red Vial Nacional: PE-24,
Tramo: </t>
    </r>
    <r>
      <rPr>
        <sz val="10"/>
        <rFont val="Arial"/>
        <family val="2"/>
      </rPr>
      <t xml:space="preserve">Pacran - San Lorenzo de Putinza,
</t>
    </r>
    <r>
      <rPr>
        <b/>
        <sz val="10"/>
        <rFont val="Arial"/>
        <family val="2"/>
      </rPr>
      <t>Sector:</t>
    </r>
    <r>
      <rPr>
        <sz val="10"/>
        <rFont val="Arial"/>
        <family val="2"/>
      </rPr>
      <t xml:space="preserve"> Puente Auco Km 126+700 - Km 126+750</t>
    </r>
  </si>
  <si>
    <t>Auco</t>
  </si>
  <si>
    <t>PE-24</t>
  </si>
  <si>
    <t>02.06.25</t>
  </si>
  <si>
    <t>VIALES-004114</t>
  </si>
  <si>
    <r>
      <t xml:space="preserve">Piura
</t>
    </r>
    <r>
      <rPr>
        <sz val="10"/>
        <color theme="1"/>
        <rFont val="Arial"/>
        <family val="2"/>
      </rPr>
      <t>Ayabaca / Pacaipampa</t>
    </r>
  </si>
  <si>
    <r>
      <t xml:space="preserve">Red Vial Nacional: PE-1NR,
Tramo: </t>
    </r>
    <r>
      <rPr>
        <sz val="10"/>
        <rFont val="Arial"/>
        <family val="2"/>
      </rPr>
      <t>Salida Pacaipampa - Entrada Curilcas,</t>
    </r>
    <r>
      <rPr>
        <b/>
        <sz val="10"/>
        <rFont val="Arial"/>
        <family val="2"/>
      </rPr>
      <t xml:space="preserve">
Sector: </t>
    </r>
    <r>
      <rPr>
        <sz val="10"/>
        <rFont val="Arial"/>
        <family val="2"/>
      </rPr>
      <t>La Ramada de Vilca (Prog. De TDR Km 163+280 - Km 163+294) Km 163+580 - Km 163+594</t>
    </r>
  </si>
  <si>
    <t>VIALES-004115</t>
  </si>
  <si>
    <r>
      <rPr>
        <b/>
        <sz val="10"/>
        <color theme="1"/>
        <rFont val="Arial"/>
        <family val="2"/>
      </rPr>
      <t>Puno</t>
    </r>
    <r>
      <rPr>
        <sz val="10"/>
        <color theme="1"/>
        <rFont val="Arial"/>
        <family val="2"/>
      </rPr>
      <t xml:space="preserve">
San Antonio de Putina / Quilcapuncu</t>
    </r>
  </si>
  <si>
    <r>
      <t>Red Vial Nacional: PE-34H, 
Tramo:</t>
    </r>
    <r>
      <rPr>
        <sz val="10"/>
        <rFont val="Arial"/>
        <family val="2"/>
      </rPr>
      <t xml:space="preserve"> Putina - Ananea,
</t>
    </r>
    <r>
      <rPr>
        <b/>
        <sz val="10"/>
        <rFont val="Arial"/>
        <family val="2"/>
      </rPr>
      <t>Sector:</t>
    </r>
    <r>
      <rPr>
        <sz val="10"/>
        <rFont val="Arial"/>
        <family val="2"/>
      </rPr>
      <t xml:space="preserve"> Quilcapuncu Km 112+360 - Km 112+390</t>
    </r>
  </si>
  <si>
    <t xml:space="preserve">Maquinaria del Contratista Conservador Mota Engil
02 Excavadora </t>
  </si>
  <si>
    <t>Maquinaria del Contratista Conservador Consorcio Vial Puquio
01 Retroexcavadora
01 Camión volquete
01 Camión cisterna</t>
  </si>
  <si>
    <t>Maquinaria del Contratista Conservador Consorcio Vial Nieva
01 Retroexcavadora</t>
  </si>
  <si>
    <r>
      <rPr>
        <b/>
        <sz val="10"/>
        <color theme="1"/>
        <rFont val="Arial"/>
        <family val="2"/>
      </rPr>
      <t>Cajamarca</t>
    </r>
    <r>
      <rPr>
        <sz val="10"/>
        <color theme="1"/>
        <rFont val="Arial"/>
        <family val="2"/>
      </rPr>
      <t xml:space="preserve">
Cutervo / Pimpingos</t>
    </r>
  </si>
  <si>
    <r>
      <t>Red Vial Nacional: PE-3ND, 
Tramo:</t>
    </r>
    <r>
      <rPr>
        <sz val="10"/>
        <rFont val="Arial"/>
        <family val="2"/>
      </rPr>
      <t xml:space="preserve"> Santo Tomás - Pimpingos,
</t>
    </r>
    <r>
      <rPr>
        <b/>
        <sz val="10"/>
        <rFont val="Arial"/>
        <family val="2"/>
      </rPr>
      <t>Sector:</t>
    </r>
    <r>
      <rPr>
        <sz val="10"/>
        <rFont val="Arial"/>
        <family val="2"/>
      </rPr>
      <t xml:space="preserve"> Palturco Km 97+945 - Km 97+960</t>
    </r>
  </si>
  <si>
    <t>VIALES-004117</t>
  </si>
  <si>
    <r>
      <t>Red Vial Nacional: PE-3N, 
Tramo:</t>
    </r>
    <r>
      <rPr>
        <sz val="10"/>
        <rFont val="Arial"/>
        <family val="2"/>
      </rPr>
      <t xml:space="preserve"> Dv. Curilcas - Socchabamba,
</t>
    </r>
    <r>
      <rPr>
        <b/>
        <sz val="10"/>
        <rFont val="Arial"/>
        <family val="2"/>
      </rPr>
      <t>Sector:</t>
    </r>
    <r>
      <rPr>
        <sz val="10"/>
        <rFont val="Arial"/>
        <family val="2"/>
      </rPr>
      <t xml:space="preserve"> Asiayacu Km 1935+739 - Km 1935+766</t>
    </r>
  </si>
  <si>
    <t>VIALES-004118</t>
  </si>
  <si>
    <r>
      <rPr>
        <b/>
        <sz val="10"/>
        <rFont val="Arial"/>
        <family val="2"/>
      </rPr>
      <t>PVN</t>
    </r>
    <r>
      <rPr>
        <sz val="10"/>
        <rFont val="Arial"/>
        <family val="2"/>
      </rPr>
      <t xml:space="preserve">
Administración directa
Jefatura zonal Lima
Ing. Christian Guerra Peralta - Jefe zonal
Correo: cguerra@pvn.gob.pe</t>
    </r>
  </si>
  <si>
    <t>Maquinaria del Contratista Conservador Consorcio Vial Sondor Vado Grande
01 Retroexcavadora
01 Camión volquete</t>
  </si>
  <si>
    <r>
      <rPr>
        <b/>
        <sz val="10"/>
        <color theme="1"/>
        <rFont val="Arial"/>
        <family val="2"/>
      </rPr>
      <t>Puno</t>
    </r>
    <r>
      <rPr>
        <sz val="10"/>
        <color theme="1"/>
        <rFont val="Arial"/>
        <family val="2"/>
      </rPr>
      <t xml:space="preserve">
Sandia / San Juan del Oro</t>
    </r>
  </si>
  <si>
    <t>Maquinaria del Contratista Conservador Mota Engil
01 Excavadora
02 Camión volquete
01 Cargador frontal</t>
  </si>
  <si>
    <t>VIALES-004123</t>
  </si>
  <si>
    <t>VIALES-004125</t>
  </si>
  <si>
    <r>
      <t xml:space="preserve">Áncash
</t>
    </r>
    <r>
      <rPr>
        <sz val="10"/>
        <color theme="1"/>
        <rFont val="Arial"/>
        <family val="2"/>
      </rPr>
      <t>Huari / Uco</t>
    </r>
  </si>
  <si>
    <r>
      <t xml:space="preserve">Red Vial Nacional: PE-14D,
Tramo: </t>
    </r>
    <r>
      <rPr>
        <sz val="10"/>
        <rFont val="Arial"/>
        <family val="2"/>
      </rPr>
      <t>Batan - Puchca,</t>
    </r>
    <r>
      <rPr>
        <b/>
        <sz val="10"/>
        <rFont val="Arial"/>
        <family val="2"/>
      </rPr>
      <t xml:space="preserve">
Sector:</t>
    </r>
    <r>
      <rPr>
        <sz val="10"/>
        <rFont val="Arial"/>
        <family val="2"/>
      </rPr>
      <t xml:space="preserve"> Gargahuain Km 8+600 - Km 8+700</t>
    </r>
  </si>
  <si>
    <r>
      <t>Red Vial Nacional: PE-3N, 
Tramo:</t>
    </r>
    <r>
      <rPr>
        <sz val="10"/>
        <rFont val="Arial"/>
        <family val="2"/>
      </rPr>
      <t xml:space="preserve"> Dv. Curilcas - Socchabamba,
</t>
    </r>
    <r>
      <rPr>
        <b/>
        <sz val="10"/>
        <rFont val="Arial"/>
        <family val="2"/>
      </rPr>
      <t>Sector:</t>
    </r>
    <r>
      <rPr>
        <sz val="10"/>
        <rFont val="Arial"/>
        <family val="2"/>
      </rPr>
      <t xml:space="preserve"> Hualcuy  Km 1911+985 - Km 1912+015</t>
    </r>
  </si>
  <si>
    <t>VIALES-004128</t>
  </si>
  <si>
    <t>ABIERTO</t>
  </si>
  <si>
    <r>
      <t xml:space="preserve">Junín
</t>
    </r>
    <r>
      <rPr>
        <sz val="10"/>
        <color theme="1"/>
        <rFont val="Arial"/>
        <family val="2"/>
      </rPr>
      <t>Chanchamayo / Chanchamayo</t>
    </r>
  </si>
  <si>
    <t>Junín</t>
  </si>
  <si>
    <t>Michuchaca</t>
  </si>
  <si>
    <t>PE-24A</t>
  </si>
  <si>
    <t>05.06.25</t>
  </si>
  <si>
    <r>
      <t xml:space="preserve">San Martín
</t>
    </r>
    <r>
      <rPr>
        <sz val="10"/>
        <color theme="1"/>
        <rFont val="Arial"/>
        <family val="2"/>
      </rPr>
      <t>Mariscal Cáceres / Juanjui</t>
    </r>
  </si>
  <si>
    <r>
      <t>Red Vial Nacional: PE-3N, 
Tramo:</t>
    </r>
    <r>
      <rPr>
        <sz val="10"/>
        <rFont val="Arial"/>
        <family val="2"/>
      </rPr>
      <t xml:space="preserve"> Dv. Curilcas - Socchabamba,
</t>
    </r>
    <r>
      <rPr>
        <b/>
        <sz val="10"/>
        <rFont val="Arial"/>
        <family val="2"/>
      </rPr>
      <t>Sector:</t>
    </r>
    <r>
      <rPr>
        <sz val="10"/>
        <rFont val="Arial"/>
        <family val="2"/>
      </rPr>
      <t xml:space="preserve"> Hualcuy  Km 1909+230 - Km 1909+240</t>
    </r>
  </si>
  <si>
    <r>
      <t xml:space="preserve">Ayacucho
</t>
    </r>
    <r>
      <rPr>
        <sz val="10"/>
        <color theme="1"/>
        <rFont val="Arial"/>
        <family val="2"/>
      </rPr>
      <t>Lucanas / Puquio</t>
    </r>
  </si>
  <si>
    <t>VIALES-004132</t>
  </si>
  <si>
    <t>VIALES-004133</t>
  </si>
  <si>
    <r>
      <t xml:space="preserve">Red Vial Nacional: PE-24A,
Tramo: </t>
    </r>
    <r>
      <rPr>
        <sz val="10"/>
        <rFont val="Arial"/>
        <family val="2"/>
      </rPr>
      <t>Calabaza - Mariposa</t>
    </r>
    <r>
      <rPr>
        <b/>
        <sz val="10"/>
        <rFont val="Arial"/>
        <family val="2"/>
      </rPr>
      <t xml:space="preserve">
Sector:</t>
    </r>
    <r>
      <rPr>
        <sz val="10"/>
        <rFont val="Arial"/>
        <family val="2"/>
      </rPr>
      <t xml:space="preserve"> Michuchaca  Km 154+750 - Km 154+780</t>
    </r>
  </si>
  <si>
    <t>VIALES-004135</t>
  </si>
  <si>
    <r>
      <t xml:space="preserve">Ucayali
</t>
    </r>
    <r>
      <rPr>
        <sz val="10"/>
        <color theme="1"/>
        <rFont val="Arial"/>
        <family val="2"/>
      </rPr>
      <t>Coronel Portillo / Callaria</t>
    </r>
  </si>
  <si>
    <r>
      <t xml:space="preserve">Ayacucho
</t>
    </r>
    <r>
      <rPr>
        <sz val="10"/>
        <color theme="1"/>
        <rFont val="Arial"/>
        <family val="2"/>
      </rPr>
      <t>Huamanga / Vinchos</t>
    </r>
  </si>
  <si>
    <r>
      <t xml:space="preserve">Red Vial Nacional: PE-28A,
Tramo: </t>
    </r>
    <r>
      <rPr>
        <sz val="10"/>
        <rFont val="Arial"/>
        <family val="2"/>
      </rPr>
      <t>Rumichaca - Socos</t>
    </r>
    <r>
      <rPr>
        <b/>
        <sz val="10"/>
        <rFont val="Arial"/>
        <family val="2"/>
      </rPr>
      <t xml:space="preserve">,
Sector: </t>
    </r>
    <r>
      <rPr>
        <sz val="10"/>
        <rFont val="Arial"/>
        <family val="2"/>
      </rPr>
      <t>Niñobamba Km 259+230 - Km 259+250</t>
    </r>
  </si>
  <si>
    <t>VIALES-004137</t>
  </si>
  <si>
    <r>
      <t xml:space="preserve">La Libertad
</t>
    </r>
    <r>
      <rPr>
        <sz val="10"/>
        <color theme="1"/>
        <rFont val="Arial"/>
        <family val="2"/>
      </rPr>
      <t>Trujillo / Trujillo</t>
    </r>
  </si>
  <si>
    <r>
      <t xml:space="preserve">Red Vial Nacional: PE-10B,
Tramo: </t>
    </r>
    <r>
      <rPr>
        <sz val="10"/>
        <rFont val="Arial"/>
        <family val="2"/>
      </rPr>
      <t>Pte Calemar - Bambamarca - Abra Naranjillo,</t>
    </r>
    <r>
      <rPr>
        <b/>
        <sz val="10"/>
        <rFont val="Arial"/>
        <family val="2"/>
      </rPr>
      <t xml:space="preserve"> 
Sector: </t>
    </r>
    <r>
      <rPr>
        <sz val="10"/>
        <rFont val="Arial"/>
        <family val="2"/>
      </rPr>
      <t>Bambamarca Km 105+980 - Km 106+120</t>
    </r>
  </si>
  <si>
    <r>
      <rPr>
        <b/>
        <sz val="10"/>
        <rFont val="Arial"/>
        <family val="2"/>
      </rPr>
      <t>PVN</t>
    </r>
    <r>
      <rPr>
        <sz val="10"/>
        <rFont val="Arial"/>
        <family val="2"/>
      </rPr>
      <t xml:space="preserve">
Administración directa
Jefatura zonal La Libertad
Ing. Walter Urrunaga Cubas- Jefe zonal
Correo:wurrunaga@pvn.gob.pe</t>
    </r>
  </si>
  <si>
    <t>VIALES-004138</t>
  </si>
  <si>
    <t>Niñobamba</t>
  </si>
  <si>
    <t>PE-28A</t>
  </si>
  <si>
    <t>Maquinaria de PVN
01 Excavadora
01 Cargador frontal</t>
  </si>
  <si>
    <t>Maquinaria del Contratista Conservador Mota Engil
01 Excavadora
01 Cargador frontal
01 Camión volquete</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</si>
  <si>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146+150 - Km 146+200</t>
    </r>
  </si>
  <si>
    <t>VIALES-004140</t>
  </si>
  <si>
    <t>VIALES-004142</t>
  </si>
  <si>
    <r>
      <t xml:space="preserve">Red Vial Nacional: PE-3SF,
Tramo: </t>
    </r>
    <r>
      <rPr>
        <sz val="10"/>
        <color theme="1"/>
        <rFont val="Arial"/>
        <family val="2"/>
      </rPr>
      <t>Curasco - Chalhuahuacho,</t>
    </r>
    <r>
      <rPr>
        <b/>
        <sz val="10"/>
        <color theme="1"/>
        <rFont val="Arial"/>
        <family val="2"/>
      </rPr>
      <t xml:space="preserve">
Sector:</t>
    </r>
    <r>
      <rPr>
        <sz val="10"/>
        <color theme="1"/>
        <rFont val="Arial"/>
        <family val="2"/>
      </rPr>
      <t xml:space="preserve"> Lahuajenta Km 160+700 - Km 160+705</t>
    </r>
  </si>
  <si>
    <r>
      <rPr>
        <b/>
        <sz val="10"/>
        <color theme="1"/>
        <rFont val="Arial"/>
        <family val="2"/>
      </rPr>
      <t>Apurímac</t>
    </r>
    <r>
      <rPr>
        <sz val="10"/>
        <color theme="1"/>
        <rFont val="Arial"/>
        <family val="2"/>
      </rPr>
      <t xml:space="preserve">
Grau / Curasco</t>
    </r>
  </si>
  <si>
    <t>Maquinaria del Contratista Conservador China Railway Tunnel Group Co. LTD Sucursal del Perú
01 Retroexcavadora</t>
  </si>
  <si>
    <t>VIALES-004143</t>
  </si>
  <si>
    <r>
      <t xml:space="preserve">Red Vial Nacional: PE-14D,
Tramo: </t>
    </r>
    <r>
      <rPr>
        <sz val="10"/>
        <rFont val="Arial"/>
        <family val="2"/>
      </rPr>
      <t>Batán - Chiquián,</t>
    </r>
    <r>
      <rPr>
        <b/>
        <sz val="10"/>
        <rFont val="Arial"/>
        <family val="2"/>
      </rPr>
      <t xml:space="preserve">
Sector:</t>
    </r>
    <r>
      <rPr>
        <sz val="10"/>
        <rFont val="Arial"/>
        <family val="2"/>
      </rPr>
      <t xml:space="preserve"> Pumahuain Km 8+400 - Km 8+490</t>
    </r>
  </si>
  <si>
    <r>
      <t>Red Vial Nacional: PE-5SB, 
Tramo:</t>
    </r>
    <r>
      <rPr>
        <sz val="10"/>
        <rFont val="Arial"/>
        <family val="2"/>
      </rPr>
      <t xml:space="preserve"> Bajo Kimiriki - Puerto Ocopa,
</t>
    </r>
    <r>
      <rPr>
        <b/>
        <sz val="10"/>
        <rFont val="Arial"/>
        <family val="2"/>
      </rPr>
      <t>Sector:</t>
    </r>
    <r>
      <rPr>
        <sz val="10"/>
        <rFont val="Arial"/>
        <family val="2"/>
      </rPr>
      <t xml:space="preserve"> Buenos Aires Km 78+000 - Km 84+000</t>
    </r>
  </si>
  <si>
    <t>VIALES-004144</t>
  </si>
  <si>
    <r>
      <t xml:space="preserve">Junín
</t>
    </r>
    <r>
      <rPr>
        <sz val="10"/>
        <color theme="1"/>
        <rFont val="Arial"/>
        <family val="2"/>
      </rPr>
      <t>Satipo / Rio Tambo</t>
    </r>
  </si>
  <si>
    <r>
      <t>Red Vial Nacional: PE-5S, 
Tramo:</t>
    </r>
    <r>
      <rPr>
        <sz val="10"/>
        <rFont val="Arial"/>
        <family val="2"/>
      </rPr>
      <t xml:space="preserve"> Puerto Ocopa - Poyeni,
</t>
    </r>
    <r>
      <rPr>
        <b/>
        <sz val="10"/>
        <rFont val="Arial"/>
        <family val="2"/>
      </rPr>
      <t>Sector:</t>
    </r>
    <r>
      <rPr>
        <sz val="10"/>
        <rFont val="Arial"/>
        <family val="2"/>
      </rPr>
      <t xml:space="preserve"> Camajeni Km 245+000 - Km 246+760</t>
    </r>
  </si>
  <si>
    <t>VIALES-004145</t>
  </si>
  <si>
    <r>
      <t xml:space="preserve">Red Vial Nacional: PE- 5N,
Tramo: </t>
    </r>
    <r>
      <rPr>
        <sz val="10"/>
        <rFont val="Arial"/>
        <family val="2"/>
      </rPr>
      <t xml:space="preserve">Juanjui - Campanilla,
</t>
    </r>
    <r>
      <rPr>
        <b/>
        <sz val="10"/>
        <rFont val="Arial"/>
        <family val="2"/>
      </rPr>
      <t xml:space="preserve">Sector: </t>
    </r>
    <r>
      <rPr>
        <sz val="10"/>
        <rFont val="Arial"/>
        <family val="2"/>
      </rPr>
      <t>Miramar Km 781+570 - Km 781+400</t>
    </r>
  </si>
  <si>
    <r>
      <t>Red Vial Nacional: PE-34H, 
Tramo:</t>
    </r>
    <r>
      <rPr>
        <sz val="10"/>
        <rFont val="Arial"/>
        <family val="2"/>
      </rPr>
      <t xml:space="preserve"> Dv. Chuquine -  Sandia,
</t>
    </r>
    <r>
      <rPr>
        <b/>
        <sz val="10"/>
        <rFont val="Arial"/>
        <family val="2"/>
      </rPr>
      <t>Sector:</t>
    </r>
    <r>
      <rPr>
        <sz val="10"/>
        <rFont val="Arial"/>
        <family val="2"/>
      </rPr>
      <t xml:space="preserve"> Ayo Km 218+690 - Km 218+920</t>
    </r>
  </si>
  <si>
    <t xml:space="preserve">Santa Bárbara </t>
  </si>
  <si>
    <t>PE-14C</t>
  </si>
  <si>
    <r>
      <t>Red Vial Nacional: PE-3N, 
Tramo:</t>
    </r>
    <r>
      <rPr>
        <sz val="10"/>
        <rFont val="Arial"/>
        <family val="2"/>
      </rPr>
      <t xml:space="preserve"> Dv. Curilcas - Socchabamba,
</t>
    </r>
    <r>
      <rPr>
        <b/>
        <sz val="10"/>
        <rFont val="Arial"/>
        <family val="2"/>
      </rPr>
      <t>Sector:</t>
    </r>
    <r>
      <rPr>
        <sz val="10"/>
        <rFont val="Arial"/>
        <family val="2"/>
      </rPr>
      <t xml:space="preserve"> Hualcuy Km 1909+695 - Km 1909+710</t>
    </r>
  </si>
  <si>
    <t>VIALES-004148</t>
  </si>
  <si>
    <t>29.05.25</t>
  </si>
  <si>
    <t>Maquinaria del Contratista Conservador Consorcio Pumahuasi
01 Retroexcavadora, 
01 Cortadora,
02 vibroapisonadores;</t>
  </si>
  <si>
    <t>VIALES-004149</t>
  </si>
  <si>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305+440- Km 305+550</t>
    </r>
  </si>
  <si>
    <r>
      <t xml:space="preserve">Red Vial Nacional: PE-5ND,
Tramo: </t>
    </r>
    <r>
      <rPr>
        <sz val="10"/>
        <rFont val="Arial"/>
        <family val="2"/>
      </rPr>
      <t xml:space="preserve">Wawico - Km 58,
</t>
    </r>
    <r>
      <rPr>
        <b/>
        <sz val="10"/>
        <rFont val="Arial"/>
        <family val="2"/>
      </rPr>
      <t>Sector:</t>
    </r>
    <r>
      <rPr>
        <sz val="10"/>
        <rFont val="Arial"/>
        <family val="2"/>
      </rPr>
      <t xml:space="preserve"> Kayants Km 23+470 - Km 23+480</t>
    </r>
  </si>
  <si>
    <r>
      <t xml:space="preserve">Red Vial Nacional: PE-18C, 
Tramo: </t>
    </r>
    <r>
      <rPr>
        <sz val="10"/>
        <rFont val="Arial"/>
        <family val="2"/>
      </rPr>
      <t>Neshuya - Pucallpa,</t>
    </r>
    <r>
      <rPr>
        <b/>
        <sz val="10"/>
        <rFont val="Arial"/>
        <family val="2"/>
      </rPr>
      <t xml:space="preserve"> 
Sector: </t>
    </r>
    <r>
      <rPr>
        <sz val="10"/>
        <rFont val="Arial"/>
        <family val="2"/>
      </rPr>
      <t>Pucallpa Km 75+160 - Km 75+165</t>
    </r>
  </si>
  <si>
    <t>VIALES-004150</t>
  </si>
  <si>
    <t>VIALES-004151</t>
  </si>
  <si>
    <r>
      <t xml:space="preserve">Red Vial Nacional: PE-32,
Tramo: </t>
    </r>
    <r>
      <rPr>
        <sz val="10"/>
        <rFont val="Arial"/>
        <family val="2"/>
      </rPr>
      <t>Chaviña - Puquio,</t>
    </r>
    <r>
      <rPr>
        <b/>
        <sz val="10"/>
        <rFont val="Arial"/>
        <family val="2"/>
      </rPr>
      <t xml:space="preserve">
Sector: </t>
    </r>
    <r>
      <rPr>
        <sz val="10"/>
        <rFont val="Arial"/>
        <family val="2"/>
      </rPr>
      <t>Pacopampa Km 260+820 - Km 260+850</t>
    </r>
  </si>
  <si>
    <t>VIALES-004152</t>
  </si>
  <si>
    <r>
      <t xml:space="preserve">Pasco
</t>
    </r>
    <r>
      <rPr>
        <sz val="10"/>
        <color theme="1"/>
        <rFont val="Arial"/>
        <family val="2"/>
      </rPr>
      <t>Oxapampa / Puerto Bermúdez</t>
    </r>
  </si>
  <si>
    <r>
      <t>Red Vial Nacional: PE-5N, 
Tramo:</t>
    </r>
    <r>
      <rPr>
        <sz val="10"/>
        <rFont val="Arial"/>
        <family val="2"/>
      </rPr>
      <t xml:space="preserve"> San Juan de Cacazu-Puerto Bermúdez,
</t>
    </r>
    <r>
      <rPr>
        <b/>
        <sz val="10"/>
        <rFont val="Arial"/>
        <family val="2"/>
      </rPr>
      <t>Sector:</t>
    </r>
    <r>
      <rPr>
        <sz val="10"/>
        <rFont val="Arial"/>
        <family val="2"/>
      </rPr>
      <t xml:space="preserve"> Arroz con Huevo Km 128+380 - Km 128+400</t>
    </r>
  </si>
  <si>
    <t>Maquinaria de conservadora Mota Engil Perú S.A.
01 Excavadora
03 Camión volquete
01 Camión baranda
01 Retroexcavadora</t>
  </si>
  <si>
    <t>VIALES-004153</t>
  </si>
  <si>
    <r>
      <t xml:space="preserve">Áncash
</t>
    </r>
    <r>
      <rPr>
        <sz val="10"/>
        <color theme="1"/>
        <rFont val="Arial"/>
        <family val="2"/>
      </rPr>
      <t>Ocros / Carhuapampa</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</si>
  <si>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88+650 - Km 88+675</t>
    </r>
  </si>
  <si>
    <t>VIALES-004154</t>
  </si>
  <si>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37+600 - Km 37+990</t>
    </r>
  </si>
  <si>
    <t>VIALES-003620</t>
  </si>
  <si>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</si>
  <si>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</si>
  <si>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VIALES-004155</t>
  </si>
  <si>
    <r>
      <t>Red Vial Nacional: PE-3N, 
Tramo:</t>
    </r>
    <r>
      <rPr>
        <sz val="10"/>
        <rFont val="Arial"/>
        <family val="2"/>
      </rPr>
      <t xml:space="preserve"> Dv. Curilcas - Socchabamba,
</t>
    </r>
    <r>
      <rPr>
        <b/>
        <sz val="10"/>
        <rFont val="Arial"/>
        <family val="2"/>
      </rPr>
      <t>Sector:</t>
    </r>
    <r>
      <rPr>
        <sz val="10"/>
        <rFont val="Arial"/>
        <family val="2"/>
      </rPr>
      <t xml:space="preserve"> Asiayacu Km 1938+489 - Km 1938+504</t>
    </r>
  </si>
  <si>
    <t>Maquinaria de Contratista Conservador Consorcio Vial Sondor Vado Grande
01 Retroexcavadora</t>
  </si>
  <si>
    <t>VIALES-004156</t>
  </si>
  <si>
    <r>
      <t>Red Vial Nacional: PE-3N, 
Tramo:</t>
    </r>
    <r>
      <rPr>
        <sz val="10"/>
        <rFont val="Arial"/>
        <family val="2"/>
      </rPr>
      <t xml:space="preserve"> Dv. Curilcas - Socchabamba,
</t>
    </r>
    <r>
      <rPr>
        <b/>
        <sz val="10"/>
        <rFont val="Arial"/>
        <family val="2"/>
      </rPr>
      <t>Sector:</t>
    </r>
    <r>
      <rPr>
        <sz val="10"/>
        <rFont val="Arial"/>
        <family val="2"/>
      </rPr>
      <t xml:space="preserve"> Nogal Km 1924+809 - Km 1924+909</t>
    </r>
  </si>
  <si>
    <t>Maquinaria de Contratista Conservador Consorcio Vial Sondor Vado Grande
01 Excavadora
01 Camión volquete</t>
  </si>
  <si>
    <t>VIALES-004157</t>
  </si>
  <si>
    <r>
      <t>Red Vial Nacional: PE-3N, 
Tramo:</t>
    </r>
    <r>
      <rPr>
        <sz val="10"/>
        <rFont val="Arial"/>
        <family val="2"/>
      </rPr>
      <t xml:space="preserve"> Dv. Curilcas - Socchabamba,
</t>
    </r>
    <r>
      <rPr>
        <b/>
        <sz val="10"/>
        <rFont val="Arial"/>
        <family val="2"/>
      </rPr>
      <t>Sector:</t>
    </r>
    <r>
      <rPr>
        <sz val="10"/>
        <rFont val="Arial"/>
        <family val="2"/>
      </rPr>
      <t xml:space="preserve"> Asiayacu Km 1935+794 - Km 1935+828</t>
    </r>
  </si>
  <si>
    <t>Maquinaria de Contratista Conservador Consorcio Vial Sondor Vado Grande
01 Retroexcavadora
01 Camión volquete</t>
  </si>
  <si>
    <t>VIALES-004158</t>
  </si>
  <si>
    <r>
      <t>Red Vial Nacional: PE-3N, 
Tramo:</t>
    </r>
    <r>
      <rPr>
        <sz val="10"/>
        <rFont val="Arial"/>
        <family val="2"/>
      </rPr>
      <t xml:space="preserve"> Dv. Curilcas - Socchabamba,
</t>
    </r>
    <r>
      <rPr>
        <b/>
        <sz val="10"/>
        <rFont val="Arial"/>
        <family val="2"/>
      </rPr>
      <t>Sector:</t>
    </r>
    <r>
      <rPr>
        <sz val="10"/>
        <rFont val="Arial"/>
        <family val="2"/>
      </rPr>
      <t xml:space="preserve"> Asiayacu Km 1937+499 - Km 1937+529</t>
    </r>
  </si>
  <si>
    <t>Maquinaria de Contratista Conservador Consorcio Vial Sondor Vado Grande</t>
  </si>
  <si>
    <t>N</t>
  </si>
  <si>
    <t>TERMINAL ABIERTO</t>
  </si>
  <si>
    <t>Puerto de Melchorita</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</si>
  <si>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</si>
  <si>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t>PUERTO-00549</t>
  </si>
  <si>
    <t>PARCIAL</t>
  </si>
  <si>
    <r>
      <t xml:space="preserve">Huánuco
</t>
    </r>
    <r>
      <rPr>
        <sz val="10"/>
        <color theme="1"/>
        <rFont val="Arial"/>
        <family val="2"/>
      </rPr>
      <t>Puerto Inca / Codo del Pozuzo</t>
    </r>
  </si>
  <si>
    <r>
      <t>Red Vial Nacional: PE-5NA, 
Tramo:</t>
    </r>
    <r>
      <rPr>
        <sz val="10"/>
        <rFont val="Arial"/>
        <family val="2"/>
      </rPr>
      <t xml:space="preserve"> Pozuzo - Codo del Pozuzo,
</t>
    </r>
    <r>
      <rPr>
        <b/>
        <sz val="10"/>
        <rFont val="Arial"/>
        <family val="2"/>
      </rPr>
      <t>Sector:</t>
    </r>
    <r>
      <rPr>
        <sz val="10"/>
        <rFont val="Arial"/>
        <family val="2"/>
      </rPr>
      <t xml:space="preserve"> Tunki Km 173+640 - Km 173+670</t>
    </r>
  </si>
  <si>
    <t>Maquinaria del Contratista Conservador Consorcio Corredor Vial
01 Excavadora
01 Cargador frontal</t>
  </si>
  <si>
    <t>VIALES-004159</t>
  </si>
  <si>
    <t>VIALES-004160</t>
  </si>
  <si>
    <t>Maquinaria del Contratista Conservador Consorcio Vial Pamplona Cajatambo
01 Cargador frontal
01 Camión volquete
01 Retroexcavadora
01 Excavadora</t>
  </si>
  <si>
    <r>
      <t>Red Vial Nacional: PE-16A, 
Tramo:</t>
    </r>
    <r>
      <rPr>
        <sz val="10"/>
        <rFont val="Arial"/>
        <family val="2"/>
      </rPr>
      <t xml:space="preserve"> Pamplona - Cajatambo,
</t>
    </r>
    <r>
      <rPr>
        <b/>
        <sz val="10"/>
        <rFont val="Arial"/>
        <family val="2"/>
      </rPr>
      <t>Sector:</t>
    </r>
    <r>
      <rPr>
        <sz val="10"/>
        <rFont val="Arial"/>
        <family val="2"/>
      </rPr>
      <t xml:space="preserve"> Huancapón Km 92+710 - Km 92+860</t>
    </r>
  </si>
  <si>
    <t>VIALES-004162</t>
  </si>
  <si>
    <r>
      <t>Red Vial Nacional: PE-3ND, 
Tramo:</t>
    </r>
    <r>
      <rPr>
        <sz val="10"/>
        <rFont val="Arial"/>
        <family val="2"/>
      </rPr>
      <t xml:space="preserve"> Santo Tomás - Pimpingos,
</t>
    </r>
    <r>
      <rPr>
        <b/>
        <sz val="10"/>
        <rFont val="Arial"/>
        <family val="2"/>
      </rPr>
      <t>Sector:</t>
    </r>
    <r>
      <rPr>
        <sz val="10"/>
        <rFont val="Arial"/>
        <family val="2"/>
      </rPr>
      <t xml:space="preserve"> Vista Florida Km 92+800 - Km 92+820</t>
    </r>
  </si>
  <si>
    <r>
      <t>Red Vial Nacional: PE-3N, 
Tramo:</t>
    </r>
    <r>
      <rPr>
        <sz val="10"/>
        <rFont val="Arial"/>
        <family val="2"/>
      </rPr>
      <t xml:space="preserve"> Dv. Curilcas - Socchabamba,
</t>
    </r>
    <r>
      <rPr>
        <b/>
        <sz val="10"/>
        <rFont val="Arial"/>
        <family val="2"/>
      </rPr>
      <t>Sector:</t>
    </r>
    <r>
      <rPr>
        <sz val="10"/>
        <rFont val="Arial"/>
        <family val="2"/>
      </rPr>
      <t xml:space="preserve"> Asiayacu Km 1934+739 - Km 1938+639</t>
    </r>
  </si>
  <si>
    <t>Maquinaria de Contratista Conservador Consorcio Vial Sondor Vado Grande
01 Retroexcavadora
02 Camión volquete</t>
  </si>
  <si>
    <t>VIALES-004165</t>
  </si>
  <si>
    <t>Maquinaria de PVN
01 Excavadora
02 Camión volquete</t>
  </si>
  <si>
    <t xml:space="preserve">Maquinaria del Contratista Conservador MOTA - ENGIL ENGENHARIA E CONSTRUCAO AFRICA SA
01 Camión volquete
01 Excavadora
</t>
  </si>
  <si>
    <t>VIALES-004166</t>
  </si>
  <si>
    <r>
      <rPr>
        <b/>
        <sz val="10"/>
        <color theme="1"/>
        <rFont val="Arial"/>
        <family val="2"/>
      </rPr>
      <t>Cajamarca</t>
    </r>
    <r>
      <rPr>
        <sz val="10"/>
        <color theme="1"/>
        <rFont val="Arial"/>
        <family val="2"/>
      </rPr>
      <t xml:space="preserve">
San Ignacio / Namballe</t>
    </r>
  </si>
  <si>
    <r>
      <t>Red Vial Nacional: PE-3N, 
Tramo:</t>
    </r>
    <r>
      <rPr>
        <sz val="10"/>
        <rFont val="Arial"/>
        <family val="2"/>
      </rPr>
      <t xml:space="preserve"> Dv. Curilcas - Socchabamba,
</t>
    </r>
    <r>
      <rPr>
        <b/>
        <sz val="10"/>
        <rFont val="Arial"/>
        <family val="2"/>
      </rPr>
      <t>Sector:</t>
    </r>
    <r>
      <rPr>
        <sz val="10"/>
        <rFont val="Arial"/>
        <family val="2"/>
      </rPr>
      <t xml:space="preserve"> Portachuelos Km 1878+930 - Km 1878+950</t>
    </r>
  </si>
  <si>
    <t>Maquinaria de Contratista Conservador Consorcio Vial Sondor Vado Grande.
01 Retroexcavadora
01 Camión volquete</t>
  </si>
  <si>
    <t>VIALES-004168</t>
  </si>
  <si>
    <t>VIALES-004170</t>
  </si>
  <si>
    <r>
      <t xml:space="preserve">Red Vial Nacional: PE-32,
Tramo: </t>
    </r>
    <r>
      <rPr>
        <sz val="10"/>
        <rFont val="Arial"/>
        <family val="2"/>
      </rPr>
      <t>Chaviña - Puquio,</t>
    </r>
    <r>
      <rPr>
        <b/>
        <sz val="10"/>
        <rFont val="Arial"/>
        <family val="2"/>
      </rPr>
      <t xml:space="preserve">
Sector: </t>
    </r>
    <r>
      <rPr>
        <sz val="10"/>
        <rFont val="Arial"/>
        <family val="2"/>
      </rPr>
      <t>Ccochapata Km 283+512 - Km 283+522</t>
    </r>
  </si>
  <si>
    <t>Puerto de Pacasmayo</t>
  </si>
  <si>
    <t>Puerto de Malabrigo</t>
  </si>
  <si>
    <t>Puerto de Salaverry</t>
  </si>
  <si>
    <t>Puerto de Chimbote</t>
  </si>
  <si>
    <t>Puerto de Ilo</t>
  </si>
  <si>
    <t>Terminales Multiboyas Zona Sur</t>
  </si>
  <si>
    <t>Terminales Multiboyas Zona Centro</t>
  </si>
  <si>
    <t>Terminales Multiboyas Zona Norte</t>
  </si>
  <si>
    <t>PUERTO-00550</t>
  </si>
  <si>
    <t>Puerto de Eten</t>
  </si>
  <si>
    <t>PUERTO-00553</t>
  </si>
  <si>
    <t>PUERTO-00551</t>
  </si>
  <si>
    <t>PUERTO-00552</t>
  </si>
  <si>
    <t>PUERTO-00554</t>
  </si>
  <si>
    <t>PUERTO-00555</t>
  </si>
  <si>
    <t>PUERTO-00558</t>
  </si>
  <si>
    <t>PUERTO-00559</t>
  </si>
  <si>
    <t>PUERTO-00560</t>
  </si>
  <si>
    <r>
      <t xml:space="preserve">Red Vial Nacional: PE-5NC,
Tramo: </t>
    </r>
    <r>
      <rPr>
        <sz val="10"/>
        <rFont val="Arial"/>
        <family val="2"/>
      </rPr>
      <t xml:space="preserve">Entrada Chiriaco - Wawiko,
</t>
    </r>
    <r>
      <rPr>
        <b/>
        <sz val="10"/>
        <rFont val="Arial"/>
        <family val="2"/>
      </rPr>
      <t>Sector:</t>
    </r>
    <r>
      <rPr>
        <sz val="10"/>
        <rFont val="Arial"/>
        <family val="2"/>
      </rPr>
      <t xml:space="preserve"> Kuzu Grande Km 131+210 - Km 131+220</t>
    </r>
  </si>
  <si>
    <t>VIALES-004171</t>
  </si>
  <si>
    <r>
      <t xml:space="preserve">Red Vial Nacional: PE-3ND,
Tramo: </t>
    </r>
    <r>
      <rPr>
        <sz val="10"/>
        <color theme="1"/>
        <rFont val="Arial"/>
        <family val="2"/>
      </rPr>
      <t>Pimpingos - Cuyca,</t>
    </r>
    <r>
      <rPr>
        <b/>
        <sz val="10"/>
        <color theme="1"/>
        <rFont val="Arial"/>
        <family val="2"/>
      </rPr>
      <t xml:space="preserve">
Sector: </t>
    </r>
    <r>
      <rPr>
        <sz val="10"/>
        <color theme="1"/>
        <rFont val="Arial"/>
        <family val="2"/>
      </rPr>
      <t>La Viña Km 131+580 - Km 131+650</t>
    </r>
  </si>
  <si>
    <t>Maquinaria de Consorcio Bellavista
01 Excavadora
02 Camión volquete</t>
  </si>
  <si>
    <t>VIALES-004172</t>
  </si>
  <si>
    <t>Puerto de Matarani</t>
  </si>
  <si>
    <t>PUERTO-00476</t>
  </si>
  <si>
    <t>Puerto de Mollendo</t>
  </si>
  <si>
    <t>PUERTO-00561</t>
  </si>
  <si>
    <t>Maquinaria de Consorcio Bellavista
01 Retroexcavadora
02 Camión volquete</t>
  </si>
  <si>
    <t>Puerto de Talara</t>
  </si>
  <si>
    <t>Puerto de Huarmey</t>
  </si>
  <si>
    <t>PUERTO-00564</t>
  </si>
  <si>
    <t>PUERTO-00565</t>
  </si>
  <si>
    <t>VIALES-004173</t>
  </si>
  <si>
    <r>
      <t>Red Vial Nacional: PE-3ND, 
Tramo:</t>
    </r>
    <r>
      <rPr>
        <sz val="10"/>
        <rFont val="Arial"/>
        <family val="2"/>
      </rPr>
      <t xml:space="preserve"> Santo Tomás - Pimpingos,
</t>
    </r>
    <r>
      <rPr>
        <b/>
        <sz val="10"/>
        <rFont val="Arial"/>
        <family val="2"/>
      </rPr>
      <t>Sector:</t>
    </r>
    <r>
      <rPr>
        <sz val="10"/>
        <rFont val="Arial"/>
        <family val="2"/>
      </rPr>
      <t xml:space="preserve"> Vista Florida Km 93+850 - Km 93+870</t>
    </r>
  </si>
  <si>
    <r>
      <t xml:space="preserve">Ayacucho
</t>
    </r>
    <r>
      <rPr>
        <sz val="10"/>
        <color theme="1"/>
        <rFont val="Arial"/>
        <family val="2"/>
      </rPr>
      <t>Lucanas / Llauta</t>
    </r>
  </si>
  <si>
    <t>Maquinaria de PVN
01 Camión volquete
01 Excavadora
01 Cargador frontal</t>
  </si>
  <si>
    <r>
      <t xml:space="preserve">Red Vial Nacional: PE-30D,
Tramo: </t>
    </r>
    <r>
      <rPr>
        <sz val="10"/>
        <rFont val="Arial"/>
        <family val="2"/>
      </rPr>
      <t>Palpa - Llauta,</t>
    </r>
    <r>
      <rPr>
        <b/>
        <sz val="10"/>
        <rFont val="Arial"/>
        <family val="2"/>
      </rPr>
      <t xml:space="preserve">
Sector: </t>
    </r>
    <r>
      <rPr>
        <sz val="10"/>
        <rFont val="Arial"/>
        <family val="2"/>
      </rPr>
      <t>Salitral Km 20+050 - Km 20+150</t>
    </r>
  </si>
  <si>
    <t>VIALES-004176</t>
  </si>
  <si>
    <t>Puerto de Chancay</t>
  </si>
  <si>
    <t>PUERTO-00567</t>
  </si>
  <si>
    <t>Puerto de San Juan de Marcona</t>
  </si>
  <si>
    <t>PUERTO-00568</t>
  </si>
  <si>
    <t>Puerto de San Nicolás</t>
  </si>
  <si>
    <t>PUERTO-00569</t>
  </si>
  <si>
    <t>Maquinaria del Contratista Conservador Consorcio Vial Nieva</t>
  </si>
  <si>
    <r>
      <rPr>
        <b/>
        <sz val="10"/>
        <color theme="1"/>
        <rFont val="Arial"/>
        <family val="2"/>
      </rPr>
      <t>Lima</t>
    </r>
    <r>
      <rPr>
        <sz val="10"/>
        <color theme="1"/>
        <rFont val="Arial"/>
        <family val="2"/>
      </rPr>
      <t xml:space="preserve">
Canta / Canta</t>
    </r>
  </si>
  <si>
    <r>
      <t>Red Vial Nacional: PE-20A, 
Tramo:</t>
    </r>
    <r>
      <rPr>
        <sz val="10"/>
        <rFont val="Arial"/>
        <family val="2"/>
      </rPr>
      <t xml:space="preserve"> Canta - Huayllay,
</t>
    </r>
    <r>
      <rPr>
        <b/>
        <sz val="10"/>
        <rFont val="Arial"/>
        <family val="2"/>
      </rPr>
      <t>Sector:</t>
    </r>
    <r>
      <rPr>
        <sz val="10"/>
        <rFont val="Arial"/>
        <family val="2"/>
      </rPr>
      <t xml:space="preserve"> Canta Km 93+250 - Km 93+340</t>
    </r>
  </si>
  <si>
    <t xml:space="preserve">Maquinaria del Contratista Conservador China Railway Tunnel Group Co. LTD Sucursal del Perú
01 Cargador frontal
01 Motoniveladora
01 Retroexcavadora
</t>
  </si>
  <si>
    <t>VIALES-004177</t>
  </si>
  <si>
    <r>
      <t xml:space="preserve">Áncash
</t>
    </r>
    <r>
      <rPr>
        <sz val="10"/>
        <color theme="1"/>
        <rFont val="Arial"/>
        <family val="2"/>
      </rPr>
      <t>Santa / Chimbote</t>
    </r>
  </si>
  <si>
    <r>
      <t xml:space="preserve">Red Vial Nacional: PE-12,
Tramo: </t>
    </r>
    <r>
      <rPr>
        <sz val="10"/>
        <rFont val="Arial"/>
        <family val="2"/>
      </rPr>
      <t>Santa - Chuquicara,</t>
    </r>
    <r>
      <rPr>
        <b/>
        <sz val="10"/>
        <rFont val="Arial"/>
        <family val="2"/>
      </rPr>
      <t xml:space="preserve">
Sector:</t>
    </r>
    <r>
      <rPr>
        <sz val="10"/>
        <rFont val="Arial"/>
        <family val="2"/>
      </rPr>
      <t xml:space="preserve"> Tablones Km 48+20 - Km 48+30</t>
    </r>
  </si>
  <si>
    <t>VIALES-004178</t>
  </si>
  <si>
    <r>
      <rPr>
        <b/>
        <sz val="10"/>
        <color theme="1"/>
        <rFont val="Arial"/>
        <family val="2"/>
      </rPr>
      <t>Ayacucho</t>
    </r>
    <r>
      <rPr>
        <sz val="10"/>
        <color theme="1"/>
        <rFont val="Arial"/>
        <family val="2"/>
      </rPr>
      <t xml:space="preserve">
Lucanas / Puquio</t>
    </r>
  </si>
  <si>
    <t xml:space="preserve">Maquinaria del Contratista Conservador Consorcio Vial Puquio
</t>
  </si>
  <si>
    <r>
      <t xml:space="preserve">Red Vial Nacional: PE-32,
Tramo: </t>
    </r>
    <r>
      <rPr>
        <sz val="10"/>
        <rFont val="Arial"/>
        <family val="2"/>
      </rPr>
      <t>Chaviña - Puquio,</t>
    </r>
    <r>
      <rPr>
        <b/>
        <sz val="10"/>
        <rFont val="Arial"/>
        <family val="2"/>
      </rPr>
      <t xml:space="preserve">
Sector: </t>
    </r>
    <r>
      <rPr>
        <sz val="10"/>
        <rFont val="Arial"/>
        <family val="2"/>
      </rPr>
      <t>Ccochapata Km 284+774 - Km 284+786</t>
    </r>
  </si>
  <si>
    <t>VIALES-004179</t>
  </si>
  <si>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14.06.25 El Municipio de Acoria suspende los trabajos por falta de presupuesto y gestiona por continuidad operativa ante el MEF para culminar la carretera y los trabajos complementarios de perfilado de la carretera y los daños a la vía férrea.</t>
    </r>
  </si>
  <si>
    <t xml:space="preserve">14/06/2025 </t>
  </si>
  <si>
    <r>
      <rPr>
        <b/>
        <sz val="10"/>
        <rFont val="Arial"/>
        <family val="2"/>
      </rPr>
      <t>Oleaje anómalo.</t>
    </r>
    <r>
      <rPr>
        <sz val="10"/>
        <rFont val="Arial"/>
        <family val="2"/>
      </rPr>
      <t xml:space="preserve">
A las 10:00 horas,  se cierra total del puerto para toda actividad.
14.06.25 Terminal con cierre parcial: TP Perú LNG Melchorita.</t>
    </r>
  </si>
  <si>
    <r>
      <rPr>
        <b/>
        <sz val="10"/>
        <rFont val="Arial"/>
        <family val="2"/>
      </rPr>
      <t>Oleaje anómalo.</t>
    </r>
    <r>
      <rPr>
        <sz val="10"/>
        <rFont val="Arial"/>
        <family val="2"/>
      </rPr>
      <t xml:space="preserve">
A las 19:00 horas, se cierra los puertos para toda actividad.
14.06.25 Terminales cerrados: Blue Pacific Oil Tank, Terminal portuario Chancay.</t>
    </r>
  </si>
  <si>
    <r>
      <rPr>
        <b/>
        <sz val="10"/>
        <rFont val="Arial"/>
        <family val="2"/>
      </rPr>
      <t>Oleaje anómalo.</t>
    </r>
    <r>
      <rPr>
        <sz val="10"/>
        <rFont val="Arial"/>
        <family val="2"/>
      </rPr>
      <t xml:space="preserve">
A las 10:00 horas, se cierra el puerto para toda actividad.
14.06.25 Terminal cerrado: Punta Lobitos.</t>
    </r>
  </si>
  <si>
    <r>
      <rPr>
        <b/>
        <sz val="10"/>
        <rFont val="Arial"/>
        <family val="2"/>
      </rPr>
      <t>Oleaje anómalo.</t>
    </r>
    <r>
      <rPr>
        <sz val="10"/>
        <rFont val="Arial"/>
        <family val="2"/>
      </rPr>
      <t xml:space="preserve">
A las 16:30 horas, se cierra el puerto para toda actividad.
14.06.25 Terminales cerrados: Muelle Carga Líquida Petroperú, Muelle MU2, TM La Brea Negritos, TM Punta Arenas.</t>
    </r>
  </si>
  <si>
    <r>
      <rPr>
        <b/>
        <sz val="10"/>
        <rFont val="Arial"/>
        <family val="2"/>
      </rPr>
      <t>Oleaje anómalo.</t>
    </r>
    <r>
      <rPr>
        <sz val="10"/>
        <rFont val="Arial"/>
        <family val="2"/>
      </rPr>
      <t xml:space="preserve">
A las 19:00 horas, se cierra el puerto para toda actividad.
14.06.25 Terminal cerrado: TM CT Mollendo, Monte Azul.</t>
    </r>
  </si>
  <si>
    <r>
      <rPr>
        <b/>
        <sz val="10"/>
        <rFont val="Arial"/>
        <family val="2"/>
      </rPr>
      <t>Oleaje anómalo.</t>
    </r>
    <r>
      <rPr>
        <sz val="10"/>
        <rFont val="Arial"/>
        <family val="2"/>
      </rPr>
      <t xml:space="preserve">
A las 09:30 horas, se cierra el puerto para toda actividad.
14.06.25 Terminal cerrado:TM Consorcio Terminales Eten.</t>
    </r>
  </si>
  <si>
    <r>
      <rPr>
        <b/>
        <sz val="10"/>
        <rFont val="Arial"/>
        <family val="2"/>
      </rPr>
      <t>Oleaje anómalo.</t>
    </r>
    <r>
      <rPr>
        <sz val="10"/>
        <rFont val="Arial"/>
        <family val="2"/>
      </rPr>
      <t xml:space="preserve">
A las 09:30 horas, se cierra el puerto para toda actividad.
14.06.25 Terminal cerrado: Muelle Municipal Pacasmayo.</t>
    </r>
  </si>
  <si>
    <r>
      <rPr>
        <b/>
        <sz val="10"/>
        <rFont val="Arial"/>
        <family val="2"/>
      </rPr>
      <t>Oleaje anómalo.</t>
    </r>
    <r>
      <rPr>
        <sz val="10"/>
        <rFont val="Arial"/>
        <family val="2"/>
      </rPr>
      <t xml:space="preserve">
A las 09:30 horas,  se cierra el puerto para toda actividad.
14.06.25 Terminal cerrado: TP Chicama.</t>
    </r>
  </si>
  <si>
    <r>
      <rPr>
        <b/>
        <sz val="10"/>
        <rFont val="Arial"/>
        <family val="2"/>
      </rPr>
      <t>Oleaje anómalo.</t>
    </r>
    <r>
      <rPr>
        <sz val="10"/>
        <rFont val="Arial"/>
        <family val="2"/>
      </rPr>
      <t xml:space="preserve">
A las 09:30 horas,  se cierra el puerto para toda actividad.
14.06.25  Terminales cerrados: TPS Espigón Lado 1B, TPS Espigón Lado 2A, CT - Salaverry, TP - Salaverry, TPS - Espigón Lado 1A, , TPS - Espigón Lado 2B.
.</t>
    </r>
  </si>
  <si>
    <r>
      <rPr>
        <b/>
        <sz val="10"/>
        <rFont val="Arial"/>
        <family val="2"/>
      </rPr>
      <t>Oleaje anómalo.</t>
    </r>
    <r>
      <rPr>
        <sz val="10"/>
        <rFont val="Arial"/>
        <family val="2"/>
      </rPr>
      <t xml:space="preserve">
A las 09:00 horas,  se cierra el puerto para toda actividad.
14.06.25  Terminales cerrados: Consorcio Terminales - Chimbote, Siderperú, Terminal Multiboyas Colpex.</t>
    </r>
  </si>
  <si>
    <r>
      <rPr>
        <b/>
        <sz val="10"/>
        <rFont val="Arial"/>
        <family val="2"/>
      </rPr>
      <t>Oleaje anómalo.</t>
    </r>
    <r>
      <rPr>
        <sz val="10"/>
        <rFont val="Arial"/>
        <family val="2"/>
      </rPr>
      <t xml:space="preserve">
A las 12:00 horas, se cierra el puerto para toda actividad.
14.06.25  Terminales cerrados: TP ENGIE, T Multiboyas (PETROPERÚ), T Multiboyas Tablones SPCC, T Multiboyas TLT, TP Ilo (ENAPU), TP Privado SPCC (Patio Puerto), TP Tablones SPCC (Marine Trestle).</t>
    </r>
  </si>
  <si>
    <r>
      <rPr>
        <b/>
        <sz val="10"/>
        <rFont val="Arial"/>
        <family val="2"/>
      </rPr>
      <t>Oleaje anómalo.</t>
    </r>
    <r>
      <rPr>
        <sz val="10"/>
        <rFont val="Arial"/>
        <family val="2"/>
      </rPr>
      <t xml:space="preserve">
A las 21:00 horas, se cierra los puertos para toda actividad.
14.06.25 Terminal cerrado: TP Shougan Hierro Perú.</t>
    </r>
  </si>
  <si>
    <r>
      <rPr>
        <b/>
        <sz val="10"/>
        <rFont val="Arial"/>
        <family val="2"/>
      </rPr>
      <t>Oleaje anómalo.</t>
    </r>
    <r>
      <rPr>
        <sz val="10"/>
        <rFont val="Arial"/>
        <family val="2"/>
      </rPr>
      <t xml:space="preserve">
A las 21:00 horas, se cierra los puertos para toda actividad.
14.06.25 Terminal cerrado: Mina Justa.</t>
    </r>
  </si>
  <si>
    <r>
      <rPr>
        <b/>
        <sz val="10"/>
        <rFont val="Arial"/>
        <family val="2"/>
      </rPr>
      <t>Oleaje anómalo.</t>
    </r>
    <r>
      <rPr>
        <sz val="10"/>
        <rFont val="Arial"/>
        <family val="2"/>
      </rPr>
      <t xml:space="preserve">
A las 11:00 horas, se cierra parcialmente el puerto para toda actividad.
14.06.25  Terminales cerrados: TISUR Amaradero F, Muelle C.
Terminales con cierre parcial: TISUR Muelle A, TISUR Muelle B.</t>
    </r>
  </si>
  <si>
    <r>
      <rPr>
        <b/>
        <sz val="10"/>
        <rFont val="Arial"/>
        <family val="2"/>
      </rPr>
      <t>Oleaje anómalo.</t>
    </r>
    <r>
      <rPr>
        <sz val="10"/>
        <rFont val="Arial"/>
        <family val="2"/>
      </rPr>
      <t xml:space="preserve">
A las 12:00 horas,  se cierra parcialmente el puerto para toda actividad.
14.06.25  Terminales con cierre parcial: Multiboyas Conchán, UNACEM.</t>
    </r>
  </si>
  <si>
    <r>
      <rPr>
        <b/>
        <sz val="10"/>
        <rFont val="Arial"/>
        <family val="2"/>
      </rPr>
      <t>Oleaje anómalo.</t>
    </r>
    <r>
      <rPr>
        <sz val="10"/>
        <rFont val="Arial"/>
        <family val="2"/>
      </rPr>
      <t xml:space="preserve">
A las 12:00 horas,  se cierra parcialmente el puerto para toda actividad.
14.06.25 Terminales con cierre parcial: Muelle Capitanes, Trasportadora Callao, APM terminals, DP Word, Marina club Callao</t>
    </r>
  </si>
  <si>
    <r>
      <rPr>
        <b/>
        <sz val="10"/>
        <rFont val="Arial"/>
        <family val="2"/>
      </rPr>
      <t>Oleaje anómalo.</t>
    </r>
    <r>
      <rPr>
        <sz val="10"/>
        <rFont val="Arial"/>
        <family val="2"/>
      </rPr>
      <t xml:space="preserve">
A las 12:00 horas,  se cierra parcialmente el puerto para toda actividad.
14.06.25  Terminales con cierre parcial: Multiboyas Alfa, Bravo Charlie.</t>
    </r>
  </si>
  <si>
    <r>
      <rPr>
        <b/>
        <sz val="10"/>
        <rFont val="Arial"/>
        <family val="2"/>
      </rPr>
      <t>Servicio Aéreo</t>
    </r>
    <r>
      <rPr>
        <sz val="10"/>
        <rFont val="Arial"/>
        <family val="2"/>
      </rPr>
      <t xml:space="preserve">
Según NOTAM C-1925/25 hasta el 31/08/25, reporta el desprendimiento de la capa asfáltica de 420 metros del umbral desplazado en la pista 07.
14.06.25 CORPAC informa que el Aeropuerto de Huánuco realiza sus operaciones sin novedad.</t>
    </r>
  </si>
  <si>
    <r>
      <rPr>
        <b/>
        <sz val="10"/>
        <rFont val="Arial"/>
        <family val="2"/>
      </rPr>
      <t>Servicio Aéreo</t>
    </r>
    <r>
      <rPr>
        <sz val="10"/>
        <rFont val="Arial"/>
        <family val="2"/>
      </rPr>
      <t xml:space="preserve">
Debido a trabajos de mantenimiento en la pista de aterrizaje, se afectó los servicios de operatividad.
14.06.25 CORPAC informa que el Aeropuerto de Jaén, cerrado las operaciones con NOTAM C-1819/25 al 30.06.25 por reparación de la pista de aterrizaje.</t>
    </r>
  </si>
  <si>
    <r>
      <rPr>
        <b/>
        <sz val="10"/>
        <rFont val="Arial"/>
        <family val="2"/>
      </rPr>
      <t>Servicio Aéreo</t>
    </r>
    <r>
      <rPr>
        <sz val="10"/>
        <rFont val="Arial"/>
        <family val="2"/>
      </rPr>
      <t xml:space="preserve">
Debido a trabajos de mantenimiento en la pista de aterrizaje, se afectó los servicios de operatividad.
14.06.25 CORPAC informa que el Aeropuerto de Jauja ha cerrado las operaciones con NOTAM C-1975/25 hasta el 15/06/25 por trabajos en la pista.</t>
    </r>
  </si>
  <si>
    <t>14/06/2025</t>
  </si>
  <si>
    <t>Deterioro de infraestructura - Daño estructural de puente
Debido a la exposición a las condiciones climatológicas adversas, ocasionaron el desprendimiento de la junta de trafico de goma armada en los estribos del puente.
14.06.25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</si>
  <si>
    <r>
      <rPr>
        <b/>
        <sz val="10"/>
        <rFont val="Arial"/>
        <family val="2"/>
      </rPr>
      <t>Precipitaciones pluviales - Huaico</t>
    </r>
    <r>
      <rPr>
        <sz val="10"/>
        <rFont val="Arial"/>
        <family val="2"/>
      </rPr>
      <t xml:space="preserve">
Debido a las precipitaciones pluviales en el sector, se produjo huaico afectando la transitabilidad de la vía.
14.06.25 PVN Zonal Áncash realizará el relleno, enrocado y conformación a fin de recuperar la transitabilidad vehicular.
Ruta alterna: Ruta departamental AN-685.</t>
    </r>
  </si>
  <si>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14.06.25 PVN Zonal Áncash continúa los trabajos de demolición en el sitio, cuenta con cuadrilla de personal y personal técnico. Dispuso la señalización de la estructura afectada y corte del tránsito vehicular.</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</si>
  <si>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14.06.25 PVN Zonal Lambayeque informa que el Conservador realiza señalización del área de trabajo, trazo y replanteo del eje del desvío provisional del puente Tuman (aguas abajo). trabajos de mejoramiento, colocación y compactación de material.</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</si>
  <si>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14.06.25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</si>
  <si>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14.06.25 PVN Zonal Ica informa que el Conservador realiza las coordinaciones y gestiones para la atención de la emergencia vial.</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</si>
  <si>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14.06.25 PVN Zonal Lima informa que el Conservador realiza trabajos de conformación y relleno de plataforma con material base granular.</t>
    </r>
  </si>
  <si>
    <r>
      <rPr>
        <b/>
        <sz val="10"/>
        <rFont val="Arial"/>
        <family val="2"/>
      </rPr>
      <t>Precipitaciones pluviales - Erosión de plataforma</t>
    </r>
    <r>
      <rPr>
        <sz val="10"/>
        <rFont val="Arial"/>
        <family val="2"/>
      </rPr>
      <t xml:space="preserve">
Debido a las constantes precipitaciones pluviales en sector, produjo erosión de plataforma, afectando la transitabilidad de la vía.
14.06.25 PVN Zonal Áncash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</si>
  <si>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erosión de plataforma, afectando la transitabilidad de la vía.
14.06.25 PVN Zonal Lambayeque informa que el Conservador realiza la señalización, trabajos perfilado, excavación manual para la cimentación de muro.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</si>
  <si>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14.06.25 PVN Zonal Amazonas informa que el Conservador realiza las gestiones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</si>
  <si>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14.06.25 PVN Zonal Ica informa que el Conservador realizalas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</si>
  <si>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14.06.25 PVN Zonal Ica informa que realiza las coordinaciones para iniciar con las actividades de enrocado de talud inferior de plataforma.</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</si>
  <si>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de plataforma.
14.06.25 PVN Zonal Piura - Tumbes informa que el Conservador realizan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</si>
  <si>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14.06.25 PVN Zonal Lambayeque informa que el Conservador realiza la señalización en la zona de emergencia, asímismo, trabajos de perfilado y excavación manual para cimentación de base de muro.</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</si>
  <si>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14.06.25 PVN Zonal Lima informa que el Conservador realiza el control de tráfico, construcción de accesos y desvíos, relleno de talud inferior de paltaforma, extracción, selección y acopio de piedra grande.</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</si>
  <si>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14.06.25 PVN Zonal Ucayali informa que el Conservador informa que realiza trabajos de instalación de dispositivos de seguridad y movilización de equipos para la atención de la emergencia vial.</t>
    </r>
  </si>
  <si>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14.06.25 PVN Zonal Piura - Tumbes informa que el Conservador realiza los trabajos de señalización preventiva y eliminación de material.</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</si>
  <si>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de plataforma.
14.06.25 PVN Zonal Piura - Tumbes informa que el Conservador ha dispuesto la colocación de muro bolsacreto, asimismo, realizan trabajos de señalización preventiva y excavación para la colocación de muro bolsacreto.</t>
    </r>
  </si>
  <si>
    <r>
      <rPr>
        <b/>
        <sz val="10"/>
        <rFont val="Arial"/>
        <family val="2"/>
      </rPr>
      <t>Precipitaciones pluviales - Pérdida de plataforma</t>
    </r>
    <r>
      <rPr>
        <sz val="10"/>
        <rFont val="Arial"/>
        <family val="2"/>
      </rPr>
      <t xml:space="preserve">
Debido a las constantes precipitaciones pluviales en la zona, se ha producido inestabilidad en el talud inferior, originando la pérdida de plataforma.
14.06.25 PVN Zonal Piura - Tumbes informa que el Conservador realiza trabajos de corte para el cambio de trazo y mejorar la transitabilidad. Además, el paro de transportistas impide el inicio de los trabajos.</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</si>
  <si>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socavación de plataforma.
14.06.25 PVN Zonal Piura - Tumbes informa que el Conservador ha dispuesto la colocación de muro bolsacreto, asimismo, se realizan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</si>
  <si>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socavación de plataforma.
14.06.25 PVN Zonal Junín - Pasco informa que Conservador realiza los trabajos de señalización en la zona; asimismo, ha dispuesto ejecutar un muro con maquinaria. </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</si>
  <si>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14.06.25 PVN Zonal Amazonas informa que el Conservador realiza la señalización preventiva del sector afectado, se cuenta con 01 camión baranda y personal. Por ello dispuso la construcción de un muro de concreto.</t>
    </r>
  </si>
  <si>
    <r>
      <rPr>
        <b/>
        <sz val="10"/>
        <rFont val="Arial"/>
        <family val="2"/>
      </rPr>
      <t>Precipitaciones pluviales - Pérdida de plataforma</t>
    </r>
    <r>
      <rPr>
        <sz val="10"/>
        <rFont val="Arial"/>
        <family val="2"/>
      </rPr>
      <t xml:space="preserve">
Debido a las precipitaciones pluviales en el sector, se produjo pérdida de plataforma afectando parcialmente la vía.
14.06.25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</si>
  <si>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Piura - Tumbes informa que el Conservador realiza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</si>
  <si>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14.06.25 PVN Zonal Amazonas informa que el Conservador realiza el control de tráfico, encofrado, vaciado de concreto y extracción, selección y acopio de rocas.</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</si>
  <si>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14.06.25 PVN Zonal Junín - Pasco informa que realiza las coordinaciones y gestiones para la atención de emergencia vial.</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</si>
  <si>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14.06.25 PVN Zonal Junín - Pasco informa que realiza el control de tráfico y acceso de vía para excavación y encofrado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</si>
  <si>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14.06.25 PVN Zonal Cusco - Apurímac informa que el Conservador realiza las actividades de señalización, acopio de rocas, armado de alcantarilla TMC 36".</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</si>
  <si>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14.06.25 PVN Zonal La Libertad informa que realiza los trabajos de remoción y  eliminación de material por derrumbe.</t>
    </r>
  </si>
  <si>
    <r>
      <rPr>
        <b/>
        <sz val="10"/>
        <rFont val="Arial"/>
        <family val="2"/>
      </rPr>
      <t>Precipitaciones pluviales - Erosión de puente</t>
    </r>
    <r>
      <rPr>
        <sz val="10"/>
        <rFont val="Arial"/>
        <family val="2"/>
      </rPr>
      <t xml:space="preserve">
Debido a las constantes precipitaciones pluviales en el sector, se produjo la erosión del puente Michuchaca afectando la vía.
14.06.25 PVN Zonal Junín - Pasco informa que realiza las coordinaciones para comenzar con la instalación de un puente modular de longitud de 27.43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</si>
  <si>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Piura - Tumbes informa que el Conservador realiza trabajos de señalización preventiva excavación para la colocación de muro bolsacreto.</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</si>
  <si>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14.06.25 PVN Zonal San Martín - Loreto informa que planifica realizar los trabajos de perfilado con material de préstamo con equipo mecánico de terceros.</t>
    </r>
  </si>
  <si>
    <r>
      <rPr>
        <b/>
        <sz val="10"/>
        <rFont val="Arial"/>
        <family val="2"/>
      </rPr>
      <t>Precipitaciones pluviales - Huaico</t>
    </r>
    <r>
      <rPr>
        <sz val="10"/>
        <rFont val="Arial"/>
        <family val="2"/>
      </rPr>
      <t xml:space="preserve">
Debido a las precipitaciones pluviales en el sector, se produjo huaico afectando la transitabilidad de la vía.
14.06.25 PVN Zonal Áncash realiza los trabajos de limpieza de material de huaico.</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</si>
  <si>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14.06.25 PVN Zonal Puno informa que el Conservador realiza la movilización de equipos, para iniciar el refuerzo de defensa ribereña, para evitar la erosión de la plataforma en su talud inferior.</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</si>
  <si>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14.06.25 PVN Zonal Piura - Tumbes informa que el Conservador realiza los trabajos de señalización preventiva, control de tráfico vehicular, corte y perfilado de talud inferior, levantamiento topográfico, transporte de material seleccionado de cantera y eliminación de material excedente.</t>
    </r>
  </si>
  <si>
    <r>
      <rPr>
        <b/>
        <sz val="10"/>
        <rFont val="Arial"/>
        <family val="2"/>
      </rPr>
      <t>Precipitaciones pluviales - Pérdida de plataforma</t>
    </r>
    <r>
      <rPr>
        <sz val="10"/>
        <rFont val="Arial"/>
        <family val="2"/>
      </rPr>
      <t xml:space="preserve">
Debido a las constantes precipitaciones pluviales en sector, produjo la pérdida de la plataforma, afectando la transitabilidad de la vía.
14.06.25 PVN Zonal Lima realiza el control de tránsito en el sector y gestiona los recursos necesarios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</si>
  <si>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14.06.25 PVN Zonal Amazonas informa que el Conservador realiza la señalización preventiva y la excavación no clasificada para estructuras. Por ello dispuso la construcción de un muro de concreto.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</si>
  <si>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14.06.25 PVN Zonal Junín - Pasco informa que realiza las gestiones para la contratación de los servicios y proceder con la restauración de calzada.</t>
    </r>
  </si>
  <si>
    <r>
      <rPr>
        <b/>
        <sz val="10"/>
        <rFont val="Arial"/>
        <family val="2"/>
      </rPr>
      <t>Precipitaciones pluviales - Daños en la estructura del puente</t>
    </r>
    <r>
      <rPr>
        <sz val="10"/>
        <rFont val="Arial"/>
        <family val="2"/>
      </rPr>
      <t xml:space="preserve">
Debido a las precipitaciones pluviales en el sector, se produjo la afectación del puente de Niñobamba, afectando la transitabilidad de la vía. 
14.06.25 PVN Zonal Ica informa que realiza las actividades de recuperación de los accesos, a la fecha realiza las coordinaciones mediante servicio de terceros.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</si>
  <si>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14.06.25 PVN Zonal Áncash informa que realiza la gestión de recursos para la atención de emergencia.</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</si>
  <si>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14.06.25 PVN Zonal Huánuco informa que realiza gestiones para la contratación de los servicios.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</si>
  <si>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14.06.25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</si>
  <si>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14.06.25 PVN Zonal Cusco - Apurímac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</si>
  <si>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</si>
  <si>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San Martín - Loreto realiza los trabajos de rehabilitación de carpeta asfáltica.</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</si>
  <si>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14.06.25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</si>
  <si>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14.06.25 PVN Zonal Ucayali informa que el Conservador continúa trabajos de carguío y transporte de roca.</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</si>
  <si>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14.06.25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</si>
  <si>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14.06.25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</si>
  <si>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Derrumbe</t>
    </r>
    <r>
      <rPr>
        <sz val="10"/>
        <rFont val="Arial"/>
        <family val="2"/>
      </rPr>
      <t xml:space="preserve">
Debido a las precipitaciones pluviales en el sector, se produjo derrumbe, afectando la transitabilidad vehicular.
14.06.25 PVN Zonal Ica informa que realiza las coordinaciones para ejecutar las actividades de atención de la emergencia.</t>
    </r>
  </si>
  <si>
    <r>
      <rPr>
        <b/>
        <sz val="10"/>
        <rFont val="Arial"/>
        <family val="2"/>
      </rPr>
      <t>Vientos fuertes - Arenamiento</t>
    </r>
    <r>
      <rPr>
        <sz val="10"/>
        <rFont val="Arial"/>
        <family val="2"/>
      </rPr>
      <t xml:space="preserve">
Debido a los vientos fuertes en el sector, se produjo arenamiento, afectando la transitabilidad vehicular.
14.06.25 PVN Zonal Ica realiza la gestión de recursos para atender la emergencia.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</si>
  <si>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14.06.25 PVN Zonal Cusco - Apurímac realiza la gestión de recursos para atender la emergencia.</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</si>
  <si>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14.06.25 PVN Zonal Junín - Pasco informa que realiza las gestiones para la contratación del servicio y atender dicha emergencia con acta de apoyo interinstitucional.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</si>
  <si>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14.06.25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</si>
  <si>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Erosión de plataforma</t>
    </r>
    <r>
      <rPr>
        <sz val="10"/>
        <rFont val="Arial"/>
        <family val="2"/>
      </rPr>
      <t xml:space="preserve">
Debido a las precipitaciones pluviales, se produjo erosión de plataforma, afectando la vía totalmente.
14.06.25 La Concesionaría informa que realiza la señalización preventiva en el sector y excavación de material de talud inferior. Hay pase por un solo carril.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</si>
  <si>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14.06.25 PVN Zonal Áncash informa que realiza la instalación de un puente modular para recuperar la transitabilidad vehicular.</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</si>
  <si>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14.06.25 PVN Zonal San Martín - Loreto realiza el carguío y transporte de piedra over para los gaviones</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</si>
  <si>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14.06.25 PVN Zonal La Libertad informa que el Conservador ha proyectado la estabilización del talud con banquetas con maquinarias.</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</si>
  <si>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14.06.25 PVN Zonal La Libertad informa que el Conservador realiza la eliminación del material deslizado del talud superior.</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</si>
  <si>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14.06.25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</si>
  <si>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14.06.25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</si>
  <si>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14.06.25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</si>
  <si>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</si>
  <si>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14.06.25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</si>
  <si>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14.06.25 PVN Zonal Piura - Tumbes informa que el Conservador dispuso la señalización en la vía debido al asentamiento de plataforma, se habilitó la vía en un solo carril con apoyo de maquinaria.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</si>
  <si>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14.06.25 PVN Zonal Piura - Tumbes informa que el Conservador realiza las actividades de señalización del área, control de tránsito con vigías, eliminación de material no clasificado en plataforma, bacheo en plataforma.</t>
    </r>
  </si>
  <si>
    <r>
      <rPr>
        <b/>
        <sz val="10"/>
        <rFont val="Arial"/>
        <family val="2"/>
      </rPr>
      <t>Acción humana - Deterioro de puente</t>
    </r>
    <r>
      <rPr>
        <sz val="10"/>
        <rFont val="Arial"/>
        <family val="2"/>
      </rPr>
      <t xml:space="preserve">
Debido a disturbios por vandalismo de las personas en el sector Juanjui, se prevé control de tránsito restringido.
14.06.25 PVN Zonal San Martín - Loreto realiza vigilancia del puente, esto para evitar vandalismo, prevé realizar los servicios de control de tránsito temporal y seguridad vial.</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</si>
  <si>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14.06.25 PVN Zonal San Martín informa que viene realizo la ampliación de plataforma y eliminación de material rocoso por medio de excavadora en el frente 1, ampliación de plataforma y eliminación de tierra por medio de excavadora en el frente 1,conformacion de banqueta en el frente 1</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</si>
  <si>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14.06.25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</si>
  <si>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14.06.25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</si>
  <si>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Piura - Tumbes informa que realiza las gestiones para la contratación del servicio y atender dicha emergencia con acta de apoyo interinstitucional.</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</si>
  <si>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14.06.25 PVN Zonal VRAEM informa que evalúa la propuesta de solución para recuperar la plataforma afectada.</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</si>
  <si>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14.06.25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</si>
  <si>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Derrumbe</t>
    </r>
    <r>
      <rPr>
        <sz val="10"/>
        <rFont val="Arial"/>
        <family val="2"/>
      </rPr>
      <t xml:space="preserve">
Debido a las constantes precipitaciones pluviales en la zona, se produjo el derrumbe bloqueando la vía totalmente.
14.06.25 PVN Zonal Huánuco informa que el Conservador continúa con los trabajos de limpieza de derrumbe a fin de recuperar la transitabilidad vehicular.</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</si>
  <si>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14.06.25 PVN Zonal Piura - Tumbes informa que el Conservador realiza las coordinaciones y gestiones para la atención d ela emergencia vial.</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</si>
  <si>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14.06.25 PVN Zonal Junín - Pasco informa que realiza el control de tránsito de la vía.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</si>
  <si>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14.06.25 PVN Zonal La Libertad informa que el Conservador realiza los trabajos de encofrado caravista y demolición de estructura existente.</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</si>
  <si>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14.06.25 PVN Zonal Piura - Tumbes realiza las gestiones para la atención de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</si>
  <si>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</si>
  <si>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Derrumbe</t>
    </r>
    <r>
      <rPr>
        <sz val="10"/>
        <rFont val="Arial"/>
        <family val="2"/>
      </rPr>
      <t xml:space="preserve">
Debido a las constantes precipitaciones pluviales en la zona, se produjo el derrumbe bloqueando la vía totalmente.
14.06.25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</si>
  <si>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14.06.25 PVN Zonal Cajamarca informa que los trabajos están en stand by, a la espera de las órdenes de servicios para proseguir con los trabajos de reconformación y compactación por deformación profunda.</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</si>
  <si>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14.06.25 PVN Zonal Huancavelica informa que realiza las coordinaciones y gestiones para los requerimientos de adquisición de bienes y servicios para el enrocado de muro.</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</si>
  <si>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14.06.25 PVN Zonal Huancavelica informa que realiza las coordinaciones y gestiones para los requerimientos de adquisición de bienes y servicios para el enrocado de muro.</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</si>
  <si>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14.06.25 PVN Zonal Áncash informa que continúa el desprendimiento de talud. Asimismo, viene trasladando una excavadora alquilada para el desquinche de talud. </t>
    </r>
  </si>
  <si>
    <r>
      <rPr>
        <b/>
        <sz val="10"/>
        <rFont val="Arial"/>
        <family val="2"/>
      </rPr>
      <t>Precipitaciones pluviales - Deslizamiento</t>
    </r>
    <r>
      <rPr>
        <sz val="10"/>
        <rFont val="Arial"/>
        <family val="2"/>
      </rPr>
      <t xml:space="preserve">
Debido a la acción de la naturaleza, se produce deslizamiento continuo del talud inferior.
14.06.25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</si>
  <si>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Áncash realiza trabajo de gabinete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</si>
  <si>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</si>
  <si>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Áncash realiza levantamiento topográfico. Asimismo, se ha previsto la instalación de muro de concreto ciclópeo.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</si>
  <si>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</si>
  <si>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14.06.25 PVN Zonal Cusco - Apurímac realiza la vigilancia y control del tránsito en la zona afectada por la emergencia.</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</si>
  <si>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14.06.25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</si>
  <si>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14.06.25 PVN Zonal La Libertad informa que el Conservador reinicia hoy los trabajos que consisten en ampliar los anchos y mejorar el suelo de fundación co la recarga over/material granular.</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</si>
  <si>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14.06.25 PVN Zonal Piura - Tumbes realiza las coordinaciones para recuperar la plataforma.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</si>
  <si>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14.06.25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</si>
  <si>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14.06.25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</si>
  <si>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14.06.25 PVN Zonal Cajamarca informa que el Conservador realiza la respectiva señalización en la zona, puesto que mantiene en pie la negativa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</si>
  <si>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14.06.25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</si>
  <si>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14.06.25 La Concesionaria informa que realiza trabajos de habilitación de accesos, conformación y compactación de plataforma, control topográfico. </t>
    </r>
  </si>
  <si>
    <r>
      <rPr>
        <b/>
        <sz val="10"/>
        <rFont val="Arial"/>
        <family val="2"/>
      </rPr>
      <t>Acción humana - Accidente de tránsito</t>
    </r>
    <r>
      <rPr>
        <sz val="10"/>
        <rFont val="Arial"/>
        <family val="2"/>
      </rPr>
      <t xml:space="preserve">
Debido a un camión cisterna que colisionó con la estructura del Puente Internacional Ilave.
14.06.25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</si>
  <si>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14.06.25 PVN Zonal Piura - Tumbes informa que realiza las coordinaciones y gestiones con la dirección de puentes para la solicitud de certificación presupuestal, debido a la aprobación para atención de esta emergencia.</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</si>
  <si>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14.06.25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</si>
  <si>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14.06.25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</si>
  <si>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14.06.25 PVN Zonal Cajamarca informa que el Conservador realiza la habilitación de materiales, así como el perfilado de talud.</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</si>
  <si>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14.06.25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</si>
  <si>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14.06.25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</si>
  <si>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14.06.25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</si>
  <si>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14.06.25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</si>
  <si>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14.06.25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</si>
  <si>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14.06.25 PVN Zonal Ucayali informa que el Conservador dispone realizar el control de tránsito vehicular, alternando el pase de vehículos pesados uno a la vez.</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</si>
  <si>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14.06.25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</si>
  <si>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14.06.25 La Concesionaria informa que realiza trabajos en el lugar, a fin de recuperar la transitabilidad.</t>
    </r>
  </si>
  <si>
    <r>
      <rPr>
        <b/>
        <sz val="10"/>
        <rFont val="Arial"/>
        <family val="2"/>
      </rPr>
      <t>Precipitaciones pluviales - Colapso de plataforma</t>
    </r>
    <r>
      <rPr>
        <sz val="10"/>
        <rFont val="Arial"/>
        <family val="2"/>
      </rPr>
      <t xml:space="preserve">
Debido a las precipitaciones pluviales, se produjo colapso de plataforma.
14.06.25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</si>
  <si>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14.06.25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</si>
  <si>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14.06.25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</si>
  <si>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14.06.25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</si>
  <si>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 la falla estructural del puente por exceso de carga y acción de la naturaleza.
14.06.25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</si>
  <si>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14.06.25 PVN Zonal Ucayali informa que el Conservador continúa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</si>
  <si>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14.06.25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</si>
  <si>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14.06.25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</si>
  <si>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14.06.25 La Concesionaria en coordinación con el MTC proyectaron un túnel, se culminó las obras civiles y está en fase de adquisición e implementación de equipos electromecánicos para su reapertura</t>
    </r>
  </si>
  <si>
    <t>Puerto de Supe</t>
  </si>
  <si>
    <r>
      <rPr>
        <b/>
        <sz val="10"/>
        <rFont val="Arial"/>
        <family val="2"/>
      </rPr>
      <t>Oleaje anómalo.</t>
    </r>
    <r>
      <rPr>
        <sz val="10"/>
        <rFont val="Arial"/>
        <family val="2"/>
      </rPr>
      <t xml:space="preserve">
A las 10:00 horas, se cierra parcialmente el puerto para toda actividad.
14.06.25  Terminales cerrados:TM Quimpac, 
Terminales con cierre parcial: TP Supe, Terminales del Perú -  Supe, TM Colpex.</t>
    </r>
  </si>
  <si>
    <t>PUERTO-00570</t>
  </si>
  <si>
    <r>
      <rPr>
        <b/>
        <sz val="10"/>
        <color theme="1"/>
        <rFont val="Arial"/>
        <family val="2"/>
      </rPr>
      <t>Lima</t>
    </r>
    <r>
      <rPr>
        <sz val="10"/>
        <color theme="1"/>
        <rFont val="Arial"/>
        <family val="2"/>
      </rPr>
      <t xml:space="preserve">
Huaral / Pacaraos</t>
    </r>
  </si>
  <si>
    <r>
      <t>Red Vial Nacional: PE-20C, 
Tramo:</t>
    </r>
    <r>
      <rPr>
        <sz val="10"/>
        <rFont val="Arial"/>
        <family val="2"/>
      </rPr>
      <t xml:space="preserve"> Vichaycocha - Antajirca,
</t>
    </r>
    <r>
      <rPr>
        <b/>
        <sz val="10"/>
        <rFont val="Arial"/>
        <family val="2"/>
      </rPr>
      <t>Sector:</t>
    </r>
    <r>
      <rPr>
        <sz val="10"/>
        <rFont val="Arial"/>
        <family val="2"/>
      </rPr>
      <t xml:space="preserve"> Vichaycocha Km 98+970 - Km 99+000</t>
    </r>
  </si>
  <si>
    <r>
      <rPr>
        <b/>
        <sz val="10"/>
        <rFont val="Arial"/>
        <family val="2"/>
      </rPr>
      <t xml:space="preserve">Precipitaciones pluviales - Erosión de plataforma
</t>
    </r>
    <r>
      <rPr>
        <sz val="10"/>
        <rFont val="Arial"/>
        <family val="2"/>
      </rPr>
      <t>Debido a las constantes precipitaciones pluviales en sector, produjo erosión de plataforma, afectando la transitabilidad de la vía.
14.06.25 PVN Zonal Lima informa que el Conservador realiza la movilización del cargador frontal y acopio de material</t>
    </r>
  </si>
  <si>
    <t xml:space="preserve">Maquinaria del Contratista Conservador Consorcio Conservial
01 Cargador frontal
</t>
  </si>
  <si>
    <t>VIALES-004180</t>
  </si>
  <si>
    <t xml:space="preserve">14/06/2025   </t>
  </si>
  <si>
    <r>
      <rPr>
        <b/>
        <sz val="10"/>
        <rFont val="Arial"/>
        <family val="2"/>
      </rPr>
      <t>Precipitaciones pluviales - Derrumbe</t>
    </r>
    <r>
      <rPr>
        <sz val="10"/>
        <rFont val="Arial"/>
        <family val="2"/>
      </rPr>
      <t xml:space="preserve">
Debido a las precipitaciones pluviales en el sector, se produjo la inestabilidad del talud superior ocasionando un derrumbe en la zona, el cual afecta parcialmente la vía.
14.06.25 PVN Zonal Puno informa que el Conservador realiza la limpieza de material de derrumbe.</t>
    </r>
  </si>
  <si>
    <t>Maquinaria del Contratista Conservador Mota Engil
02 Camión volquete
01 Cargador frontal</t>
  </si>
  <si>
    <r>
      <t>Red Vial Nacional: PE-34H, 
Tramo:</t>
    </r>
    <r>
      <rPr>
        <sz val="10"/>
        <rFont val="Arial"/>
        <family val="2"/>
      </rPr>
      <t xml:space="preserve">  Dv. Chuquine - Sandia,
</t>
    </r>
    <r>
      <rPr>
        <b/>
        <sz val="10"/>
        <rFont val="Arial"/>
        <family val="2"/>
      </rPr>
      <t xml:space="preserve">Sector: </t>
    </r>
    <r>
      <rPr>
        <sz val="10"/>
        <rFont val="Arial"/>
        <family val="2"/>
      </rPr>
      <t>Ayo Km 219+000- Km 219+300</t>
    </r>
  </si>
  <si>
    <t>VIALES-004181</t>
  </si>
  <si>
    <t>TRÁNSITO NORMAL</t>
  </si>
  <si>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14.06.25 PVN Zonal Cajamarca informa que el Conservador culminó con los trabajos de corte y perfilado con aporte de material de cantera, se recuperó la transitabilidad.</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</si>
  <si>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14.06.25 PVN Zonal Ica informa que el Conservador culminó con las labores de mantenimiento, se recuperó la transitabilidad.</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</si>
  <si>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Piura - Tumbes informa que el Conservador culminó con los trabajos de excavación y colocación de muro bolsacreto. Se recuperó la transitabilidad.</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</si>
  <si>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Piura - Tumbes informa que el Conservador  culminó con los trabajos de colocación de muro bolsacreto. Se recuperó la transitabilidad.</t>
    </r>
  </si>
  <si>
    <r>
      <rPr>
        <b/>
        <sz val="10"/>
        <rFont val="Arial"/>
        <family val="2"/>
      </rPr>
      <t>Precipitaciones pluviales - Derrumbe</t>
    </r>
    <r>
      <rPr>
        <sz val="10"/>
        <rFont val="Arial"/>
        <family val="2"/>
      </rPr>
      <t xml:space="preserve">
Debido a las precipitaciones pluviales en el sector, se produjo derrumbe afectando parcialmente la vía.
14.06.25 PVN Zonal Puno informa que el Conservador culminó con la limpieza del material de derrumbe, ser recuperó la transitabilidad.</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</si>
  <si>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14.06.25 PVN Zonal Junín - Pasco informa que el Conservador culminó con los trabajos de mantenimiento, se recuperó la transitabilidad.</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</si>
  <si>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Piura - Tumbes informa que el Conservador culminó con la excavación y colocación de muro bolsacreto.Se recuperó la transitabilidad.</t>
    </r>
  </si>
  <si>
    <r>
      <t xml:space="preserve">Cusco
</t>
    </r>
    <r>
      <rPr>
        <sz val="10"/>
        <color theme="1"/>
        <rFont val="Arial"/>
        <family val="2"/>
      </rPr>
      <t>Quispicanchi / Marcapata</t>
    </r>
  </si>
  <si>
    <r>
      <t xml:space="preserve">Red Vial Nacional: PE-30C, (Corredor Vial Interoceánico Sur)
Tramo: </t>
    </r>
    <r>
      <rPr>
        <sz val="10"/>
        <rFont val="Arial"/>
        <family val="2"/>
      </rPr>
      <t>Cusco - Inambari,</t>
    </r>
    <r>
      <rPr>
        <b/>
        <sz val="10"/>
        <rFont val="Arial"/>
        <family val="2"/>
      </rPr>
      <t xml:space="preserve">
Sector:</t>
    </r>
    <r>
      <rPr>
        <sz val="10"/>
        <rFont val="Arial"/>
        <family val="2"/>
      </rPr>
      <t xml:space="preserve"> Limacpunco Km 145+420 - Km 145+470</t>
    </r>
  </si>
  <si>
    <t>VIALES-004182</t>
  </si>
  <si>
    <r>
      <rPr>
        <b/>
        <sz val="10"/>
        <rFont val="Arial"/>
        <family val="2"/>
      </rPr>
      <t>IIRSA SUR</t>
    </r>
    <r>
      <rPr>
        <sz val="10"/>
        <rFont val="Arial"/>
        <family val="2"/>
      </rPr>
      <t xml:space="preserve">
Comunicación vía correo:
Centro de Control de Operaciones: Celular : 989 159 513 Srta Fiorella Castillo
</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</si>
  <si>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14.06.25 PVN Zonal Ucayali informa que el Conservador culminó con los trabajos de mantenimiento se recuperó la transitabilidad</t>
    </r>
  </si>
  <si>
    <r>
      <t xml:space="preserve">Red Vial Nacional: PE-5N,
Tramo: </t>
    </r>
    <r>
      <rPr>
        <sz val="10"/>
        <color theme="1"/>
        <rFont val="Arial"/>
        <family val="2"/>
      </rPr>
      <t>Namballe - San Ignacio,</t>
    </r>
    <r>
      <rPr>
        <b/>
        <sz val="10"/>
        <color theme="1"/>
        <rFont val="Arial"/>
        <family val="2"/>
      </rPr>
      <t xml:space="preserve">
Sector: </t>
    </r>
    <r>
      <rPr>
        <sz val="10"/>
        <color theme="1"/>
        <rFont val="Arial"/>
        <family val="2"/>
      </rPr>
      <t>San Antonio y Linderos Km 1524+825 - Km 1524+930</t>
    </r>
  </si>
  <si>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14.06.25 PVN Zonal Cajamarca informa que el Conservador culminó con los trabajos de mantenimiento.</t>
    </r>
  </si>
  <si>
    <r>
      <t>Red Vial Nacional: PE-3ND, 
Tramo:</t>
    </r>
    <r>
      <rPr>
        <sz val="10"/>
        <rFont val="Arial"/>
        <family val="2"/>
      </rPr>
      <t xml:space="preserve"> Santo Tomás - Pimpingos,
</t>
    </r>
    <r>
      <rPr>
        <b/>
        <sz val="10"/>
        <rFont val="Arial"/>
        <family val="2"/>
      </rPr>
      <t>Sector:</t>
    </r>
    <r>
      <rPr>
        <sz val="10"/>
        <rFont val="Arial"/>
        <family val="2"/>
      </rPr>
      <t xml:space="preserve"> Vista Florida Km 92+745 - Km 92+755</t>
    </r>
  </si>
  <si>
    <r>
      <rPr>
        <b/>
        <sz val="10"/>
        <rFont val="Arial"/>
        <family val="2"/>
      </rPr>
      <t>Precipitaciones pluviales - Erosión de Alcantarilla</t>
    </r>
    <r>
      <rPr>
        <sz val="10"/>
        <rFont val="Arial"/>
        <family val="2"/>
      </rPr>
      <t xml:space="preserve">
Debido a las constantes precipitaciones pluviales en sector, produjo erosión de alcantarilla, afectando la transitabilidad de la vía.
14.06.25 PVN Zonal Lambayeque informa que el Conservador realiza la señalización, y gestiona las acciones para el mantenimiento de la alcantarilla.</t>
    </r>
  </si>
  <si>
    <t>VIALES-004183</t>
  </si>
  <si>
    <t xml:space="preserve">
Amazonas
Apurímac
Arequipa
Ayacucho
Cajamarca
Cusco
Huancavelica
Huanuco
Ica
Junín
La Libertad
Loreto
Puno</t>
  </si>
  <si>
    <t>Cusco
Huánuco
Puno</t>
  </si>
  <si>
    <t>Arequipa
Ayacucho
Cajamarca
Cusco
Huancavelica
Huanuco
Loreto
Puno</t>
  </si>
  <si>
    <t xml:space="preserve">Debido a precipitaciones pluviales suscitados en el ámbito nacional, se presente afectaciones de falla del proveedor de energía eléctrica / corte de Fibra Óptica, dejando inoperativa las estaciones bases.
14.06.25 A las 15:00 horas, el Centro de Monitoreo de OSIPTEL informó que detectó afectación en 49 estaciones bases:Amazonas (11), Apurímac (1), Arequipa (3), Ayacucho (2), Cajamarca (1), Cusco (9), Huancavelica (1), Huánuco (6), Ica (1), Junín (4), La Libertad (1), Loreto	(8), Puno (1)..
Asimismo, se recibió información de 1 nodo afectado del servicio de Internet fijo según la información siguiente:  Loreto (1).
La Operadora informa que debido principalmente Falla del proveedor de energía eléctrica / corte de Fibra Óptica, personal técnico se encuentra desplazándose a las localidades a fin de restablecer el servicio.  </t>
  </si>
  <si>
    <t>Debido a precipitaciones pluviales suscitados en el ámbito nacional, se presentó afectaciones de falla del proveedor de energía eléctrica / corte de Fibra Óptica, dejando inoperativa las estaciones bases.
14.06.25  A las 15:00 horas, el Centro de Monitoreo de OSIPTEL informó que detectó afectación en 3 estaciones bases:  Cusco (1), Huánuco (2), Puno (1).</t>
  </si>
  <si>
    <t>Debido a precipitaciones pluviales suscitados en el ámbito nacional, se presentó afectaciones de falla del proveedor de energía eléctrica / corte de Fibra Óptica, dejando inoperativa las estaciones bases.
14.06.25 A las 15:00 horas, el Centro de Monitoreo de OSIPTEL informó que detectó afectación en 21 estaciones bases:Arequipa (3), Ayacucho (2), Cajamarca (1), Cusco (8), Huancavelica (1), Huánuco (3), Loreto (1), Puno (2).</t>
  </si>
  <si>
    <t>Debido a precipitaciones pluviales suscitados en el ámbito nacional, se presentó afectaciones de falla del proveedor de energía eléctrica / corte de Fibra Óptica, dejando inoperativa las estaciones bases.
14.06.25 A las 15:00 horas, el Centro de Monitoreo de OSIPTEL informó que detectó afectación en 3 estaciones bases: Huancavelica (1), Huánuco (1), Ica (1).</t>
  </si>
  <si>
    <r>
      <rPr>
        <b/>
        <sz val="10"/>
        <rFont val="Arial"/>
        <family val="2"/>
      </rPr>
      <t>Precipitaciones pluviales - Derrumbe</t>
    </r>
    <r>
      <rPr>
        <sz val="10"/>
        <rFont val="Arial"/>
        <family val="2"/>
      </rPr>
      <t xml:space="preserve">
Debido a las precipitaciones pluviales en el sector, se produjo la inestabilidad del talud superior, lo que ocasionó un derrumbe en la zona e interrumpió el tránsito vehicular
14.06.25La Concesionaria informa que se ha habilitado un carril para el paso de vehículos y que continúan los trabajos de limpieza con una retroexcavadora y una excavadora. Asimismo, persiste el riesgo de derrumbe, por lo que se mantiene un monitoreo permanente en la zona..
Ruta Altena: Tramo 04 - Azangaro -  Inambari</t>
    </r>
  </si>
  <si>
    <t xml:space="preserve">Maquinaria de IIRSA SUR
01 Retroexcavadora
01 Excavadora
</t>
  </si>
  <si>
    <t xml:space="preserve">Huancavelica
Huanuco
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</si>
</sst>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6">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sz val="10"/>
      <color theme="1"/>
      <name val="Arial"/>
      <family val="2"/>
    </font>
    <font>
      <b/>
      <sz val="10"/>
      <color theme="2" tint="-0.89999084444715716"/>
      <name val="Arial"/>
      <family val="2"/>
    </font>
    <font>
      <b/>
      <sz val="11"/>
      <color theme="1"/>
      <name val="Frutiger-Light"/>
      <family val="2"/>
    </font>
    <font>
      <sz val="10"/>
      <color theme="1"/>
      <name val="Frutiger-Light"/>
    </font>
    <font>
      <b/>
      <u/>
      <sz val="10"/>
      <color theme="4" tint="-0.249977111117893"/>
      <name val="Arial"/>
      <family val="2"/>
    </font>
    <font>
      <b/>
      <sz val="10"/>
      <name val="Arial"/>
      <family val="2"/>
    </font>
    <font>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7" fillId="0" borderId="0" applyNumberFormat="0" applyFill="0" applyBorder="0" applyProtection="0">
      <alignment horizontal="left" vertical="center"/>
    </xf>
    <xf numFmtId="0" fontId="99" fillId="0" borderId="0"/>
    <xf numFmtId="0" fontId="98" fillId="0" borderId="1" applyNumberFormat="0" applyFill="0" applyAlignment="0" applyProtection="0"/>
    <xf numFmtId="0" fontId="96" fillId="0" borderId="0"/>
    <xf numFmtId="43" fontId="100" fillId="0" borderId="0" applyFont="0" applyFill="0" applyBorder="0" applyAlignment="0" applyProtection="0"/>
    <xf numFmtId="0" fontId="107" fillId="0" borderId="1" applyNumberFormat="0" applyFill="0" applyAlignment="0" applyProtection="0"/>
    <xf numFmtId="0" fontId="109" fillId="0" borderId="0" applyNumberFormat="0" applyFill="0" applyBorder="0" applyAlignment="0" applyProtection="0"/>
    <xf numFmtId="0" fontId="95" fillId="0" borderId="0"/>
    <xf numFmtId="0" fontId="94" fillId="0" borderId="0"/>
    <xf numFmtId="0" fontId="93" fillId="0" borderId="0"/>
    <xf numFmtId="0" fontId="103" fillId="0" borderId="0"/>
    <xf numFmtId="0" fontId="103" fillId="0" borderId="0"/>
    <xf numFmtId="0" fontId="92" fillId="0" borderId="0"/>
    <xf numFmtId="43" fontId="100" fillId="0" borderId="0" applyFont="0" applyFill="0" applyBorder="0" applyAlignment="0" applyProtection="0"/>
    <xf numFmtId="0" fontId="92" fillId="0" borderId="0"/>
    <xf numFmtId="0" fontId="91" fillId="0" borderId="0"/>
    <xf numFmtId="0" fontId="91"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1" fillId="0" borderId="0"/>
    <xf numFmtId="0" fontId="81" fillId="0" borderId="0"/>
    <xf numFmtId="0" fontId="81" fillId="0" borderId="0"/>
    <xf numFmtId="0" fontId="80" fillId="0" borderId="0"/>
    <xf numFmtId="0" fontId="79" fillId="0" borderId="0"/>
    <xf numFmtId="0" fontId="78" fillId="0" borderId="0"/>
    <xf numFmtId="0" fontId="77" fillId="0" borderId="0"/>
    <xf numFmtId="0" fontId="76" fillId="0" borderId="0"/>
    <xf numFmtId="0" fontId="109" fillId="0" borderId="0" applyNumberFormat="0" applyFill="0" applyBorder="0" applyAlignment="0" applyProtection="0"/>
    <xf numFmtId="0" fontId="75"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0" fontId="57"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2" fillId="0" borderId="0"/>
    <xf numFmtId="0" fontId="32" fillId="0" borderId="0"/>
    <xf numFmtId="0" fontId="32" fillId="0" borderId="0"/>
    <xf numFmtId="0" fontId="32" fillId="0" borderId="0"/>
    <xf numFmtId="0" fontId="100" fillId="0" borderId="0"/>
    <xf numFmtId="0" fontId="31" fillId="0" borderId="0"/>
    <xf numFmtId="0" fontId="97" fillId="0" borderId="0" applyNumberFormat="0" applyFill="0" applyBorder="0" applyProtection="0">
      <alignment horizontal="left" vertical="center"/>
    </xf>
    <xf numFmtId="0" fontId="30" fillId="0" borderId="0"/>
    <xf numFmtId="0" fontId="29" fillId="0" borderId="0"/>
    <xf numFmtId="0" fontId="29" fillId="0" borderId="0"/>
    <xf numFmtId="0" fontId="22" fillId="0" borderId="0"/>
  </cellStyleXfs>
  <cellXfs count="346">
    <xf numFmtId="0" fontId="0" fillId="0" borderId="0" xfId="0"/>
    <xf numFmtId="0" fontId="102" fillId="0" borderId="0" xfId="0" applyFont="1" applyAlignment="1">
      <alignment horizontal="center" vertical="center" wrapText="1"/>
    </xf>
    <xf numFmtId="14" fontId="104" fillId="2" borderId="0" xfId="1" quotePrefix="1" applyNumberFormat="1" applyFont="1" applyFill="1" applyBorder="1" applyAlignment="1">
      <alignment horizontal="left" vertical="center" wrapText="1"/>
    </xf>
    <xf numFmtId="0" fontId="0" fillId="2" borderId="0" xfId="0" applyFill="1"/>
    <xf numFmtId="0" fontId="104" fillId="2" borderId="0" xfId="0" applyFont="1" applyFill="1" applyAlignment="1">
      <alignment horizontal="center" vertical="center"/>
    </xf>
    <xf numFmtId="1" fontId="101" fillId="2" borderId="0" xfId="0" applyNumberFormat="1" applyFont="1" applyFill="1" applyAlignment="1">
      <alignment horizontal="center" wrapText="1"/>
    </xf>
    <xf numFmtId="14" fontId="123" fillId="2" borderId="0" xfId="0" applyNumberFormat="1" applyFont="1" applyFill="1" applyAlignment="1">
      <alignment vertical="center" wrapText="1"/>
    </xf>
    <xf numFmtId="14" fontId="0" fillId="2" borderId="0" xfId="0" applyNumberFormat="1" applyFill="1"/>
    <xf numFmtId="0" fontId="113" fillId="2" borderId="0" xfId="0" applyFont="1" applyFill="1" applyAlignment="1">
      <alignment horizontal="center" vertical="center"/>
    </xf>
    <xf numFmtId="0" fontId="104" fillId="2" borderId="0" xfId="2840" applyFont="1" applyFill="1" applyAlignment="1">
      <alignment horizontal="center" vertical="center"/>
    </xf>
    <xf numFmtId="0" fontId="113" fillId="2" borderId="0" xfId="2841" applyFont="1" applyFill="1" applyAlignment="1">
      <alignment horizontal="center" vertical="center" wrapText="1"/>
    </xf>
    <xf numFmtId="0" fontId="116" fillId="2" borderId="0" xfId="2841" applyFont="1" applyFill="1" applyAlignment="1">
      <alignment horizontal="center" vertical="center" wrapText="1"/>
    </xf>
    <xf numFmtId="0" fontId="64" fillId="2" borderId="0" xfId="2841" applyFill="1"/>
    <xf numFmtId="14" fontId="103" fillId="0" borderId="0" xfId="1" applyNumberFormat="1" applyFont="1" applyFill="1" applyBorder="1" applyAlignment="1">
      <alignment horizontal="left" vertical="center" wrapText="1"/>
    </xf>
    <xf numFmtId="0" fontId="124" fillId="2" borderId="0" xfId="0" applyFont="1" applyFill="1" applyAlignment="1">
      <alignment horizontal="center" vertical="center" wrapText="1"/>
    </xf>
    <xf numFmtId="0" fontId="112" fillId="2" borderId="0" xfId="8152" applyFont="1" applyFill="1" applyAlignment="1">
      <alignment horizontal="center" vertical="center" wrapText="1"/>
    </xf>
    <xf numFmtId="0" fontId="58" fillId="0" borderId="0" xfId="8152"/>
    <xf numFmtId="0" fontId="58" fillId="0" borderId="0" xfId="8152" applyAlignment="1">
      <alignment wrapText="1"/>
    </xf>
    <xf numFmtId="0" fontId="58" fillId="2" borderId="0" xfId="8152" applyFill="1"/>
    <xf numFmtId="0" fontId="101" fillId="2" borderId="0" xfId="8152" applyFont="1" applyFill="1" applyAlignment="1">
      <alignment horizontal="center" vertical="center" wrapText="1"/>
    </xf>
    <xf numFmtId="0" fontId="111" fillId="2" borderId="0" xfId="8152" applyFont="1" applyFill="1"/>
    <xf numFmtId="0" fontId="111" fillId="2" borderId="0" xfId="8152" applyFont="1" applyFill="1" applyAlignment="1">
      <alignment wrapText="1"/>
    </xf>
    <xf numFmtId="14" fontId="58" fillId="2" borderId="0" xfId="8152" applyNumberFormat="1" applyFill="1"/>
    <xf numFmtId="0" fontId="58" fillId="2" borderId="0" xfId="8152" applyFill="1" applyAlignment="1">
      <alignment wrapText="1"/>
    </xf>
    <xf numFmtId="14" fontId="108" fillId="0" borderId="3" xfId="6" applyNumberFormat="1" applyFont="1" applyFill="1" applyBorder="1" applyAlignment="1">
      <alignment horizontal="center" vertical="center" wrapText="1"/>
    </xf>
    <xf numFmtId="164" fontId="108" fillId="0" borderId="3" xfId="6" applyNumberFormat="1" applyFont="1" applyFill="1" applyBorder="1" applyAlignment="1">
      <alignment horizontal="center" vertical="center" wrapText="1"/>
    </xf>
    <xf numFmtId="164" fontId="108" fillId="0" borderId="3" xfId="3" applyNumberFormat="1" applyFont="1" applyFill="1" applyBorder="1" applyAlignment="1">
      <alignment horizontal="center" vertical="center" wrapText="1"/>
    </xf>
    <xf numFmtId="164" fontId="108" fillId="0" borderId="6" xfId="3" applyNumberFormat="1" applyFont="1" applyFill="1" applyBorder="1" applyAlignment="1">
      <alignment horizontal="center" vertical="center" wrapText="1"/>
    </xf>
    <xf numFmtId="14" fontId="108" fillId="0" borderId="5" xfId="6" applyNumberFormat="1" applyFont="1" applyFill="1" applyBorder="1" applyAlignment="1">
      <alignment horizontal="center" vertical="center" wrapText="1"/>
    </xf>
    <xf numFmtId="0" fontId="108" fillId="0" borderId="5" xfId="3" applyNumberFormat="1" applyFont="1" applyFill="1" applyBorder="1" applyAlignment="1">
      <alignment horizontal="center" vertical="center" wrapText="1"/>
    </xf>
    <xf numFmtId="0" fontId="119" fillId="2" borderId="0" xfId="2842" applyFont="1" applyFill="1" applyAlignment="1">
      <alignment wrapText="1"/>
    </xf>
    <xf numFmtId="164" fontId="103" fillId="0" borderId="3" xfId="6" applyNumberFormat="1" applyFont="1" applyFill="1" applyBorder="1" applyAlignment="1" applyProtection="1">
      <alignment horizontal="justify" vertical="center" wrapText="1"/>
      <protection locked="0"/>
    </xf>
    <xf numFmtId="164" fontId="104" fillId="0" borderId="3" xfId="3" applyNumberFormat="1" applyFont="1" applyFill="1" applyBorder="1" applyAlignment="1" applyProtection="1">
      <alignment horizontal="left" vertical="center" wrapText="1"/>
      <protection locked="0"/>
    </xf>
    <xf numFmtId="0" fontId="127" fillId="3" borderId="3" xfId="0" applyFont="1" applyFill="1" applyBorder="1" applyAlignment="1">
      <alignment horizontal="center"/>
    </xf>
    <xf numFmtId="164" fontId="103" fillId="0" borderId="3" xfId="6" applyNumberFormat="1" applyFont="1" applyFill="1" applyBorder="1" applyAlignment="1" applyProtection="1">
      <alignment horizontal="left" vertical="center" wrapText="1"/>
      <protection locked="0"/>
    </xf>
    <xf numFmtId="0" fontId="134" fillId="0" borderId="0" xfId="0" applyFont="1"/>
    <xf numFmtId="1" fontId="106" fillId="0" borderId="3" xfId="5" applyNumberFormat="1" applyFont="1" applyFill="1" applyBorder="1" applyAlignment="1" applyProtection="1">
      <alignment horizontal="center" vertical="center" wrapText="1"/>
      <protection locked="0"/>
    </xf>
    <xf numFmtId="0" fontId="112" fillId="2" borderId="0" xfId="32614" applyFont="1" applyFill="1" applyAlignment="1">
      <alignment horizontal="center" vertical="center" wrapText="1"/>
    </xf>
    <xf numFmtId="0" fontId="39" fillId="2" borderId="0" xfId="32614" applyFill="1"/>
    <xf numFmtId="0" fontId="39" fillId="2" borderId="0" xfId="32614" applyFill="1" applyAlignment="1">
      <alignment wrapText="1"/>
    </xf>
    <xf numFmtId="0" fontId="101" fillId="2" borderId="0" xfId="32614" applyFont="1" applyFill="1" applyAlignment="1">
      <alignment horizontal="center" vertical="center" wrapText="1"/>
    </xf>
    <xf numFmtId="0" fontId="104" fillId="2" borderId="0" xfId="32614" applyFont="1" applyFill="1" applyAlignment="1">
      <alignment horizontal="center" vertical="center"/>
    </xf>
    <xf numFmtId="0" fontId="111" fillId="2" borderId="0" xfId="32614" applyFont="1" applyFill="1"/>
    <xf numFmtId="0" fontId="111" fillId="2" borderId="0" xfId="32614" applyFont="1" applyFill="1" applyAlignment="1">
      <alignment wrapText="1"/>
    </xf>
    <xf numFmtId="0" fontId="39" fillId="0" borderId="0" xfId="32614"/>
    <xf numFmtId="0" fontId="39" fillId="0" borderId="0" xfId="32614" applyAlignment="1">
      <alignment wrapText="1"/>
    </xf>
    <xf numFmtId="0" fontId="109" fillId="0" borderId="0" xfId="7" applyFill="1" applyBorder="1" applyAlignment="1">
      <alignment horizontal="left"/>
    </xf>
    <xf numFmtId="14" fontId="104" fillId="0" borderId="0" xfId="1" quotePrefix="1" applyNumberFormat="1" applyFont="1" applyFill="1" applyBorder="1" applyAlignment="1">
      <alignment horizontal="left" vertical="center" wrapText="1"/>
    </xf>
    <xf numFmtId="14" fontId="105" fillId="0" borderId="0" xfId="0" applyNumberFormat="1" applyFont="1" applyAlignment="1">
      <alignment vertical="center" wrapText="1"/>
    </xf>
    <xf numFmtId="14" fontId="122" fillId="0" borderId="0" xfId="0" applyNumberFormat="1" applyFont="1" applyAlignment="1">
      <alignment horizontal="center" vertical="center" wrapText="1"/>
    </xf>
    <xf numFmtId="1" fontId="106" fillId="0" borderId="0" xfId="0" applyNumberFormat="1" applyFont="1" applyAlignment="1">
      <alignment wrapText="1"/>
    </xf>
    <xf numFmtId="0" fontId="101" fillId="0" borderId="0" xfId="0" applyFont="1" applyAlignment="1">
      <alignment vertical="center" wrapText="1"/>
    </xf>
    <xf numFmtId="0" fontId="101" fillId="0" borderId="0" xfId="0" applyFont="1" applyAlignment="1">
      <alignment horizontal="center" wrapText="1"/>
    </xf>
    <xf numFmtId="1" fontId="0" fillId="0" borderId="0" xfId="0" applyNumberFormat="1"/>
    <xf numFmtId="0" fontId="104" fillId="0" borderId="0" xfId="0" applyFont="1" applyAlignment="1">
      <alignment horizontal="center" vertical="center"/>
    </xf>
    <xf numFmtId="0" fontId="118" fillId="0" borderId="0" xfId="0" applyFont="1"/>
    <xf numFmtId="1" fontId="106" fillId="0" borderId="3" xfId="5" quotePrefix="1" applyNumberFormat="1" applyFont="1" applyFill="1" applyBorder="1" applyAlignment="1" applyProtection="1">
      <alignment horizontal="center" vertical="center" wrapText="1"/>
      <protection locked="0"/>
    </xf>
    <xf numFmtId="164" fontId="108" fillId="0" borderId="3" xfId="0" applyNumberFormat="1" applyFont="1" applyBorder="1" applyAlignment="1">
      <alignment horizontal="center" vertical="center" wrapText="1"/>
    </xf>
    <xf numFmtId="1" fontId="108" fillId="0" borderId="3" xfId="0" applyNumberFormat="1" applyFont="1" applyBorder="1" applyAlignment="1">
      <alignment horizontal="center" vertical="center"/>
    </xf>
    <xf numFmtId="0" fontId="103" fillId="2" borderId="0" xfId="8152" applyFont="1" applyFill="1" applyAlignment="1">
      <alignment wrapText="1"/>
    </xf>
    <xf numFmtId="14" fontId="140" fillId="2" borderId="0" xfId="1" quotePrefix="1" applyNumberFormat="1" applyFont="1" applyFill="1" applyBorder="1" applyAlignment="1">
      <alignment horizontal="left" vertical="center" wrapText="1"/>
    </xf>
    <xf numFmtId="0" fontId="140" fillId="2" borderId="0" xfId="0" applyFont="1" applyFill="1" applyAlignment="1">
      <alignment horizontal="center" vertical="center"/>
    </xf>
    <xf numFmtId="0" fontId="102" fillId="2" borderId="0" xfId="0" applyFont="1" applyFill="1" applyAlignment="1">
      <alignment horizontal="center" vertical="center" wrapText="1"/>
    </xf>
    <xf numFmtId="0" fontId="109" fillId="0" borderId="0" xfId="7" applyFill="1" applyBorder="1" applyAlignment="1"/>
    <xf numFmtId="2" fontId="0" fillId="0" borderId="0" xfId="5" applyNumberFormat="1" applyFont="1" applyFill="1" applyAlignment="1">
      <alignment horizontal="center" vertical="center"/>
    </xf>
    <xf numFmtId="14" fontId="108" fillId="0" borderId="6" xfId="6" applyNumberFormat="1" applyFont="1" applyFill="1" applyBorder="1" applyAlignment="1">
      <alignment horizontal="center" vertical="center" wrapText="1"/>
    </xf>
    <xf numFmtId="167" fontId="101" fillId="0" borderId="4" xfId="3" applyNumberFormat="1" applyFont="1" applyFill="1" applyBorder="1" applyAlignment="1">
      <alignment horizontal="center" vertical="center" wrapText="1"/>
    </xf>
    <xf numFmtId="2" fontId="133" fillId="0" borderId="0" xfId="0" applyNumberFormat="1" applyFont="1"/>
    <xf numFmtId="165" fontId="103" fillId="0" borderId="0" xfId="5" applyNumberFormat="1" applyFont="1" applyFill="1" applyBorder="1" applyAlignment="1" applyProtection="1">
      <alignment horizontal="center" vertical="center"/>
      <protection locked="0"/>
    </xf>
    <xf numFmtId="1" fontId="103" fillId="0" borderId="8" xfId="6" applyNumberFormat="1" applyFont="1" applyFill="1" applyBorder="1" applyAlignment="1">
      <alignment horizontal="center" vertical="center" wrapText="1"/>
    </xf>
    <xf numFmtId="0" fontId="136" fillId="0" borderId="2" xfId="7" applyFont="1" applyFill="1" applyBorder="1" applyAlignment="1">
      <alignment horizontal="center" vertical="center" wrapText="1"/>
    </xf>
    <xf numFmtId="14" fontId="103" fillId="0" borderId="2" xfId="6" applyNumberFormat="1" applyFont="1" applyFill="1" applyBorder="1" applyAlignment="1">
      <alignment horizontal="center" vertical="center" wrapText="1"/>
    </xf>
    <xf numFmtId="164" fontId="104" fillId="0" borderId="2" xfId="6" applyNumberFormat="1" applyFont="1" applyFill="1" applyBorder="1" applyAlignment="1">
      <alignment horizontal="left" vertical="center" wrapText="1"/>
    </xf>
    <xf numFmtId="164" fontId="106" fillId="0" borderId="2" xfId="6" applyNumberFormat="1" applyFont="1" applyFill="1" applyBorder="1" applyAlignment="1">
      <alignment vertical="center" wrapText="1"/>
    </xf>
    <xf numFmtId="164" fontId="110" fillId="0" borderId="2" xfId="6" applyNumberFormat="1" applyFont="1" applyFill="1" applyBorder="1" applyAlignment="1">
      <alignment horizontal="center" vertical="center" wrapText="1"/>
    </xf>
    <xf numFmtId="164" fontId="103" fillId="0" borderId="2" xfId="6" applyNumberFormat="1" applyFont="1" applyFill="1" applyBorder="1" applyAlignment="1">
      <alignment horizontal="justify" vertical="center" wrapText="1"/>
    </xf>
    <xf numFmtId="164" fontId="106" fillId="0" borderId="2" xfId="6" applyNumberFormat="1" applyFont="1" applyFill="1" applyBorder="1" applyAlignment="1">
      <alignment horizontal="left" vertical="center" wrapText="1"/>
    </xf>
    <xf numFmtId="49" fontId="101" fillId="0" borderId="2" xfId="5" applyNumberFormat="1" applyFont="1" applyFill="1" applyBorder="1" applyAlignment="1">
      <alignment horizontal="center" vertical="center" wrapText="1"/>
    </xf>
    <xf numFmtId="49" fontId="101" fillId="0" borderId="14" xfId="6" applyNumberFormat="1" applyFont="1" applyFill="1" applyBorder="1" applyAlignment="1">
      <alignment horizontal="center" vertical="center" wrapText="1"/>
    </xf>
    <xf numFmtId="164" fontId="104" fillId="0" borderId="15" xfId="3" applyNumberFormat="1" applyFont="1" applyFill="1" applyBorder="1" applyAlignment="1" applyProtection="1">
      <alignment horizontal="left" vertical="center" wrapText="1"/>
      <protection locked="0"/>
    </xf>
    <xf numFmtId="164" fontId="106" fillId="0" borderId="15" xfId="6" applyNumberFormat="1" applyFont="1" applyFill="1" applyBorder="1" applyAlignment="1" applyProtection="1">
      <alignment vertical="center" wrapText="1"/>
      <protection locked="0"/>
    </xf>
    <xf numFmtId="164" fontId="103" fillId="0" borderId="15" xfId="6" applyNumberFormat="1" applyFont="1" applyFill="1" applyBorder="1" applyAlignment="1" applyProtection="1">
      <alignment horizontal="justify" vertical="center" wrapText="1"/>
      <protection locked="0"/>
    </xf>
    <xf numFmtId="166" fontId="101" fillId="0" borderId="15" xfId="1" applyNumberFormat="1" applyFont="1" applyFill="1" applyBorder="1" applyAlignment="1">
      <alignment horizontal="center" vertical="center" wrapText="1"/>
    </xf>
    <xf numFmtId="164" fontId="104" fillId="0" borderId="15" xfId="6" applyNumberFormat="1" applyFont="1" applyFill="1" applyBorder="1" applyAlignment="1">
      <alignment horizontal="left" vertical="center" wrapText="1"/>
    </xf>
    <xf numFmtId="164" fontId="103" fillId="0" borderId="15" xfId="6" applyNumberFormat="1" applyFont="1" applyFill="1" applyBorder="1" applyAlignment="1">
      <alignment horizontal="justify" vertical="center" wrapText="1"/>
    </xf>
    <xf numFmtId="164" fontId="103" fillId="0" borderId="15" xfId="6" applyNumberFormat="1" applyFont="1" applyFill="1" applyBorder="1" applyAlignment="1">
      <alignment vertical="center" wrapText="1"/>
    </xf>
    <xf numFmtId="164" fontId="103" fillId="0" borderId="15" xfId="3" applyNumberFormat="1" applyFont="1" applyFill="1" applyBorder="1" applyAlignment="1">
      <alignment horizontal="left" vertical="center" wrapText="1"/>
    </xf>
    <xf numFmtId="164" fontId="103" fillId="0" borderId="15" xfId="6" applyNumberFormat="1" applyFont="1" applyFill="1" applyBorder="1" applyAlignment="1" applyProtection="1">
      <alignment horizontal="left" vertical="center" wrapText="1"/>
      <protection locked="0"/>
    </xf>
    <xf numFmtId="164" fontId="103" fillId="0" borderId="15" xfId="3" applyNumberFormat="1" applyFont="1" applyFill="1" applyBorder="1" applyAlignment="1" applyProtection="1">
      <alignment horizontal="left" vertical="center" wrapText="1"/>
      <protection locked="0"/>
    </xf>
    <xf numFmtId="14" fontId="103" fillId="0" borderId="15" xfId="3" applyNumberFormat="1" applyFont="1" applyFill="1" applyBorder="1" applyAlignment="1" applyProtection="1">
      <alignment horizontal="center" vertical="center" wrapText="1"/>
      <protection locked="0"/>
    </xf>
    <xf numFmtId="164" fontId="104" fillId="0" borderId="15" xfId="6" applyNumberFormat="1" applyFont="1" applyFill="1" applyBorder="1" applyAlignment="1" applyProtection="1">
      <alignment horizontal="left" vertical="center" wrapText="1"/>
      <protection locked="0"/>
    </xf>
    <xf numFmtId="1" fontId="106" fillId="0" borderId="15" xfId="5" applyNumberFormat="1" applyFont="1" applyFill="1" applyBorder="1" applyAlignment="1" applyProtection="1">
      <alignment horizontal="center" vertical="center" wrapText="1"/>
      <protection locked="0"/>
    </xf>
    <xf numFmtId="164" fontId="103" fillId="0" borderId="15" xfId="6" applyNumberFormat="1" applyFont="1" applyFill="1" applyBorder="1" applyAlignment="1" applyProtection="1">
      <alignment vertical="center" wrapText="1"/>
      <protection locked="0"/>
    </xf>
    <xf numFmtId="1" fontId="106" fillId="0" borderId="15" xfId="5" quotePrefix="1" applyNumberFormat="1" applyFont="1" applyFill="1" applyBorder="1" applyAlignment="1" applyProtection="1">
      <alignment horizontal="center" vertical="center" wrapText="1"/>
      <protection locked="0"/>
    </xf>
    <xf numFmtId="164" fontId="110" fillId="0" borderId="15" xfId="3" applyNumberFormat="1" applyFont="1" applyFill="1" applyBorder="1" applyAlignment="1" applyProtection="1">
      <alignment horizontal="center" vertical="center" wrapText="1"/>
      <protection locked="0"/>
    </xf>
    <xf numFmtId="164" fontId="106" fillId="0" borderId="15" xfId="3" applyNumberFormat="1" applyFont="1" applyFill="1" applyBorder="1" applyAlignment="1" applyProtection="1">
      <alignment vertical="center" wrapText="1"/>
      <protection locked="0"/>
    </xf>
    <xf numFmtId="164" fontId="101" fillId="0" borderId="15" xfId="3" applyNumberFormat="1" applyFont="1" applyFill="1" applyBorder="1" applyAlignment="1" applyProtection="1">
      <alignment horizontal="left" vertical="center" wrapText="1"/>
      <protection locked="0"/>
    </xf>
    <xf numFmtId="1" fontId="103" fillId="0" borderId="15" xfId="5" applyNumberFormat="1" applyFont="1" applyFill="1" applyBorder="1" applyAlignment="1" applyProtection="1">
      <alignment horizontal="left" vertical="center" wrapText="1"/>
      <protection locked="0"/>
    </xf>
    <xf numFmtId="0" fontId="29" fillId="2" borderId="0" xfId="32633" applyFill="1"/>
    <xf numFmtId="0" fontId="29" fillId="4" borderId="15" xfId="0" applyFont="1" applyFill="1" applyBorder="1" applyAlignment="1">
      <alignment wrapText="1"/>
    </xf>
    <xf numFmtId="0" fontId="130" fillId="5" borderId="15" xfId="0" applyFont="1" applyFill="1" applyBorder="1" applyAlignment="1">
      <alignment horizontal="center" wrapText="1"/>
    </xf>
    <xf numFmtId="0" fontId="130" fillId="6" borderId="15" xfId="0" applyFont="1" applyFill="1" applyBorder="1" applyAlignment="1">
      <alignment horizontal="center" wrapText="1"/>
    </xf>
    <xf numFmtId="0" fontId="129" fillId="3" borderId="15" xfId="0" applyFont="1" applyFill="1" applyBorder="1" applyAlignment="1">
      <alignment horizontal="center" vertical="center"/>
    </xf>
    <xf numFmtId="0" fontId="29" fillId="4" borderId="15" xfId="0" applyFont="1" applyFill="1" applyBorder="1"/>
    <xf numFmtId="0" fontId="29" fillId="2" borderId="15" xfId="0" applyFont="1" applyFill="1" applyBorder="1" applyAlignment="1">
      <alignment horizontal="center" vertical="center"/>
    </xf>
    <xf numFmtId="0" fontId="29" fillId="0" borderId="15" xfId="0" applyFont="1" applyBorder="1" applyAlignment="1">
      <alignment horizontal="center" vertical="center"/>
    </xf>
    <xf numFmtId="0" fontId="127" fillId="7" borderId="15" xfId="0" applyFont="1" applyFill="1" applyBorder="1" applyAlignment="1">
      <alignment horizontal="center"/>
    </xf>
    <xf numFmtId="0" fontId="128" fillId="4" borderId="15" xfId="0" applyFont="1" applyFill="1" applyBorder="1"/>
    <xf numFmtId="0" fontId="128" fillId="4" borderId="15" xfId="0" applyFont="1" applyFill="1" applyBorder="1" applyAlignment="1">
      <alignment horizontal="center"/>
    </xf>
    <xf numFmtId="0" fontId="132" fillId="4" borderId="15" xfId="0" applyFont="1" applyFill="1" applyBorder="1" applyAlignment="1">
      <alignment horizontal="center"/>
    </xf>
    <xf numFmtId="0" fontId="130" fillId="5" borderId="15" xfId="0" applyFont="1" applyFill="1" applyBorder="1" applyAlignment="1">
      <alignment horizontal="center"/>
    </xf>
    <xf numFmtId="0" fontId="130" fillId="6" borderId="15" xfId="0" applyFont="1" applyFill="1" applyBorder="1" applyAlignment="1">
      <alignment horizontal="center"/>
    </xf>
    <xf numFmtId="1" fontId="29" fillId="0" borderId="15" xfId="0" applyNumberFormat="1" applyFont="1" applyBorder="1" applyAlignment="1">
      <alignment horizontal="center" vertical="center"/>
    </xf>
    <xf numFmtId="1" fontId="128" fillId="4" borderId="15" xfId="0" applyNumberFormat="1" applyFont="1" applyFill="1" applyBorder="1" applyAlignment="1">
      <alignment horizontal="center"/>
    </xf>
    <xf numFmtId="1" fontId="127" fillId="7" borderId="15" xfId="0" applyNumberFormat="1" applyFont="1" applyFill="1" applyBorder="1" applyAlignment="1">
      <alignment horizontal="center"/>
    </xf>
    <xf numFmtId="14" fontId="141" fillId="0" borderId="15" xfId="3" applyNumberFormat="1" applyFont="1" applyFill="1" applyBorder="1" applyAlignment="1" applyProtection="1">
      <alignment horizontal="center" vertical="center" wrapText="1"/>
      <protection locked="0"/>
    </xf>
    <xf numFmtId="1" fontId="142" fillId="0" borderId="15" xfId="5" applyNumberFormat="1" applyFont="1" applyFill="1" applyBorder="1" applyAlignment="1" applyProtection="1">
      <alignment horizontal="center" vertical="center" wrapText="1"/>
      <protection locked="0"/>
    </xf>
    <xf numFmtId="166" fontId="143" fillId="0" borderId="15" xfId="1" applyNumberFormat="1" applyFont="1" applyFill="1" applyBorder="1" applyAlignment="1">
      <alignment horizontal="center" vertical="center" wrapText="1"/>
    </xf>
    <xf numFmtId="167" fontId="143" fillId="0" borderId="4" xfId="3" applyNumberFormat="1" applyFont="1" applyFill="1" applyBorder="1" applyAlignment="1">
      <alignment horizontal="center" vertical="center" wrapText="1"/>
    </xf>
    <xf numFmtId="1" fontId="144" fillId="0" borderId="15" xfId="5" applyNumberFormat="1" applyFont="1" applyFill="1" applyBorder="1" applyAlignment="1" applyProtection="1">
      <alignment horizontal="center" vertical="center" wrapText="1"/>
      <protection locked="0"/>
    </xf>
    <xf numFmtId="166" fontId="145" fillId="0" borderId="15" xfId="1" applyNumberFormat="1" applyFont="1" applyFill="1" applyBorder="1" applyAlignment="1">
      <alignment horizontal="center" vertical="center" wrapText="1"/>
    </xf>
    <xf numFmtId="167" fontId="145" fillId="0" borderId="4" xfId="3" applyNumberFormat="1" applyFont="1" applyFill="1" applyBorder="1" applyAlignment="1">
      <alignment horizontal="center" vertical="center" wrapText="1"/>
    </xf>
    <xf numFmtId="1" fontId="146" fillId="0" borderId="15" xfId="5" applyNumberFormat="1" applyFont="1" applyFill="1" applyBorder="1" applyAlignment="1" applyProtection="1">
      <alignment horizontal="center" vertical="center" wrapText="1"/>
      <protection locked="0"/>
    </xf>
    <xf numFmtId="0" fontId="134" fillId="10" borderId="15" xfId="0" applyFont="1" applyFill="1" applyBorder="1" applyAlignment="1">
      <alignment horizontal="center"/>
    </xf>
    <xf numFmtId="14" fontId="147" fillId="0" borderId="0" xfId="0" applyNumberFormat="1" applyFont="1"/>
    <xf numFmtId="166" fontId="148" fillId="0" borderId="15" xfId="1" applyNumberFormat="1" applyFont="1" applyFill="1" applyBorder="1" applyAlignment="1">
      <alignment horizontal="center" vertical="center" wrapText="1"/>
    </xf>
    <xf numFmtId="167" fontId="148" fillId="0" borderId="4" xfId="3" applyNumberFormat="1" applyFont="1" applyFill="1" applyBorder="1" applyAlignment="1">
      <alignment horizontal="center" vertical="center" wrapText="1"/>
    </xf>
    <xf numFmtId="1" fontId="149" fillId="0" borderId="15" xfId="5" applyNumberFormat="1" applyFont="1" applyFill="1" applyBorder="1" applyAlignment="1" applyProtection="1">
      <alignment horizontal="center" vertical="center" wrapText="1"/>
      <protection locked="0"/>
    </xf>
    <xf numFmtId="166" fontId="150" fillId="0" borderId="15" xfId="1" applyNumberFormat="1" applyFont="1" applyFill="1" applyBorder="1" applyAlignment="1">
      <alignment horizontal="center" vertical="center" wrapText="1"/>
    </xf>
    <xf numFmtId="167" fontId="150" fillId="0" borderId="4" xfId="3" applyNumberFormat="1" applyFont="1" applyFill="1" applyBorder="1" applyAlignment="1">
      <alignment horizontal="center" vertical="center" wrapText="1"/>
    </xf>
    <xf numFmtId="164" fontId="104" fillId="0" borderId="15" xfId="3" applyNumberFormat="1" applyFont="1" applyFill="1" applyBorder="1" applyAlignment="1" applyProtection="1">
      <alignment vertical="center" wrapText="1"/>
      <protection locked="0"/>
    </xf>
    <xf numFmtId="164" fontId="106" fillId="0" borderId="15" xfId="6" applyNumberFormat="1" applyFont="1" applyFill="1" applyBorder="1" applyAlignment="1">
      <alignment vertical="center" wrapText="1"/>
    </xf>
    <xf numFmtId="164" fontId="101" fillId="0" borderId="15" xfId="6" applyNumberFormat="1" applyFont="1" applyFill="1" applyBorder="1" applyAlignment="1" applyProtection="1">
      <alignment horizontal="justify" vertical="center" wrapText="1"/>
      <protection locked="0"/>
    </xf>
    <xf numFmtId="0" fontId="27" fillId="4" borderId="15" xfId="0" applyFont="1" applyFill="1" applyBorder="1"/>
    <xf numFmtId="164" fontId="126" fillId="0" borderId="15" xfId="3" applyNumberFormat="1" applyFont="1" applyFill="1" applyBorder="1" applyAlignment="1" applyProtection="1">
      <alignment horizontal="center" vertical="center" wrapText="1"/>
      <protection locked="0"/>
    </xf>
    <xf numFmtId="166" fontId="151" fillId="0" borderId="15" xfId="1" applyNumberFormat="1" applyFont="1" applyFill="1" applyBorder="1" applyAlignment="1">
      <alignment horizontal="center" vertical="center" wrapText="1"/>
    </xf>
    <xf numFmtId="167" fontId="151" fillId="0" borderId="4" xfId="3" applyNumberFormat="1" applyFont="1" applyFill="1" applyBorder="1" applyAlignment="1">
      <alignment horizontal="center" vertical="center" wrapText="1"/>
    </xf>
    <xf numFmtId="164" fontId="103" fillId="0" borderId="15" xfId="6" applyNumberFormat="1" applyFont="1" applyFill="1" applyBorder="1" applyAlignment="1">
      <alignment horizontal="left" vertical="center" wrapText="1"/>
    </xf>
    <xf numFmtId="164" fontId="106" fillId="0" borderId="15" xfId="3" applyNumberFormat="1" applyFont="1" applyFill="1" applyBorder="1" applyAlignment="1">
      <alignment horizontal="center" vertical="center" wrapText="1"/>
    </xf>
    <xf numFmtId="168" fontId="103" fillId="0" borderId="15" xfId="3" applyNumberFormat="1" applyFont="1" applyFill="1" applyBorder="1" applyAlignment="1">
      <alignment horizontal="center" vertical="center" wrapText="1"/>
    </xf>
    <xf numFmtId="14" fontId="103" fillId="0" borderId="15" xfId="6" applyNumberFormat="1" applyFont="1" applyFill="1" applyBorder="1" applyAlignment="1" applyProtection="1">
      <alignment horizontal="center" vertical="center" wrapText="1"/>
      <protection locked="0"/>
    </xf>
    <xf numFmtId="164" fontId="126" fillId="0" borderId="15" xfId="3" applyNumberFormat="1" applyFont="1" applyFill="1" applyBorder="1" applyAlignment="1">
      <alignment horizontal="center" vertical="center" wrapText="1"/>
    </xf>
    <xf numFmtId="165" fontId="152" fillId="0" borderId="7" xfId="5" applyNumberFormat="1" applyFont="1" applyFill="1" applyBorder="1" applyAlignment="1" applyProtection="1">
      <alignment horizontal="center" vertical="center"/>
      <protection locked="0"/>
    </xf>
    <xf numFmtId="0" fontId="101" fillId="0" borderId="15" xfId="95" applyFont="1" applyBorder="1" applyAlignment="1">
      <alignment horizontal="center" vertical="center"/>
    </xf>
    <xf numFmtId="0" fontId="139" fillId="0" borderId="15" xfId="95" applyFont="1" applyBorder="1" applyAlignment="1">
      <alignment horizontal="center" vertical="center" wrapText="1"/>
    </xf>
    <xf numFmtId="0" fontId="103" fillId="0" borderId="15" xfId="95" applyFont="1" applyBorder="1" applyAlignment="1">
      <alignment horizontal="justify" vertical="center" wrapText="1"/>
    </xf>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4" fillId="0" borderId="0" xfId="0" applyNumberFormat="1" applyFont="1" applyAlignment="1">
      <alignment horizontal="left" vertical="center" wrapText="1"/>
    </xf>
    <xf numFmtId="166" fontId="101" fillId="0" borderId="0" xfId="0" applyNumberFormat="1" applyFont="1" applyAlignment="1">
      <alignment horizontal="left" vertical="center" wrapText="1"/>
    </xf>
    <xf numFmtId="166" fontId="108" fillId="0" borderId="3" xfId="0" applyNumberFormat="1" applyFont="1" applyBorder="1" applyAlignment="1">
      <alignment horizontal="center" vertical="center" wrapText="1"/>
    </xf>
    <xf numFmtId="167" fontId="108" fillId="0" borderId="6" xfId="0" applyNumberFormat="1" applyFont="1" applyBorder="1" applyAlignment="1">
      <alignment horizontal="center" vertical="center" wrapText="1"/>
    </xf>
    <xf numFmtId="0" fontId="21" fillId="4" borderId="15" xfId="0" applyFont="1" applyFill="1" applyBorder="1"/>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164" fontId="108" fillId="0" borderId="15" xfId="3" applyNumberFormat="1" applyFont="1" applyFill="1" applyBorder="1" applyAlignment="1">
      <alignment horizontal="center" vertical="center" wrapText="1"/>
    </xf>
    <xf numFmtId="1" fontId="157" fillId="0" borderId="15"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1" fontId="149" fillId="0" borderId="3" xfId="5" applyNumberFormat="1" applyFont="1" applyFill="1" applyBorder="1" applyAlignment="1" applyProtection="1">
      <alignment horizontal="center" vertical="center" wrapText="1"/>
      <protection locked="0"/>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0" fontId="109" fillId="0" borderId="15" xfId="7" applyFill="1" applyBorder="1" applyAlignment="1">
      <alignment horizontal="center" vertical="center"/>
    </xf>
    <xf numFmtId="1" fontId="160" fillId="0" borderId="15" xfId="5"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64" fontId="106" fillId="0" borderId="3" xfId="6" applyNumberFormat="1" applyFont="1" applyFill="1" applyBorder="1" applyAlignment="1" applyProtection="1">
      <alignment vertical="center" wrapText="1"/>
      <protection locked="0"/>
    </xf>
    <xf numFmtId="14" fontId="101" fillId="0" borderId="15" xfId="3" applyNumberFormat="1" applyFont="1" applyFill="1" applyBorder="1" applyAlignment="1" applyProtection="1">
      <alignment horizontal="center" vertical="center" wrapText="1"/>
      <protection locked="0"/>
    </xf>
    <xf numFmtId="166" fontId="162" fillId="0" borderId="15" xfId="1" applyNumberFormat="1" applyFont="1" applyFill="1" applyBorder="1" applyAlignment="1">
      <alignment horizontal="center" vertical="center" wrapText="1"/>
    </xf>
    <xf numFmtId="167" fontId="162" fillId="0" borderId="4" xfId="3" applyNumberFormat="1" applyFont="1" applyFill="1" applyBorder="1" applyAlignment="1">
      <alignment horizontal="center" vertical="center" wrapText="1"/>
    </xf>
    <xf numFmtId="0" fontId="153" fillId="0" borderId="0" xfId="0" applyFont="1" applyAlignment="1">
      <alignment horizontal="center" vertical="center"/>
    </xf>
    <xf numFmtId="0" fontId="136" fillId="0" borderId="0" xfId="0" applyFont="1" applyAlignment="1">
      <alignment horizontal="center" vertical="center" wrapText="1"/>
    </xf>
    <xf numFmtId="0" fontId="104" fillId="0" borderId="0" xfId="32632" applyFont="1" applyAlignment="1">
      <alignment horizontal="center" vertical="center"/>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0" fontId="136" fillId="0" borderId="15" xfId="7" applyFont="1" applyFill="1" applyBorder="1" applyAlignment="1">
      <alignment horizontal="center" vertical="center"/>
    </xf>
    <xf numFmtId="164" fontId="136" fillId="0" borderId="15" xfId="7" applyNumberFormat="1" applyFont="1" applyFill="1" applyBorder="1" applyAlignment="1">
      <alignment horizontal="center" vertical="center" wrapText="1"/>
    </xf>
    <xf numFmtId="0" fontId="154" fillId="0" borderId="0" xfId="0" applyFont="1" applyAlignment="1">
      <alignment horizontal="center" vertical="center"/>
    </xf>
    <xf numFmtId="1" fontId="165" fillId="0" borderId="15" xfId="5" applyNumberFormat="1" applyFont="1" applyFill="1" applyBorder="1" applyAlignment="1" applyProtection="1">
      <alignment horizontal="center" vertical="center" wrapText="1"/>
      <protection locked="0"/>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6" fontId="167" fillId="0" borderId="15" xfId="1" applyNumberFormat="1" applyFont="1" applyFill="1" applyBorder="1" applyAlignment="1">
      <alignment horizontal="center" vertical="center" wrapText="1"/>
    </xf>
    <xf numFmtId="167" fontId="167" fillId="0" borderId="4" xfId="3" applyNumberFormat="1" applyFont="1" applyFill="1" applyBorder="1" applyAlignment="1">
      <alignment horizontal="center" vertical="center" wrapText="1"/>
    </xf>
    <xf numFmtId="166" fontId="169" fillId="0" borderId="15" xfId="1" applyNumberFormat="1" applyFont="1" applyFill="1" applyBorder="1" applyAlignment="1">
      <alignment horizontal="center" vertical="center" wrapText="1"/>
    </xf>
    <xf numFmtId="167" fontId="169" fillId="0" borderId="4" xfId="3" applyNumberFormat="1" applyFont="1" applyFill="1" applyBorder="1" applyAlignment="1">
      <alignment horizontal="center" vertical="center" wrapText="1"/>
    </xf>
    <xf numFmtId="1" fontId="170" fillId="0" borderId="15" xfId="5" applyNumberFormat="1" applyFont="1" applyFill="1" applyBorder="1" applyAlignment="1" applyProtection="1">
      <alignment horizontal="center" vertical="center" wrapText="1"/>
      <protection locked="0"/>
    </xf>
    <xf numFmtId="166" fontId="171" fillId="0" borderId="15" xfId="1" applyNumberFormat="1" applyFont="1" applyFill="1" applyBorder="1" applyAlignment="1">
      <alignment horizontal="center" vertical="center" wrapText="1"/>
    </xf>
    <xf numFmtId="167" fontId="171" fillId="0" borderId="4" xfId="3" applyNumberFormat="1" applyFont="1" applyFill="1" applyBorder="1" applyAlignment="1">
      <alignment horizontal="center" vertical="center" wrapText="1"/>
    </xf>
    <xf numFmtId="0" fontId="109" fillId="0" borderId="0" xfId="7"/>
    <xf numFmtId="1" fontId="173" fillId="0" borderId="15" xfId="5" applyNumberFormat="1" applyFont="1" applyFill="1" applyBorder="1" applyAlignment="1" applyProtection="1">
      <alignment horizontal="center" vertical="center" wrapText="1"/>
      <protection locked="0"/>
    </xf>
    <xf numFmtId="166" fontId="174" fillId="0" borderId="15" xfId="1" applyNumberFormat="1" applyFont="1" applyFill="1" applyBorder="1" applyAlignment="1">
      <alignment horizontal="center" vertical="center" wrapText="1"/>
    </xf>
    <xf numFmtId="167" fontId="174" fillId="0" borderId="4" xfId="3" applyNumberFormat="1" applyFont="1" applyFill="1" applyBorder="1" applyAlignment="1">
      <alignment horizontal="center" vertical="center" wrapText="1"/>
    </xf>
    <xf numFmtId="0" fontId="11" fillId="2" borderId="0" xfId="8152" applyFont="1" applyFill="1"/>
    <xf numFmtId="1" fontId="175" fillId="0" borderId="15" xfId="5" applyNumberFormat="1" applyFont="1" applyFill="1" applyBorder="1" applyAlignment="1" applyProtection="1">
      <alignment horizontal="center" vertical="center" wrapText="1"/>
      <protection locked="0"/>
    </xf>
    <xf numFmtId="166" fontId="176" fillId="0" borderId="15" xfId="1" applyNumberFormat="1" applyFont="1" applyFill="1" applyBorder="1" applyAlignment="1">
      <alignment horizontal="center" vertical="center" wrapText="1"/>
    </xf>
    <xf numFmtId="167" fontId="176" fillId="0" borderId="4" xfId="3" applyNumberFormat="1" applyFont="1" applyFill="1" applyBorder="1" applyAlignment="1">
      <alignment horizontal="center" vertical="center" wrapText="1"/>
    </xf>
    <xf numFmtId="1" fontId="177" fillId="0" borderId="15" xfId="5" applyNumberFormat="1" applyFont="1" applyFill="1" applyBorder="1" applyAlignment="1" applyProtection="1">
      <alignment horizontal="center" vertical="center" wrapText="1"/>
      <protection locked="0"/>
    </xf>
    <xf numFmtId="166" fontId="178" fillId="0" borderId="15" xfId="1" applyNumberFormat="1" applyFont="1" applyFill="1" applyBorder="1" applyAlignment="1">
      <alignment horizontal="center" vertical="center" wrapText="1"/>
    </xf>
    <xf numFmtId="167" fontId="178" fillId="0" borderId="4" xfId="3" applyNumberFormat="1" applyFont="1" applyFill="1" applyBorder="1" applyAlignment="1">
      <alignment horizontal="center" vertical="center" wrapText="1"/>
    </xf>
    <xf numFmtId="0" fontId="30" fillId="0" borderId="0" xfId="32631"/>
    <xf numFmtId="0" fontId="113" fillId="0" borderId="0" xfId="0" applyFont="1" applyAlignment="1">
      <alignment horizontal="center" vertical="center"/>
    </xf>
    <xf numFmtId="0" fontId="138" fillId="2" borderId="0" xfId="0" applyFont="1" applyFill="1"/>
    <xf numFmtId="166" fontId="179" fillId="0" borderId="15" xfId="1" applyNumberFormat="1" applyFont="1" applyFill="1" applyBorder="1" applyAlignment="1">
      <alignment horizontal="center" vertical="center" wrapText="1"/>
    </xf>
    <xf numFmtId="167" fontId="179"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wrapText="1"/>
    </xf>
    <xf numFmtId="1" fontId="180" fillId="0" borderId="15" xfId="5" applyNumberFormat="1" applyFont="1" applyFill="1" applyBorder="1" applyAlignment="1" applyProtection="1">
      <alignment horizontal="center" vertical="center" wrapText="1"/>
      <protection locked="0"/>
    </xf>
    <xf numFmtId="166" fontId="181" fillId="0" borderId="15" xfId="1" applyNumberFormat="1" applyFont="1" applyFill="1" applyBorder="1" applyAlignment="1">
      <alignment horizontal="center" vertical="center" wrapText="1"/>
    </xf>
    <xf numFmtId="167" fontId="181" fillId="0" borderId="4" xfId="3" applyNumberFormat="1" applyFont="1" applyFill="1" applyBorder="1" applyAlignment="1">
      <alignment horizontal="center" vertical="center" wrapText="1"/>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14" fontId="139" fillId="0" borderId="15" xfId="7" applyNumberFormat="1" applyFont="1" applyFill="1" applyBorder="1" applyAlignment="1">
      <alignment horizontal="center" vertical="center"/>
    </xf>
    <xf numFmtId="0" fontId="172" fillId="0" borderId="15" xfId="0" applyFont="1" applyBorder="1" applyAlignment="1">
      <alignment horizontal="left"/>
    </xf>
    <xf numFmtId="0" fontId="6" fillId="0" borderId="15" xfId="0" applyFont="1" applyBorder="1" applyAlignment="1">
      <alignment horizontal="center"/>
    </xf>
    <xf numFmtId="0" fontId="8" fillId="0" borderId="15" xfId="0" applyFont="1" applyBorder="1" applyAlignment="1">
      <alignment horizontal="center"/>
    </xf>
    <xf numFmtId="0" fontId="9" fillId="0" borderId="15" xfId="0" applyFont="1" applyBorder="1" applyAlignment="1">
      <alignment horizontal="center"/>
    </xf>
    <xf numFmtId="0" fontId="13" fillId="0" borderId="15" xfId="0" applyFont="1" applyBorder="1" applyAlignment="1">
      <alignment horizontal="center"/>
    </xf>
    <xf numFmtId="0" fontId="10" fillId="0" borderId="15" xfId="0" applyFont="1" applyBorder="1"/>
    <xf numFmtId="0" fontId="12" fillId="0" borderId="15" xfId="0" applyFont="1" applyBorder="1" applyAlignment="1">
      <alignment horizontal="center"/>
    </xf>
    <xf numFmtId="0" fontId="14" fillId="0" borderId="15" xfId="0" applyFont="1" applyBorder="1" applyAlignment="1">
      <alignment horizontal="center"/>
    </xf>
    <xf numFmtId="0" fontId="7" fillId="0" borderId="15" xfId="0" applyFont="1" applyBorder="1"/>
    <xf numFmtId="0" fontId="7" fillId="0" borderId="15" xfId="0" applyFont="1" applyBorder="1" applyAlignment="1">
      <alignment horizontal="center"/>
    </xf>
    <xf numFmtId="0" fontId="16" fillId="0" borderId="15" xfId="0" applyFont="1" applyBorder="1" applyAlignment="1">
      <alignment horizontal="center"/>
    </xf>
    <xf numFmtId="0" fontId="15" fillId="0" borderId="15" xfId="0" applyFont="1" applyBorder="1" applyAlignment="1">
      <alignment horizontal="center"/>
    </xf>
    <xf numFmtId="0" fontId="17" fillId="0" borderId="15" xfId="0" applyFont="1" applyBorder="1" applyAlignment="1">
      <alignment horizontal="center"/>
    </xf>
    <xf numFmtId="0" fontId="18" fillId="0" borderId="15" xfId="0" applyFont="1" applyBorder="1" applyAlignment="1">
      <alignment horizontal="center"/>
    </xf>
    <xf numFmtId="0" fontId="20" fillId="0" borderId="15" xfId="0" applyFont="1" applyBorder="1" applyAlignment="1">
      <alignment horizontal="center"/>
    </xf>
    <xf numFmtId="0" fontId="10" fillId="0" borderId="15" xfId="0" applyFont="1" applyBorder="1" applyAlignment="1">
      <alignment horizontal="left"/>
    </xf>
    <xf numFmtId="0" fontId="23" fillId="0" borderId="15" xfId="0" applyFont="1" applyBorder="1" applyAlignment="1">
      <alignment horizontal="center"/>
    </xf>
    <xf numFmtId="0" fontId="19" fillId="0" borderId="15" xfId="0" applyFont="1" applyBorder="1" applyAlignment="1">
      <alignment horizontal="center"/>
    </xf>
    <xf numFmtId="0" fontId="25" fillId="0" borderId="15" xfId="0" applyFont="1" applyBorder="1" applyAlignment="1">
      <alignment horizontal="center"/>
    </xf>
    <xf numFmtId="0" fontId="24" fillId="0" borderId="15" xfId="0" applyFont="1" applyBorder="1" applyAlignment="1">
      <alignment horizontal="center"/>
    </xf>
    <xf numFmtId="0" fontId="6" fillId="0" borderId="15" xfId="0" applyFont="1" applyBorder="1"/>
    <xf numFmtId="0" fontId="28" fillId="0" borderId="15" xfId="0" applyFont="1" applyBorder="1" applyAlignment="1">
      <alignment horizontal="center"/>
    </xf>
    <xf numFmtId="1" fontId="183" fillId="0" borderId="15" xfId="5" applyNumberFormat="1" applyFont="1" applyFill="1" applyBorder="1" applyAlignment="1" applyProtection="1">
      <alignment horizontal="center" vertical="center" wrapText="1"/>
      <protection locked="0"/>
    </xf>
    <xf numFmtId="166" fontId="184" fillId="0" borderId="15" xfId="1" applyNumberFormat="1" applyFont="1" applyFill="1" applyBorder="1" applyAlignment="1">
      <alignment horizontal="center" vertical="center" wrapText="1"/>
    </xf>
    <xf numFmtId="167" fontId="184" fillId="0" borderId="4" xfId="3" applyNumberFormat="1" applyFont="1" applyFill="1" applyBorder="1" applyAlignment="1">
      <alignment horizontal="center" vertical="center" wrapText="1"/>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0" fontId="5" fillId="0" borderId="15" xfId="0" applyFont="1" applyBorder="1" applyAlignment="1">
      <alignment horizontal="center"/>
    </xf>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0" fontId="101" fillId="0" borderId="15" xfId="32614" applyFont="1" applyBorder="1" applyAlignment="1">
      <alignment horizontal="center" vertical="center" wrapText="1"/>
    </xf>
    <xf numFmtId="0" fontId="103" fillId="0" borderId="15" xfId="0" applyFont="1" applyBorder="1" applyAlignment="1">
      <alignment horizontal="center" vertical="center" wrapText="1"/>
    </xf>
    <xf numFmtId="0" fontId="106" fillId="0" borderId="3" xfId="0" applyFont="1" applyBorder="1" applyAlignment="1">
      <alignment horizontal="left" vertical="center" wrapText="1"/>
    </xf>
    <xf numFmtId="0" fontId="101" fillId="0" borderId="3" xfId="0" applyFont="1" applyBorder="1" applyAlignment="1">
      <alignment horizontal="justify" vertical="center" wrapText="1"/>
    </xf>
    <xf numFmtId="0" fontId="126" fillId="0" borderId="15" xfId="0" applyFont="1" applyBorder="1" applyAlignment="1">
      <alignment horizontal="center" vertical="center" wrapText="1"/>
    </xf>
    <xf numFmtId="0" fontId="106" fillId="0" borderId="6" xfId="0" applyFont="1" applyBorder="1" applyAlignment="1">
      <alignment vertical="center" wrapText="1"/>
    </xf>
    <xf numFmtId="0" fontId="101" fillId="0" borderId="2" xfId="32614" applyFont="1" applyBorder="1" applyAlignment="1">
      <alignment horizontal="center" vertical="center" wrapText="1"/>
    </xf>
    <xf numFmtId="0" fontId="106" fillId="0" borderId="15" xfId="0" applyFont="1" applyBorder="1" applyAlignment="1">
      <alignment horizontal="left" vertical="center" wrapText="1"/>
    </xf>
    <xf numFmtId="0" fontId="106" fillId="0" borderId="4" xfId="0" applyFont="1" applyBorder="1" applyAlignment="1">
      <alignment vertical="center" wrapText="1"/>
    </xf>
    <xf numFmtId="0" fontId="106" fillId="0" borderId="14" xfId="0" applyFont="1" applyBorder="1" applyAlignment="1">
      <alignment vertical="center" wrapText="1"/>
    </xf>
    <xf numFmtId="0" fontId="106" fillId="0" borderId="2" xfId="0" applyFont="1" applyBorder="1" applyAlignment="1">
      <alignment horizontal="left" vertical="center" wrapText="1"/>
    </xf>
    <xf numFmtId="164" fontId="137" fillId="0" borderId="15" xfId="3" applyNumberFormat="1" applyFont="1" applyFill="1" applyBorder="1" applyAlignment="1">
      <alignment horizontal="center" vertical="center" wrapText="1"/>
    </xf>
    <xf numFmtId="0" fontId="4" fillId="0" borderId="15" xfId="0" applyFont="1" applyBorder="1" applyAlignment="1">
      <alignment horizontal="center"/>
    </xf>
    <xf numFmtId="0" fontId="0" fillId="0" borderId="15" xfId="0" applyBorder="1"/>
    <xf numFmtId="166" fontId="187" fillId="0" borderId="15" xfId="1" applyNumberFormat="1" applyFont="1" applyFill="1" applyBorder="1" applyAlignment="1">
      <alignment horizontal="center" vertical="center" wrapText="1"/>
    </xf>
    <xf numFmtId="167" fontId="187" fillId="0" borderId="4" xfId="3" applyNumberFormat="1" applyFont="1" applyFill="1" applyBorder="1" applyAlignment="1">
      <alignment horizontal="center" vertical="center" wrapText="1"/>
    </xf>
    <xf numFmtId="1" fontId="188" fillId="0" borderId="15" xfId="5" applyNumberFormat="1" applyFont="1" applyFill="1" applyBorder="1" applyAlignment="1" applyProtection="1">
      <alignment horizontal="center" vertical="center" wrapText="1"/>
      <protection locked="0"/>
    </xf>
    <xf numFmtId="0" fontId="172" fillId="0" borderId="11" xfId="0" applyFont="1" applyBorder="1" applyAlignment="1">
      <alignment horizontal="left"/>
    </xf>
    <xf numFmtId="0" fontId="3" fillId="0" borderId="15" xfId="0" applyFont="1" applyBorder="1" applyAlignment="1">
      <alignment horizontal="center"/>
    </xf>
    <xf numFmtId="164" fontId="108" fillId="0" borderId="3" xfId="0" applyNumberFormat="1" applyFont="1" applyBorder="1" applyAlignment="1">
      <alignment horizontal="center" vertical="center"/>
    </xf>
    <xf numFmtId="0" fontId="2" fillId="0" borderId="15" xfId="0" applyFont="1" applyBorder="1" applyAlignment="1">
      <alignment horizontal="center"/>
    </xf>
    <xf numFmtId="0" fontId="17" fillId="0" borderId="15" xfId="0" applyFont="1" applyBorder="1" applyAlignment="1">
      <alignment horizontal="left"/>
    </xf>
    <xf numFmtId="0" fontId="14" fillId="0" borderId="15" xfId="0" applyFont="1" applyBorder="1"/>
    <xf numFmtId="0" fontId="19" fillId="0" borderId="15" xfId="0" applyFont="1" applyBorder="1" applyAlignment="1">
      <alignment horizontal="left"/>
    </xf>
    <xf numFmtId="0" fontId="23" fillId="0" borderId="15" xfId="0" applyFont="1" applyBorder="1" applyAlignment="1">
      <alignment horizontal="left"/>
    </xf>
    <xf numFmtId="0" fontId="25" fillId="0" borderId="15" xfId="0" applyFont="1" applyBorder="1" applyAlignment="1">
      <alignment horizontal="left"/>
    </xf>
    <xf numFmtId="0" fontId="26" fillId="0" borderId="15" xfId="0" applyFont="1" applyBorder="1" applyAlignment="1">
      <alignment horizontal="left"/>
    </xf>
    <xf numFmtId="0" fontId="26" fillId="0" borderId="15" xfId="0" applyFont="1" applyBorder="1"/>
    <xf numFmtId="0" fontId="1" fillId="0" borderId="15" xfId="0" applyFont="1" applyBorder="1" applyAlignment="1">
      <alignment horizontal="center"/>
    </xf>
    <xf numFmtId="166" fontId="189" fillId="0" borderId="15" xfId="1" applyNumberFormat="1" applyFont="1" applyFill="1" applyBorder="1" applyAlignment="1">
      <alignment horizontal="center" vertical="center" wrapText="1"/>
    </xf>
    <xf numFmtId="167" fontId="189" fillId="0" borderId="4" xfId="3" applyNumberFormat="1" applyFont="1" applyFill="1" applyBorder="1" applyAlignment="1">
      <alignment horizontal="center" vertical="center" wrapText="1"/>
    </xf>
    <xf numFmtId="0" fontId="139" fillId="0" borderId="0" xfId="7" applyFont="1" applyFill="1" applyAlignment="1">
      <alignment horizontal="center" vertical="center"/>
    </xf>
    <xf numFmtId="0" fontId="139" fillId="0" borderId="15" xfId="7" applyFont="1" applyFill="1" applyBorder="1" applyAlignment="1">
      <alignment horizontal="center" vertical="center"/>
    </xf>
    <xf numFmtId="164" fontId="139" fillId="0" borderId="15" xfId="7" applyNumberFormat="1" applyFont="1" applyFill="1" applyBorder="1" applyAlignment="1">
      <alignment horizontal="center" vertical="center"/>
    </xf>
    <xf numFmtId="49" fontId="101" fillId="0" borderId="0" xfId="0" applyNumberFormat="1" applyFont="1" applyAlignment="1">
      <alignment horizontal="center" vertical="center" wrapText="1"/>
    </xf>
    <xf numFmtId="0" fontId="0" fillId="0" borderId="0" xfId="0" applyAlignment="1">
      <alignment horizontal="center" vertical="center"/>
    </xf>
    <xf numFmtId="164" fontId="108" fillId="0" borderId="5" xfId="3" applyNumberFormat="1" applyFont="1" applyFill="1" applyBorder="1" applyAlignment="1">
      <alignment horizontal="center" vertical="center" wrapText="1"/>
    </xf>
    <xf numFmtId="164" fontId="139" fillId="0" borderId="15" xfId="3" applyNumberFormat="1" applyFont="1" applyFill="1" applyBorder="1" applyAlignment="1">
      <alignment horizontal="center" vertical="center" wrapText="1"/>
    </xf>
    <xf numFmtId="14" fontId="103" fillId="0" borderId="15" xfId="3" applyNumberFormat="1" applyFont="1" applyFill="1" applyBorder="1" applyAlignment="1">
      <alignment horizontal="center" vertical="center" wrapText="1"/>
    </xf>
    <xf numFmtId="164" fontId="104" fillId="0" borderId="15" xfId="3" applyNumberFormat="1" applyFont="1" applyFill="1" applyBorder="1" applyAlignment="1">
      <alignment horizontal="center" vertical="center" wrapText="1"/>
    </xf>
    <xf numFmtId="14" fontId="190" fillId="0" borderId="15" xfId="3" applyNumberFormat="1" applyFont="1" applyFill="1" applyBorder="1" applyAlignment="1">
      <alignment horizontal="center" vertical="center" wrapText="1"/>
    </xf>
    <xf numFmtId="164" fontId="110" fillId="0" borderId="15" xfId="3" applyNumberFormat="1" applyFont="1" applyFill="1" applyBorder="1" applyAlignment="1">
      <alignment horizontal="center" vertical="center" wrapText="1"/>
    </xf>
    <xf numFmtId="14" fontId="109" fillId="0" borderId="15" xfId="7" applyNumberFormat="1" applyFill="1" applyBorder="1" applyAlignment="1">
      <alignment horizontal="center" vertical="center"/>
    </xf>
    <xf numFmtId="0" fontId="153" fillId="0" borderId="15" xfId="0" applyFont="1" applyBorder="1" applyAlignment="1">
      <alignment horizontal="center" vertical="center"/>
    </xf>
    <xf numFmtId="164" fontId="193" fillId="0" borderId="15" xfId="3" applyNumberFormat="1" applyFont="1" applyFill="1" applyBorder="1" applyAlignment="1">
      <alignment horizontal="center" vertical="center" wrapText="1"/>
    </xf>
    <xf numFmtId="164" fontId="0" fillId="0" borderId="4" xfId="0" applyNumberFormat="1" applyBorder="1" applyAlignment="1">
      <alignment horizontal="left" vertical="center" wrapText="1"/>
    </xf>
    <xf numFmtId="0" fontId="109" fillId="0" borderId="2" xfId="7" applyFill="1" applyBorder="1" applyAlignment="1">
      <alignment horizontal="center" vertical="center"/>
    </xf>
    <xf numFmtId="0" fontId="0" fillId="0" borderId="8" xfId="0" applyBorder="1" applyAlignment="1">
      <alignment horizontal="center" vertical="center"/>
    </xf>
    <xf numFmtId="14" fontId="190" fillId="0" borderId="2" xfId="3" applyNumberFormat="1" applyFont="1" applyFill="1" applyBorder="1" applyAlignment="1">
      <alignment horizontal="center" vertical="center" wrapText="1"/>
    </xf>
    <xf numFmtId="0" fontId="103" fillId="0" borderId="15" xfId="0" applyFont="1" applyBorder="1" applyAlignment="1">
      <alignment horizontal="justify" vertical="center" wrapText="1"/>
    </xf>
    <xf numFmtId="164" fontId="0" fillId="0" borderId="15" xfId="0" applyNumberFormat="1" applyBorder="1" applyAlignment="1">
      <alignment horizontal="left" vertical="center" wrapText="1"/>
    </xf>
    <xf numFmtId="14" fontId="103" fillId="0" borderId="2" xfId="3" applyNumberFormat="1" applyFont="1" applyFill="1" applyBorder="1" applyAlignment="1">
      <alignment horizontal="center" vertical="center" wrapText="1"/>
    </xf>
    <xf numFmtId="164" fontId="104" fillId="0" borderId="2" xfId="3" applyNumberFormat="1" applyFont="1" applyFill="1" applyBorder="1" applyAlignment="1">
      <alignment horizontal="center" vertical="center" wrapText="1"/>
    </xf>
    <xf numFmtId="0" fontId="103" fillId="0" borderId="2" xfId="0" applyFont="1" applyBorder="1" applyAlignment="1">
      <alignment horizontal="justify" vertical="center" wrapText="1"/>
    </xf>
    <xf numFmtId="164" fontId="110" fillId="0" borderId="2" xfId="3" applyNumberFormat="1" applyFont="1" applyFill="1" applyBorder="1" applyAlignment="1">
      <alignment horizontal="center" vertical="center" wrapText="1"/>
    </xf>
    <xf numFmtId="164" fontId="108" fillId="0" borderId="2" xfId="3" applyNumberFormat="1" applyFont="1" applyFill="1" applyBorder="1" applyAlignment="1">
      <alignment horizontal="center" vertical="center" wrapText="1"/>
    </xf>
    <xf numFmtId="164" fontId="0" fillId="0" borderId="2" xfId="0" applyNumberFormat="1" applyBorder="1" applyAlignment="1">
      <alignment horizontal="left" vertical="center" wrapText="1"/>
    </xf>
    <xf numFmtId="164" fontId="126" fillId="0" borderId="2" xfId="3" applyNumberFormat="1" applyFont="1" applyFill="1" applyBorder="1" applyAlignment="1">
      <alignment horizontal="center" vertical="center" wrapText="1"/>
    </xf>
    <xf numFmtId="164" fontId="108" fillId="0" borderId="11" xfId="3" applyNumberFormat="1" applyFont="1" applyFill="1" applyBorder="1" applyAlignment="1">
      <alignment horizontal="center" vertical="center" wrapText="1"/>
    </xf>
    <xf numFmtId="164" fontId="0" fillId="0" borderId="14" xfId="0" applyNumberFormat="1" applyBorder="1" applyAlignment="1">
      <alignment horizontal="left" vertical="center" wrapText="1"/>
    </xf>
    <xf numFmtId="164" fontId="136" fillId="0" borderId="15" xfId="3" applyNumberFormat="1" applyFont="1" applyFill="1" applyBorder="1" applyAlignment="1">
      <alignment horizontal="center" vertical="center" wrapText="1"/>
    </xf>
    <xf numFmtId="1" fontId="106" fillId="0" borderId="15" xfId="5" applyNumberFormat="1" applyFont="1" applyFill="1" applyBorder="1" applyAlignment="1">
      <alignment horizontal="center" vertical="center" wrapText="1"/>
    </xf>
    <xf numFmtId="164" fontId="137" fillId="0" borderId="15" xfId="3" applyNumberFormat="1" applyFont="1" applyFill="1" applyBorder="1" applyAlignment="1" applyProtection="1">
      <alignment horizontal="center" vertical="center" wrapText="1"/>
      <protection locked="0"/>
    </xf>
    <xf numFmtId="1" fontId="194" fillId="0" borderId="15" xfId="5" applyNumberFormat="1" applyFont="1" applyFill="1" applyBorder="1" applyAlignment="1" applyProtection="1">
      <alignment horizontal="center" vertical="center" wrapText="1"/>
      <protection locked="0"/>
    </xf>
    <xf numFmtId="166" fontId="195" fillId="0" borderId="15" xfId="1" applyNumberFormat="1" applyFont="1" applyFill="1" applyBorder="1" applyAlignment="1">
      <alignment horizontal="center" vertical="center" wrapText="1"/>
    </xf>
    <xf numFmtId="167" fontId="195"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xf>
    <xf numFmtId="0" fontId="129" fillId="3" borderId="11" xfId="0" applyFont="1" applyFill="1" applyBorder="1" applyAlignment="1">
      <alignment horizontal="center" vertical="center"/>
    </xf>
    <xf numFmtId="0" fontId="129" fillId="3" borderId="3" xfId="0" applyFont="1" applyFill="1" applyBorder="1" applyAlignment="1">
      <alignment horizontal="center" vertical="center"/>
    </xf>
    <xf numFmtId="0" fontId="127" fillId="3" borderId="15" xfId="0" applyFont="1" applyFill="1" applyBorder="1" applyAlignment="1">
      <alignment horizontal="center"/>
    </xf>
    <xf numFmtId="0" fontId="119" fillId="2" borderId="0" xfId="32633" applyFont="1" applyFill="1" applyAlignment="1">
      <alignment horizontal="left" wrapText="1"/>
    </xf>
    <xf numFmtId="0" fontId="114" fillId="2" borderId="0" xfId="32633" applyFont="1" applyFill="1" applyAlignment="1">
      <alignment horizontal="left" wrapText="1"/>
    </xf>
    <xf numFmtId="14" fontId="117" fillId="2" borderId="0" xfId="0" applyNumberFormat="1" applyFont="1" applyFill="1" applyAlignment="1">
      <alignment horizontal="left" vertical="top" wrapText="1"/>
    </xf>
    <xf numFmtId="0" fontId="127" fillId="3" borderId="4" xfId="0" applyFont="1" applyFill="1" applyBorder="1" applyAlignment="1">
      <alignment horizontal="center"/>
    </xf>
    <xf numFmtId="0" fontId="127" fillId="3" borderId="10" xfId="0" applyFont="1" applyFill="1" applyBorder="1" applyAlignment="1">
      <alignment horizontal="center"/>
    </xf>
    <xf numFmtId="0" fontId="127" fillId="3" borderId="7" xfId="0" applyFont="1" applyFill="1" applyBorder="1" applyAlignment="1">
      <alignment horizontal="center"/>
    </xf>
    <xf numFmtId="0" fontId="127" fillId="3" borderId="2" xfId="0" applyFont="1" applyFill="1" applyBorder="1" applyAlignment="1">
      <alignment horizontal="center"/>
    </xf>
    <xf numFmtId="0" fontId="127" fillId="3" borderId="3" xfId="0" applyFont="1" applyFill="1" applyBorder="1" applyAlignment="1">
      <alignment horizontal="center"/>
    </xf>
    <xf numFmtId="0" fontId="131" fillId="8" borderId="4" xfId="0" applyFont="1" applyFill="1" applyBorder="1" applyAlignment="1">
      <alignment horizontal="center"/>
    </xf>
    <xf numFmtId="0" fontId="131" fillId="8" borderId="7" xfId="0" applyFont="1" applyFill="1" applyBorder="1" applyAlignment="1">
      <alignment horizontal="center"/>
    </xf>
    <xf numFmtId="0" fontId="131" fillId="9" borderId="4" xfId="0" applyFont="1" applyFill="1" applyBorder="1" applyAlignment="1">
      <alignment horizontal="center"/>
    </xf>
    <xf numFmtId="0" fontId="131" fillId="9" borderId="7" xfId="0" applyFont="1" applyFill="1" applyBorder="1" applyAlignment="1">
      <alignment horizontal="center"/>
    </xf>
    <xf numFmtId="0" fontId="129" fillId="3" borderId="2" xfId="0" applyFont="1" applyFill="1" applyBorder="1" applyAlignment="1">
      <alignment horizontal="center" vertical="center"/>
    </xf>
    <xf numFmtId="0" fontId="131" fillId="8" borderId="9" xfId="0" applyFont="1" applyFill="1" applyBorder="1" applyAlignment="1">
      <alignment horizontal="center"/>
    </xf>
    <xf numFmtId="0" fontId="131" fillId="8" borderId="0" xfId="0" applyFont="1" applyFill="1" applyAlignment="1">
      <alignment horizontal="center"/>
    </xf>
    <xf numFmtId="0" fontId="131" fillId="8" borderId="12" xfId="0" applyFont="1" applyFill="1" applyBorder="1" applyAlignment="1">
      <alignment horizontal="center"/>
    </xf>
    <xf numFmtId="0" fontId="114" fillId="0" borderId="0" xfId="0" applyFont="1" applyAlignment="1">
      <alignment horizontal="center" vertical="center" wrapText="1"/>
    </xf>
    <xf numFmtId="14" fontId="122" fillId="0" borderId="0" xfId="0" applyNumberFormat="1" applyFont="1" applyAlignment="1">
      <alignment horizontal="center" vertical="center" wrapText="1"/>
    </xf>
    <xf numFmtId="0" fontId="109" fillId="0" borderId="13" xfId="7" applyFill="1" applyBorder="1" applyAlignment="1">
      <alignment horizontal="left"/>
    </xf>
    <xf numFmtId="0" fontId="109" fillId="0" borderId="0" xfId="7" applyFill="1" applyBorder="1" applyAlignment="1">
      <alignment horizontal="left"/>
    </xf>
    <xf numFmtId="0" fontId="119" fillId="2" borderId="0" xfId="32614" applyFont="1" applyFill="1" applyAlignment="1">
      <alignment horizontal="center" wrapText="1"/>
    </xf>
    <xf numFmtId="0" fontId="114" fillId="2" borderId="0" xfId="32614" applyFont="1" applyFill="1" applyAlignment="1">
      <alignment horizontal="center" wrapText="1"/>
    </xf>
    <xf numFmtId="0" fontId="120" fillId="2" borderId="0" xfId="32614" applyFont="1" applyFill="1" applyAlignment="1">
      <alignment horizontal="center"/>
    </xf>
    <xf numFmtId="0" fontId="115" fillId="2" borderId="0" xfId="32614" applyFont="1" applyFill="1" applyAlignment="1">
      <alignment horizontal="center"/>
    </xf>
    <xf numFmtId="0" fontId="114" fillId="2" borderId="0" xfId="2841" applyFont="1" applyFill="1" applyAlignment="1">
      <alignment horizontal="center" wrapText="1"/>
    </xf>
    <xf numFmtId="0" fontId="117" fillId="2" borderId="0" xfId="2841" applyFont="1" applyFill="1" applyAlignment="1">
      <alignment horizontal="center" vertical="top"/>
    </xf>
    <xf numFmtId="0" fontId="119" fillId="2" borderId="0" xfId="2842" applyFont="1" applyFill="1" applyAlignment="1">
      <alignment horizontal="center" wrapText="1"/>
    </xf>
    <xf numFmtId="0" fontId="119" fillId="0" borderId="0" xfId="32631" applyFont="1" applyAlignment="1">
      <alignment horizontal="center" wrapText="1"/>
    </xf>
    <xf numFmtId="0" fontId="114" fillId="0" borderId="0" xfId="32631" applyFont="1" applyAlignment="1">
      <alignment horizontal="center" wrapText="1"/>
    </xf>
    <xf numFmtId="14" fontId="117" fillId="0" borderId="0" xfId="0" applyNumberFormat="1" applyFont="1" applyAlignment="1">
      <alignment horizontal="left" vertical="top" wrapText="1"/>
    </xf>
    <xf numFmtId="0" fontId="0" fillId="0" borderId="0" xfId="0" applyAlignment="1">
      <alignment horizontal="left"/>
    </xf>
    <xf numFmtId="0" fontId="124" fillId="2" borderId="0" xfId="0" applyFont="1" applyFill="1" applyAlignment="1">
      <alignment horizontal="center" vertical="center" wrapText="1"/>
    </xf>
    <xf numFmtId="14" fontId="125" fillId="2" borderId="0" xfId="0" applyNumberFormat="1" applyFont="1" applyFill="1" applyAlignment="1">
      <alignment horizontal="center" vertical="center" wrapText="1"/>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79">
    <dxf>
      <fill>
        <patternFill patternType="solid">
          <fgColor rgb="FFFFFF00"/>
          <bgColor rgb="FF000000"/>
        </patternFill>
      </fill>
    </dxf>
    <dxf>
      <fill>
        <patternFill patternType="solid">
          <fgColor rgb="FFFFFF00"/>
          <bgColor rgb="FF000000"/>
        </patternFill>
      </fill>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border outline="0">
        <left style="thin">
          <color auto="1"/>
        </left>
        <right style="thin">
          <color auto="1"/>
        </right>
      </border>
    </dxf>
    <dxf>
      <font>
        <strike val="0"/>
        <outline val="0"/>
        <shadow val="0"/>
        <u val="none"/>
        <vertAlign val="baseline"/>
        <sz val="10"/>
        <color theme="7" tint="-0.249977111117893"/>
        <name val="Arial"/>
        <family val="2"/>
        <scheme val="none"/>
      </font>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border outline="0">
        <top style="thin">
          <color indexed="64"/>
        </top>
      </border>
    </dxf>
    <dxf>
      <border outline="0">
        <left style="thin">
          <color auto="1"/>
        </left>
        <right style="thin">
          <color auto="1"/>
        </right>
        <top style="thin">
          <color indexed="64"/>
        </top>
        <bottom style="thin">
          <color indexed="64"/>
        </bottom>
      </border>
    </dxf>
    <dxf>
      <numFmt numFmtId="164" formatCode="dddd"/>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8D2"/>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FFF00"/>
      <color rgb="FFF20000"/>
      <color rgb="FF0078D2"/>
      <color rgb="FFFF66CC"/>
      <color rgb="FFFF5353"/>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115</c:v>
                </c:pt>
                <c:pt idx="2">
                  <c:v>0</c:v>
                </c:pt>
                <c:pt idx="3">
                  <c:v>0</c:v>
                </c:pt>
                <c:pt idx="4">
                  <c:v>0</c:v>
                </c:pt>
                <c:pt idx="5">
                  <c:v>0</c:v>
                </c:pt>
                <c:pt idx="6">
                  <c:v>0</c:v>
                </c:pt>
                <c:pt idx="7">
                  <c:v>0</c:v>
                </c:pt>
                <c:pt idx="8">
                  <c:v>0</c:v>
                </c:pt>
                <c:pt idx="9">
                  <c:v>0</c:v>
                </c:pt>
                <c:pt idx="10">
                  <c:v>0</c:v>
                </c:pt>
                <c:pt idx="11">
                  <c:v>30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225</c:v>
                </c:pt>
                <c:pt idx="1">
                  <c:v>458</c:v>
                </c:pt>
                <c:pt idx="2">
                  <c:v>55</c:v>
                </c:pt>
                <c:pt idx="3">
                  <c:v>0</c:v>
                </c:pt>
                <c:pt idx="4">
                  <c:v>152</c:v>
                </c:pt>
                <c:pt idx="5">
                  <c:v>472</c:v>
                </c:pt>
                <c:pt idx="6">
                  <c:v>500</c:v>
                </c:pt>
                <c:pt idx="7">
                  <c:v>80</c:v>
                </c:pt>
                <c:pt idx="8">
                  <c:v>190</c:v>
                </c:pt>
                <c:pt idx="9">
                  <c:v>450</c:v>
                </c:pt>
                <c:pt idx="10">
                  <c:v>360</c:v>
                </c:pt>
                <c:pt idx="11">
                  <c:v>822</c:v>
                </c:pt>
                <c:pt idx="12">
                  <c:v>20</c:v>
                </c:pt>
                <c:pt idx="13">
                  <c:v>430</c:v>
                </c:pt>
                <c:pt idx="14">
                  <c:v>0</c:v>
                </c:pt>
                <c:pt idx="15">
                  <c:v>0</c:v>
                </c:pt>
                <c:pt idx="16">
                  <c:v>178</c:v>
                </c:pt>
                <c:pt idx="17">
                  <c:v>120</c:v>
                </c:pt>
                <c:pt idx="18">
                  <c:v>1345</c:v>
                </c:pt>
                <c:pt idx="19">
                  <c:v>500</c:v>
                </c:pt>
                <c:pt idx="20">
                  <c:v>1170</c:v>
                </c:pt>
                <c:pt idx="21">
                  <c:v>35</c:v>
                </c:pt>
                <c:pt idx="22">
                  <c:v>479</c:v>
                </c:pt>
                <c:pt idx="23">
                  <c:v>505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152837384"/>
        <c:axId val="15283424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225</c:v>
                      </c:pt>
                      <c:pt idx="1">
                        <c:v>573</c:v>
                      </c:pt>
                      <c:pt idx="2">
                        <c:v>55</c:v>
                      </c:pt>
                      <c:pt idx="3">
                        <c:v>0</c:v>
                      </c:pt>
                      <c:pt idx="4">
                        <c:v>152</c:v>
                      </c:pt>
                      <c:pt idx="5">
                        <c:v>472</c:v>
                      </c:pt>
                      <c:pt idx="6">
                        <c:v>500</c:v>
                      </c:pt>
                      <c:pt idx="7">
                        <c:v>80</c:v>
                      </c:pt>
                      <c:pt idx="8">
                        <c:v>190</c:v>
                      </c:pt>
                      <c:pt idx="9">
                        <c:v>450</c:v>
                      </c:pt>
                      <c:pt idx="10">
                        <c:v>360</c:v>
                      </c:pt>
                      <c:pt idx="11">
                        <c:v>852</c:v>
                      </c:pt>
                      <c:pt idx="12">
                        <c:v>21</c:v>
                      </c:pt>
                      <c:pt idx="13">
                        <c:v>430</c:v>
                      </c:pt>
                      <c:pt idx="14">
                        <c:v>0</c:v>
                      </c:pt>
                      <c:pt idx="15">
                        <c:v>0</c:v>
                      </c:pt>
                      <c:pt idx="16">
                        <c:v>178</c:v>
                      </c:pt>
                      <c:pt idx="17">
                        <c:v>120</c:v>
                      </c:pt>
                      <c:pt idx="18">
                        <c:v>1345</c:v>
                      </c:pt>
                      <c:pt idx="19">
                        <c:v>500</c:v>
                      </c:pt>
                      <c:pt idx="20">
                        <c:v>1170</c:v>
                      </c:pt>
                      <c:pt idx="21">
                        <c:v>35</c:v>
                      </c:pt>
                      <c:pt idx="22">
                        <c:v>479</c:v>
                      </c:pt>
                      <c:pt idx="23">
                        <c:v>505</c:v>
                      </c:pt>
                    </c:numCache>
                  </c:numRef>
                </c:val>
                <c:extLst>
                  <c:ext xmlns:c16="http://schemas.microsoft.com/office/drawing/2014/chart" uri="{C3380CC4-5D6E-409C-BE32-E72D297353CC}">
                    <c16:uniqueId val="{00000002-3BA8-4E2D-93C4-F54FC9B26BCC}"/>
                  </c:ext>
                </c:extLst>
              </c15:ser>
            </c15:filteredBarSeries>
          </c:ext>
        </c:extLst>
      </c:barChart>
      <c:catAx>
        <c:axId val="1528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4248"/>
        <c:crosses val="autoZero"/>
        <c:auto val="1"/>
        <c:lblAlgn val="ctr"/>
        <c:lblOffset val="100"/>
        <c:noMultiLvlLbl val="0"/>
      </c:catAx>
      <c:valAx>
        <c:axId val="152834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7384"/>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84043</xdr:colOff>
      <xdr:row>4</xdr:row>
      <xdr:rowOff>56028</xdr:rowOff>
    </xdr:from>
    <xdr:to>
      <xdr:col>4</xdr:col>
      <xdr:colOff>3572383</xdr:colOff>
      <xdr:row>67</xdr:row>
      <xdr:rowOff>140074</xdr:rowOff>
    </xdr:to>
    <xdr:pic>
      <xdr:nvPicPr>
        <xdr:cNvPr id="39" name="Imagen 38">
          <a:extLst>
            <a:ext uri="{FF2B5EF4-FFF2-40B4-BE49-F238E27FC236}">
              <a16:creationId xmlns:a16="http://schemas.microsoft.com/office/drawing/2014/main" id="{E2A40325-9C60-CD9F-8CF4-CD40E048D206}"/>
            </a:ext>
          </a:extLst>
        </xdr:cNvPr>
        <xdr:cNvPicPr>
          <a:picLocks noChangeAspect="1"/>
        </xdr:cNvPicPr>
      </xdr:nvPicPr>
      <xdr:blipFill rotWithShape="1">
        <a:blip xmlns:r="http://schemas.openxmlformats.org/officeDocument/2006/relationships" r:embed="rId1"/>
        <a:srcRect l="5277"/>
        <a:stretch/>
      </xdr:blipFill>
      <xdr:spPr>
        <a:xfrm>
          <a:off x="84043" y="1666874"/>
          <a:ext cx="8544994" cy="12732685"/>
        </a:xfrm>
        <a:prstGeom prst="rect">
          <a:avLst/>
        </a:prstGeom>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67</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809135</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124264</xdr:colOff>
      <xdr:row>56</xdr:row>
      <xdr:rowOff>28505</xdr:rowOff>
    </xdr:from>
    <xdr:to>
      <xdr:col>1</xdr:col>
      <xdr:colOff>675855</xdr:colOff>
      <xdr:row>67</xdr:row>
      <xdr:rowOff>69919</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124264" y="12130858"/>
          <a:ext cx="1966334" cy="2198546"/>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5</xdr:col>
      <xdr:colOff>1203576</xdr:colOff>
      <xdr:row>48</xdr:row>
      <xdr:rowOff>114300</xdr:rowOff>
    </xdr:to>
    <xdr:pic>
      <xdr:nvPicPr>
        <xdr:cNvPr id="12" name="Imagen 11">
          <a:extLst>
            <a:ext uri="{FF2B5EF4-FFF2-40B4-BE49-F238E27FC236}">
              <a16:creationId xmlns:a16="http://schemas.microsoft.com/office/drawing/2014/main" id="{4E942497-C206-57BB-B19E-1DEC558074E5}"/>
            </a:ext>
          </a:extLst>
        </xdr:cNvPr>
        <xdr:cNvPicPr>
          <a:picLocks noChangeAspect="1"/>
        </xdr:cNvPicPr>
      </xdr:nvPicPr>
      <xdr:blipFill>
        <a:blip xmlns:r="http://schemas.openxmlformats.org/officeDocument/2006/relationships" r:embed="rId1"/>
        <a:stretch>
          <a:fillRect/>
        </a:stretch>
      </xdr:blipFill>
      <xdr:spPr>
        <a:xfrm>
          <a:off x="57150" y="1504950"/>
          <a:ext cx="6023226" cy="8934450"/>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38099</xdr:colOff>
      <xdr:row>4</xdr:row>
      <xdr:rowOff>9525</xdr:rowOff>
    </xdr:from>
    <xdr:to>
      <xdr:col>5</xdr:col>
      <xdr:colOff>2008186</xdr:colOff>
      <xdr:row>54</xdr:row>
      <xdr:rowOff>123825</xdr:rowOff>
    </xdr:to>
    <xdr:pic>
      <xdr:nvPicPr>
        <xdr:cNvPr id="15" name="Imagen 14">
          <a:extLst>
            <a:ext uri="{FF2B5EF4-FFF2-40B4-BE49-F238E27FC236}">
              <a16:creationId xmlns:a16="http://schemas.microsoft.com/office/drawing/2014/main" id="{BF6EA764-6204-07B7-1D44-CAF436C54AB8}"/>
            </a:ext>
          </a:extLst>
        </xdr:cNvPr>
        <xdr:cNvPicPr>
          <a:picLocks noChangeAspect="1"/>
        </xdr:cNvPicPr>
      </xdr:nvPicPr>
      <xdr:blipFill>
        <a:blip xmlns:r="http://schemas.openxmlformats.org/officeDocument/2006/relationships" r:embed="rId1"/>
        <a:stretch>
          <a:fillRect/>
        </a:stretch>
      </xdr:blipFill>
      <xdr:spPr>
        <a:xfrm>
          <a:off x="38099" y="1381125"/>
          <a:ext cx="6503987" cy="9505950"/>
        </a:xfrm>
        <a:prstGeom prst="rect">
          <a:avLst/>
        </a:prstGeom>
        <a:ln>
          <a:solidFill>
            <a:schemeClr val="tx1"/>
          </a:solidFill>
        </a:ln>
      </xdr:spPr>
    </xdr:pic>
    <xdr:clientData/>
  </xdr:twoCellAnchor>
  <xdr:twoCellAnchor editAs="oneCell">
    <xdr:from>
      <xdr:col>0</xdr:col>
      <xdr:colOff>326306</xdr:colOff>
      <xdr:row>43</xdr:row>
      <xdr:rowOff>118819</xdr:rowOff>
    </xdr:from>
    <xdr:to>
      <xdr:col>2</xdr:col>
      <xdr:colOff>703568</xdr:colOff>
      <xdr:row>52</xdr:row>
      <xdr:rowOff>140923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2"/>
        <a:stretch>
          <a:fillRect/>
        </a:stretch>
      </xdr:blipFill>
      <xdr:spPr>
        <a:xfrm>
          <a:off x="326306" y="8767519"/>
          <a:ext cx="1834587" cy="1774704"/>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5"/>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57149</xdr:colOff>
      <xdr:row>4</xdr:row>
      <xdr:rowOff>0</xdr:rowOff>
    </xdr:from>
    <xdr:to>
      <xdr:col>6</xdr:col>
      <xdr:colOff>104776</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9" y="1409700"/>
          <a:ext cx="6515102"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4:U329" totalsRowShown="0" headerRowDxfId="78">
  <tableColumns count="4">
    <tableColumn id="1" xr3:uid="{00000000-0010-0000-0000-000001000000}" name="DPTO" dataDxfId="77">
      <calculatedColumnFormula>TRIM(MID(TRIM(Transportes!D5),1,FIND(CHAR(10),TRIM(Transportes!D5),1)-1))</calculatedColumnFormula>
    </tableColumn>
    <tableColumn id="2" xr3:uid="{00000000-0010-0000-0000-000002000000}" name="ESTADO" dataDxfId="76">
      <calculatedColumnFormula>TRIM(IF(Transportes!F5="TRÁNSITO INTERRUMPIDO","Interrumpido",IF(Transportes!F5="TRÁNSITO RESTRINGIDO","Restringido","Normal")))</calculatedColumnFormula>
    </tableColumn>
    <tableColumn id="3" xr3:uid="{00000000-0010-0000-0000-000003000000}" name="FENOMENO" dataDxfId="75">
      <calculatedColumnFormula>TRIM(IF(MID(TRIM(Transportes!H5),1,FIND("-",TRIM(Transportes!H5),1)-2)="Acción humana","H","F"))</calculatedColumnFormula>
    </tableColumn>
    <tableColumn id="4" xr3:uid="{00000000-0010-0000-0000-000004000000}" name="METRAJE" dataDxfId="74">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45" totalsRowShown="0" headerRowDxfId="73" dataDxfId="71" headerRowBorderDxfId="72" tableBorderDxfId="70" totalsRowBorderDxfId="69" headerRowCellStyle="Millares 11 2">
  <sortState xmlns:xlrd2="http://schemas.microsoft.com/office/spreadsheetml/2017/richdata2" ref="A83:M136">
    <sortCondition sortBy="cellColor" ref="D4:D136" dxfId="68"/>
  </sortState>
  <tableColumns count="13">
    <tableColumn id="1" xr3:uid="{00000000-0010-0000-0100-000001000000}" name="Nro" dataDxfId="67" dataCellStyle="Millares"/>
    <tableColumn id="2" xr3:uid="{00000000-0010-0000-0100-000002000000}" name="VER MAPA" dataDxfId="66" dataCellStyle="Hipervínculo"/>
    <tableColumn id="3" xr3:uid="{00000000-0010-0000-0100-000003000000}" name="FECHA DEL EVENTO" dataDxfId="65" dataCellStyle="Título 3 2"/>
    <tableColumn id="4" xr3:uid="{00000000-0010-0000-0100-000004000000}" name="DEPARTAMENTO_x000a_PROVINCIA  /  DISTRITO" dataDxfId="64" dataCellStyle="Título 3 2"/>
    <tableColumn id="5" xr3:uid="{00000000-0010-0000-0100-000005000000}" name="AFECTACIÓN" dataDxfId="63" dataCellStyle="Título 3 3"/>
    <tableColumn id="15" xr3:uid="{00000000-0010-0000-0100-00000F000000}" name="ESTADO" dataDxfId="62" dataCellStyle="Título 3 2"/>
    <tableColumn id="6" xr3:uid="{00000000-0010-0000-0100-000006000000}" name="METRAJE" dataDxfId="61" dataCellStyle="Millares"/>
    <tableColumn id="7" xr3:uid="{00000000-0010-0000-0100-000007000000}" name="EVENTO - OCURRENCIA / ACCIONES" dataDxfId="60" dataCellStyle="Título 3 3"/>
    <tableColumn id="8" xr3:uid="{00000000-0010-0000-0100-000008000000}" name="MAQUINARIA_x000a_(Cantidad/tipo)" dataDxfId="59" dataCellStyle="Título 3 3"/>
    <tableColumn id="9" xr3:uid="{00000000-0010-0000-0100-000009000000}" name="ADMINISTRACIÓN / RESPONSABLE" dataDxfId="58" dataCellStyle="Título 3 2"/>
    <tableColumn id="10" xr3:uid="{00000000-0010-0000-0100-00000A000000}" name="VER FOTO / VIDEO" dataDxfId="57" dataCellStyle="Hipervínculo"/>
    <tableColumn id="11" xr3:uid="{00000000-0010-0000-0100-00000B000000}" name="LATITUD" dataDxfId="56" dataCellStyle="Input Custom"/>
    <tableColumn id="12" xr3:uid="{00000000-0010-0000-0100-00000C000000}" name="LONGITUD" dataDxfId="55"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54" dataDxfId="52" headerRowBorderDxfId="53" tableBorderDxfId="51" totalsRowBorderDxfId="50" headerRowCellStyle="Título 3 2">
  <tableColumns count="6">
    <tableColumn id="1" xr3:uid="{00000000-0010-0000-0200-000001000000}" name="N°" dataDxfId="49" dataCellStyle="Normal 2 3 2 12 4 8"/>
    <tableColumn id="2" xr3:uid="{00000000-0010-0000-0200-000002000000}" name="DEPARTAMENTO_x000a_PROVINCIA  /  DISTRITO" dataDxfId="48"/>
    <tableColumn id="3" xr3:uid="{00000000-0010-0000-0200-000003000000}" name="AFECTACIÓN" dataDxfId="47"/>
    <tableColumn id="4" xr3:uid="{00000000-0010-0000-0200-000004000000}" name="EVENTO - OCURRENCIA" dataDxfId="46"/>
    <tableColumn id="5" xr3:uid="{00000000-0010-0000-0200-000005000000}" name="ESTADO" dataDxfId="45"/>
    <tableColumn id="6" xr3:uid="{00000000-0010-0000-0200-000006000000}" name="FUENTE" dataDxfId="44"/>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3" totalsRowShown="0" headerRowDxfId="43" dataDxfId="41" headerRowBorderDxfId="42" tableBorderDxfId="40" totalsRowBorderDxfId="39" headerRowCellStyle="Título 3 2">
  <tableColumns count="8">
    <tableColumn id="1" xr3:uid="{00000000-0010-0000-0300-000001000000}" name="N°" dataDxfId="38" dataCellStyle="Normal 2 2 2 2 5"/>
    <tableColumn id="9" xr3:uid="{00000000-0010-0000-0300-000009000000}" name="CÓDIGO" dataDxfId="37"/>
    <tableColumn id="2" xr3:uid="{00000000-0010-0000-0300-000002000000}" name="UBICACIÓN" dataDxfId="36" dataCellStyle="Título 3 2"/>
    <tableColumn id="7" xr3:uid="{00000000-0010-0000-0300-000007000000}" name="Fecha" dataDxfId="35" dataCellStyle="Título 3 2"/>
    <tableColumn id="3" xr3:uid="{00000000-0010-0000-0300-000003000000}" name="AFECTACIÓN" dataDxfId="34" dataCellStyle="Título 3 3"/>
    <tableColumn id="4" xr3:uid="{00000000-0010-0000-0300-000004000000}" name="EVENTO - OCURRENCIA" dataDxfId="33" dataCellStyle="Normal 2 2 2 2 5"/>
    <tableColumn id="5" xr3:uid="{00000000-0010-0000-0300-000005000000}" name="ESTADO" dataDxfId="32" dataCellStyle="Título 3 2"/>
    <tableColumn id="6" xr3:uid="{00000000-0010-0000-0300-000006000000}" name="FUENTE" dataDxfId="31"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FDA5FC-C0F9-4AD9-A919-AA21365313B0}" name="Tabla7" displayName="Tabla7" ref="A56:I74" totalsRowShown="0" headerRowDxfId="30" dataDxfId="28" headerRowBorderDxfId="29" tableBorderDxfId="27" totalsRowBorderDxfId="26" headerRowCellStyle="Título 3 2">
  <tableColumns count="9">
    <tableColumn id="1" xr3:uid="{565CE5C7-9903-4426-85D2-E6447E52ABD6}" name="N" dataDxfId="25"/>
    <tableColumn id="2" xr3:uid="{E46A773B-60B9-477A-B78F-132BFC3711BB}" name="CÓDIGO" dataDxfId="24"/>
    <tableColumn id="3" xr3:uid="{134A0E24-82E6-496D-AAC2-353EC057E869}" name="FECHA DEL EVENTO" dataDxfId="23"/>
    <tableColumn id="4" xr3:uid="{3EE96B3B-7FD3-4C04-AF75-0537BBB02D63}" name="UBICACIÓN" dataDxfId="22"/>
    <tableColumn id="5" xr3:uid="{39073CC9-E7BE-4D7E-B21B-DA9ADC7F0E37}" name="AFECTACIÓN" dataDxfId="21"/>
    <tableColumn id="6" xr3:uid="{E0CF4EF8-F049-41A6-9545-E3AE7CEBB4B8}" name="EVENTO - OCURRENCIA" dataDxfId="20"/>
    <tableColumn id="7" xr3:uid="{41E42DD4-CCE8-4D5C-8484-ADE3B6C0601E}" name="ESTADO" dataDxfId="19"/>
    <tableColumn id="8" xr3:uid="{9F27E3A8-D08D-4066-9AC6-ABD4A78792B9}" name="TERMINAL ABIERTO" dataDxfId="18"/>
    <tableColumn id="9" xr3:uid="{B668CF47-21FC-4F14-B3FF-5717DDE1E38D}" name="FUENTE" dataDxfId="17"/>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6" totalsRowShown="0" headerRowDxfId="16" headerRowBorderDxfId="15" tableBorderDxfId="14" totalsRowBorderDxfId="13">
  <tableColumns count="11">
    <tableColumn id="1" xr3:uid="{00000000-0010-0000-0400-000001000000}" name="Nro." dataDxfId="12" dataCellStyle="Título 3 3"/>
    <tableColumn id="2" xr3:uid="{00000000-0010-0000-0400-000002000000}" name="VER MAPA" dataDxfId="11" dataCellStyle="Hipervínculo"/>
    <tableColumn id="3" xr3:uid="{00000000-0010-0000-0400-000003000000}" name="FECHA DEL EVENTO" dataDxfId="10" dataCellStyle="Título 3 3"/>
    <tableColumn id="4" xr3:uid="{00000000-0010-0000-0400-000004000000}" name="DEPARTAMENTO_x000a_PROVINCIA  /  DISTRITO" dataDxfId="9" dataCellStyle="Título 3 3"/>
    <tableColumn id="5" xr3:uid="{00000000-0010-0000-0400-000005000000}" name="AFECTACIÓN" dataDxfId="8" dataCellStyle="Título 3 3"/>
    <tableColumn id="6" xr3:uid="{00000000-0010-0000-0400-000006000000}" name="ESTADO" dataDxfId="7" dataCellStyle="Título 3 3"/>
    <tableColumn id="7" xr3:uid="{00000000-0010-0000-0400-000007000000}" name="EVENTO - OCURRENCIA" dataDxfId="6" dataCellStyle="Título 3 3"/>
    <tableColumn id="8" xr3:uid="{00000000-0010-0000-0400-000008000000}" name="FUENTE" dataDxfId="5" dataCellStyle="Título 3 3"/>
    <tableColumn id="11" xr3:uid="{00000000-0010-0000-0400-00000B000000}" name="VER FOTO / VIDEO" dataDxfId="4" dataCellStyle="Título 3 3"/>
    <tableColumn id="9" xr3:uid="{00000000-0010-0000-0400-000009000000}" name="LATITUD" dataDxfId="3" dataCellStyle="Millares"/>
    <tableColumn id="10" xr3:uid="{00000000-0010-0000-0400-00000A000000}" name="LONGITUD" dataDxfId="2"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907_20250426012416.pdf" TargetMode="External"/><Relationship Id="rId21" Type="http://schemas.openxmlformats.org/officeDocument/2006/relationships/hyperlink" Target="https://arsaecoe.mtc.gob.pe/vial/VIAL_I_VIALES003328_20250304114558.pdf" TargetMode="External"/><Relationship Id="rId63" Type="http://schemas.openxmlformats.org/officeDocument/2006/relationships/hyperlink" Target="https://arsaecoe.mtc.gob.pe/vial/VIAL_R_M230433_20230930012822.pdf" TargetMode="External"/><Relationship Id="rId159" Type="http://schemas.openxmlformats.org/officeDocument/2006/relationships/hyperlink" Target="https://arsaecoe.mtc.gob.pe/vial/VIAL_R_VIALES004064_20250522043552.pdf" TargetMode="External"/><Relationship Id="rId170" Type="http://schemas.openxmlformats.org/officeDocument/2006/relationships/hyperlink" Target="https://arsaecoe.mtc.gob.pe/vial/VIAL_I_VIALES004076_20250526064318.pdf" TargetMode="External"/><Relationship Id="rId226" Type="http://schemas.openxmlformats.org/officeDocument/2006/relationships/hyperlink" Target="https://arsaecoe.mtc.gob.pe/vial/VIAL_R_VIALES004155_20250610052432.pdf" TargetMode="External"/><Relationship Id="rId268" Type="http://schemas.openxmlformats.org/officeDocument/2006/relationships/hyperlink" Target="https://arsaecoe.mtc.gob.pe/vial/VIAL_I_VIALES004179_20250613052158.pdf" TargetMode="External"/><Relationship Id="rId32" Type="http://schemas.openxmlformats.org/officeDocument/2006/relationships/hyperlink" Target="https://arsaecoe.mtc.gob.pe/vial/VIAL_R_VIALES003540_20250320051945.pdf" TargetMode="External"/><Relationship Id="rId74" Type="http://schemas.openxmlformats.org/officeDocument/2006/relationships/hyperlink" Target="https://arsaecoe.mtc.gob.pe/vial/VIAL_R_M2304172_20230418113104.pdf" TargetMode="External"/><Relationship Id="rId128" Type="http://schemas.openxmlformats.org/officeDocument/2006/relationships/hyperlink" Target="https://arsaecoe.mtc.gob.pe/vial/VIAL_R_VIALES003941_20250430101100.pdf" TargetMode="External"/><Relationship Id="rId5" Type="http://schemas.openxmlformats.org/officeDocument/2006/relationships/hyperlink" Target="https://arsaecoe.mtc.gob.pe/vial/VIAL_I_VIALES002636_20250102025719.pdf" TargetMode="External"/><Relationship Id="rId95" Type="http://schemas.openxmlformats.org/officeDocument/2006/relationships/hyperlink" Target="https://arsaecoe.mtc.gob.pe/vial/VIAL_I_VIALES003784_20250412091411.pdf" TargetMode="External"/><Relationship Id="rId160" Type="http://schemas.openxmlformats.org/officeDocument/2006/relationships/hyperlink" Target="https://arsaecoe.mtc.gob.pe/vial/VIAL_R_VIALES004065_20250522064055.pdf" TargetMode="External"/><Relationship Id="rId181" Type="http://schemas.openxmlformats.org/officeDocument/2006/relationships/hyperlink" Target="https://arsaecoe.mtc.gob.pe/vial/VIAL_R_VIALES004114_20250602062253.pdf" TargetMode="External"/><Relationship Id="rId216" Type="http://schemas.openxmlformats.org/officeDocument/2006/relationships/hyperlink" Target="https://arsaecoe.mtc.gob.pe/vial/VIAL_R_VIALES004148_20250609105509.pdf" TargetMode="External"/><Relationship Id="rId237" Type="http://schemas.openxmlformats.org/officeDocument/2006/relationships/hyperlink" Target="https://arsaecoe.mtc.gob.pe/vial/VIAL_I_VIALES004154_20250611063155.pdf" TargetMode="External"/><Relationship Id="rId258" Type="http://schemas.openxmlformats.org/officeDocument/2006/relationships/hyperlink" Target="https://arsaecoe.mtc.gob.pe/vial/VIAL_I_VIALES004168_20250612044649.pdf" TargetMode="External"/><Relationship Id="rId22" Type="http://schemas.openxmlformats.org/officeDocument/2006/relationships/hyperlink" Target="https://arsaecoe.mtc.gob.pe/vial/VIAL_I_VIALES003314_20250305121009.pdf" TargetMode="External"/><Relationship Id="rId43" Type="http://schemas.openxmlformats.org/officeDocument/2006/relationships/hyperlink" Target="https://arsaecoe.mtc.gob.pe/vial/VIAL_R_VIALES003600_20250326114234.pdf" TargetMode="External"/><Relationship Id="rId64" Type="http://schemas.openxmlformats.org/officeDocument/2006/relationships/hyperlink" Target="https://arsaecoe.mtc.gob.pe/vial/VIAL_R_M2303399_20230904115721.pdf" TargetMode="External"/><Relationship Id="rId118" Type="http://schemas.openxmlformats.org/officeDocument/2006/relationships/hyperlink" Target="https://arsaecoe.mtc.gob.pe/vial/VIAL_I_VIALES003898_20250426084311.pdf" TargetMode="External"/><Relationship Id="rId139" Type="http://schemas.openxmlformats.org/officeDocument/2006/relationships/hyperlink" Target="https://arsaecoe.mtc.gob.pe/vial/VIAL_R_VIALES004008_20250513044054.pdf" TargetMode="External"/><Relationship Id="rId85" Type="http://schemas.openxmlformats.org/officeDocument/2006/relationships/hyperlink" Target="https://arsaecoe.mtc.gob.pe/vial/VIAL_R_VIALES003277_20250228115013.pdf" TargetMode="External"/><Relationship Id="rId150" Type="http://schemas.openxmlformats.org/officeDocument/2006/relationships/hyperlink" Target="https://arsaecoe.mtc.gob.pe/vial/VIAL_I_VIALES004036_20250516044833.pdf" TargetMode="External"/><Relationship Id="rId171" Type="http://schemas.openxmlformats.org/officeDocument/2006/relationships/hyperlink" Target="https://arsaecoe.mtc.gob.pe/vial/VIAL_R_VIALES004082_20250527030426.pdf" TargetMode="External"/><Relationship Id="rId192" Type="http://schemas.openxmlformats.org/officeDocument/2006/relationships/hyperlink" Target="https://arsaecoe.mtc.gob.pe/vial/VIAL_I_VIALES004123_20250604114257.pdf" TargetMode="External"/><Relationship Id="rId206" Type="http://schemas.openxmlformats.org/officeDocument/2006/relationships/hyperlink" Target="https://arsaecoe.mtc.gob.pe/vial/VIAL_I_VIALES004101_20250606094932.pdf" TargetMode="External"/><Relationship Id="rId227" Type="http://schemas.openxmlformats.org/officeDocument/2006/relationships/hyperlink" Target="https://arsaecoe.mtc.gob.pe/vial/VIAL_R_VIALES004156_20250610053228.pdf" TargetMode="External"/><Relationship Id="rId248" Type="http://schemas.openxmlformats.org/officeDocument/2006/relationships/hyperlink" Target="https://arsaecoe.mtc.gob.pe/vial/VIAL_R_VIALES004166_20250611064223.pdf" TargetMode="External"/><Relationship Id="rId269" Type="http://schemas.openxmlformats.org/officeDocument/2006/relationships/hyperlink" Target="https://arsaecoe.mtc.gob.pe/vial/VIAL_R_VIALES004180_20250613084831.pdf" TargetMode="External"/><Relationship Id="rId12" Type="http://schemas.openxmlformats.org/officeDocument/2006/relationships/hyperlink" Target="https://arsaecoe.mtc.gob.pe/vial/VIAL_I_VIALES003047_20250203035907.pdf" TargetMode="External"/><Relationship Id="rId33" Type="http://schemas.openxmlformats.org/officeDocument/2006/relationships/hyperlink" Target="https://arsaecoe.mtc.gob.pe/vial/VIAL_R_VIALES003544_20250321103842.pdf" TargetMode="External"/><Relationship Id="rId108" Type="http://schemas.openxmlformats.org/officeDocument/2006/relationships/hyperlink" Target="https://arsaecoe.mtc.gob.pe/vial/VIAL_R_VIALES003884_20250423101103.pdf" TargetMode="External"/><Relationship Id="rId129" Type="http://schemas.openxmlformats.org/officeDocument/2006/relationships/hyperlink" Target="https://arsaecoe.mtc.gob.pe/vial/VIAL_R_VIALES003948_20250502125130.pdf" TargetMode="External"/><Relationship Id="rId54" Type="http://schemas.openxmlformats.org/officeDocument/2006/relationships/hyperlink" Target="https://arsaecoe.mtc.gob.pe/vial/VIAL_I_VIALES003729_20250404123115.pdf" TargetMode="External"/><Relationship Id="rId75" Type="http://schemas.openxmlformats.org/officeDocument/2006/relationships/hyperlink" Target="https://arsaecoe.mtc.gob.pe/vial/VIAL_R_VIALES002085_20240409013850.pdf" TargetMode="External"/><Relationship Id="rId96" Type="http://schemas.openxmlformats.org/officeDocument/2006/relationships/hyperlink" Target="https://arsaecoe.mtc.gob.pe/vial/VIAL_I_VIALES003789_20250412091816.pdf" TargetMode="External"/><Relationship Id="rId140" Type="http://schemas.openxmlformats.org/officeDocument/2006/relationships/hyperlink" Target="https://arsaecoe.mtc.gob.pe/vial/VIAL_R_VIALES004009_20250513050923.pdf" TargetMode="External"/><Relationship Id="rId161" Type="http://schemas.openxmlformats.org/officeDocument/2006/relationships/hyperlink" Target="https://arsaecoe.mtc.gob.pe/vial/VIAL_I_VIALES004065_20250522064055.pdf" TargetMode="External"/><Relationship Id="rId182" Type="http://schemas.openxmlformats.org/officeDocument/2006/relationships/hyperlink" Target="https://arsaecoe.mtc.gob.pe/vial/VIAL_R_VIALES004115_20250602085919.pdf" TargetMode="External"/><Relationship Id="rId217" Type="http://schemas.openxmlformats.org/officeDocument/2006/relationships/hyperlink" Target="https://arsaecoe.mtc.gob.pe/vial/VIAL_R_VIALES004150_20250609034658.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I_VIALES004150_20250611083035.pdf" TargetMode="External"/><Relationship Id="rId259" Type="http://schemas.openxmlformats.org/officeDocument/2006/relationships/hyperlink" Target="https://arsaecoe.mtc.gob.pe/vial/VIAL_I_VIALES004166_20250612050136.pdf" TargetMode="External"/><Relationship Id="rId23" Type="http://schemas.openxmlformats.org/officeDocument/2006/relationships/hyperlink" Target="https://arsaecoe.mtc.gob.pe/vial/VIAL_I_VIALES003323_20250304125449.pdf" TargetMode="External"/><Relationship Id="rId119" Type="http://schemas.openxmlformats.org/officeDocument/2006/relationships/hyperlink" Target="https://arsaecoe.mtc.gob.pe/vial/VIAL_I_VIALES003907_20250426084359.pdf" TargetMode="External"/><Relationship Id="rId270" Type="http://schemas.openxmlformats.org/officeDocument/2006/relationships/hyperlink" Target="https://arsaecoe.mtc.gob.pe/vial/VIAL_R_VIALES004181_20250614100126.pdf" TargetMode="External"/><Relationship Id="rId44" Type="http://schemas.openxmlformats.org/officeDocument/2006/relationships/hyperlink" Target="https://arsaecoe.mtc.gob.pe/vial/VIAL_R_VIALES003601_20250326123810.pdf" TargetMode="External"/><Relationship Id="rId65" Type="http://schemas.openxmlformats.org/officeDocument/2006/relationships/hyperlink" Target="https://arsaecoe.mtc.gob.pe/vial/VIAL_R_M2303398_20230904111932.pdf" TargetMode="External"/><Relationship Id="rId86" Type="http://schemas.openxmlformats.org/officeDocument/2006/relationships/hyperlink" Target="https://arsaecoe.mtc.gob.pe/vial/VIAL_R_VIALES003274_20250228112934.pdf" TargetMode="External"/><Relationship Id="rId130" Type="http://schemas.openxmlformats.org/officeDocument/2006/relationships/hyperlink" Target="https://arsaecoe.mtc.gob.pe/vial/VIAL_I_VIALES003948_20250502125130.pdf" TargetMode="External"/><Relationship Id="rId151" Type="http://schemas.openxmlformats.org/officeDocument/2006/relationships/hyperlink" Target="https://arsaecoe.mtc.gob.pe/vial/VIAL_R_VIALES004053_20250520032624.pdf" TargetMode="External"/><Relationship Id="rId172" Type="http://schemas.openxmlformats.org/officeDocument/2006/relationships/hyperlink" Target="https://arsaecoe.mtc.gob.pe/vial/VIAL_I_VIALES004082_20250527030427.pdf" TargetMode="External"/><Relationship Id="rId193" Type="http://schemas.openxmlformats.org/officeDocument/2006/relationships/hyperlink" Target="https://arsaecoe.mtc.gob.pe/vial/VIAL_I_VIALES004115_20250602085919.pdf" TargetMode="External"/><Relationship Id="rId207" Type="http://schemas.openxmlformats.org/officeDocument/2006/relationships/hyperlink" Target="https://arsaecoe.mtc.gob.pe/vial/VIAL_R_VIALES004142_20250606110504.pdf" TargetMode="External"/><Relationship Id="rId228" Type="http://schemas.openxmlformats.org/officeDocument/2006/relationships/hyperlink" Target="https://arsaecoe.mtc.gob.pe/vial/VIAL_I_VIALES004155_20250610052432.pdf" TargetMode="External"/><Relationship Id="rId249" Type="http://schemas.openxmlformats.org/officeDocument/2006/relationships/hyperlink" Target="https://arsaecoe.mtc.gob.pe/vial/VIAL_R_VIALES004168_20250612095542.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885_20250423111509.pdf" TargetMode="External"/><Relationship Id="rId260" Type="http://schemas.openxmlformats.org/officeDocument/2006/relationships/hyperlink" Target="https://arsaecoe.mtc.gob.pe/vial/VIAL_I_VIALES004172_20250612081651.pdf" TargetMode="External"/><Relationship Id="rId34" Type="http://schemas.openxmlformats.org/officeDocument/2006/relationships/hyperlink" Target="https://arsaecoe.mtc.gob.pe/vial/VIAL_R_VIALES003556_20250321082943.pdf" TargetMode="External"/><Relationship Id="rId55" Type="http://schemas.openxmlformats.org/officeDocument/2006/relationships/hyperlink" Target="https://arsaecoe.mtc.gob.pe/vial/VIAL_R_VIALES003748_20250406065137.pdf" TargetMode="External"/><Relationship Id="rId76" Type="http://schemas.openxmlformats.org/officeDocument/2006/relationships/hyperlink" Target="https://arsaecoe.mtc.gob.pe/vial/VIAL_R_VIALES002636_20250102024729.pdf" TargetMode="External"/><Relationship Id="rId97" Type="http://schemas.openxmlformats.org/officeDocument/2006/relationships/hyperlink" Target="https://arsaecoe.mtc.gob.pe/vial/VIAL_I_VIALES003791_20250412094817.pdf" TargetMode="External"/><Relationship Id="rId120" Type="http://schemas.openxmlformats.org/officeDocument/2006/relationships/hyperlink" Target="https://arsaecoe.mtc.gob.pe/vial/VIAL_I_VIALES003903_20250426084451.pdf" TargetMode="External"/><Relationship Id="rId141" Type="http://schemas.openxmlformats.org/officeDocument/2006/relationships/hyperlink" Target="https://arsaecoe.mtc.gob.pe/vial/VIAL_I_VIALES004009_20250513050923.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R_VIALES004066_20250522064447.pdf" TargetMode="External"/><Relationship Id="rId183" Type="http://schemas.openxmlformats.org/officeDocument/2006/relationships/hyperlink" Target="https://arsaecoe.mtc.gob.pe/vial/VIAL_I_VIALES004112_20250602093106.pdf" TargetMode="External"/><Relationship Id="rId218" Type="http://schemas.openxmlformats.org/officeDocument/2006/relationships/hyperlink" Target="https://arsaecoe.mtc.gob.pe/vial/VIAL_R_VIALES004151_20250609034909.pdf" TargetMode="External"/><Relationship Id="rId239" Type="http://schemas.openxmlformats.org/officeDocument/2006/relationships/hyperlink" Target="https://arsaecoe.mtc.gob.pe/vial/VIAL_R_VIALES004159_20250611093531.pdf" TargetMode="External"/><Relationship Id="rId250" Type="http://schemas.openxmlformats.org/officeDocument/2006/relationships/hyperlink" Target="https://arsaecoe.mtc.gob.pe/vial/VIAL_R_VIALES004170_20250612103624.pdf" TargetMode="External"/><Relationship Id="rId271" Type="http://schemas.openxmlformats.org/officeDocument/2006/relationships/hyperlink" Target="https://arsaecoe.mtc.gob.pe/vial/VIAL_R_VIALES004182_20250614113518.pdf" TargetMode="External"/><Relationship Id="rId24" Type="http://schemas.openxmlformats.org/officeDocument/2006/relationships/hyperlink" Target="https://arsaecoe.mtc.gob.pe/vial/VIAL_R_VIALES003428_20250310065351.pdf" TargetMode="External"/><Relationship Id="rId45" Type="http://schemas.openxmlformats.org/officeDocument/2006/relationships/hyperlink" Target="https://arsaecoe.mtc.gob.pe/vial/VIAL_I_VIALES003601_20250326052747.pdf" TargetMode="External"/><Relationship Id="rId66" Type="http://schemas.openxmlformats.org/officeDocument/2006/relationships/hyperlink" Target="https://arsaecoe.mtc.gob.pe/vial/VIAL_R_M230465_20230411052549.pdf" TargetMode="External"/><Relationship Id="rId87" Type="http://schemas.openxmlformats.org/officeDocument/2006/relationships/hyperlink" Target="https://arsaecoe.mtc.gob.pe/vial/VIAL_R_VIALES003314_20250303011332.pdf" TargetMode="External"/><Relationship Id="rId110" Type="http://schemas.openxmlformats.org/officeDocument/2006/relationships/hyperlink" Target="https://arsaecoe.mtc.gob.pe/vial/VIAL_I_VIALES003885_20250423111509.pdf" TargetMode="External"/><Relationship Id="rId131" Type="http://schemas.openxmlformats.org/officeDocument/2006/relationships/hyperlink" Target="https://arsaecoe.mtc.gob.pe/vial/VIAL_I_VIALES003941_20250502072326.pdf" TargetMode="External"/><Relationship Id="rId152" Type="http://schemas.openxmlformats.org/officeDocument/2006/relationships/hyperlink" Target="https://arsaecoe.mtc.gob.pe/vial/VIAL_I_VIALES004053_20250520051928.pdf" TargetMode="External"/><Relationship Id="rId173" Type="http://schemas.openxmlformats.org/officeDocument/2006/relationships/hyperlink" Target="https://arsaecoe.mtc.gob.pe/vial/VIAL_R_VIALES004098_20250530024828.pdf" TargetMode="External"/><Relationship Id="rId194" Type="http://schemas.openxmlformats.org/officeDocument/2006/relationships/hyperlink" Target="https://arsaecoe.mtc.gob.pe/vial/VIAL_I_VIALES004114_20250604114551.pdf" TargetMode="External"/><Relationship Id="rId208" Type="http://schemas.openxmlformats.org/officeDocument/2006/relationships/hyperlink" Target="https://arsaecoe.mtc.gob.pe/vial/VIAL_I_VIALES004138_20250606114618.pdf" TargetMode="External"/><Relationship Id="rId229" Type="http://schemas.openxmlformats.org/officeDocument/2006/relationships/hyperlink" Target="https://arsaecoe.mtc.gob.pe/vial/VIAL_I_VIALES004156_20250610053228.pdf" TargetMode="External"/><Relationship Id="rId240" Type="http://schemas.openxmlformats.org/officeDocument/2006/relationships/hyperlink" Target="https://arsaecoe.mtc.gob.pe/vial/VIAL_R_VIALES004160_20250611095722.pdf" TargetMode="External"/><Relationship Id="rId261" Type="http://schemas.openxmlformats.org/officeDocument/2006/relationships/hyperlink" Target="https://arsaecoe.mtc.gob.pe/vial/VIAL_R_VIALES004176_20250612085243.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I_VIALES003540_20250323092622.pdf" TargetMode="External"/><Relationship Id="rId56" Type="http://schemas.openxmlformats.org/officeDocument/2006/relationships/hyperlink" Target="https://arsaecoe.mtc.gob.pe/vial/VIAL_I_VIALES003748_20250407075239.pdf" TargetMode="External"/><Relationship Id="rId77" Type="http://schemas.openxmlformats.org/officeDocument/2006/relationships/hyperlink" Target="https://arsaecoe.mtc.gob.pe/vial/VIAL_R_VIALES002641_20250102024212.pdf" TargetMode="External"/><Relationship Id="rId100" Type="http://schemas.openxmlformats.org/officeDocument/2006/relationships/hyperlink" Target="https://arsaecoe.mtc.gob.pe/vial/VIAL_R_VIALES003838_20250414073838.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I_VIALES003822_20250412111630.pdf" TargetMode="External"/><Relationship Id="rId121" Type="http://schemas.openxmlformats.org/officeDocument/2006/relationships/hyperlink" Target="https://arsaecoe.mtc.gob.pe/vial/VIAL_I_VIALES003902_20250426084531.pdf" TargetMode="External"/><Relationship Id="rId142" Type="http://schemas.openxmlformats.org/officeDocument/2006/relationships/hyperlink" Target="https://arsaecoe.mtc.gob.pe/vial/VIAL_I_VIALES004010_20250513064216.pdf" TargetMode="External"/><Relationship Id="rId163" Type="http://schemas.openxmlformats.org/officeDocument/2006/relationships/hyperlink" Target="https://arsaecoe.mtc.gob.pe/vial/VIAL_I_VIALES004066_20250522064447.pdf" TargetMode="External"/><Relationship Id="rId184" Type="http://schemas.openxmlformats.org/officeDocument/2006/relationships/hyperlink" Target="https://arsaecoe.mtc.gob.pe/vial/VIAL_I_VIALES004103_20250602094448.pdf" TargetMode="External"/><Relationship Id="rId219" Type="http://schemas.openxmlformats.org/officeDocument/2006/relationships/hyperlink" Target="https://arsaecoe.mtc.gob.pe/vial/VIAL_R_VIALES004152_20250609035923.pdf" TargetMode="External"/><Relationship Id="rId230" Type="http://schemas.openxmlformats.org/officeDocument/2006/relationships/hyperlink" Target="https://arsaecoe.mtc.gob.pe/vial/VIAL_R_VIALES004157_20250610054305.pdf" TargetMode="External"/><Relationship Id="rId251" Type="http://schemas.openxmlformats.org/officeDocument/2006/relationships/hyperlink" Target="https://arsaecoe.mtc.gob.pe/vial/VIAL_R_VIALES004171_20250612023711.pdf" TargetMode="External"/><Relationship Id="rId25" Type="http://schemas.openxmlformats.org/officeDocument/2006/relationships/hyperlink" Target="https://arsaecoe.mtc.gob.pe/vial/VIAL_R_VIALES003428_20250310065309.pdf" TargetMode="External"/><Relationship Id="rId46" Type="http://schemas.openxmlformats.org/officeDocument/2006/relationships/hyperlink" Target="https://arsaecoe.mtc.gob.pe/vial/VIAL_I_VIALES003600_20250327041339.pdf" TargetMode="External"/><Relationship Id="rId67" Type="http://schemas.openxmlformats.org/officeDocument/2006/relationships/hyperlink" Target="https://arsaecoe.mtc.gob.pe/vial/VIAL_R_M210671_20230403110429.pdf" TargetMode="External"/><Relationship Id="rId272" Type="http://schemas.openxmlformats.org/officeDocument/2006/relationships/hyperlink" Target="https://arsaecoe.mtc.gob.pe/vial/VIAL_I_VIALES004182_20250614113518.pdf" TargetMode="External"/><Relationship Id="rId88" Type="http://schemas.openxmlformats.org/officeDocument/2006/relationships/hyperlink" Target="https://arsaecoe.mtc.gob.pe/vial/VIAL_R_VIALES003319_20250303062117.pdf" TargetMode="External"/><Relationship Id="rId111" Type="http://schemas.openxmlformats.org/officeDocument/2006/relationships/hyperlink" Target="https://arsaecoe.mtc.gob.pe/vial/VIAL_I_VIALES003884_20250423083812.pdf" TargetMode="External"/><Relationship Id="rId132" Type="http://schemas.openxmlformats.org/officeDocument/2006/relationships/hyperlink" Target="https://arsaecoe.mtc.gob.pe/vial/VIAL_R_VIALES003959_20250505071357.pdf" TargetMode="External"/><Relationship Id="rId153" Type="http://schemas.openxmlformats.org/officeDocument/2006/relationships/hyperlink" Target="https://arsaecoe.mtc.gob.pe/vial/VIAL_R_VIALES004056_20250521060009.pdf" TargetMode="External"/><Relationship Id="rId174" Type="http://schemas.openxmlformats.org/officeDocument/2006/relationships/hyperlink" Target="https://arsaecoe.mtc.gob.pe/vial/VIAL_I_VIALES004098_20250530032546.pdf" TargetMode="External"/><Relationship Id="rId195" Type="http://schemas.openxmlformats.org/officeDocument/2006/relationships/hyperlink" Target="https://arsaecoe.mtc.gob.pe/vial/VIAL_R_VIALES004128_20250604030928.pdf" TargetMode="External"/><Relationship Id="rId209" Type="http://schemas.openxmlformats.org/officeDocument/2006/relationships/hyperlink" Target="https://arsaecoe.mtc.gob.pe/vial/VIAL_I_VIALES004142_20250606122413.pdf" TargetMode="External"/><Relationship Id="rId220" Type="http://schemas.openxmlformats.org/officeDocument/2006/relationships/hyperlink" Target="https://arsaecoe.mtc.gob.pe/vial/VIAL_R_VIALES004153_20250609044500.pdf" TargetMode="External"/><Relationship Id="rId241" Type="http://schemas.openxmlformats.org/officeDocument/2006/relationships/hyperlink" Target="https://arsaecoe.mtc.gob.pe/vial/VIAL_R_VIALES004162_20250611104353.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I_VIALES003544_20250323094400.pdf" TargetMode="External"/><Relationship Id="rId57" Type="http://schemas.openxmlformats.org/officeDocument/2006/relationships/hyperlink" Target="https://arsaecoe.mtc.gob.pe/vial/VIAL_R_VIALES003758_20250407112731.pdf" TargetMode="External"/><Relationship Id="rId262" Type="http://schemas.openxmlformats.org/officeDocument/2006/relationships/hyperlink" Target="https://arsaecoe.mtc.gob.pe/vial/VIAL_I_VIALES004176_20250612085243.pdf" TargetMode="External"/><Relationship Id="rId78" Type="http://schemas.openxmlformats.org/officeDocument/2006/relationships/hyperlink" Target="https://arsaecoe.mtc.gob.pe/vial/VIAL_R_VIALES002975_20250121025819.pdf" TargetMode="External"/><Relationship Id="rId99" Type="http://schemas.openxmlformats.org/officeDocument/2006/relationships/hyperlink" Target="https://arsaecoe.mtc.gob.pe/vial/VIAL_R_VIALES003822_20250412111630.pdf" TargetMode="External"/><Relationship Id="rId101" Type="http://schemas.openxmlformats.org/officeDocument/2006/relationships/hyperlink" Target="https://arsaecoe.mtc.gob.pe/vial/VIAL_I_VIALES003838_20250414073838.pdf" TargetMode="External"/><Relationship Id="rId122" Type="http://schemas.openxmlformats.org/officeDocument/2006/relationships/hyperlink" Target="https://arsaecoe.mtc.gob.pe/vial/VIAL_I_VIALES003896_20250426112438.pdf" TargetMode="External"/><Relationship Id="rId143" Type="http://schemas.openxmlformats.org/officeDocument/2006/relationships/hyperlink" Target="https://arsaecoe.mtc.gob.pe/vial/VIAL_R_VIALES004010_20250513064216.pdf" TargetMode="External"/><Relationship Id="rId164" Type="http://schemas.openxmlformats.org/officeDocument/2006/relationships/hyperlink" Target="https://arsaecoe.mtc.gob.pe/vial/VIAL_R_VIALES003840_20250415092929.pdf" TargetMode="External"/><Relationship Id="rId185" Type="http://schemas.openxmlformats.org/officeDocument/2006/relationships/hyperlink" Target="https://arsaecoe.mtc.gob.pe/vial/VIAL_R_VIALES004117_20250603093103.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R_VIALES004143_20250606043322.pdf" TargetMode="External"/><Relationship Id="rId26" Type="http://schemas.openxmlformats.org/officeDocument/2006/relationships/hyperlink" Target="https://arsaecoe.mtc.gob.pe/vial/VIAL_I_VIALES003441_20250311045849.pdf" TargetMode="External"/><Relationship Id="rId231" Type="http://schemas.openxmlformats.org/officeDocument/2006/relationships/hyperlink" Target="https://arsaecoe.mtc.gob.pe/vial/VIAL_I_VIALES004157_20250610054305.pdf" TargetMode="External"/><Relationship Id="rId252" Type="http://schemas.openxmlformats.org/officeDocument/2006/relationships/hyperlink" Target="https://arsaecoe.mtc.gob.pe/vial/VIAL_R_VIALES004172_20250612081651.pdf" TargetMode="External"/><Relationship Id="rId273" Type="http://schemas.openxmlformats.org/officeDocument/2006/relationships/hyperlink" Target="https://arsaecoe.mtc.gob.pe/vial/VIAL_R_VIALES004183_20250614035500.pdf" TargetMode="External"/><Relationship Id="rId47" Type="http://schemas.openxmlformats.org/officeDocument/2006/relationships/hyperlink" Target="https://arsaecoe.mtc.gob.pe/vial/VIAL_R_VIALES003652_20250329101230.pdf" TargetMode="External"/><Relationship Id="rId68" Type="http://schemas.openxmlformats.org/officeDocument/2006/relationships/hyperlink" Target="https://arsaecoe.mtc.gob.pe/vial/VIAL_R_M210669_20230403103319.pdf" TargetMode="External"/><Relationship Id="rId89" Type="http://schemas.openxmlformats.org/officeDocument/2006/relationships/hyperlink" Target="https://arsaecoe.mtc.gob.pe/vial/VIAL_R_VIALES003328_20250304121318.pdf" TargetMode="External"/><Relationship Id="rId112" Type="http://schemas.openxmlformats.org/officeDocument/2006/relationships/hyperlink" Target="https://arsaecoe.mtc.gob.pe/vial/VIAL_R_VIALES003891_20250424044807.pdf" TargetMode="External"/><Relationship Id="rId133" Type="http://schemas.openxmlformats.org/officeDocument/2006/relationships/hyperlink" Target="https://arsaecoe.mtc.gob.pe/vial/VIAL_I_VIALES003959_20250506124225.pdf" TargetMode="External"/><Relationship Id="rId154" Type="http://schemas.openxmlformats.org/officeDocument/2006/relationships/hyperlink" Target="https://arsaecoe.mtc.gob.pe/vial/VIAL_I_VIALES004056_20250521102202.pdf" TargetMode="External"/><Relationship Id="rId175" Type="http://schemas.openxmlformats.org/officeDocument/2006/relationships/hyperlink" Target="https://arsaecoe.mtc.gob.pe/vial/VIAL_R_VIALES004100_20250530053353.pdf" TargetMode="External"/><Relationship Id="rId196" Type="http://schemas.openxmlformats.org/officeDocument/2006/relationships/hyperlink" Target="https://arsaecoe.mtc.gob.pe/vial/VIAL_I_VIALES004135_20250606091227.pdf" TargetMode="External"/><Relationship Id="rId200" Type="http://schemas.openxmlformats.org/officeDocument/2006/relationships/hyperlink" Target="https://arsaecoe.mtc.gob.pe/vial/VIAL_I_VIALES004133_20250605044127.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I_VIALES004148_20250609052338.pdf" TargetMode="External"/><Relationship Id="rId242" Type="http://schemas.openxmlformats.org/officeDocument/2006/relationships/hyperlink" Target="https://arsaecoe.mtc.gob.pe/vial/VIAL_R_VIALES004165_20250611112322.pdf" TargetMode="External"/><Relationship Id="rId263" Type="http://schemas.openxmlformats.org/officeDocument/2006/relationships/hyperlink" Target="https://arsaecoe.mtc.gob.pe/vial/VIAL_R_VIALES004177_20250613123631.pdf" TargetMode="External"/><Relationship Id="rId37" Type="http://schemas.openxmlformats.org/officeDocument/2006/relationships/hyperlink" Target="https://arsaecoe.mtc.gob.pe/vial/VIAL_I_VIALES003556_20250323095205.pdf" TargetMode="External"/><Relationship Id="rId58" Type="http://schemas.openxmlformats.org/officeDocument/2006/relationships/hyperlink" Target="https://arsaecoe.mtc.gob.pe/vial/VIAL_I_VIALES003758_20250407112731.pdf" TargetMode="External"/><Relationship Id="rId79" Type="http://schemas.openxmlformats.org/officeDocument/2006/relationships/hyperlink" Target="https://arsaecoe.mtc.gob.pe/vial/VIAL_R_VIALES003029_20250131112738.pdf" TargetMode="External"/><Relationship Id="rId102" Type="http://schemas.openxmlformats.org/officeDocument/2006/relationships/hyperlink" Target="https://arsaecoe.mtc.gob.pe/vial/VIAL_R_VIALES003843_20250415013515.pdf" TargetMode="External"/><Relationship Id="rId123" Type="http://schemas.openxmlformats.org/officeDocument/2006/relationships/hyperlink" Target="https://arsaecoe.mtc.gob.pe/vial/VIAL_I_VIALES003891_20250426113019.pdf" TargetMode="External"/><Relationship Id="rId144" Type="http://schemas.openxmlformats.org/officeDocument/2006/relationships/hyperlink" Target="https://arsaecoe.mtc.gob.pe/vial/VIAL_I_VIALES004008_20250513062826.pdf" TargetMode="External"/><Relationship Id="rId90" Type="http://schemas.openxmlformats.org/officeDocument/2006/relationships/hyperlink" Target="https://arsaecoe.mtc.gob.pe/vial/VIAL_R_VIALES003331_20250304012821.pdf" TargetMode="External"/><Relationship Id="rId165" Type="http://schemas.openxmlformats.org/officeDocument/2006/relationships/hyperlink" Target="https://arsaecoe.mtc.gob.pe/vial/VIAL_I_VIALES003840_20250415092929.pdf" TargetMode="External"/><Relationship Id="rId186" Type="http://schemas.openxmlformats.org/officeDocument/2006/relationships/hyperlink" Target="https://arsaecoe.mtc.gob.pe/vial/VIAL_R_VIALES004118_20250603095057.pdf" TargetMode="External"/><Relationship Id="rId211" Type="http://schemas.openxmlformats.org/officeDocument/2006/relationships/hyperlink" Target="https://arsaecoe.mtc.gob.pe/vial/VIAL_I_VIALES004143_20250606043322.pdf" TargetMode="External"/><Relationship Id="rId232" Type="http://schemas.openxmlformats.org/officeDocument/2006/relationships/hyperlink" Target="https://arsaecoe.mtc.gob.pe/vial/VIAL_R_VIALES004158_20250610055120.pdf" TargetMode="External"/><Relationship Id="rId253" Type="http://schemas.openxmlformats.org/officeDocument/2006/relationships/hyperlink" Target="https://arsaecoe.mtc.gob.pe/vial/VIAL_R_VIALES004173_20250612045624.pdf" TargetMode="External"/><Relationship Id="rId274" Type="http://schemas.openxmlformats.org/officeDocument/2006/relationships/printerSettings" Target="../printerSettings/printerSettings2.bin"/><Relationship Id="rId27" Type="http://schemas.openxmlformats.org/officeDocument/2006/relationships/hyperlink" Target="https://arsaecoe.mtc.gob.pe/vial/VIAL_R_VIALES003460_20250312053750.pdf" TargetMode="External"/><Relationship Id="rId48" Type="http://schemas.openxmlformats.org/officeDocument/2006/relationships/hyperlink" Target="https://arsaecoe.mtc.gob.pe/vial/VIAL_I_VIALES003652_20250329101317.pdf" TargetMode="External"/><Relationship Id="rId69" Type="http://schemas.openxmlformats.org/officeDocument/2006/relationships/hyperlink" Target="https://arsaecoe.mtc.gob.pe/vial/VIAL_R_M2002194_20230403101554.pdf" TargetMode="External"/><Relationship Id="rId113" Type="http://schemas.openxmlformats.org/officeDocument/2006/relationships/hyperlink" Target="https://arsaecoe.mtc.gob.pe/vial/VIAL_R_VIALES003896_20250424063200.pdf" TargetMode="External"/><Relationship Id="rId134" Type="http://schemas.openxmlformats.org/officeDocument/2006/relationships/hyperlink" Target="https://arsaecoe.mtc.gob.pe/vial/VIAL_R_VIALES003974_20250507125111.pdf" TargetMode="External"/><Relationship Id="rId80" Type="http://schemas.openxmlformats.org/officeDocument/2006/relationships/hyperlink" Target="https://arsaecoe.mtc.gob.pe/vial/VIAL_R_VIALES003035_20250201123027.pdf" TargetMode="External"/><Relationship Id="rId155" Type="http://schemas.openxmlformats.org/officeDocument/2006/relationships/hyperlink" Target="https://arsaecoe.mtc.gob.pe/vial/VIAL_R_VIALES004059_20250521042239.pdf" TargetMode="External"/><Relationship Id="rId176" Type="http://schemas.openxmlformats.org/officeDocument/2006/relationships/hyperlink" Target="https://arsaecoe.mtc.gob.pe/vial/VIAL_I_VIALES004100_20250530054902.pdf" TargetMode="External"/><Relationship Id="rId197" Type="http://schemas.openxmlformats.org/officeDocument/2006/relationships/hyperlink" Target="https://arsaecoe.mtc.gob.pe/vial/VIAL_R_VIALES004132_20250605012203.pdf" TargetMode="External"/><Relationship Id="rId201" Type="http://schemas.openxmlformats.org/officeDocument/2006/relationships/hyperlink" Target="https://arsaecoe.mtc.gob.pe/vial/VIAL_I_VIALES004132_20250605044519.pdf" TargetMode="External"/><Relationship Id="rId222" Type="http://schemas.openxmlformats.org/officeDocument/2006/relationships/hyperlink" Target="https://arsaecoe.mtc.gob.pe/vial/VIAL_I_VIALES004152_20250609052705.pdf" TargetMode="External"/><Relationship Id="rId243" Type="http://schemas.openxmlformats.org/officeDocument/2006/relationships/hyperlink" Target="https://arsaecoe.mtc.gob.pe/vial/VIAL_I_VIALES004165_20250611112834.pdf" TargetMode="External"/><Relationship Id="rId264" Type="http://schemas.openxmlformats.org/officeDocument/2006/relationships/hyperlink" Target="https://arsaecoe.mtc.gob.pe/vial/VIAL_R_VIALES004178_20250613032030.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55_20250323100111.pdf" TargetMode="External"/><Relationship Id="rId59" Type="http://schemas.openxmlformats.org/officeDocument/2006/relationships/hyperlink" Target="https://arsaecoe.mtc.gob.pe/vial/VIAL_R_VIALES003777_20250408032857.pdf" TargetMode="External"/><Relationship Id="rId103" Type="http://schemas.openxmlformats.org/officeDocument/2006/relationships/hyperlink" Target="https://arsaecoe.mtc.gob.pe/vial/VIAL_R_VIALES003854_20250416043037.pdf" TargetMode="External"/><Relationship Id="rId124" Type="http://schemas.openxmlformats.org/officeDocument/2006/relationships/hyperlink" Target="https://arsaecoe.mtc.gob.pe/vial/VIAL_R_VIALES003919_20250428014932.pdf" TargetMode="External"/><Relationship Id="rId70" Type="http://schemas.openxmlformats.org/officeDocument/2006/relationships/hyperlink" Target="https://arsaecoe.mtc.gob.pe/vial/VIAL_R_M210248_20230403102345.pdf" TargetMode="External"/><Relationship Id="rId91" Type="http://schemas.openxmlformats.org/officeDocument/2006/relationships/hyperlink" Target="https://arsaecoe.mtc.gob.pe/vial/VIAL_R_VIALES003444_20250311044529.pdf" TargetMode="External"/><Relationship Id="rId145" Type="http://schemas.openxmlformats.org/officeDocument/2006/relationships/hyperlink" Target="https://arsaecoe.mtc.gob.pe/vial/VIAL_R_VIALES004032_20250515024220.pdf" TargetMode="External"/><Relationship Id="rId166" Type="http://schemas.openxmlformats.org/officeDocument/2006/relationships/hyperlink" Target="https://arsaecoe.mtc.gob.pe/vial/VIAL_I_VIALES004064_20250525054913.pdf" TargetMode="External"/><Relationship Id="rId187" Type="http://schemas.openxmlformats.org/officeDocument/2006/relationships/hyperlink" Target="https://arsaecoe.mtc.gob.pe/vial/VIAL_I_VIALES004117_20250603125901.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R_VIALES004144_20250606065626.pdf" TargetMode="External"/><Relationship Id="rId233" Type="http://schemas.openxmlformats.org/officeDocument/2006/relationships/hyperlink" Target="https://arsaecoe.mtc.gob.pe/vial/VIAL_I_VIALES004158_20250610055120.pdf" TargetMode="External"/><Relationship Id="rId254" Type="http://schemas.openxmlformats.org/officeDocument/2006/relationships/hyperlink" Target="https://arsaecoe.mtc.gob.pe/vial/VIAL_I_VIALES004173_20250612043623.pdf" TargetMode="External"/><Relationship Id="rId28" Type="http://schemas.openxmlformats.org/officeDocument/2006/relationships/hyperlink" Target="https://arsaecoe.mtc.gob.pe/vial/VIAL_I_VIALES003460_20250312053750.pdf" TargetMode="External"/><Relationship Id="rId49" Type="http://schemas.openxmlformats.org/officeDocument/2006/relationships/hyperlink" Target="https://arsaecoe.mtc.gob.pe/vial/VIAL_R_VIALES003660_20250330010654.pdf" TargetMode="External"/><Relationship Id="rId114" Type="http://schemas.openxmlformats.org/officeDocument/2006/relationships/hyperlink" Target="https://arsaecoe.mtc.gob.pe/vial/VIAL_R_VIALES003898_20250425105105.pdf" TargetMode="External"/><Relationship Id="rId275" Type="http://schemas.openxmlformats.org/officeDocument/2006/relationships/drawing" Target="../drawings/drawing2.xml"/><Relationship Id="rId60" Type="http://schemas.openxmlformats.org/officeDocument/2006/relationships/hyperlink" Target="https://arsaecoe.mtc.gob.pe/vial/VIAL_I_VIALES003777_20250408032857.pdf" TargetMode="External"/><Relationship Id="rId81" Type="http://schemas.openxmlformats.org/officeDocument/2006/relationships/hyperlink" Target="https://arsaecoe.mtc.gob.pe/vial/VIAL_R_VIALES003047_20250203112527.pdf" TargetMode="External"/><Relationship Id="rId135" Type="http://schemas.openxmlformats.org/officeDocument/2006/relationships/hyperlink" Target="https://arsaecoe.mtc.gob.pe/vial/VIAL_I_VIALES003974_20250507010554.pdf" TargetMode="External"/><Relationship Id="rId156" Type="http://schemas.openxmlformats.org/officeDocument/2006/relationships/hyperlink" Target="https://arsaecoe.mtc.gob.pe/vial/VIAL_I_VIALES004059_20250521041720.pdf" TargetMode="External"/><Relationship Id="rId177" Type="http://schemas.openxmlformats.org/officeDocument/2006/relationships/hyperlink" Target="https://arsaecoe.mtc.gob.pe/vial/VIAL_R_VIALES004103_20250531095821.pdf" TargetMode="External"/><Relationship Id="rId198" Type="http://schemas.openxmlformats.org/officeDocument/2006/relationships/hyperlink" Target="https://arsaecoe.mtc.gob.pe/vial/VIAL_I_VIALES004133_20250605012220.pdf" TargetMode="External"/><Relationship Id="rId202" Type="http://schemas.openxmlformats.org/officeDocument/2006/relationships/hyperlink" Target="https://arsaecoe.mtc.gob.pe/vial/VIAL_R_VIALES004138_20250605052901.pdf" TargetMode="External"/><Relationship Id="rId223" Type="http://schemas.openxmlformats.org/officeDocument/2006/relationships/hyperlink" Target="https://arsaecoe.mtc.gob.pe/vial/VIAL_R_VIALES004154_20250610043535.pdf" TargetMode="External"/><Relationship Id="rId244" Type="http://schemas.openxmlformats.org/officeDocument/2006/relationships/hyperlink" Target="https://arsaecoe.mtc.gob.pe/vial/VIAL_I_VIALES004159_20250611113354.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R_VIALES003565_20250323030950.pdf" TargetMode="External"/><Relationship Id="rId265" Type="http://schemas.openxmlformats.org/officeDocument/2006/relationships/hyperlink" Target="https://arsaecoe.mtc.gob.pe/vial/VIAL_R_VIALES004179_20250613041243.pdf" TargetMode="External"/><Relationship Id="rId50" Type="http://schemas.openxmlformats.org/officeDocument/2006/relationships/hyperlink" Target="https://arsaecoe.mtc.gob.pe/vial/VIAL_I_VIALES003660_20250330010654.pdf" TargetMode="External"/><Relationship Id="rId104" Type="http://schemas.openxmlformats.org/officeDocument/2006/relationships/hyperlink" Target="https://arsaecoe.mtc.gob.pe/vial/VIAL_I_VIALES0038454_20250416081148.pdf" TargetMode="External"/><Relationship Id="rId125" Type="http://schemas.openxmlformats.org/officeDocument/2006/relationships/hyperlink" Target="https://arsaecoe.mtc.gob.pe/vial/VIAL_R_VIALES003924_20250428053542.pdf" TargetMode="External"/><Relationship Id="rId146" Type="http://schemas.openxmlformats.org/officeDocument/2006/relationships/hyperlink" Target="https://arsaecoe.mtc.gob.pe/vial/VIAL_I_VIALES004032_20250515081042.pdf" TargetMode="External"/><Relationship Id="rId167" Type="http://schemas.openxmlformats.org/officeDocument/2006/relationships/hyperlink" Target="https://arsaecoe.mtc.gob.pe/vial/VIAL_R_VIALES004079_20250526045410.pdf" TargetMode="External"/><Relationship Id="rId188" Type="http://schemas.openxmlformats.org/officeDocument/2006/relationships/hyperlink" Target="https://arsaecoe.mtc.gob.pe/vial/VIAL_I_VIALES004118_20250603010954.pdf" TargetMode="External"/><Relationship Id="rId71" Type="http://schemas.openxmlformats.org/officeDocument/2006/relationships/hyperlink" Target="https://arsaecoe.mtc.gob.pe/vial/VIAL_R_M230427_20230410035024.pdf" TargetMode="External"/><Relationship Id="rId92" Type="http://schemas.openxmlformats.org/officeDocument/2006/relationships/hyperlink" Target="https://arsaecoe.mtc.gob.pe/vial/VIAL_R_VIALES003784_20250409105947.pdf" TargetMode="External"/><Relationship Id="rId213" Type="http://schemas.openxmlformats.org/officeDocument/2006/relationships/hyperlink" Target="https://arsaecoe.mtc.gob.pe/vial/VIAL_I_VIALES004144_20250606065626.pdf" TargetMode="External"/><Relationship Id="rId234" Type="http://schemas.openxmlformats.org/officeDocument/2006/relationships/hyperlink" Target="https://arsaecoe.mtc.gob.pe/vial/VIAL_I_VIALES004153_20250611062628.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R_VIALES003488_20250314125611.pdf" TargetMode="External"/><Relationship Id="rId255" Type="http://schemas.openxmlformats.org/officeDocument/2006/relationships/hyperlink" Target="https://arsaecoe.mtc.gob.pe/vial/VIAL_I_VIALES004173_20250612043623.pdf" TargetMode="External"/><Relationship Id="rId276" Type="http://schemas.openxmlformats.org/officeDocument/2006/relationships/table" Target="../tables/table2.xml"/><Relationship Id="rId40" Type="http://schemas.openxmlformats.org/officeDocument/2006/relationships/hyperlink" Target="https://arsaecoe.mtc.gob.pe/vial/VIAL_I_VIALES003565_20250323030950.pdf" TargetMode="External"/><Relationship Id="rId115" Type="http://schemas.openxmlformats.org/officeDocument/2006/relationships/hyperlink" Target="https://arsaecoe.mtc.gob.pe/vial/VIAL_R_VIALES003902_20250425030607.pdf" TargetMode="External"/><Relationship Id="rId136" Type="http://schemas.openxmlformats.org/officeDocument/2006/relationships/hyperlink" Target="https://arsaecoe.mtc.gob.pe/vial/VIAL_I_VIALES003970_20250507083433.pdf" TargetMode="External"/><Relationship Id="rId157" Type="http://schemas.openxmlformats.org/officeDocument/2006/relationships/hyperlink" Target="https://arsaecoe.mtc.gob.pe/vial/VIAL_R_VIALES004062_20250522113559.pdf" TargetMode="External"/><Relationship Id="rId178" Type="http://schemas.openxmlformats.org/officeDocument/2006/relationships/hyperlink" Target="https://arsaecoe.mtc.gob.pe/vial/VIAL_R_VIALES004110_20250602011958.pdf" TargetMode="External"/><Relationship Id="rId61" Type="http://schemas.openxmlformats.org/officeDocument/2006/relationships/hyperlink" Target="https://arsaecoe.mtc.gob.pe/vial/VIAL_R_VIALES003617_20250327042418.pdf" TargetMode="External"/><Relationship Id="rId82" Type="http://schemas.openxmlformats.org/officeDocument/2006/relationships/hyperlink" Target="https://arsaecoe.mtc.gob.pe/vial/VIAL_R_VIALES003128_20250214011950.pdf" TargetMode="External"/><Relationship Id="rId199" Type="http://schemas.openxmlformats.org/officeDocument/2006/relationships/hyperlink" Target="https://arsaecoe.mtc.gob.pe/vial/VIAL_R_VIALES004135_20250605015932.pdf" TargetMode="External"/><Relationship Id="rId203" Type="http://schemas.openxmlformats.org/officeDocument/2006/relationships/hyperlink" Target="https://arsaecoe.mtc.gob.pe/vial/VIAL_I_VIALES004128_20250605093836.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R_VIALES003620_20250328121825.pdf" TargetMode="External"/><Relationship Id="rId245" Type="http://schemas.openxmlformats.org/officeDocument/2006/relationships/hyperlink" Target="https://arsaecoe.mtc.gob.pe/vial/VIAL_I_VIALES004160_20250611113644.pdf" TargetMode="External"/><Relationship Id="rId266" Type="http://schemas.openxmlformats.org/officeDocument/2006/relationships/hyperlink" Target="https://arsaecoe.mtc.gob.pe/vial/VIAL_I_VIALES004178_20250613044201.pdf" TargetMode="External"/><Relationship Id="rId30" Type="http://schemas.openxmlformats.org/officeDocument/2006/relationships/hyperlink" Target="https://arsaecoe.mtc.gob.pe/vial/VIAL_I_VIALES003488_20250315120632.pdf" TargetMode="External"/><Relationship Id="rId105" Type="http://schemas.openxmlformats.org/officeDocument/2006/relationships/hyperlink" Target="https://arsaecoe.mtc.gob.pe/vial/VIAL_I_VIALES003843_20250417080656.pdf" TargetMode="External"/><Relationship Id="rId126" Type="http://schemas.openxmlformats.org/officeDocument/2006/relationships/hyperlink" Target="https://arsaecoe.mtc.gob.pe/vial/VIAL_I_VIALES003924_20250428053542.pdf" TargetMode="External"/><Relationship Id="rId147" Type="http://schemas.openxmlformats.org/officeDocument/2006/relationships/hyperlink" Target="https://arsaecoe.mtc.gob.pe/vial/VIAL_R_VIALES004037_20250516031459.pdf" TargetMode="External"/><Relationship Id="rId168" Type="http://schemas.openxmlformats.org/officeDocument/2006/relationships/hyperlink" Target="https://arsaecoe.mtc.gob.pe/vial/VIAL_I_VIALES004079_20250526063850.pdf" TargetMode="External"/><Relationship Id="rId51" Type="http://schemas.openxmlformats.org/officeDocument/2006/relationships/hyperlink" Target="https://arsaecoe.mtc.gob.pe/vial/VIAL_R_VIALES003680_20250401083950.pdf" TargetMode="External"/><Relationship Id="rId72" Type="http://schemas.openxmlformats.org/officeDocument/2006/relationships/hyperlink" Target="https://arsaecoe.mtc.gob.pe/vial/VIAL_R_M1903205_20230403100451.pdf" TargetMode="External"/><Relationship Id="rId93" Type="http://schemas.openxmlformats.org/officeDocument/2006/relationships/hyperlink" Target="https://arsaecoe.mtc.gob.pe/vial/VIAL_R_VIALES003789_20250409025923.pdf" TargetMode="External"/><Relationship Id="rId189" Type="http://schemas.openxmlformats.org/officeDocument/2006/relationships/hyperlink" Target="https://arsaecoe.mtc.gob.pe/vial/VIAL_R_VIALES004123_20250603031241.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R_VIALES004145_20250607115554.pdf" TargetMode="External"/><Relationship Id="rId235" Type="http://schemas.openxmlformats.org/officeDocument/2006/relationships/hyperlink" Target="https://arsaecoe.mtc.gob.pe/vial/VIAL_I_VIALES004151_20250611062713.pdf" TargetMode="External"/><Relationship Id="rId256" Type="http://schemas.openxmlformats.org/officeDocument/2006/relationships/hyperlink" Target="https://arsaecoe.mtc.gob.pe/vial/VIAL_I_VIALES004171_20250612042650.pdf" TargetMode="External"/><Relationship Id="rId116" Type="http://schemas.openxmlformats.org/officeDocument/2006/relationships/hyperlink" Target="https://arsaecoe.mtc.gob.pe/vial/VIAL_R_VIALES003903_20250425033200.pdf" TargetMode="External"/><Relationship Id="rId137" Type="http://schemas.openxmlformats.org/officeDocument/2006/relationships/hyperlink" Target="https://arsaecoe.mtc.gob.pe/vial/VIAL_R_VIALES003987_20250508123951.pdf" TargetMode="External"/><Relationship Id="rId158" Type="http://schemas.openxmlformats.org/officeDocument/2006/relationships/hyperlink" Target="https://arsaecoe.mtc.gob.pe/vial/VIAL_I_VIALES004062_20250522113559.pdf" TargetMode="External"/><Relationship Id="rId20" Type="http://schemas.openxmlformats.org/officeDocument/2006/relationships/hyperlink" Target="https://arsaecoe.mtc.gob.pe/vial/VIAL_I_VIALES003331_20250304113833.pdf" TargetMode="External"/><Relationship Id="rId41" Type="http://schemas.openxmlformats.org/officeDocument/2006/relationships/hyperlink" Target="https://arsaecoe.mtc.gob.pe/vial/VIAL_I_VIALES003538_20250323042351.pdf" TargetMode="External"/><Relationship Id="rId62" Type="http://schemas.openxmlformats.org/officeDocument/2006/relationships/hyperlink" Target="https://arsaecoe.mtc.gob.pe/vial/VIAL_I_VIALES003617_20250327115401.pdf" TargetMode="External"/><Relationship Id="rId83" Type="http://schemas.openxmlformats.org/officeDocument/2006/relationships/hyperlink" Target="https://arsaecoe.mtc.gob.pe/vial/VIAL_R_VIALES003173_20250219075717.pdf" TargetMode="External"/><Relationship Id="rId179" Type="http://schemas.openxmlformats.org/officeDocument/2006/relationships/hyperlink" Target="https://arsaecoe.mtc.gob.pe/vial/VIAL_I_VIALES004110_20250602011958.pdf" TargetMode="External"/><Relationship Id="rId190" Type="http://schemas.openxmlformats.org/officeDocument/2006/relationships/hyperlink" Target="https://arsaecoe.mtc.gob.pe/vial/VIAL_R_VIALES004125_20250603053327.pdf" TargetMode="External"/><Relationship Id="rId204" Type="http://schemas.openxmlformats.org/officeDocument/2006/relationships/hyperlink" Target="https://arsaecoe.mtc.gob.pe/vial/VIAL_I_VIALES004137_20250606084948.pdf" TargetMode="External"/><Relationship Id="rId225" Type="http://schemas.openxmlformats.org/officeDocument/2006/relationships/hyperlink" Target="https://arsaecoe.mtc.gob.pe/vial/VIAL_I_VIALES003620_20250328083432.pdf" TargetMode="External"/><Relationship Id="rId246" Type="http://schemas.openxmlformats.org/officeDocument/2006/relationships/hyperlink" Target="https://arsaecoe.mtc.gob.pe/vial/VIAL_R_VIALES004149_20250609033314.pdf" TargetMode="External"/><Relationship Id="rId267" Type="http://schemas.openxmlformats.org/officeDocument/2006/relationships/hyperlink" Target="https://arsaecoe.mtc.gob.pe/vial/VIAL_I_VIALES004177_20250613051138.pdf" TargetMode="External"/><Relationship Id="rId106" Type="http://schemas.openxmlformats.org/officeDocument/2006/relationships/hyperlink" Target="https://arsaecoe.mtc.gob.pe/vial/VIAL_I_VIALES003319_20250417011833.pdf" TargetMode="External"/><Relationship Id="rId127" Type="http://schemas.openxmlformats.org/officeDocument/2006/relationships/hyperlink" Target="https://arsaecoe.mtc.gob.pe/vial/VIAL_I_VIALES003919_20250428084541.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R_VIALES003538_20250320040427.pdf" TargetMode="External"/><Relationship Id="rId52" Type="http://schemas.openxmlformats.org/officeDocument/2006/relationships/hyperlink" Target="https://arsaecoe.mtc.gob.pe/vial/VIAL_I_VIALES003680_20250402043737.pdf" TargetMode="External"/><Relationship Id="rId73" Type="http://schemas.openxmlformats.org/officeDocument/2006/relationships/hyperlink" Target="https://arsaecoe.mtc.gob.pe/vial/VIAL_R_M190395_20230904114707.pdf" TargetMode="External"/><Relationship Id="rId94" Type="http://schemas.openxmlformats.org/officeDocument/2006/relationships/hyperlink" Target="https://arsaecoe.mtc.gob.pe/vial/VIAL_R_VIALES003791_20250409073751.pdf" TargetMode="External"/><Relationship Id="rId148" Type="http://schemas.openxmlformats.org/officeDocument/2006/relationships/hyperlink" Target="https://arsaecoe.mtc.gob.pe/vial/VIAL_R_VIALES004036_20250516030424.pdf" TargetMode="External"/><Relationship Id="rId169" Type="http://schemas.openxmlformats.org/officeDocument/2006/relationships/hyperlink" Target="https://arsaecoe.mtc.gob.pe/vial/VIAL_R_VIALES004076_20250526064318.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R_VIALES004112_20250602043853.pdf" TargetMode="External"/><Relationship Id="rId215" Type="http://schemas.openxmlformats.org/officeDocument/2006/relationships/hyperlink" Target="https://arsaecoe.mtc.gob.pe/vial/VIAL_I_VIALES004145_20250607115554.pdf" TargetMode="External"/><Relationship Id="rId236" Type="http://schemas.openxmlformats.org/officeDocument/2006/relationships/hyperlink" Target="https://arsaecoe.mtc.gob.pe/vial/VIAL_I_VIALES004149_20250611062830.pdf" TargetMode="External"/><Relationship Id="rId257" Type="http://schemas.openxmlformats.org/officeDocument/2006/relationships/hyperlink" Target="https://arsaecoe.mtc.gob.pe/vial/VIAL_I_VIALES004170_20250612024124.pdf" TargetMode="External"/><Relationship Id="rId42" Type="http://schemas.openxmlformats.org/officeDocument/2006/relationships/hyperlink" Target="https://arsaecoe.mtc.gob.pe/vial/VIAL_I_VIALES003321_20250304115557.pdf" TargetMode="External"/><Relationship Id="rId84" Type="http://schemas.openxmlformats.org/officeDocument/2006/relationships/hyperlink" Target="https://arsaecoe.mtc.gob.pe/vial/VIAL_R_VIALES003202_20250221095835.pdf" TargetMode="External"/><Relationship Id="rId138" Type="http://schemas.openxmlformats.org/officeDocument/2006/relationships/hyperlink" Target="https://arsaecoe.mtc.gob.pe/vial/VIAL_I_VIALES002641docx_20241104045541.pdf" TargetMode="External"/><Relationship Id="rId191" Type="http://schemas.openxmlformats.org/officeDocument/2006/relationships/hyperlink" Target="https://arsaecoe.mtc.gob.pe/vial/VIAL_I_VIALES004125_20250603053327.pdf" TargetMode="External"/><Relationship Id="rId205" Type="http://schemas.openxmlformats.org/officeDocument/2006/relationships/hyperlink" Target="https://arsaecoe.mtc.gob.pe/vial/VIAL_R_VIALES004101_20250606094932.pdf" TargetMode="External"/><Relationship Id="rId247" Type="http://schemas.openxmlformats.org/officeDocument/2006/relationships/hyperlink" Target="https://arsaecoe.mtc.gob.pe/vial/VIAL_R_VIALES004137_20250605050318.pdf" TargetMode="External"/><Relationship Id="rId107" Type="http://schemas.openxmlformats.org/officeDocument/2006/relationships/hyperlink" Target="https://arsaecoe.mtc.gob.pe/vial/VIAL_R_VIALES003555_20250422115616.pdf" TargetMode="External"/><Relationship Id="rId11" Type="http://schemas.openxmlformats.org/officeDocument/2006/relationships/hyperlink" Target="https://arsaecoe.mtc.gob.pe/vial/VIAL_I_VIALES003035_20250201123027.pdf" TargetMode="External"/><Relationship Id="rId53" Type="http://schemas.openxmlformats.org/officeDocument/2006/relationships/hyperlink" Target="https://arsaecoe.mtc.gob.pe/vial/VIAL_R_VIALES003729_20250404123115.pdf" TargetMode="External"/><Relationship Id="rId149" Type="http://schemas.openxmlformats.org/officeDocument/2006/relationships/hyperlink" Target="https://arsaecoe.mtc.gob.pe/vial/VIAL_I_VIALES004037_20250516044729.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29"/>
  <sheetViews>
    <sheetView showGridLines="0" tabSelected="1" zoomScale="68" zoomScaleNormal="68" workbookViewId="0">
      <selection activeCell="Y44" sqref="Y44"/>
    </sheetView>
  </sheetViews>
  <sheetFormatPr baseColWidth="10" defaultColWidth="11" defaultRowHeight="14.25"/>
  <cols>
    <col min="1" max="1" width="18.5" customWidth="1"/>
    <col min="2" max="2" width="14.75" customWidth="1"/>
    <col min="3" max="3" width="20.125" customWidth="1"/>
    <col min="4" max="4" width="13.125" customWidth="1"/>
    <col min="5" max="5" width="48"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313" t="s">
        <v>155</v>
      </c>
      <c r="B2" s="314"/>
      <c r="C2" s="314"/>
      <c r="D2" s="314"/>
      <c r="E2" s="314"/>
      <c r="F2" s="314"/>
      <c r="H2" s="3"/>
      <c r="I2" s="3"/>
      <c r="J2" s="3"/>
      <c r="K2" s="3"/>
      <c r="L2" s="3"/>
    </row>
    <row r="3" spans="1:29" ht="27" customHeight="1">
      <c r="A3" s="315" t="s">
        <v>81</v>
      </c>
      <c r="B3" s="315"/>
      <c r="C3" s="315"/>
      <c r="D3" s="315"/>
      <c r="E3" s="315"/>
      <c r="F3" s="315"/>
      <c r="H3" s="3"/>
      <c r="I3" s="3"/>
      <c r="J3" s="3"/>
      <c r="K3" s="3"/>
      <c r="L3" s="3"/>
    </row>
    <row r="4" spans="1:29" ht="24" customHeight="1">
      <c r="B4" s="61" t="s">
        <v>14</v>
      </c>
      <c r="C4" s="60" t="s">
        <v>853</v>
      </c>
      <c r="D4" s="8" t="s">
        <v>139</v>
      </c>
      <c r="E4" s="98"/>
      <c r="F4" s="98"/>
      <c r="H4" s="3"/>
      <c r="I4" s="3"/>
      <c r="J4" s="3"/>
      <c r="K4" s="3"/>
      <c r="L4" s="3"/>
      <c r="R4" s="55" t="s">
        <v>45</v>
      </c>
      <c r="S4" s="55" t="s">
        <v>7</v>
      </c>
      <c r="T4" s="55" t="s">
        <v>46</v>
      </c>
      <c r="U4" s="67" t="s">
        <v>86</v>
      </c>
    </row>
    <row r="5" spans="1:29" ht="15.75" customHeight="1">
      <c r="A5" s="3"/>
      <c r="B5" s="3"/>
      <c r="C5" s="3"/>
      <c r="D5" s="3"/>
      <c r="E5" s="3"/>
      <c r="F5" s="316" t="s">
        <v>47</v>
      </c>
      <c r="G5" s="317"/>
      <c r="H5" s="317"/>
      <c r="I5" s="318"/>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90</v>
      </c>
    </row>
    <row r="6" spans="1:29" ht="39" customHeight="1">
      <c r="D6" t="s">
        <v>0</v>
      </c>
      <c r="E6" s="3"/>
      <c r="F6" s="99" t="s">
        <v>48</v>
      </c>
      <c r="G6" s="100" t="s">
        <v>49</v>
      </c>
      <c r="H6" s="101" t="s">
        <v>50</v>
      </c>
      <c r="I6" s="102" t="s">
        <v>51</v>
      </c>
      <c r="J6" s="3"/>
      <c r="K6" s="3"/>
      <c r="L6" s="3"/>
      <c r="R6" t="str">
        <f>TRIM(MID(TRIM(Transportes!D6),1,FIND(CHAR(10),TRIM(Transportes!D6),1)-1))</f>
        <v>Áncash</v>
      </c>
      <c r="S6" t="str">
        <f>TRIM(IF(Transportes!F6="TRÁNSITO INTERRUMPIDO","Interrumpido",IF(Transportes!F6="TRÁNSITO RESTRINGIDO","Restringido","Normal")))</f>
        <v>Interrumpido</v>
      </c>
      <c r="T6" t="str">
        <f>TRIM(IF(MID(TRIM(Transportes!H6),1,FIND("-",TRIM(Transportes!H6),1)-2)="Acción humana","H","F"))</f>
        <v>F</v>
      </c>
      <c r="U6" s="53">
        <f>Transportes!G6</f>
        <v>25</v>
      </c>
      <c r="AC6" s="124"/>
    </row>
    <row r="7" spans="1:29" ht="15.75" customHeight="1">
      <c r="E7" s="3"/>
      <c r="F7" s="103" t="s">
        <v>52</v>
      </c>
      <c r="G7" s="104">
        <f>G41+I41</f>
        <v>4</v>
      </c>
      <c r="H7" s="105">
        <f>+H41+J41</f>
        <v>128</v>
      </c>
      <c r="I7" s="106">
        <f>SUM(G7:H7)</f>
        <v>132</v>
      </c>
      <c r="R7" t="str">
        <f>TRIM(MID(TRIM(Transportes!D7),1,FIND(CHAR(10),TRIM(Transportes!D7),1)-1))</f>
        <v>Lambayeque</v>
      </c>
      <c r="S7" t="str">
        <f>TRIM(IF(Transportes!F7="TRÁNSITO INTERRUMPIDO","Interrumpido",IF(Transportes!F7="TRÁNSITO RESTRINGIDO","Restringido","Normal")))</f>
        <v>Interrumpido</v>
      </c>
      <c r="T7" t="str">
        <f>TRIM(IF(MID(TRIM(Transportes!H7),1,FIND("-",TRIM(Transportes!H7),1)-2)="Acción humana","H","F"))</f>
        <v>F</v>
      </c>
      <c r="U7" s="53">
        <f>Transportes!G7</f>
        <v>1</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12</v>
      </c>
      <c r="H9" s="105">
        <v>6</v>
      </c>
      <c r="I9" s="105">
        <f>SUM(G9:H9)</f>
        <v>18</v>
      </c>
      <c r="R9" t="str">
        <f>TRIM(MID(TRIM(Transportes!D9),1,FIND(CHAR(10),TRIM(Transportes!D9),1)-1))</f>
        <v>Cusco</v>
      </c>
      <c r="S9" t="str">
        <f>TRIM(IF(Transportes!F9="TRÁNSITO INTERRUMPIDO","Interrumpido",IF(Transportes!F9="TRÁNSITO RESTRINGIDO","Restringido","Normal")))</f>
        <v>Restringido</v>
      </c>
      <c r="T9" t="str">
        <f>TRIM(IF(MID(TRIM(Transportes!H9),1,FIND("-",TRIM(Transportes!H9),1)-2)="Acción humana","H","F"))</f>
        <v>F</v>
      </c>
      <c r="U9" s="53">
        <f>Transportes!G9</f>
        <v>0</v>
      </c>
      <c r="AC9" s="124"/>
    </row>
    <row r="10" spans="1:29" ht="15.75" customHeight="1">
      <c r="E10" s="3"/>
      <c r="F10" s="103" t="s">
        <v>55</v>
      </c>
      <c r="G10" s="104">
        <v>2</v>
      </c>
      <c r="H10" s="105">
        <v>0</v>
      </c>
      <c r="I10" s="105">
        <f>SUM(G10:H10)</f>
        <v>2</v>
      </c>
      <c r="Q10" s="3"/>
      <c r="R10" t="str">
        <f>TRIM(MID(TRIM(Transportes!D10),1,FIND(CHAR(10),TRIM(Transportes!D10),1)-1))</f>
        <v>Cajamarca</v>
      </c>
      <c r="S10" t="str">
        <f>TRIM(IF(Transportes!F10="TRÁNSITO INTERRUMPIDO","Interrumpido",IF(Transportes!F10="TRÁNSITO RESTRINGIDO","Restringido","Normal")))</f>
        <v>Restringido</v>
      </c>
      <c r="T10" t="str">
        <f>TRIM(IF(MID(TRIM(Transportes!H10),1,FIND("-",TRIM(Transportes!H10),1)-2)="Acción humana","H","F"))</f>
        <v>F</v>
      </c>
      <c r="U10" s="53">
        <f>Transportes!G10</f>
        <v>20</v>
      </c>
      <c r="V10" s="3"/>
      <c r="W10" s="3"/>
      <c r="AC10" s="124"/>
    </row>
    <row r="11" spans="1:29" ht="15.75" customHeight="1">
      <c r="E11" s="3"/>
      <c r="F11" s="103" t="s">
        <v>56</v>
      </c>
      <c r="G11" s="104">
        <v>4</v>
      </c>
      <c r="H11" s="105">
        <v>0</v>
      </c>
      <c r="I11" s="105">
        <f>SUM(G11:H11)</f>
        <v>4</v>
      </c>
      <c r="Q11" s="3"/>
      <c r="R11" t="str">
        <f>TRIM(MID(TRIM(Transportes!D11),1,FIND(CHAR(10),TRIM(Transportes!D11),1)-1))</f>
        <v>Puno</v>
      </c>
      <c r="S11" t="str">
        <f>TRIM(IF(Transportes!F11="TRÁNSITO INTERRUMPIDO","Interrumpido",IF(Transportes!F11="TRÁNSITO RESTRINGIDO","Restringido","Normal")))</f>
        <v>Restringido</v>
      </c>
      <c r="T11" t="str">
        <f>TRIM(IF(MID(TRIM(Transportes!H11),1,FIND("-",TRIM(Transportes!H11),1)-2)="Acción humana","H","F"))</f>
        <v>F</v>
      </c>
      <c r="U11" s="53">
        <f>Transportes!G11</f>
        <v>300</v>
      </c>
      <c r="V11" s="3"/>
      <c r="W11" s="3"/>
      <c r="AC11" s="124"/>
    </row>
    <row r="12" spans="1:29" ht="15.75" customHeight="1">
      <c r="E12" s="3"/>
      <c r="F12" s="107" t="s">
        <v>51</v>
      </c>
      <c r="G12" s="108">
        <f>SUM(G7:G11)</f>
        <v>22</v>
      </c>
      <c r="H12" s="108">
        <f>SUM(H7:H11)</f>
        <v>135</v>
      </c>
      <c r="I12" s="109">
        <f>SUM(I7:I11)</f>
        <v>157</v>
      </c>
      <c r="Q12" s="3"/>
      <c r="R12" t="str">
        <f>TRIM(MID(TRIM(Transportes!D12),1,FIND(CHAR(10),TRIM(Transportes!D12),1)-1))</f>
        <v>Lima</v>
      </c>
      <c r="S12" t="str">
        <f>TRIM(IF(Transportes!F12="TRÁNSITO INTERRUMPIDO","Interrumpido",IF(Transportes!F12="TRÁNSITO RESTRINGIDO","Restringido","Normal")))</f>
        <v>Restringido</v>
      </c>
      <c r="T12" t="str">
        <f>TRIM(IF(MID(TRIM(Transportes!H12),1,FIND("-",TRIM(Transportes!H12),1)-2)="Acción humana","H","F"))</f>
        <v>F</v>
      </c>
      <c r="U12" s="53">
        <f>Transportes!G12</f>
        <v>90</v>
      </c>
      <c r="V12" s="3"/>
      <c r="W12" s="3"/>
      <c r="AC12" s="124"/>
    </row>
    <row r="13" spans="1:29" ht="15.75" customHeight="1">
      <c r="E13" s="3"/>
      <c r="Q13" s="3"/>
      <c r="R13" t="str">
        <f>TRIM(MID(TRIM(Transportes!D13),1,FIND(CHAR(10),TRIM(Transportes!D13),1)-1))</f>
        <v>Ayacucho</v>
      </c>
      <c r="S13" t="str">
        <f>TRIM(IF(Transportes!F13="TRÁNSITO INTERRUMPIDO","Interrumpido",IF(Transportes!F13="TRÁNSITO RESTRINGIDO","Restringido","Normal")))</f>
        <v>Restringido</v>
      </c>
      <c r="T13" t="str">
        <f>TRIM(IF(MID(TRIM(Transportes!H13),1,FIND("-",TRIM(Transportes!H13),1)-2)="Acción humana","H","F"))</f>
        <v>F</v>
      </c>
      <c r="U13" s="53">
        <f>Transportes!G13</f>
        <v>12</v>
      </c>
      <c r="V13" s="3"/>
      <c r="W13" s="3"/>
      <c r="AC13" s="124"/>
    </row>
    <row r="14" spans="1:29" ht="15.75" customHeight="1">
      <c r="E14" s="3"/>
      <c r="F14" s="316" t="s">
        <v>80</v>
      </c>
      <c r="G14" s="317"/>
      <c r="H14" s="317"/>
      <c r="I14" s="317"/>
      <c r="J14" s="317"/>
      <c r="K14" s="318"/>
      <c r="M14" s="316" t="s">
        <v>87</v>
      </c>
      <c r="N14" s="317"/>
      <c r="O14" s="317"/>
      <c r="P14" s="318"/>
      <c r="Q14" s="3"/>
      <c r="R14" t="str">
        <f>TRIM(MID(TRIM(Transportes!D14),1,FIND(CHAR(10),TRIM(Transportes!D14),1)-1))</f>
        <v>Lima</v>
      </c>
      <c r="S14" t="str">
        <f>TRIM(IF(Transportes!F14="TRÁNSITO INTERRUMPIDO","Interrumpido",IF(Transportes!F14="TRÁNSITO RESTRINGIDO","Restringido","Normal")))</f>
        <v>Restringido</v>
      </c>
      <c r="T14" t="str">
        <f>TRIM(IF(MID(TRIM(Transportes!H14),1,FIND("-",TRIM(Transportes!H14),1)-2)="Acción humana","H","F"))</f>
        <v>F</v>
      </c>
      <c r="U14" s="53">
        <f>Transportes!G14</f>
        <v>90</v>
      </c>
      <c r="V14" s="3"/>
      <c r="W14" s="3"/>
      <c r="AC14" s="124"/>
    </row>
    <row r="15" spans="1:29" ht="15.75" customHeight="1">
      <c r="E15" s="3"/>
      <c r="F15" s="319" t="s">
        <v>141</v>
      </c>
      <c r="G15" s="321" t="s">
        <v>57</v>
      </c>
      <c r="H15" s="322"/>
      <c r="I15" s="323" t="s">
        <v>58</v>
      </c>
      <c r="J15" s="324"/>
      <c r="K15" s="325" t="s">
        <v>51</v>
      </c>
      <c r="M15" s="326" t="s">
        <v>57</v>
      </c>
      <c r="N15" s="327"/>
      <c r="O15" s="328"/>
      <c r="P15" s="310" t="s">
        <v>51</v>
      </c>
      <c r="Q15" s="3"/>
      <c r="R15" t="str">
        <f>TRIM(MID(TRIM(Transportes!D15),1,FIND(CHAR(10),TRIM(Transportes!D15),1)-1))</f>
        <v>Áncash</v>
      </c>
      <c r="S15" t="str">
        <f>TRIM(IF(Transportes!F15="TRÁNSITO INTERRUMPIDO","Interrumpido",IF(Transportes!F15="TRÁNSITO RESTRINGIDO","Restringido","Normal")))</f>
        <v>Restringido</v>
      </c>
      <c r="T15" t="str">
        <f>TRIM(IF(MID(TRIM(Transportes!H15),1,FIND("-",TRIM(Transportes!H15),1)-2)="Acción humana","H","F"))</f>
        <v>F</v>
      </c>
      <c r="U15" s="53">
        <f>Transportes!G15</f>
        <v>10</v>
      </c>
      <c r="V15" s="3"/>
      <c r="W15" s="3"/>
      <c r="AC15" s="124"/>
    </row>
    <row r="16" spans="1:29" ht="15.75" customHeight="1">
      <c r="E16" s="3"/>
      <c r="F16" s="320"/>
      <c r="G16" s="110" t="s">
        <v>59</v>
      </c>
      <c r="H16" s="111" t="s">
        <v>60</v>
      </c>
      <c r="I16" s="110" t="s">
        <v>59</v>
      </c>
      <c r="J16" s="111" t="s">
        <v>60</v>
      </c>
      <c r="K16" s="311"/>
      <c r="M16" s="33" t="s">
        <v>141</v>
      </c>
      <c r="N16" s="110" t="s">
        <v>59</v>
      </c>
      <c r="O16" s="111" t="s">
        <v>60</v>
      </c>
      <c r="P16" s="311"/>
      <c r="Q16" s="3"/>
      <c r="R16" t="str">
        <f>TRIM(MID(TRIM(Transportes!D16),1,FIND(CHAR(10),TRIM(Transportes!D16),1)-1))</f>
        <v>Cajamarca</v>
      </c>
      <c r="S16" t="str">
        <f>TRIM(IF(Transportes!F16="TRÁNSITO INTERRUMPIDO","Interrumpido",IF(Transportes!F16="TRÁNSITO RESTRINGIDO","Restringido","Normal")))</f>
        <v>Restringido</v>
      </c>
      <c r="T16" t="str">
        <f>TRIM(IF(MID(TRIM(Transportes!H16),1,FIND("-",TRIM(Transportes!H16),1)-2)="Acción humana","H","F"))</f>
        <v>F</v>
      </c>
      <c r="U16" s="53">
        <f>Transportes!G16</f>
        <v>20</v>
      </c>
      <c r="V16" s="3"/>
      <c r="W16" s="3"/>
      <c r="X16" t="s">
        <v>0</v>
      </c>
      <c r="AC16" s="124"/>
    </row>
    <row r="17" spans="5:29" ht="15.75" customHeight="1">
      <c r="E17" s="3"/>
      <c r="F17" s="103" t="s">
        <v>61</v>
      </c>
      <c r="G17" s="105">
        <f>COUNTIFS(Eventos7[DPTO],"Amazonas",Eventos7[ESTADO],"Interrumpido",Eventos7[FENOMENO],"F")</f>
        <v>0</v>
      </c>
      <c r="H17" s="105">
        <f>COUNTIFS(Eventos7[DPTO],"Amazonas",Eventos7[ESTADO],"Restringido",Eventos7[FENOMENO],"F")</f>
        <v>9</v>
      </c>
      <c r="I17" s="105">
        <f>COUNTIFS(Eventos7[DPTO],"Amazonas",Eventos7[ESTADO],"Interrumpido",Eventos7[FENOMENO],"H")</f>
        <v>0</v>
      </c>
      <c r="J17" s="105">
        <f>COUNTIFS(Eventos7[DPTO],"Amazonas",Eventos7[ESTADO],"Restringido",Eventos7[FENOMENO],"H")</f>
        <v>0</v>
      </c>
      <c r="K17" s="105">
        <f>SUM(G17:J17)</f>
        <v>9</v>
      </c>
      <c r="M17" s="103" t="s">
        <v>61</v>
      </c>
      <c r="N17" s="112">
        <f>SUMIFS(Eventos7[METRAJE],Eventos7[DPTO],"Amazonas",Eventos7[ESTADO],"Interrumpido",Eventos7[FENOMENO],"F")</f>
        <v>0</v>
      </c>
      <c r="O17" s="112">
        <f>SUMIFS(Eventos7[METRAJE],Eventos7[DPTO],"Amazonas",Eventos7[ESTADO],"Restringido",Eventos7[FENOMENO],"F")</f>
        <v>225</v>
      </c>
      <c r="P17" s="112">
        <f t="shared" ref="P17:P40" si="0">SUM(N17:O17)</f>
        <v>225</v>
      </c>
      <c r="Q17" s="3"/>
      <c r="R17" t="str">
        <f>TRIM(MID(TRIM(Transportes!D17),1,FIND(CHAR(10),TRIM(Transportes!D17),1)-1))</f>
        <v>Amazonas</v>
      </c>
      <c r="S17" t="str">
        <f>TRIM(IF(Transportes!F17="TRÁNSITO INTERRUMPIDO","Interrumpido",IF(Transportes!F17="TRÁNSITO RESTRINGIDO","Restringido","Normal")))</f>
        <v>Restringido</v>
      </c>
      <c r="T17" t="str">
        <f>TRIM(IF(MID(TRIM(Transportes!H17),1,FIND("-",TRIM(Transportes!H17),1)-2)="Acción humana","H","F"))</f>
        <v>F</v>
      </c>
      <c r="U17" s="53">
        <f>Transportes!G17</f>
        <v>10</v>
      </c>
      <c r="V17" s="3"/>
      <c r="W17" s="3"/>
      <c r="AC17" s="124"/>
    </row>
    <row r="18" spans="5:29" ht="15.75" customHeight="1">
      <c r="E18" s="3"/>
      <c r="F18" s="103" t="s">
        <v>62</v>
      </c>
      <c r="G18" s="105">
        <f>COUNTIFS(Eventos7[DPTO],"Áncash",Eventos7[ESTADO],"Interrumpido",Eventos7[FENOMENO],"F")</f>
        <v>2</v>
      </c>
      <c r="H18" s="105">
        <f>COUNTIFS(Eventos7[DPTO],"Áncash",Eventos7[ESTADO],"Restringido",Eventos7[FENOMENO],"F")</f>
        <v>12</v>
      </c>
      <c r="I18" s="105">
        <f>COUNTIFS(Eventos7[DPTO],"Áncash",Eventos7[ESTADO],"Interrumpido",Eventos7[FENOMENO],"H")</f>
        <v>0</v>
      </c>
      <c r="J18" s="105">
        <f>COUNTIFS(Eventos7[DPTO],"Áncash",Eventos7[ESTADO],"Restringido",Eventos7[FENOMENO],"H")</f>
        <v>0</v>
      </c>
      <c r="K18" s="105">
        <f t="shared" ref="K18:K40" si="1">SUM(G18:J18)</f>
        <v>14</v>
      </c>
      <c r="M18" s="103" t="s">
        <v>62</v>
      </c>
      <c r="N18" s="112">
        <f>SUMIFS(Eventos7[METRAJE],Eventos7[DPTO],"Áncash",Eventos7[ESTADO],"Interrumpido",Eventos7[FENOMENO],"F")</f>
        <v>115</v>
      </c>
      <c r="O18" s="112">
        <f>SUMIFS(Eventos7[METRAJE],Eventos7[DPTO],"Áncash",Eventos7[ESTADO],"Restringido",Eventos7[FENOMENO],"F")</f>
        <v>458</v>
      </c>
      <c r="P18" s="112">
        <f t="shared" si="0"/>
        <v>573</v>
      </c>
      <c r="Q18" s="3"/>
      <c r="R18" t="str">
        <f>TRIM(MID(TRIM(Transportes!D18),1,FIND(CHAR(10),TRIM(Transportes!D18),1)-1))</f>
        <v>Ayacucho</v>
      </c>
      <c r="S18" t="str">
        <f>TRIM(IF(Transportes!F18="TRÁNSITO INTERRUMPIDO","Interrumpido",IF(Transportes!F18="TRÁNSITO RESTRINGIDO","Restringido","Normal")))</f>
        <v>Restringido</v>
      </c>
      <c r="T18" t="str">
        <f>TRIM(IF(MID(TRIM(Transportes!H18),1,FIND("-",TRIM(Transportes!H18),1)-2)="Acción humana","H","F"))</f>
        <v>F</v>
      </c>
      <c r="U18" s="53">
        <f>Transportes!G18</f>
        <v>10</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Ayacucho</v>
      </c>
      <c r="S19" t="str">
        <f>TRIM(IF(Transportes!F19="TRÁNSITO INTERRUMPIDO","Interrumpido",IF(Transportes!F19="TRÁNSITO RESTRINGIDO","Restringido","Normal")))</f>
        <v>Restringido</v>
      </c>
      <c r="T19" t="str">
        <f>TRIM(IF(MID(TRIM(Transportes!H19),1,FIND("-",TRIM(Transportes!H19),1)-2)="Acción humana","H","F"))</f>
        <v>F</v>
      </c>
      <c r="U19" s="53">
        <f>Transportes!G19</f>
        <v>100</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0</v>
      </c>
      <c r="J20" s="105">
        <f>COUNTIFS(Eventos7[DPTO],"Arequipa",Eventos7[ESTADO],"Restringido",Eventos7[FENOMENO],"H")</f>
        <v>1</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Piura</v>
      </c>
      <c r="S20" t="str">
        <f>TRIM(IF(Transportes!F20="TRÁNSITO INTERRUMPIDO","Interrumpido",IF(Transportes!F20="TRÁNSITO RESTRINGIDO","Restringido","Normal")))</f>
        <v>Restringido</v>
      </c>
      <c r="T20" t="str">
        <f>TRIM(IF(MID(TRIM(Transportes!H20),1,FIND("-",TRIM(Transportes!H20),1)-2)="Acción humana","H","F"))</f>
        <v>F</v>
      </c>
      <c r="U20" s="53">
        <f>Transportes!G20</f>
        <v>20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5</v>
      </c>
      <c r="I21" s="105">
        <f>COUNTIFS(Eventos7[DPTO],"Ayacucho",Eventos7[ESTADO],"Interrumpido",Eventos7[FENOMENO],"H")</f>
        <v>0</v>
      </c>
      <c r="J21" s="105">
        <f>COUNTIFS(Eventos7[DPTO],"Ayacucho",Eventos7[ESTADO],"Restringido",Eventos7[FENOMENO],"H")</f>
        <v>0</v>
      </c>
      <c r="K21" s="105">
        <f t="shared" si="1"/>
        <v>5</v>
      </c>
      <c r="M21" s="103" t="s">
        <v>64</v>
      </c>
      <c r="N21" s="112">
        <f>SUMIFS(Eventos7[METRAJE],Eventos7[DPTO],"Ayacucho",Eventos7[ESTADO],"Interrumpido",Eventos7[FENOMENO],"F")</f>
        <v>0</v>
      </c>
      <c r="O21" s="112">
        <f>SUMIFS(Eventos7[METRAJE],Eventos7[DPTO],"Ayacucho",Eventos7[ESTADO],"Restringido",Eventos7[FENOMENO],"F")</f>
        <v>152</v>
      </c>
      <c r="P21" s="112">
        <f t="shared" si="0"/>
        <v>152</v>
      </c>
      <c r="Q21" s="3"/>
      <c r="R21" t="str">
        <f>TRIM(MID(TRIM(Transportes!D21),1,FIND(CHAR(10),TRIM(Transportes!D21),1)-1))</f>
        <v>Cajamarca</v>
      </c>
      <c r="S21" t="str">
        <f>TRIM(IF(Transportes!F21="TRÁNSITO INTERRUMPIDO","Interrumpido",IF(Transportes!F21="TRÁNSITO RESTRINGIDO","Restringido","Normal")))</f>
        <v>Restringido</v>
      </c>
      <c r="T21" t="str">
        <f>TRIM(IF(MID(TRIM(Transportes!H21),1,FIND("-",TRIM(Transportes!H21),1)-2)="Acción humana","H","F"))</f>
        <v>F</v>
      </c>
      <c r="U21" s="53">
        <f>Transportes!G21</f>
        <v>20</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12</v>
      </c>
      <c r="I22" s="105">
        <f>COUNTIFS(Eventos7[DPTO],"Cajamarca",Eventos7[ESTADO],"Interrumpido",Eventos7[FENOMENO],"H")</f>
        <v>0</v>
      </c>
      <c r="J22" s="105">
        <f>COUNTIFS(Eventos7[DPTO],"Cajamarca",Eventos7[ESTADO],"Restringido",Eventos7[FENOMENO],"H")</f>
        <v>0</v>
      </c>
      <c r="K22" s="105">
        <f t="shared" si="1"/>
        <v>12</v>
      </c>
      <c r="M22" s="103" t="s">
        <v>65</v>
      </c>
      <c r="N22" s="112">
        <f>SUMIFS(Eventos7[METRAJE],Eventos7[DPTO],"Cajamarca",Eventos7[ESTADO],"Interrumpido",Eventos7[FENOMENO],"F")</f>
        <v>0</v>
      </c>
      <c r="O22" s="112">
        <f>SUMIFS(Eventos7[METRAJE],Eventos7[DPTO],"Cajamarca",Eventos7[ESTADO],"Restringido",Eventos7[FENOMENO],"F")</f>
        <v>472</v>
      </c>
      <c r="P22" s="112">
        <f t="shared" si="0"/>
        <v>472</v>
      </c>
      <c r="Q22" s="3"/>
      <c r="R22" t="str">
        <f>TRIM(MID(TRIM(Transportes!D22),1,FIND(CHAR(10),TRIM(Transportes!D22),1)-1))</f>
        <v>Lima</v>
      </c>
      <c r="S22" t="str">
        <f>TRIM(IF(Transportes!F22="TRÁNSITO INTERRUMPIDO","Interrumpido",IF(Transportes!F22="TRÁNSITO RESTRINGIDO","Restringido","Normal")))</f>
        <v>Restringido</v>
      </c>
      <c r="T22" t="str">
        <f>TRIM(IF(MID(TRIM(Transportes!H22),1,FIND("-",TRIM(Transportes!H22),1)-2)="Acción humana","H","F"))</f>
        <v>F</v>
      </c>
      <c r="U22" s="53">
        <f>Transportes!G22</f>
        <v>150</v>
      </c>
      <c r="V22" s="3"/>
      <c r="W22" s="3"/>
      <c r="AC22" s="124"/>
    </row>
    <row r="23" spans="5:29" ht="15.75" customHeight="1">
      <c r="F23" s="103" t="s">
        <v>66</v>
      </c>
      <c r="G23" s="105">
        <f>COUNTIFS(Eventos7[DPTO],"Cusco",Eventos7[ESTADO],"Interrumpido",Eventos7[FENOMENO],"F")</f>
        <v>0</v>
      </c>
      <c r="H23" s="105">
        <f>COUNTIFS(Eventos7[DPTO],"Cusco",Eventos7[ESTADO],"Restringido",Eventos7[FENOMENO],"F")</f>
        <v>6</v>
      </c>
      <c r="I23" s="105">
        <f>COUNTIFS(Eventos7[DPTO],"Cusco",Eventos7[ESTADO],"Interrumpido",Eventos7[FENOMENO],"H")</f>
        <v>0</v>
      </c>
      <c r="J23" s="105">
        <f>COUNTIFS(Eventos7[DPTO],"Cusco",Eventos7[ESTADO],"Restringido",Eventos7[FENOMENO],"H")</f>
        <v>0</v>
      </c>
      <c r="K23" s="105">
        <f t="shared" si="1"/>
        <v>6</v>
      </c>
      <c r="M23" s="103" t="s">
        <v>66</v>
      </c>
      <c r="N23" s="112">
        <f>SUMIFS(Eventos7[METRAJE],Eventos7[DPTO],"Cusco",Eventos7[ESTADO],"Interrumpido",Eventos7[FENOMENO],"F")</f>
        <v>0</v>
      </c>
      <c r="O23" s="112">
        <f>SUMIFS(Eventos7[METRAJE],Eventos7[DPTO],"Cusco",Eventos7[ESTADO],"Restringido",Eventos7[FENOMENO],"F")</f>
        <v>500</v>
      </c>
      <c r="P23" s="112">
        <f t="shared" si="0"/>
        <v>500</v>
      </c>
      <c r="Q23" s="3"/>
      <c r="R23" t="str">
        <f>TRIM(MID(TRIM(Transportes!D23),1,FIND(CHAR(10),TRIM(Transportes!D23),1)-1))</f>
        <v>Huánuco</v>
      </c>
      <c r="S23" t="str">
        <f>TRIM(IF(Transportes!F23="TRÁNSITO INTERRUMPIDO","Interrumpido",IF(Transportes!F23="TRÁNSITO RESTRINGIDO","Restringido","Normal")))</f>
        <v>Restringido</v>
      </c>
      <c r="T23" t="str">
        <f>TRIM(IF(MID(TRIM(Transportes!H23),1,FIND("-",TRIM(Transportes!H23),1)-2)="Acción humana","H","F"))</f>
        <v>F</v>
      </c>
      <c r="U23" s="53">
        <f>Transportes!G23</f>
        <v>30</v>
      </c>
      <c r="V23" s="3"/>
      <c r="AC23" s="124"/>
    </row>
    <row r="24" spans="5:29" ht="15.75" customHeight="1">
      <c r="F24" s="103" t="s">
        <v>67</v>
      </c>
      <c r="G24" s="105">
        <f>COUNTIFS(Eventos7[DPTO],"Huancavelica",Eventos7[ESTADO],"Interrumpido",Eventos7[FENOMENO],"F")</f>
        <v>0</v>
      </c>
      <c r="H24" s="105">
        <f>COUNTIFS(Eventos7[DPTO],"Huancavelica",Eventos7[ESTADO],"Restringido",Eventos7[FENOMENO],"F")</f>
        <v>2</v>
      </c>
      <c r="I24" s="105">
        <f>COUNTIFS(Eventos7[DPTO],"Huancavelica",Eventos7[ESTADO],"Interrumpido",Eventos7[FENOMENO],"H")</f>
        <v>0</v>
      </c>
      <c r="J24" s="105">
        <f>COUNTIFS(Eventos7[DPTO],"Huancavelica",Eventos7[ESTADO],"Restringido",Eventos7[FENOMENO],"H")</f>
        <v>0</v>
      </c>
      <c r="K24" s="105">
        <f t="shared" si="1"/>
        <v>2</v>
      </c>
      <c r="M24" s="103" t="s">
        <v>67</v>
      </c>
      <c r="N24" s="112">
        <f>SUMIFS(Eventos7[METRAJE],Eventos7[DPTO],"Huancavelica",Eventos7[ESTADO],"Interrumpido",Eventos7[FENOMENO],"F")</f>
        <v>0</v>
      </c>
      <c r="O24" s="112">
        <f>SUMIFS(Eventos7[METRAJE],Eventos7[DPTO],"Huancavelica",Eventos7[ESTADO],"Restringido",Eventos7[FENOMENO],"F")</f>
        <v>80</v>
      </c>
      <c r="P24" s="112">
        <f t="shared" si="0"/>
        <v>80</v>
      </c>
      <c r="Q24" s="3"/>
      <c r="R24" t="str">
        <f>TRIM(MID(TRIM(Transportes!D24),1,FIND(CHAR(10),TRIM(Transportes!D24),1)-1))</f>
        <v>Piura</v>
      </c>
      <c r="S24" t="str">
        <f>TRIM(IF(Transportes!F24="TRÁNSITO INTERRUMPIDO","Interrumpido",IF(Transportes!F24="TRÁNSITO RESTRINGIDO","Restringido","Normal")))</f>
        <v>Restringido</v>
      </c>
      <c r="T24" t="str">
        <f>TRIM(IF(MID(TRIM(Transportes!H24),1,FIND("-",TRIM(Transportes!H24),1)-2)="Acción humana","H","F"))</f>
        <v>F</v>
      </c>
      <c r="U24" s="53">
        <f>Transportes!G24</f>
        <v>100</v>
      </c>
      <c r="V24" s="3"/>
      <c r="AC24" s="124"/>
    </row>
    <row r="25" spans="5:29" ht="15.75" customHeight="1">
      <c r="F25" s="103" t="s">
        <v>68</v>
      </c>
      <c r="G25" s="105">
        <f>COUNTIFS(Eventos7[DPTO],"Huánuco",Eventos7[ESTADO],"Interrumpido",Eventos7[FENOMENO],"F")</f>
        <v>0</v>
      </c>
      <c r="H25" s="105">
        <f>COUNTIFS(Eventos7[DPTO],"Huánuco",Eventos7[ESTADO],"Restringido",Eventos7[FENOMENO],"F")</f>
        <v>3</v>
      </c>
      <c r="I25" s="105">
        <f>COUNTIFS(Eventos7[DPTO],"Huánuco",Eventos7[ESTADO],"Interrumpido",Eventos7[FENOMENO],"H")</f>
        <v>0</v>
      </c>
      <c r="J25" s="105">
        <f>COUNTIFS(Eventos7[DPTO],"Huánuco",Eventos7[ESTADO],"Restringido",Eventos7[FENOMENO],"H")</f>
        <v>0</v>
      </c>
      <c r="K25" s="105">
        <f t="shared" si="1"/>
        <v>3</v>
      </c>
      <c r="M25" s="103" t="s">
        <v>68</v>
      </c>
      <c r="N25" s="112">
        <f>SUMIFS(Eventos7[METRAJE],Eventos7[DPTO],"Huánuco",Eventos7[ESTADO],"Interrumpido",Eventos7[FENOMENO],"F")</f>
        <v>0</v>
      </c>
      <c r="O25" s="112">
        <f>SUMIFS(Eventos7[METRAJE],Eventos7[DPTO],"Huánuco",Eventos7[ESTADO],"Restringido",Eventos7[FENOMENO],"F")</f>
        <v>190</v>
      </c>
      <c r="P25" s="112">
        <f t="shared" si="0"/>
        <v>190</v>
      </c>
      <c r="Q25" s="3"/>
      <c r="R25" t="str">
        <f>TRIM(MID(TRIM(Transportes!D25),1,FIND(CHAR(10),TRIM(Transportes!D25),1)-1))</f>
        <v>Piura</v>
      </c>
      <c r="S25" t="str">
        <f>TRIM(IF(Transportes!F25="TRÁNSITO INTERRUMPIDO","Interrumpido",IF(Transportes!F25="TRÁNSITO RESTRINGIDO","Restringido","Normal")))</f>
        <v>Restringido</v>
      </c>
      <c r="T25" t="str">
        <f>TRIM(IF(MID(TRIM(Transportes!H25),1,FIND("-",TRIM(Transportes!H25),1)-2)="Acción humana","H","F"))</f>
        <v>F</v>
      </c>
      <c r="U25" s="53">
        <f>Transportes!G25</f>
        <v>30</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Piura</v>
      </c>
      <c r="S26" t="str">
        <f>TRIM(IF(Transportes!F26="TRÁNSITO INTERRUMPIDO","Interrumpido",IF(Transportes!F26="TRÁNSITO RESTRINGIDO","Restringido","Normal")))</f>
        <v>Restringido</v>
      </c>
      <c r="T26" t="str">
        <f>TRIM(IF(MID(TRIM(Transportes!H26),1,FIND("-",TRIM(Transportes!H26),1)-2)="Acción humana","H","F"))</f>
        <v>F</v>
      </c>
      <c r="U26" s="53">
        <f>Transportes!G26</f>
        <v>34</v>
      </c>
      <c r="V26" s="3"/>
      <c r="AC26" s="124"/>
    </row>
    <row r="27" spans="5:29" ht="15.75" customHeight="1">
      <c r="F27" s="103" t="s">
        <v>69</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69</v>
      </c>
      <c r="N27" s="112">
        <f>SUMIFS(Eventos7[METRAJE],Eventos7[DPTO],"Junín",Eventos7[ESTADO],"Interrumpido",Eventos7[FENOMENO],"F")</f>
        <v>0</v>
      </c>
      <c r="O27" s="112">
        <f>SUMIFS(Eventos7[METRAJE],Eventos7[DPTO],"Junín",Eventos7[ESTADO],"Restringido",Eventos7[FENOMENO],"F")</f>
        <v>360</v>
      </c>
      <c r="P27" s="112">
        <f t="shared" si="0"/>
        <v>360</v>
      </c>
      <c r="Q27" s="3"/>
      <c r="R27" t="str">
        <f>TRIM(MID(TRIM(Transportes!D27),1,FIND(CHAR(10),TRIM(Transportes!D27),1)-1))</f>
        <v>Piura</v>
      </c>
      <c r="S27" t="str">
        <f>TRIM(IF(Transportes!F27="TRÁNSITO INTERRUMPIDO","Interrumpido",IF(Transportes!F27="TRÁNSITO RESTRINGIDO","Restringido","Normal")))</f>
        <v>Restringido</v>
      </c>
      <c r="T27" t="str">
        <f>TRIM(IF(MID(TRIM(Transportes!H27),1,FIND("-",TRIM(Transportes!H27),1)-2)="Acción humana","H","F"))</f>
        <v>F</v>
      </c>
      <c r="U27" s="53">
        <f>Transportes!G27</f>
        <v>100</v>
      </c>
      <c r="V27" s="3"/>
      <c r="AC27" s="124"/>
    </row>
    <row r="28" spans="5:29" ht="15.75" customHeight="1">
      <c r="F28" s="103" t="s">
        <v>43</v>
      </c>
      <c r="G28" s="105">
        <f>COUNTIFS(Eventos7[DPTO],"La Libertad",Eventos7[ESTADO],"Interrumpido",Eventos7[FENOMENO],"F")</f>
        <v>1</v>
      </c>
      <c r="H28" s="105">
        <f>COUNTIFS(Eventos7[DPTO],"La Libertad",Eventos7[ESTADO],"Restringido",Eventos7[FENOMENO],"F")</f>
        <v>7</v>
      </c>
      <c r="I28" s="105">
        <f>COUNTIFS(Eventos7[DPTO],"La Libertad",Eventos7[ESTADO],"Interrumpido",Eventos7[FENOMENO],"H")</f>
        <v>0</v>
      </c>
      <c r="J28" s="105">
        <f>COUNTIFS(Eventos7[DPTO],"La Libertad",Eventos7[ESTADO],"Restringido",Eventos7[FENOMENO],"H")</f>
        <v>1</v>
      </c>
      <c r="K28" s="105">
        <f t="shared" si="1"/>
        <v>9</v>
      </c>
      <c r="M28" s="103" t="s">
        <v>43</v>
      </c>
      <c r="N28" s="112">
        <f>SUMIFS(Eventos7[METRAJE],Eventos7[DPTO],"La Libertad",Eventos7[ESTADO],"Interrumpido",Eventos7[FENOMENO],"F")</f>
        <v>30</v>
      </c>
      <c r="O28" s="112">
        <f>SUMIFS(Eventos7[METRAJE],Eventos7[DPTO],"La Libertad",Eventos7[ESTADO],"Restringido",Eventos7[FENOMENO],"F")</f>
        <v>822</v>
      </c>
      <c r="P28" s="112">
        <f t="shared" si="0"/>
        <v>852</v>
      </c>
      <c r="Q28" s="3"/>
      <c r="R28" t="str">
        <f>TRIM(MID(TRIM(Transportes!D28),1,FIND(CHAR(10),TRIM(Transportes!D28),1)-1))</f>
        <v>Piura</v>
      </c>
      <c r="S28" t="str">
        <f>TRIM(IF(Transportes!F28="TRÁNSITO INTERRUMPIDO","Interrumpido",IF(Transportes!F28="TRÁNSITO RESTRINGIDO","Restringido","Normal")))</f>
        <v>Restringido</v>
      </c>
      <c r="T28" t="str">
        <f>TRIM(IF(MID(TRIM(Transportes!H28),1,FIND("-",TRIM(Transportes!H28),1)-2)="Acción humana","H","F"))</f>
        <v>F</v>
      </c>
      <c r="U28" s="53">
        <f>Transportes!G28</f>
        <v>15</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Pasco</v>
      </c>
      <c r="S29" t="str">
        <f>TRIM(IF(Transportes!F29="TRÁNSITO INTERRUMPIDO","Interrumpido",IF(Transportes!F29="TRÁNSITO RESTRINGIDO","Restringido","Normal")))</f>
        <v>Restringido</v>
      </c>
      <c r="T29" t="str">
        <f>TRIM(IF(MID(TRIM(Transportes!H29),1,FIND("-",TRIM(Transportes!H29),1)-2)="Acción humana","H","F"))</f>
        <v>F</v>
      </c>
      <c r="U29" s="53">
        <f>Transportes!G29</f>
        <v>20</v>
      </c>
      <c r="V29" s="3"/>
      <c r="AC29" s="124"/>
    </row>
    <row r="30" spans="5:29" ht="15.75" customHeight="1">
      <c r="F30" s="103" t="s">
        <v>71</v>
      </c>
      <c r="G30" s="105">
        <f>COUNTIFS(Eventos7[DPTO],"Lima",Eventos7[ESTADO],"Interrumpido",Eventos7[FENOMENO],"F")</f>
        <v>0</v>
      </c>
      <c r="H30" s="105">
        <f>COUNTIFS(Eventos7[DPTO],"Lima",Eventos7[ESTADO],"Restringido",Eventos7[FENOMENO],"F")</f>
        <v>5</v>
      </c>
      <c r="I30" s="105">
        <f>COUNTIFS(Eventos7[DPTO],"Lima",Eventos7[ESTADO],"Interrumpido",Eventos7[FENOMENO],"H")</f>
        <v>0</v>
      </c>
      <c r="J30" s="105">
        <f>COUNTIFS(Eventos7[DPTO],"Lima",Eventos7[ESTADO],"Restringido",Eventos7[FENOMENO],"H")</f>
        <v>0</v>
      </c>
      <c r="K30" s="105">
        <f t="shared" si="1"/>
        <v>5</v>
      </c>
      <c r="M30" s="103" t="s">
        <v>71</v>
      </c>
      <c r="N30" s="112">
        <f>SUMIFS(Eventos7[METRAJE],Eventos7[DPTO],"Lima",Eventos7[ESTADO],"Interrumpido",Eventos7[FENOMENO],"F")</f>
        <v>0</v>
      </c>
      <c r="O30" s="112">
        <f>SUMIFS(Eventos7[METRAJE],Eventos7[DPTO],"Lima",Eventos7[ESTADO],"Restringido",Eventos7[FENOMENO],"F")</f>
        <v>430</v>
      </c>
      <c r="P30" s="112">
        <f t="shared" si="0"/>
        <v>430</v>
      </c>
      <c r="Q30" s="3"/>
      <c r="R30" t="str">
        <f>TRIM(MID(TRIM(Transportes!D30),1,FIND(CHAR(10),TRIM(Transportes!D30),1)-1))</f>
        <v>Amazonas</v>
      </c>
      <c r="S30" t="str">
        <f>TRIM(IF(Transportes!F30="TRÁNSITO INTERRUMPIDO","Interrumpido",IF(Transportes!F30="TRÁNSITO RESTRINGIDO","Restringido","Normal")))</f>
        <v>Restringido</v>
      </c>
      <c r="T30" t="str">
        <f>TRIM(IF(MID(TRIM(Transportes!H30),1,FIND("-",TRIM(Transportes!H30),1)-2)="Acción humana","H","F"))</f>
        <v>F</v>
      </c>
      <c r="U30" s="53">
        <f>Transportes!G30</f>
        <v>10</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Puno</v>
      </c>
      <c r="S31" t="str">
        <f>TRIM(IF(Transportes!F31="TRÁNSITO INTERRUMPIDO","Interrumpido",IF(Transportes!F31="TRÁNSITO RESTRINGIDO","Restringido","Normal")))</f>
        <v>Restringido</v>
      </c>
      <c r="T31" t="str">
        <f>TRIM(IF(MID(TRIM(Transportes!H31),1,FIND("-",TRIM(Transportes!H31),1)-2)="Acción humana","H","F"))</f>
        <v>F</v>
      </c>
      <c r="U31" s="53">
        <f>Transportes!G31</f>
        <v>110</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Piura</v>
      </c>
      <c r="S32" t="str">
        <f>TRIM(IF(Transportes!F32="TRÁNSITO INTERRUMPIDO","Interrumpido",IF(Transportes!F32="TRÁNSITO RESTRINGIDO","Restringido","Normal")))</f>
        <v>Restringido</v>
      </c>
      <c r="T32" t="str">
        <f>TRIM(IF(MID(TRIM(Transportes!H32),1,FIND("-",TRIM(Transportes!H32),1)-2)="Acción humana","H","F"))</f>
        <v>F</v>
      </c>
      <c r="U32" s="53">
        <f>Transportes!G32</f>
        <v>15</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Áncash</v>
      </c>
      <c r="S33" t="str">
        <f>TRIM(IF(Transportes!F33="TRÁNSITO INTERRUMPIDO","Interrumpido",IF(Transportes!F33="TRÁNSITO RESTRINGIDO","Restringido","Normal")))</f>
        <v>Restringido</v>
      </c>
      <c r="T33" t="str">
        <f>TRIM(IF(MID(TRIM(Transportes!H33),1,FIND("-",TRIM(Transportes!H33),1)-2)="Acción humana","H","F"))</f>
        <v>F</v>
      </c>
      <c r="U33" s="53">
        <f>Transportes!G33</f>
        <v>25</v>
      </c>
      <c r="V33" s="3"/>
      <c r="AC33" s="124"/>
    </row>
    <row r="34" spans="4:29" ht="15.75" customHeight="1">
      <c r="F34" s="103" t="s">
        <v>74</v>
      </c>
      <c r="G34" s="105">
        <f>COUNTIFS(Eventos7[DPTO],"Pasco",Eventos7[ESTADO],"Interrumpido",Eventos7[FENOMENO],"F")</f>
        <v>0</v>
      </c>
      <c r="H34" s="105">
        <f>COUNTIFS(Eventos7[DPTO],"Pasco",Eventos7[ESTADO],"Restringido",Eventos7[FENOMENO],"F")</f>
        <v>4</v>
      </c>
      <c r="I34" s="105">
        <f>COUNTIFS(Eventos7[DPTO],"Pasco",Eventos7[ESTADO],"Interrumpido",Eventos7[FENOMENO],"H")</f>
        <v>0</v>
      </c>
      <c r="J34" s="105">
        <f>COUNTIFS(Eventos7[DPTO],"Pasco",Eventos7[ESTADO],"Restringido",Eventos7[FENOMENO],"H")</f>
        <v>0</v>
      </c>
      <c r="K34" s="105">
        <f t="shared" si="1"/>
        <v>4</v>
      </c>
      <c r="M34" s="103" t="s">
        <v>74</v>
      </c>
      <c r="N34" s="112">
        <f>SUMIFS(Eventos7[METRAJE],Eventos7[DPTO],"Pasco",Eventos7[ESTADO],"Interrumpido",Eventos7[FENOMENO],"F")</f>
        <v>0</v>
      </c>
      <c r="O34" s="112">
        <f>SUMIFS(Eventos7[METRAJE],Eventos7[DPTO],"Pasco",Eventos7[ESTADO],"Restringido",Eventos7[FENOMENO],"F")</f>
        <v>120</v>
      </c>
      <c r="P34" s="112">
        <f t="shared" si="0"/>
        <v>120</v>
      </c>
      <c r="Q34" s="3"/>
      <c r="R34" t="str">
        <f>TRIM(MID(TRIM(Transportes!D34),1,FIND(CHAR(10),TRIM(Transportes!D34),1)-1))</f>
        <v>Junín</v>
      </c>
      <c r="S34" t="str">
        <f>TRIM(IF(Transportes!F34="TRÁNSITO INTERRUMPIDO","Interrumpido",IF(Transportes!F34="TRÁNSITO RESTRINGIDO","Restringido","Normal")))</f>
        <v>Restringido</v>
      </c>
      <c r="T34" t="str">
        <f>TRIM(IF(MID(TRIM(Transportes!H34),1,FIND("-",TRIM(Transportes!H34),1)-2)="Acción humana","H","F"))</f>
        <v>F</v>
      </c>
      <c r="U34" s="53" t="str">
        <f>Transportes!G34</f>
        <v>-</v>
      </c>
      <c r="V34" s="3"/>
      <c r="AC34" s="124"/>
    </row>
    <row r="35" spans="4:29" ht="15.75" customHeight="1">
      <c r="F35" s="103" t="s">
        <v>40</v>
      </c>
      <c r="G35" s="105">
        <f>COUNTIFS(Eventos7[DPTO],"Piura",Eventos7[ESTADO],"Interrumpido",Eventos7[FENOMENO],"F")</f>
        <v>0</v>
      </c>
      <c r="H35" s="105">
        <f>COUNTIFS(Eventos7[DPTO],"Piura",Eventos7[ESTADO],"Restringido",Eventos7[FENOMENO],"F")</f>
        <v>19</v>
      </c>
      <c r="I35" s="105">
        <f>COUNTIFS(Eventos7[DPTO],"Piura",Eventos7[ESTADO],"Interrumpido",Eventos7[FENOMENO],"H")</f>
        <v>0</v>
      </c>
      <c r="J35" s="105">
        <f>COUNTIFS(Eventos7[DPTO],"Piura",Eventos7[ESTADO],"Restringido",Eventos7[FENOMENO],"H")</f>
        <v>0</v>
      </c>
      <c r="K35" s="105">
        <f t="shared" si="1"/>
        <v>19</v>
      </c>
      <c r="M35" s="103" t="s">
        <v>40</v>
      </c>
      <c r="N35" s="112">
        <f>SUMIFS(Eventos7[METRAJE],Eventos7[DPTO],"Piura",Eventos7[ESTADO],"Interrumpido",Eventos7[FENOMENO],"F")</f>
        <v>0</v>
      </c>
      <c r="O35" s="112">
        <f>SUMIFS(Eventos7[METRAJE],Eventos7[DPTO],"Piura",Eventos7[ESTADO],"Restringido",Eventos7[FENOMENO],"F")</f>
        <v>1345</v>
      </c>
      <c r="P35" s="112">
        <f t="shared" si="0"/>
        <v>1345</v>
      </c>
      <c r="Q35" s="3"/>
      <c r="R35" t="str">
        <f>TRIM(MID(TRIM(Transportes!D35),1,FIND(CHAR(10),TRIM(Transportes!D35),1)-1))</f>
        <v>Junín</v>
      </c>
      <c r="S35" t="str">
        <f>TRIM(IF(Transportes!F35="TRÁNSITO INTERRUMPIDO","Interrumpido",IF(Transportes!F35="TRÁNSITO RESTRINGIDO","Restringido","Normal")))</f>
        <v>Restringido</v>
      </c>
      <c r="T35" t="str">
        <f>TRIM(IF(MID(TRIM(Transportes!H35),1,FIND("-",TRIM(Transportes!H35),1)-2)="Acción humana","H","F"))</f>
        <v>F</v>
      </c>
      <c r="U35" s="53" t="str">
        <f>Transportes!G35</f>
        <v>-</v>
      </c>
      <c r="V35" s="3"/>
      <c r="AC35" s="124"/>
    </row>
    <row r="36" spans="4:29" ht="15.75" customHeight="1">
      <c r="F36" s="154"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500</v>
      </c>
      <c r="P36" s="112">
        <f t="shared" si="0"/>
        <v>500</v>
      </c>
      <c r="Q36" s="3"/>
      <c r="R36" t="str">
        <f>TRIM(MID(TRIM(Transportes!D36),1,FIND(CHAR(10),TRIM(Transportes!D36),1)-1))</f>
        <v>Apurímac</v>
      </c>
      <c r="S36" t="str">
        <f>TRIM(IF(Transportes!F36="TRÁNSITO INTERRUMPIDO","Interrumpido",IF(Transportes!F36="TRÁNSITO RESTRINGIDO","Restringido","Normal")))</f>
        <v>Restringido</v>
      </c>
      <c r="T36" t="str">
        <f>TRIM(IF(MID(TRIM(Transportes!H36),1,FIND("-",TRIM(Transportes!H36),1)-2)="Acción humana","H","F"))</f>
        <v>F</v>
      </c>
      <c r="U36" s="53">
        <f>Transportes!G36</f>
        <v>5</v>
      </c>
      <c r="V36" s="3"/>
    </row>
    <row r="37" spans="4:29" ht="15.75" customHeight="1">
      <c r="F37" s="103" t="s">
        <v>76</v>
      </c>
      <c r="G37" s="105">
        <f>COUNTIFS(Eventos7[DPTO],"San Martín",Eventos7[ESTADO],"Interrumpido",Eventos7[FENOMENO],"F")</f>
        <v>0</v>
      </c>
      <c r="H37" s="105">
        <f>COUNTIFS(Eventos7[DPTO],"San Martín",Eventos7[ESTADO],"Restringido",Eventos7[FENOMENO],"F")</f>
        <v>5</v>
      </c>
      <c r="I37" s="105">
        <f>COUNTIFS(Eventos7[DPTO],"San Martín",Eventos7[ESTADO],"Interrumpido",Eventos7[FENOMENO],"H")</f>
        <v>0</v>
      </c>
      <c r="J37" s="105">
        <f>COUNTIFS(Eventos7[DPTO],"San Martín",Eventos7[ESTADO],"Restringido",Eventos7[FENOMENO],"H")</f>
        <v>2</v>
      </c>
      <c r="K37" s="105">
        <f t="shared" si="1"/>
        <v>7</v>
      </c>
      <c r="M37" s="103" t="s">
        <v>76</v>
      </c>
      <c r="N37" s="112">
        <f>SUMIFS(Eventos7[METRAJE],Eventos7[DPTO],"San Martín",Eventos7[ESTADO],"Interrumpido",Eventos7[FENOMENO],"F")</f>
        <v>0</v>
      </c>
      <c r="O37" s="112">
        <f>SUMIFS(Eventos7[METRAJE],Eventos7[DPTO],"San Martín",Eventos7[ESTADO],"Restringido",Eventos7[FENOMENO],"F")</f>
        <v>1170</v>
      </c>
      <c r="P37" s="112">
        <f t="shared" si="0"/>
        <v>1170</v>
      </c>
      <c r="Q37" s="3"/>
      <c r="R37" t="str">
        <f>TRIM(MID(TRIM(Transportes!D37),1,FIND(CHAR(10),TRIM(Transportes!D37),1)-1))</f>
        <v>La Libertad</v>
      </c>
      <c r="S37" t="str">
        <f>TRIM(IF(Transportes!F37="TRÁNSITO INTERRUMPIDO","Interrumpido",IF(Transportes!F37="TRÁNSITO RESTRINGIDO","Restringido","Normal")))</f>
        <v>Restringido</v>
      </c>
      <c r="T37" t="str">
        <f>TRIM(IF(MID(TRIM(Transportes!H37),1,FIND("-",TRIM(Transportes!H37),1)-2)="Acción humana","H","F"))</f>
        <v>F</v>
      </c>
      <c r="U37" s="53">
        <f>Transportes!G37</f>
        <v>40</v>
      </c>
      <c r="V37" s="3"/>
    </row>
    <row r="38" spans="4:29" ht="15.75" customHeight="1">
      <c r="F38" s="103" t="s">
        <v>77</v>
      </c>
      <c r="G38" s="105">
        <f>COUNTIFS(Eventos7[DPTO],"Tacna",Eventos7[ESTADO],"Interrumpido",Eventos7[FENOMENO],"F")</f>
        <v>0</v>
      </c>
      <c r="H38" s="105">
        <f>COUNTIFS(Eventos7[DPTO],"Tacna",Eventos7[ESTADO],"Restringido",Eventos7[FENOMENO],"F")</f>
        <v>2</v>
      </c>
      <c r="I38" s="105">
        <f>COUNTIFS(Eventos7[DPTO],"Tacna",Eventos7[ESTADO],"Interrumpido",Eventos7[FENOMENO],"H")</f>
        <v>0</v>
      </c>
      <c r="J38" s="105">
        <f>COUNTIFS(Eventos7[DPTO],"Tacna",Eventos7[ESTADO],"Restringido",Eventos7[FENOMENO],"H")</f>
        <v>0</v>
      </c>
      <c r="K38" s="105">
        <f t="shared" si="1"/>
        <v>2</v>
      </c>
      <c r="M38" s="103" t="s">
        <v>77</v>
      </c>
      <c r="N38" s="112">
        <f>SUMIFS(Eventos7[METRAJE],Eventos7[DPTO],"Tacna",Eventos7[ESTADO],"Interrumpido",Eventos7[FENOMENO],"F")</f>
        <v>0</v>
      </c>
      <c r="O38" s="112">
        <f>SUMIFS(Eventos7[METRAJE],Eventos7[DPTO],"Tacna",Eventos7[ESTADO],"Restringido",Eventos7[FENOMENO],"F")</f>
        <v>35</v>
      </c>
      <c r="P38" s="112">
        <f t="shared" si="0"/>
        <v>35</v>
      </c>
      <c r="Q38" s="3"/>
      <c r="R38" t="str">
        <f>TRIM(MID(TRIM(Transportes!D38),1,FIND(CHAR(10),TRIM(Transportes!D38),1)-1))</f>
        <v>Junín</v>
      </c>
      <c r="S38" t="str">
        <f>TRIM(IF(Transportes!F38="TRÁNSITO INTERRUMPIDO","Interrumpido",IF(Transportes!F38="TRÁNSITO RESTRINGIDO","Restringido","Normal")))</f>
        <v>Restringido</v>
      </c>
      <c r="T38" t="str">
        <f>TRIM(IF(MID(TRIM(Transportes!H38),1,FIND("-",TRIM(Transportes!H38),1)-2)="Acción humana","H","F"))</f>
        <v>F</v>
      </c>
      <c r="U38" s="53">
        <f>Transportes!G38</f>
        <v>30</v>
      </c>
      <c r="V38" s="3"/>
    </row>
    <row r="39" spans="4:29" ht="15.75" customHeight="1">
      <c r="F39" s="103" t="s">
        <v>78</v>
      </c>
      <c r="G39" s="105">
        <f>COUNTIFS(Eventos7[DPTO],"Tumbes",Eventos7[ESTADO],"Interrumpido",Eventos7[FENOMENO],"F")</f>
        <v>0</v>
      </c>
      <c r="H39" s="105">
        <f>COUNTIFS(Eventos7[DPTO],"Tumbes",Eventos7[ESTADO],"Restringido",Eventos7[FENOMENO],"F")</f>
        <v>5</v>
      </c>
      <c r="I39" s="105">
        <f>COUNTIFS(Eventos7[DPTO],"Tumbes",Eventos7[ESTADO],"Interrumpido",Eventos7[FENOMENO],"H")</f>
        <v>0</v>
      </c>
      <c r="J39" s="105">
        <f>COUNTIFS(Eventos7[DPTO],"Tumbes",Eventos7[ESTADO],"Restringido",Eventos7[FENOMENO],"H")</f>
        <v>0</v>
      </c>
      <c r="K39" s="105">
        <f t="shared" si="1"/>
        <v>5</v>
      </c>
      <c r="M39" s="103" t="s">
        <v>78</v>
      </c>
      <c r="N39" s="112">
        <f>SUMIFS(Eventos7[METRAJE],Eventos7[DPTO],"Tumbes",Eventos7[ESTADO],"Interrumpido",Eventos7[FENOMENO],"F")</f>
        <v>0</v>
      </c>
      <c r="O39" s="112">
        <f>SUMIFS(Eventos7[METRAJE],Eventos7[DPTO],"Tumbes",Eventos7[ESTADO],"Restringido",Eventos7[FENOMENO],"F")</f>
        <v>479</v>
      </c>
      <c r="P39" s="112">
        <f t="shared" si="0"/>
        <v>479</v>
      </c>
      <c r="Q39" s="3"/>
      <c r="R39" t="str">
        <f>TRIM(MID(TRIM(Transportes!D39),1,FIND(CHAR(10),TRIM(Transportes!D39),1)-1))</f>
        <v>Piura</v>
      </c>
      <c r="S39" t="str">
        <f>TRIM(IF(Transportes!F39="TRÁNSITO INTERRUMPIDO","Interrumpido",IF(Transportes!F39="TRÁNSITO RESTRINGIDO","Restringido","Normal")))</f>
        <v>Restringido</v>
      </c>
      <c r="T39" t="str">
        <f>TRIM(IF(MID(TRIM(Transportes!H39),1,FIND("-",TRIM(Transportes!H39),1)-2)="Acción humana","H","F"))</f>
        <v>F</v>
      </c>
      <c r="U39" s="53" t="str">
        <f>Transportes!G39</f>
        <v>-</v>
      </c>
      <c r="V39" s="3"/>
    </row>
    <row r="40" spans="4:29" ht="15.75" customHeight="1">
      <c r="F40" s="103" t="s">
        <v>79</v>
      </c>
      <c r="G40" s="105">
        <f>COUNTIFS(Eventos7[DPTO],"Ucayali",Eventos7[ESTADO],"Interrumpido",Eventos7[FENOMENO],"F")</f>
        <v>0</v>
      </c>
      <c r="H40" s="105">
        <f>COUNTIFS(Eventos7[DPTO],"Ucayali",Eventos7[ESTADO],"Restringido",Eventos7[FENOMENO],"F")</f>
        <v>4</v>
      </c>
      <c r="I40" s="105">
        <f>COUNTIFS(Eventos7[DPTO],"Ucayali",Eventos7[ESTADO],"Interrumpido",Eventos7[FENOMENO],"H")</f>
        <v>0</v>
      </c>
      <c r="J40" s="105">
        <f>COUNTIFS(Eventos7[DPTO],"Ucayali",Eventos7[ESTADO],"Restringido",Eventos7[FENOMENO],"H")</f>
        <v>0</v>
      </c>
      <c r="K40" s="105">
        <f t="shared" si="1"/>
        <v>4</v>
      </c>
      <c r="M40" s="103" t="s">
        <v>79</v>
      </c>
      <c r="N40" s="112">
        <f>SUMIFS(Eventos7[METRAJE],Eventos7[DPTO],"Ucayali",Eventos7[ESTADO],"Interrumpido",Eventos7[FENOMENO],"F")</f>
        <v>0</v>
      </c>
      <c r="O40" s="112">
        <f>SUMIFS(Eventos7[METRAJE],Eventos7[DPTO],"Ucayali",Eventos7[ESTADO],"Restringido",Eventos7[FENOMENO],"F")</f>
        <v>505</v>
      </c>
      <c r="P40" s="112">
        <f t="shared" si="0"/>
        <v>505</v>
      </c>
      <c r="Q40" s="3"/>
      <c r="R40" t="str">
        <f>TRIM(MID(TRIM(Transportes!D40),1,FIND(CHAR(10),TRIM(Transportes!D40),1)-1))</f>
        <v>San Martín</v>
      </c>
      <c r="S40" t="str">
        <f>TRIM(IF(Transportes!F40="TRÁNSITO INTERRUMPIDO","Interrumpido",IF(Transportes!F40="TRÁNSITO RESTRINGIDO","Restringido","Normal")))</f>
        <v>Restringido</v>
      </c>
      <c r="T40" t="str">
        <f>TRIM(IF(MID(TRIM(Transportes!H40),1,FIND("-",TRIM(Transportes!H40),1)-2)="Acción humana","H","F"))</f>
        <v>F</v>
      </c>
      <c r="U40" s="53">
        <f>Transportes!G40</f>
        <v>170</v>
      </c>
      <c r="V40" s="3"/>
    </row>
    <row r="41" spans="4:29" ht="15.75" customHeight="1">
      <c r="F41" s="107" t="s">
        <v>51</v>
      </c>
      <c r="G41" s="108">
        <f>SUM(G17:G40)</f>
        <v>4</v>
      </c>
      <c r="H41" s="108">
        <f>SUM(H17:H40)</f>
        <v>123</v>
      </c>
      <c r="I41" s="108">
        <f>SUM(I17:I40)</f>
        <v>0</v>
      </c>
      <c r="J41" s="108">
        <f>SUM(J17:J40)</f>
        <v>5</v>
      </c>
      <c r="K41" s="106">
        <f>SUM(K17:K40)</f>
        <v>132</v>
      </c>
      <c r="M41" s="107" t="s">
        <v>51</v>
      </c>
      <c r="N41" s="113">
        <f>SUM(N17:N40)</f>
        <v>146</v>
      </c>
      <c r="O41" s="113">
        <f>SUM(O17:O40)</f>
        <v>8546</v>
      </c>
      <c r="P41" s="114">
        <f>SUM(P17:P40)</f>
        <v>8692</v>
      </c>
      <c r="Q41" s="3"/>
      <c r="R41" t="str">
        <f>TRIM(MID(TRIM(Transportes!D41),1,FIND(CHAR(10),TRIM(Transportes!D41),1)-1))</f>
        <v>Áncash</v>
      </c>
      <c r="S41" t="str">
        <f>TRIM(IF(Transportes!F41="TRÁNSITO INTERRUMPIDO","Interrumpido",IF(Transportes!F41="TRÁNSITO RESTRINGIDO","Restringido","Normal")))</f>
        <v>Restringido</v>
      </c>
      <c r="T41" t="str">
        <f>TRIM(IF(MID(TRIM(Transportes!H41),1,FIND("-",TRIM(Transportes!H41),1)-2)="Acción humana","H","F"))</f>
        <v>F</v>
      </c>
      <c r="U41" s="53">
        <f>Transportes!G41</f>
        <v>100</v>
      </c>
      <c r="V41" s="3"/>
    </row>
    <row r="42" spans="4:29" ht="15.75" customHeight="1">
      <c r="Q42" s="3"/>
      <c r="R42" t="str">
        <f>TRIM(MID(TRIM(Transportes!D42),1,FIND(CHAR(10),TRIM(Transportes!D42),1)-1))</f>
        <v>Cajamarca</v>
      </c>
      <c r="S42" t="str">
        <f>TRIM(IF(Transportes!F42="TRÁNSITO INTERRUMPIDO","Interrumpido",IF(Transportes!F42="TRÁNSITO RESTRINGIDO","Restringido","Normal")))</f>
        <v>Restringido</v>
      </c>
      <c r="T42" t="str">
        <f>TRIM(IF(MID(TRIM(Transportes!H42),1,FIND("-",TRIM(Transportes!H42),1)-2)="Acción humana","H","F"))</f>
        <v>F</v>
      </c>
      <c r="U42" s="53">
        <f>Transportes!G42</f>
        <v>15</v>
      </c>
      <c r="V42" s="3"/>
    </row>
    <row r="43" spans="4:29" ht="15.75" customHeight="1">
      <c r="D43" t="s">
        <v>0</v>
      </c>
      <c r="M43" s="312" t="s">
        <v>91</v>
      </c>
      <c r="N43" s="312"/>
      <c r="O43" s="312"/>
      <c r="P43" s="312"/>
      <c r="Q43" s="3"/>
      <c r="R43" t="str">
        <f>TRIM(MID(TRIM(Transportes!D43),1,FIND(CHAR(10),TRIM(Transportes!D43),1)-1))</f>
        <v>Puno</v>
      </c>
      <c r="S43" t="str">
        <f>TRIM(IF(Transportes!F43="TRÁNSITO INTERRUMPIDO","Interrumpido",IF(Transportes!F43="TRÁNSITO RESTRINGIDO","Restringido","Normal")))</f>
        <v>Restringido</v>
      </c>
      <c r="T43" t="str">
        <f>TRIM(IF(MID(TRIM(Transportes!H43),1,FIND("-",TRIM(Transportes!H43),1)-2)="Acción humana","H","F"))</f>
        <v>F</v>
      </c>
      <c r="U43" s="53">
        <f>Transportes!G43</f>
        <v>30</v>
      </c>
      <c r="V43" s="3"/>
    </row>
    <row r="44" spans="4:29" ht="15.75" customHeight="1">
      <c r="M44" s="123" t="s">
        <v>88</v>
      </c>
      <c r="N44" s="123" t="s">
        <v>89</v>
      </c>
      <c r="O44" s="123" t="s">
        <v>90</v>
      </c>
      <c r="P44" s="123" t="s">
        <v>14</v>
      </c>
      <c r="Q44" s="3"/>
      <c r="R44" t="str">
        <f>TRIM(MID(TRIM(Transportes!D44),1,FIND(CHAR(10),TRIM(Transportes!D44),1)-1))</f>
        <v>Piura</v>
      </c>
      <c r="S44" t="str">
        <f>TRIM(IF(Transportes!F44="TRÁNSITO INTERRUMPIDO","Interrumpido",IF(Transportes!F44="TRÁNSITO RESTRINGIDO","Restringido","Normal")))</f>
        <v>Restringido</v>
      </c>
      <c r="T44" t="str">
        <f>TRIM(IF(MID(TRIM(Transportes!H44),1,FIND("-",TRIM(Transportes!H44),1)-2)="Acción humana","H","F"))</f>
        <v>F</v>
      </c>
      <c r="U44" s="53">
        <f>Transportes!G44</f>
        <v>14</v>
      </c>
      <c r="V44" s="3"/>
    </row>
    <row r="45" spans="4:29" ht="15.75" customHeight="1">
      <c r="M45" s="256" t="s">
        <v>544</v>
      </c>
      <c r="N45" s="256" t="s">
        <v>545</v>
      </c>
      <c r="O45" s="255" t="s">
        <v>546</v>
      </c>
      <c r="P45" s="255" t="s">
        <v>547</v>
      </c>
      <c r="Q45" s="3"/>
      <c r="R45" t="str">
        <f>TRIM(MID(TRIM(Transportes!D45),1,FIND(CHAR(10),TRIM(Transportes!D45),1)-1))</f>
        <v>Lima</v>
      </c>
      <c r="S45" t="str">
        <f>TRIM(IF(Transportes!F45="TRÁNSITO INTERRUMPIDO","Interrumpido",IF(Transportes!F45="TRÁNSITO RESTRINGIDO","Restringido","Normal")))</f>
        <v>Restringido</v>
      </c>
      <c r="T45" t="str">
        <f>TRIM(IF(MID(TRIM(Transportes!H45),1,FIND("-",TRIM(Transportes!H45),1)-2)="Acción humana","H","F"))</f>
        <v>F</v>
      </c>
      <c r="U45" s="53">
        <f>Transportes!G45</f>
        <v>50</v>
      </c>
      <c r="V45" s="3"/>
    </row>
    <row r="46" spans="4:29" ht="15.75" customHeight="1">
      <c r="M46" s="213" t="s">
        <v>71</v>
      </c>
      <c r="N46" s="213" t="s">
        <v>515</v>
      </c>
      <c r="O46" s="240" t="s">
        <v>516</v>
      </c>
      <c r="P46" s="240" t="s">
        <v>517</v>
      </c>
      <c r="Q46" s="3"/>
      <c r="R46" t="str">
        <f>TRIM(MID(TRIM(Transportes!D46),1,FIND(CHAR(10),TRIM(Transportes!D46),1)-1))</f>
        <v>Amazonas</v>
      </c>
      <c r="S46" t="str">
        <f>TRIM(IF(Transportes!F46="TRÁNSITO INTERRUMPIDO","Interrumpido",IF(Transportes!F46="TRÁNSITO RESTRINGIDO","Restringido","Normal")))</f>
        <v>Restringido</v>
      </c>
      <c r="T46" t="str">
        <f>TRIM(IF(MID(TRIM(Transportes!H46),1,FIND("-",TRIM(Transportes!H46),1)-2)="Acción humana","H","F"))</f>
        <v>F</v>
      </c>
      <c r="U46" s="53">
        <f>Transportes!G46</f>
        <v>13</v>
      </c>
      <c r="V46" s="3"/>
    </row>
    <row r="47" spans="4:29" ht="15.75" customHeight="1">
      <c r="M47" s="221" t="s">
        <v>65</v>
      </c>
      <c r="N47" s="221" t="s">
        <v>471</v>
      </c>
      <c r="O47" s="222" t="s">
        <v>472</v>
      </c>
      <c r="P47" s="222" t="s">
        <v>473</v>
      </c>
      <c r="Q47" s="3"/>
      <c r="R47" t="str">
        <f>TRIM(MID(TRIM(Transportes!D47),1,FIND(CHAR(10),TRIM(Transportes!D47),1)-1))</f>
        <v>Pasco</v>
      </c>
      <c r="S47" t="str">
        <f>TRIM(IF(Transportes!F47="TRÁNSITO INTERRUMPIDO","Interrumpido",IF(Transportes!F47="TRÁNSITO RESTRINGIDO","Restringido","Normal")))</f>
        <v>Restringido</v>
      </c>
      <c r="T47" t="str">
        <f>TRIM(IF(MID(TRIM(Transportes!H47),1,FIND("-",TRIM(Transportes!H47),1)-2)="Acción humana","H","F"))</f>
        <v>F</v>
      </c>
      <c r="U47" s="53" t="str">
        <f>Transportes!G47</f>
        <v>-</v>
      </c>
      <c r="V47" s="3"/>
    </row>
    <row r="48" spans="4:29" ht="15.75" customHeight="1">
      <c r="M48" s="260" t="s">
        <v>64</v>
      </c>
      <c r="N48" s="260" t="s">
        <v>563</v>
      </c>
      <c r="O48" s="261" t="s">
        <v>564</v>
      </c>
      <c r="P48" s="271" t="s">
        <v>586</v>
      </c>
      <c r="Q48" s="3"/>
      <c r="R48" t="str">
        <f>TRIM(MID(TRIM(Transportes!D48),1,FIND(CHAR(10),TRIM(Transportes!D48),1)-1))</f>
        <v>Ayacucho</v>
      </c>
      <c r="S48" t="str">
        <f>TRIM(IF(Transportes!F48="TRÁNSITO INTERRUMPIDO","Interrumpido",IF(Transportes!F48="TRÁNSITO RESTRINGIDO","Restringido","Normal")))</f>
        <v>Restringido</v>
      </c>
      <c r="T48" t="str">
        <f>TRIM(IF(MID(TRIM(Transportes!H48),1,FIND("-",TRIM(Transportes!H48),1)-2)="Acción humana","H","F"))</f>
        <v>F</v>
      </c>
      <c r="U48" s="53">
        <f>Transportes!G48</f>
        <v>15</v>
      </c>
      <c r="V48" s="3"/>
    </row>
    <row r="49" spans="7:22" ht="15.75" customHeight="1">
      <c r="M49" s="213" t="s">
        <v>288</v>
      </c>
      <c r="N49" s="213" t="s">
        <v>439</v>
      </c>
      <c r="O49" s="215" t="s">
        <v>349</v>
      </c>
      <c r="P49" s="215" t="s">
        <v>440</v>
      </c>
      <c r="Q49" s="3"/>
      <c r="R49" t="str">
        <f>TRIM(MID(TRIM(Transportes!D49),1,FIND(CHAR(10),TRIM(Transportes!D49),1)-1))</f>
        <v>Áncash</v>
      </c>
      <c r="S49" t="str">
        <f>TRIM(IF(Transportes!F49="TRÁNSITO INTERRUMPIDO","Interrumpido",IF(Transportes!F49="TRÁNSITO RESTRINGIDO","Restringido","Normal")))</f>
        <v>Restringido</v>
      </c>
      <c r="T49" t="str">
        <f>TRIM(IF(MID(TRIM(Transportes!H49),1,FIND("-",TRIM(Transportes!H49),1)-2)="Acción humana","H","F"))</f>
        <v>F</v>
      </c>
      <c r="U49" s="53">
        <f>Transportes!G49</f>
        <v>40</v>
      </c>
      <c r="V49" s="3"/>
    </row>
    <row r="50" spans="7:22" ht="15.75" customHeight="1">
      <c r="M50" s="213" t="s">
        <v>70</v>
      </c>
      <c r="N50" s="213" t="s">
        <v>433</v>
      </c>
      <c r="O50" s="216" t="s">
        <v>432</v>
      </c>
      <c r="P50" s="216" t="s">
        <v>434</v>
      </c>
      <c r="Q50" s="3"/>
      <c r="R50" t="str">
        <f>TRIM(MID(TRIM(Transportes!D50),1,FIND(CHAR(10),TRIM(Transportes!D50),1)-1))</f>
        <v>Pasco</v>
      </c>
      <c r="S50" t="str">
        <f>TRIM(IF(Transportes!F50="TRÁNSITO INTERRUMPIDO","Interrumpido",IF(Transportes!F50="TRÁNSITO RESTRINGIDO","Restringido","Normal")))</f>
        <v>Restringido</v>
      </c>
      <c r="T50" t="str">
        <f>TRIM(IF(MID(TRIM(Transportes!H50),1,FIND("-",TRIM(Transportes!H50),1)-2)="Acción humana","H","F"))</f>
        <v>F</v>
      </c>
      <c r="U50" s="53">
        <f>Transportes!G50</f>
        <v>50</v>
      </c>
      <c r="V50" s="3"/>
    </row>
    <row r="51" spans="7:22" ht="15.75" customHeight="1">
      <c r="M51" s="264" t="s">
        <v>288</v>
      </c>
      <c r="N51" s="213" t="s">
        <v>582</v>
      </c>
      <c r="O51" s="263" t="s">
        <v>583</v>
      </c>
      <c r="P51" s="217" t="s">
        <v>392</v>
      </c>
      <c r="Q51" s="3"/>
      <c r="R51" t="str">
        <f>TRIM(MID(TRIM(Transportes!D51),1,FIND(CHAR(10),TRIM(Transportes!D51),1)-1))</f>
        <v>Tacna</v>
      </c>
      <c r="S51" t="str">
        <f>TRIM(IF(Transportes!F51="TRÁNSITO INTERRUMPIDO","Interrumpido",IF(Transportes!F51="TRÁNSITO RESTRINGIDO","Restringido","Normal")))</f>
        <v>Restringido</v>
      </c>
      <c r="T51" t="str">
        <f>TRIM(IF(MID(TRIM(Transportes!H51),1,FIND("-",TRIM(Transportes!H51),1)-2)="Acción humana","H","F"))</f>
        <v>F</v>
      </c>
      <c r="U51" s="53">
        <f>Transportes!G51</f>
        <v>20</v>
      </c>
      <c r="V51" s="3"/>
    </row>
    <row r="52" spans="7:22" ht="15.75" customHeight="1">
      <c r="M52" s="264" t="s">
        <v>288</v>
      </c>
      <c r="N52" s="213" t="s">
        <v>397</v>
      </c>
      <c r="O52" s="219" t="s">
        <v>396</v>
      </c>
      <c r="P52" s="220" t="s">
        <v>376</v>
      </c>
      <c r="Q52" s="3"/>
      <c r="R52" t="str">
        <f>TRIM(MID(TRIM(Transportes!D52),1,FIND(CHAR(10),TRIM(Transportes!D52),1)-1))</f>
        <v>Cusco</v>
      </c>
      <c r="S52" t="str">
        <f>TRIM(IF(Transportes!F52="TRÁNSITO INTERRUMPIDO","Interrumpido",IF(Transportes!F52="TRÁNSITO RESTRINGIDO","Restringido","Normal")))</f>
        <v>Restringido</v>
      </c>
      <c r="T52" t="str">
        <f>TRIM(IF(MID(TRIM(Transportes!H52),1,FIND("-",TRIM(Transportes!H52),1)-2)="Acción humana","H","F"))</f>
        <v>F</v>
      </c>
      <c r="U52" s="53">
        <f>Transportes!G52</f>
        <v>50</v>
      </c>
      <c r="V52" s="3"/>
    </row>
    <row r="53" spans="7:22" ht="15.75" customHeight="1">
      <c r="M53" s="265" t="s">
        <v>43</v>
      </c>
      <c r="N53" s="213" t="s">
        <v>377</v>
      </c>
      <c r="O53" s="220" t="s">
        <v>378</v>
      </c>
      <c r="P53" s="220" t="s">
        <v>376</v>
      </c>
      <c r="Q53" s="3"/>
      <c r="R53" t="str">
        <f>TRIM(MID(TRIM(Transportes!D53),1,FIND(CHAR(10),TRIM(Transportes!D53),1)-1))</f>
        <v>Ica</v>
      </c>
      <c r="S53" t="str">
        <f>TRIM(IF(Transportes!F53="TRÁNSITO INTERRUMPIDO","Interrumpido",IF(Transportes!F53="TRÁNSITO RESTRINGIDO","Restringido","Normal")))</f>
        <v>Restringido</v>
      </c>
      <c r="T53" t="str">
        <f>TRIM(IF(MID(TRIM(Transportes!H53),1,FIND("-",TRIM(Transportes!H53),1)-2)="Acción humana","H","F"))</f>
        <v>F</v>
      </c>
      <c r="U53" s="53">
        <f>Transportes!G53</f>
        <v>15</v>
      </c>
      <c r="V53" s="3"/>
    </row>
    <row r="54" spans="7:22" ht="15.75" customHeight="1">
      <c r="M54" s="264" t="s">
        <v>348</v>
      </c>
      <c r="N54" s="218" t="s">
        <v>347</v>
      </c>
      <c r="O54" s="223" t="s">
        <v>92</v>
      </c>
      <c r="P54" s="223" t="s">
        <v>346</v>
      </c>
      <c r="Q54" s="3"/>
      <c r="R54" t="str">
        <f>TRIM(MID(TRIM(Transportes!D54),1,FIND(CHAR(10),TRIM(Transportes!D54),1)-1))</f>
        <v>San Martín</v>
      </c>
      <c r="S54" t="str">
        <f>TRIM(IF(Transportes!F54="TRÁNSITO INTERRUMPIDO","Interrumpido",IF(Transportes!F54="TRÁNSITO RESTRINGIDO","Restringido","Normal")))</f>
        <v>Restringido</v>
      </c>
      <c r="T54" t="str">
        <f>TRIM(IF(MID(TRIM(Transportes!H54),1,FIND("-",TRIM(Transportes!H54),1)-2)="Acción humana","H","F"))</f>
        <v>F</v>
      </c>
      <c r="U54" s="53">
        <f>Transportes!G54</f>
        <v>100</v>
      </c>
      <c r="V54" s="3"/>
    </row>
    <row r="55" spans="7:22" ht="15.75" customHeight="1">
      <c r="M55" s="264" t="s">
        <v>288</v>
      </c>
      <c r="N55" s="218" t="s">
        <v>317</v>
      </c>
      <c r="O55" s="224" t="s">
        <v>353</v>
      </c>
      <c r="P55" s="225" t="s">
        <v>318</v>
      </c>
      <c r="Q55" s="3"/>
      <c r="R55" t="str">
        <f>TRIM(MID(TRIM(Transportes!D55),1,FIND(CHAR(10),TRIM(Transportes!D55),1)-1))</f>
        <v>Cajamarca</v>
      </c>
      <c r="S55" t="str">
        <f>TRIM(IF(Transportes!F55="TRÁNSITO INTERRUMPIDO","Interrumpido",IF(Transportes!F55="TRÁNSITO RESTRINGIDO","Restringido","Normal")))</f>
        <v>Restringido</v>
      </c>
      <c r="T55" t="str">
        <f>TRIM(IF(MID(TRIM(Transportes!H55),1,FIND("-",TRIM(Transportes!H55),1)-2)="Acción humana","H","F"))</f>
        <v>F</v>
      </c>
      <c r="U55" s="53">
        <f>Transportes!G55</f>
        <v>30</v>
      </c>
      <c r="V55" s="3"/>
    </row>
    <row r="56" spans="7:22" ht="15.75" customHeight="1">
      <c r="M56" s="266" t="s">
        <v>43</v>
      </c>
      <c r="N56" s="218" t="s">
        <v>312</v>
      </c>
      <c r="O56" s="226" t="s">
        <v>311</v>
      </c>
      <c r="P56" s="227" t="s">
        <v>289</v>
      </c>
      <c r="Q56" s="3"/>
      <c r="R56" t="str">
        <f>TRIM(MID(TRIM(Transportes!D56),1,FIND(CHAR(10),TRIM(Transportes!D56),1)-1))</f>
        <v>Ucayali</v>
      </c>
      <c r="S56" t="str">
        <f>TRIM(IF(Transportes!F56="TRÁNSITO INTERRUMPIDO","Interrumpido",IF(Transportes!F56="TRÁNSITO RESTRINGIDO","Restringido","Normal")))</f>
        <v>Restringido</v>
      </c>
      <c r="T56" t="str">
        <f>TRIM(IF(MID(TRIM(Transportes!H56),1,FIND("-",TRIM(Transportes!H56),1)-2)="Acción humana","H","F"))</f>
        <v>F</v>
      </c>
      <c r="U56" s="53" t="str">
        <f>Transportes!G56</f>
        <v>-</v>
      </c>
      <c r="V56" s="3"/>
    </row>
    <row r="57" spans="7:22" ht="15.75" customHeight="1">
      <c r="M57" s="267" t="s">
        <v>76</v>
      </c>
      <c r="N57" s="228" t="s">
        <v>259</v>
      </c>
      <c r="O57" s="229" t="s">
        <v>92</v>
      </c>
      <c r="P57" s="229" t="s">
        <v>261</v>
      </c>
      <c r="Q57" s="3"/>
      <c r="R57" t="str">
        <f>TRIM(MID(TRIM(Transportes!D57),1,FIND(CHAR(10),TRIM(Transportes!D57),1)-1))</f>
        <v>Pasco</v>
      </c>
      <c r="S57" t="str">
        <f>TRIM(IF(Transportes!F57="TRÁNSITO INTERRUMPIDO","Interrumpido",IF(Transportes!F57="TRÁNSITO RESTRINGIDO","Restringido","Normal")))</f>
        <v>Restringido</v>
      </c>
      <c r="T57" t="str">
        <f>TRIM(IF(MID(TRIM(Transportes!H57),1,FIND("-",TRIM(Transportes!H57),1)-2)="Acción humana","H","F"))</f>
        <v>F</v>
      </c>
      <c r="U57" s="53">
        <f>Transportes!G57</f>
        <v>50</v>
      </c>
      <c r="V57" s="3"/>
    </row>
    <row r="58" spans="7:22" ht="15.75" customHeight="1">
      <c r="M58" s="267" t="s">
        <v>65</v>
      </c>
      <c r="N58" s="228" t="s">
        <v>250</v>
      </c>
      <c r="O58" s="230" t="s">
        <v>92</v>
      </c>
      <c r="P58" s="229" t="s">
        <v>228</v>
      </c>
      <c r="Q58" s="3"/>
      <c r="R58" t="str">
        <f>TRIM(MID(TRIM(Transportes!D58),1,FIND(CHAR(10),TRIM(Transportes!D58),1)-1))</f>
        <v>Cajamarca</v>
      </c>
      <c r="S58" t="str">
        <f>TRIM(IF(Transportes!F58="TRÁNSITO INTERRUMPIDO","Interrumpido",IF(Transportes!F58="TRÁNSITO RESTRINGIDO","Restringido","Normal")))</f>
        <v>Restringido</v>
      </c>
      <c r="T58" t="str">
        <f>TRIM(IF(MID(TRIM(Transportes!H58),1,FIND("-",TRIM(Transportes!H58),1)-2)="Acción humana","H","F"))</f>
        <v>F</v>
      </c>
      <c r="U58" s="53">
        <f>Transportes!G58</f>
        <v>20</v>
      </c>
      <c r="V58" s="3"/>
    </row>
    <row r="59" spans="7:22" ht="15.75" customHeight="1">
      <c r="M59" s="268" t="s">
        <v>78</v>
      </c>
      <c r="N59" s="228" t="s">
        <v>223</v>
      </c>
      <c r="O59" s="231" t="s">
        <v>161</v>
      </c>
      <c r="P59" s="231" t="s">
        <v>219</v>
      </c>
      <c r="Q59" s="3"/>
      <c r="R59" t="str">
        <f>TRIM(MID(TRIM(Transportes!D59),1,FIND(CHAR(10),TRIM(Transportes!D59),1)-1))</f>
        <v>Cusco</v>
      </c>
      <c r="S59" t="str">
        <f>TRIM(IF(Transportes!F59="TRÁNSITO INTERRUMPIDO","Interrumpido",IF(Transportes!F59="TRÁNSITO RESTRINGIDO","Restringido","Normal")))</f>
        <v>Restringido</v>
      </c>
      <c r="T59" t="str">
        <f>TRIM(IF(MID(TRIM(Transportes!H59),1,FIND("-",TRIM(Transportes!H59),1)-2)="Acción humana","H","F"))</f>
        <v>F</v>
      </c>
      <c r="U59" s="53" t="str">
        <f>Transportes!G59</f>
        <v>-</v>
      </c>
      <c r="V59" s="3"/>
    </row>
    <row r="60" spans="7:22" ht="15.75" customHeight="1">
      <c r="M60" s="267" t="s">
        <v>75</v>
      </c>
      <c r="N60" s="228" t="s">
        <v>218</v>
      </c>
      <c r="O60" s="229" t="s">
        <v>185</v>
      </c>
      <c r="P60" s="229" t="s">
        <v>219</v>
      </c>
      <c r="Q60" s="3"/>
      <c r="R60" t="str">
        <f>TRIM(MID(TRIM(Transportes!D60),1,FIND(CHAR(10),TRIM(Transportes!D60),1)-1))</f>
        <v>Cusco</v>
      </c>
      <c r="S60" t="str">
        <f>TRIM(IF(Transportes!F60="TRÁNSITO INTERRUMPIDO","Interrumpido",IF(Transportes!F60="TRÁNSITO RESTRINGIDO","Restringido","Normal")))</f>
        <v>Restringido</v>
      </c>
      <c r="T60" t="str">
        <f>TRIM(IF(MID(TRIM(Transportes!H60),1,FIND("-",TRIM(Transportes!H60),1)-2)="Acción humana","H","F"))</f>
        <v>F</v>
      </c>
      <c r="U60" s="53" t="str">
        <f>Transportes!G60</f>
        <v>-</v>
      </c>
      <c r="V60" s="3"/>
    </row>
    <row r="61" spans="7:22" ht="15.75" customHeight="1">
      <c r="M61" s="268" t="s">
        <v>41</v>
      </c>
      <c r="N61" s="228" t="s">
        <v>334</v>
      </c>
      <c r="O61" s="232" t="s">
        <v>209</v>
      </c>
      <c r="P61" s="231" t="s">
        <v>207</v>
      </c>
      <c r="Q61" s="3"/>
      <c r="R61" t="str">
        <f>TRIM(MID(TRIM(Transportes!D61),1,FIND(CHAR(10),TRIM(Transportes!D61),1)-1))</f>
        <v>Ayacucho</v>
      </c>
      <c r="S61" t="str">
        <f>TRIM(IF(Transportes!F61="TRÁNSITO INTERRUMPIDO","Interrumpido",IF(Transportes!F61="TRÁNSITO RESTRINGIDO","Restringido","Normal")))</f>
        <v>Restringido</v>
      </c>
      <c r="T61" t="str">
        <f>TRIM(IF(MID(TRIM(Transportes!H61),1,FIND("-",TRIM(Transportes!H61),1)-2)="Acción humana","H","F"))</f>
        <v>F</v>
      </c>
      <c r="U61" s="53">
        <f>Transportes!G61</f>
        <v>15</v>
      </c>
      <c r="V61" s="3"/>
    </row>
    <row r="62" spans="7:22" ht="15.75" customHeight="1">
      <c r="M62" s="269" t="s">
        <v>71</v>
      </c>
      <c r="N62" s="228" t="s">
        <v>202</v>
      </c>
      <c r="O62" s="231" t="s">
        <v>161</v>
      </c>
      <c r="P62" s="231" t="s">
        <v>208</v>
      </c>
      <c r="Q62" s="3"/>
      <c r="R62" t="str">
        <f>TRIM(MID(TRIM(Transportes!D62),1,FIND(CHAR(10),TRIM(Transportes!D62),1)-1))</f>
        <v>Arequipa</v>
      </c>
      <c r="S62" t="str">
        <f>TRIM(IF(Transportes!F62="TRÁNSITO INTERRUMPIDO","Interrumpido",IF(Transportes!F62="TRÁNSITO RESTRINGIDO","Restringido","Normal")))</f>
        <v>Restringido</v>
      </c>
      <c r="T62" t="str">
        <f>TRIM(IF(MID(TRIM(Transportes!H62),1,FIND("-",TRIM(Transportes!H62),1)-2)="Acción humana","H","F"))</f>
        <v>F</v>
      </c>
      <c r="U62" s="53" t="str">
        <f>Transportes!G62</f>
        <v>-</v>
      </c>
      <c r="V62" s="3"/>
    </row>
    <row r="63" spans="7:22" ht="15.75" customHeight="1">
      <c r="G63"/>
      <c r="M63" s="266" t="s">
        <v>43</v>
      </c>
      <c r="N63" s="233" t="s">
        <v>492</v>
      </c>
      <c r="O63" s="214" t="s">
        <v>493</v>
      </c>
      <c r="P63" s="214" t="s">
        <v>190</v>
      </c>
      <c r="R63" t="str">
        <f>TRIM(MID(TRIM(Transportes!D63),1,FIND(CHAR(10),TRIM(Transportes!D63),1)-1))</f>
        <v>Cusco</v>
      </c>
      <c r="S63" t="str">
        <f>TRIM(IF(Transportes!F63="TRÁNSITO INTERRUMPIDO","Interrumpido",IF(Transportes!F63="TRÁNSITO RESTRINGIDO","Restringido","Normal")))</f>
        <v>Restringido</v>
      </c>
      <c r="T63" t="str">
        <f>TRIM(IF(MID(TRIM(Transportes!H63),1,FIND("-",TRIM(Transportes!H63),1)-2)="Acción humana","H","F"))</f>
        <v>F</v>
      </c>
      <c r="U63" s="53">
        <f>Transportes!G63</f>
        <v>250</v>
      </c>
    </row>
    <row r="64" spans="7:22" ht="15.75" customHeight="1">
      <c r="G64"/>
      <c r="M64" s="270" t="s">
        <v>78</v>
      </c>
      <c r="N64" s="218" t="s">
        <v>166</v>
      </c>
      <c r="O64" s="231" t="s">
        <v>161</v>
      </c>
      <c r="P64" s="231" t="s">
        <v>190</v>
      </c>
      <c r="R64" t="str">
        <f>TRIM(MID(TRIM(Transportes!D64),1,FIND(CHAR(10),TRIM(Transportes!D64),1)-1))</f>
        <v>Junín</v>
      </c>
      <c r="S64" t="str">
        <f>TRIM(IF(Transportes!F64="TRÁNSITO INTERRUMPIDO","Interrumpido",IF(Transportes!F64="TRÁNSITO RESTRINGIDO","Restringido","Normal")))</f>
        <v>Restringido</v>
      </c>
      <c r="T64" t="str">
        <f>TRIM(IF(MID(TRIM(Transportes!H64),1,FIND("-",TRIM(Transportes!H64),1)-2)="Acción humana","H","F"))</f>
        <v>F</v>
      </c>
      <c r="U64" s="53" t="str">
        <f>Transportes!G64</f>
        <v>-</v>
      </c>
    </row>
    <row r="65" spans="2:22" ht="15.75" customHeight="1">
      <c r="G65"/>
      <c r="M65" s="270" t="s">
        <v>65</v>
      </c>
      <c r="N65" s="218" t="s">
        <v>183</v>
      </c>
      <c r="O65" s="229" t="s">
        <v>180</v>
      </c>
      <c r="P65" s="229" t="s">
        <v>181</v>
      </c>
      <c r="R65" t="str">
        <f>TRIM(MID(TRIM(Transportes!D65),1,FIND(CHAR(10),TRIM(Transportes!D65),1)-1))</f>
        <v>San Martín</v>
      </c>
      <c r="S65" t="str">
        <f>TRIM(IF(Transportes!F65="TRÁNSITO INTERRUMPIDO","Interrumpido",IF(Transportes!F65="TRÁNSITO RESTRINGIDO","Restringido","Normal")))</f>
        <v>Restringido</v>
      </c>
      <c r="T65" t="str">
        <f>TRIM(IF(MID(TRIM(Transportes!H65),1,FIND("-",TRIM(Transportes!H65),1)-2)="Acción humana","H","F"))</f>
        <v>F</v>
      </c>
      <c r="U65" s="53">
        <f>Transportes!G65</f>
        <v>600</v>
      </c>
    </row>
    <row r="66" spans="2:22" ht="15.75" customHeight="1">
      <c r="G66"/>
      <c r="M66" s="270" t="s">
        <v>40</v>
      </c>
      <c r="N66" s="218" t="s">
        <v>164</v>
      </c>
      <c r="O66" s="232" t="s">
        <v>161</v>
      </c>
      <c r="P66" s="231" t="s">
        <v>162</v>
      </c>
      <c r="R66" t="str">
        <f>TRIM(MID(TRIM(Transportes!D66),1,FIND(CHAR(10),TRIM(Transportes!D66),1)-1))</f>
        <v>Cajamarca</v>
      </c>
      <c r="S66" t="str">
        <f>TRIM(IF(Transportes!F66="TRÁNSITO INTERRUMPIDO","Interrumpido",IF(Transportes!F66="TRÁNSITO RESTRINGIDO","Restringido","Normal")))</f>
        <v>Restringido</v>
      </c>
      <c r="T66" t="str">
        <f>TRIM(IF(MID(TRIM(Transportes!H66),1,FIND("-",TRIM(Transportes!H66),1)-2)="Acción humana","H","F"))</f>
        <v>F</v>
      </c>
      <c r="U66" s="53">
        <f>Transportes!G66</f>
        <v>50</v>
      </c>
    </row>
    <row r="67" spans="2:22" ht="15.75" customHeight="1">
      <c r="G67"/>
      <c r="M67" s="270" t="s">
        <v>78</v>
      </c>
      <c r="N67" s="218" t="s">
        <v>165</v>
      </c>
      <c r="O67" s="234" t="s">
        <v>161</v>
      </c>
      <c r="P67" s="232" t="s">
        <v>162</v>
      </c>
      <c r="R67" t="str">
        <f>TRIM(MID(TRIM(Transportes!D67),1,FIND(CHAR(10),TRIM(Transportes!D67),1)-1))</f>
        <v>Áncash</v>
      </c>
      <c r="S67" t="str">
        <f>TRIM(IF(Transportes!F67="TRÁNSITO INTERRUMPIDO","Interrumpido",IF(Transportes!F67="TRÁNSITO RESTRINGIDO","Restringido","Normal")))</f>
        <v>Restringido</v>
      </c>
      <c r="T67" t="str">
        <f>TRIM(IF(MID(TRIM(Transportes!H67),1,FIND("-",TRIM(Transportes!H67),1)-2)="Acción humana","H","F"))</f>
        <v>F</v>
      </c>
      <c r="U67" s="53">
        <f>Transportes!G67</f>
        <v>15</v>
      </c>
    </row>
    <row r="68" spans="2:22" ht="15.75" customHeight="1">
      <c r="G68"/>
      <c r="M68" s="270" t="s">
        <v>79</v>
      </c>
      <c r="N68" s="218" t="s">
        <v>145</v>
      </c>
      <c r="O68" s="231" t="s">
        <v>92</v>
      </c>
      <c r="P68" s="231" t="s">
        <v>143</v>
      </c>
      <c r="R68" t="str">
        <f>TRIM(MID(TRIM(Transportes!D68),1,FIND(CHAR(10),TRIM(Transportes!D68),1)-1))</f>
        <v>Amazonas</v>
      </c>
      <c r="S68" t="str">
        <f>TRIM(IF(Transportes!F68="TRÁNSITO INTERRUMPIDO","Interrumpido",IF(Transportes!F68="TRÁNSITO RESTRINGIDO","Restringido","Normal")))</f>
        <v>Restringido</v>
      </c>
      <c r="T68" t="str">
        <f>TRIM(IF(MID(TRIM(Transportes!H68),1,FIND("-",TRIM(Transportes!H68),1)-2)="Acción humana","H","F"))</f>
        <v>F</v>
      </c>
      <c r="U68" s="53">
        <f>Transportes!G68</f>
        <v>16</v>
      </c>
    </row>
    <row r="69" spans="2:22" ht="15.75" customHeight="1">
      <c r="B69" s="190" t="s">
        <v>132</v>
      </c>
      <c r="G69"/>
      <c r="M69" s="270" t="s">
        <v>79</v>
      </c>
      <c r="N69" s="218" t="s">
        <v>93</v>
      </c>
      <c r="O69" s="229" t="s">
        <v>92</v>
      </c>
      <c r="P69" s="229" t="s">
        <v>118</v>
      </c>
      <c r="R69" t="str">
        <f>TRIM(MID(TRIM(Transportes!D69),1,FIND(CHAR(10),TRIM(Transportes!D69),1)-1))</f>
        <v>La Libertad</v>
      </c>
      <c r="S69" t="str">
        <f>TRIM(IF(Transportes!F69="TRÁNSITO INTERRUMPIDO","Interrumpido",IF(Transportes!F69="TRÁNSITO RESTRINGIDO","Restringido","Normal")))</f>
        <v>Restringido</v>
      </c>
      <c r="T69" t="str">
        <f>TRIM(IF(MID(TRIM(Transportes!H69),1,FIND("-",TRIM(Transportes!H69),1)-2)="Acción humana","H","F"))</f>
        <v>F</v>
      </c>
      <c r="U69" s="53">
        <f>Transportes!G69</f>
        <v>130</v>
      </c>
    </row>
    <row r="70" spans="2:22" ht="15.75" customHeight="1">
      <c r="G70"/>
      <c r="M70" s="270" t="s">
        <v>79</v>
      </c>
      <c r="N70" s="218" t="s">
        <v>94</v>
      </c>
      <c r="O70" s="231" t="s">
        <v>92</v>
      </c>
      <c r="P70" s="231" t="s">
        <v>118</v>
      </c>
      <c r="R70" t="str">
        <f>TRIM(MID(TRIM(Transportes!D70),1,FIND(CHAR(10),TRIM(Transportes!D70),1)-1))</f>
        <v>La Libertad</v>
      </c>
      <c r="S70" t="str">
        <f>TRIM(IF(Transportes!F70="TRÁNSITO INTERRUMPIDO","Interrumpido",IF(Transportes!F70="TRÁNSITO RESTRINGIDO","Restringido","Normal")))</f>
        <v>Restringido</v>
      </c>
      <c r="T70" t="str">
        <f>TRIM(IF(MID(TRIM(Transportes!H70),1,FIND("-",TRIM(Transportes!H70),1)-2)="Acción humana","H","F"))</f>
        <v>F</v>
      </c>
      <c r="U70" s="53">
        <f>Transportes!G70</f>
        <v>120</v>
      </c>
    </row>
    <row r="71" spans="2:22" ht="15.75" customHeight="1">
      <c r="G71"/>
      <c r="M71" s="266" t="s">
        <v>43</v>
      </c>
      <c r="N71" s="233" t="s">
        <v>494</v>
      </c>
      <c r="O71" s="214" t="s">
        <v>493</v>
      </c>
      <c r="P71" s="214" t="s">
        <v>495</v>
      </c>
      <c r="R71" t="str">
        <f>TRIM(MID(TRIM(Transportes!D71),1,FIND(CHAR(10),TRIM(Transportes!D71),1)-1))</f>
        <v>Áncash</v>
      </c>
      <c r="S71" t="str">
        <f>TRIM(IF(Transportes!F71="TRÁNSITO INTERRUMPIDO","Interrumpido",IF(Transportes!F71="TRÁNSITO RESTRINGIDO","Restringido","Normal")))</f>
        <v>Restringido</v>
      </c>
      <c r="T71" t="str">
        <f>TRIM(IF(MID(TRIM(Transportes!H71),1,FIND("-",TRIM(Transportes!H71),1)-2)="Acción humana","H","F"))</f>
        <v>F</v>
      </c>
      <c r="U71" s="53">
        <f>Transportes!G71</f>
        <v>45</v>
      </c>
    </row>
    <row r="72" spans="2:22" ht="15.75" customHeight="1">
      <c r="G72"/>
      <c r="R72" t="str">
        <f>TRIM(MID(TRIM(Transportes!D72),1,FIND(CHAR(10),TRIM(Transportes!D72),1)-1))</f>
        <v>Junín</v>
      </c>
      <c r="S72" t="str">
        <f>TRIM(IF(Transportes!F72="TRÁNSITO INTERRUMPIDO","Interrumpido",IF(Transportes!F72="TRÁNSITO RESTRINGIDO","Restringido","Normal")))</f>
        <v>Restringido</v>
      </c>
      <c r="T72" t="str">
        <f>TRIM(IF(MID(TRIM(Transportes!H72),1,FIND("-",TRIM(Transportes!H72),1)-2)="Acción humana","H","F"))</f>
        <v>F</v>
      </c>
      <c r="U72" s="53">
        <f>Transportes!G72</f>
        <v>150</v>
      </c>
    </row>
    <row r="73" spans="2:22" ht="15.75" customHeight="1">
      <c r="G73"/>
      <c r="R73" t="str">
        <f>TRIM(MID(TRIM(Transportes!D73),1,FIND(CHAR(10),TRIM(Transportes!D73),1)-1))</f>
        <v>Junín</v>
      </c>
      <c r="S73" t="str">
        <f>TRIM(IF(Transportes!F73="TRÁNSITO INTERRUMPIDO","Interrumpido",IF(Transportes!F73="TRÁNSITO RESTRINGIDO","Restringido","Normal")))</f>
        <v>Restringido</v>
      </c>
      <c r="T73" t="str">
        <f>TRIM(IF(MID(TRIM(Transportes!H73),1,FIND("-",TRIM(Transportes!H73),1)-2)="Acción humana","H","F"))</f>
        <v>F</v>
      </c>
      <c r="U73" s="53">
        <f>Transportes!G73</f>
        <v>80</v>
      </c>
    </row>
    <row r="74" spans="2:22" ht="13.5" customHeight="1">
      <c r="B74" s="63"/>
      <c r="G74"/>
      <c r="R74" t="str">
        <f>TRIM(MID(TRIM(Transportes!D74),1,FIND(CHAR(10),TRIM(Transportes!D74),1)-1))</f>
        <v>La Libertad</v>
      </c>
      <c r="S74" t="str">
        <f>TRIM(IF(Transportes!F74="TRÁNSITO INTERRUMPIDO","Interrumpido",IF(Transportes!F74="TRÁNSITO RESTRINGIDO","Restringido","Normal")))</f>
        <v>Restringido</v>
      </c>
      <c r="T74" t="str">
        <f>TRIM(IF(MID(TRIM(Transportes!H74),1,FIND("-",TRIM(Transportes!H74),1)-2)="Acción humana","H","F"))</f>
        <v>F</v>
      </c>
      <c r="U74" s="53">
        <f>Transportes!G74</f>
        <v>50</v>
      </c>
    </row>
    <row r="75" spans="2:22" ht="13.5" customHeight="1">
      <c r="G75"/>
      <c r="R75" t="str">
        <f>TRIM(MID(TRIM(Transportes!D75),1,FIND(CHAR(10),TRIM(Transportes!D75),1)-1))</f>
        <v>Ica</v>
      </c>
      <c r="S75" t="str">
        <f>TRIM(IF(Transportes!F75="TRÁNSITO INTERRUMPIDO","Interrumpido",IF(Transportes!F75="TRÁNSITO RESTRINGIDO","Restringido","Normal")))</f>
        <v>Restringido</v>
      </c>
      <c r="T75" t="str">
        <f>TRIM(IF(MID(TRIM(Transportes!H75),1,FIND("-",TRIM(Transportes!H75),1)-2)="Acción humana","H","F"))</f>
        <v>F</v>
      </c>
      <c r="U75" s="53">
        <f>Transportes!G75</f>
        <v>135</v>
      </c>
    </row>
    <row r="76" spans="2:22" ht="14.25" customHeight="1">
      <c r="Q76" s="3"/>
      <c r="R76" t="str">
        <f>TRIM(MID(TRIM(Transportes!D76),1,FIND(CHAR(10),TRIM(Transportes!D76),1)-1))</f>
        <v>Piura</v>
      </c>
      <c r="S76" t="str">
        <f>TRIM(IF(Transportes!F76="TRÁNSITO INTERRUMPIDO","Interrumpido",IF(Transportes!F76="TRÁNSITO RESTRINGIDO","Restringido","Normal")))</f>
        <v>Restringido</v>
      </c>
      <c r="T76" t="str">
        <f>TRIM(IF(MID(TRIM(Transportes!H76),1,FIND("-",TRIM(Transportes!H76),1)-2)="Acción humana","H","F"))</f>
        <v>F</v>
      </c>
      <c r="U76" s="53">
        <f>Transportes!G76</f>
        <v>30</v>
      </c>
      <c r="V76" s="3"/>
    </row>
    <row r="77" spans="2:22" ht="14.25" customHeight="1">
      <c r="Q77" s="3"/>
      <c r="R77" t="str">
        <f>TRIM(MID(TRIM(Transportes!D77),1,FIND(CHAR(10),TRIM(Transportes!D77),1)-1))</f>
        <v>Piura</v>
      </c>
      <c r="S77" t="str">
        <f>TRIM(IF(Transportes!F77="TRÁNSITO INTERRUMPIDO","Interrumpido",IF(Transportes!F77="TRÁNSITO RESTRINGIDO","Restringido","Normal")))</f>
        <v>Restringido</v>
      </c>
      <c r="T77" t="str">
        <f>TRIM(IF(MID(TRIM(Transportes!H77),1,FIND("-",TRIM(Transportes!H77),1)-2)="Acción humana","H","F"))</f>
        <v>F</v>
      </c>
      <c r="U77" s="53">
        <f>Transportes!G77</f>
        <v>100</v>
      </c>
      <c r="V77" s="3"/>
    </row>
    <row r="78" spans="2:22" ht="14.25" customHeight="1">
      <c r="R78" t="str">
        <f>TRIM(MID(TRIM(Transportes!D78),1,FIND(CHAR(10),TRIM(Transportes!D78),1)-1))</f>
        <v>Piura</v>
      </c>
      <c r="S78" t="str">
        <f>TRIM(IF(Transportes!F78="TRÁNSITO INTERRUMPIDO","Interrumpido",IF(Transportes!F78="TRÁNSITO RESTRINGIDO","Restringido","Normal")))</f>
        <v>Restringido</v>
      </c>
      <c r="T78" t="str">
        <f>TRIM(IF(MID(TRIM(Transportes!H78),1,FIND("-",TRIM(Transportes!H78),1)-2)="Acción humana","H","F"))</f>
        <v>F</v>
      </c>
      <c r="U78" s="53">
        <f>Transportes!G78</f>
        <v>130</v>
      </c>
    </row>
    <row r="79" spans="2:22" ht="14.25" customHeight="1">
      <c r="R79" t="str">
        <f>TRIM(MID(TRIM(Transportes!D79),1,FIND(CHAR(10),TRIM(Transportes!D79),1)-1))</f>
        <v>San Martín</v>
      </c>
      <c r="S79" t="str">
        <f>TRIM(IF(Transportes!F79="TRÁNSITO INTERRUMPIDO","Interrumpido",IF(Transportes!F79="TRÁNSITO RESTRINGIDO","Restringido","Normal")))</f>
        <v>Restringido</v>
      </c>
      <c r="T79" t="str">
        <f>TRIM(IF(MID(TRIM(Transportes!H79),1,FIND("-",TRIM(Transportes!H79),1)-2)="Acción humana","H","F"))</f>
        <v>H</v>
      </c>
      <c r="U79" s="53">
        <f>Transportes!G79</f>
        <v>300</v>
      </c>
    </row>
    <row r="80" spans="2:22" ht="14.25" customHeight="1">
      <c r="R80" t="str">
        <f>TRIM(MID(TRIM(Transportes!D80),1,FIND(CHAR(10),TRIM(Transportes!D80),1)-1))</f>
        <v>San Martín</v>
      </c>
      <c r="S80" t="str">
        <f>TRIM(IF(Transportes!F80="TRÁNSITO INTERRUMPIDO","Interrumpido",IF(Transportes!F80="TRÁNSITO RESTRINGIDO","Restringido","Normal")))</f>
        <v>Restringido</v>
      </c>
      <c r="T80" t="str">
        <f>TRIM(IF(MID(TRIM(Transportes!H80),1,FIND("-",TRIM(Transportes!H80),1)-2)="Acción humana","H","F"))</f>
        <v>F</v>
      </c>
      <c r="U80" s="53">
        <f>Transportes!G80</f>
        <v>100</v>
      </c>
    </row>
    <row r="81" spans="18:21" ht="14.25" customHeight="1">
      <c r="R81" t="str">
        <f>TRIM(MID(TRIM(Transportes!D81),1,FIND(CHAR(10),TRIM(Transportes!D81),1)-1))</f>
        <v>Junín</v>
      </c>
      <c r="S81" t="str">
        <f>TRIM(IF(Transportes!F81="TRÁNSITO INTERRUMPIDO","Interrumpido",IF(Transportes!F81="TRÁNSITO RESTRINGIDO","Restringido","Normal")))</f>
        <v>Restringido</v>
      </c>
      <c r="T81" t="str">
        <f>TRIM(IF(MID(TRIM(Transportes!H81),1,FIND("-",TRIM(Transportes!H81),1)-2)="Acción humana","H","F"))</f>
        <v>F</v>
      </c>
      <c r="U81" s="53">
        <f>Transportes!G81</f>
        <v>50</v>
      </c>
    </row>
    <row r="82" spans="18:21" ht="14.25" customHeight="1">
      <c r="R82" t="str">
        <f>TRIM(MID(TRIM(Transportes!D82),1,FIND(CHAR(10),TRIM(Transportes!D82),1)-1))</f>
        <v>Amazonas</v>
      </c>
      <c r="S82" t="str">
        <f>TRIM(IF(Transportes!F82="TRÁNSITO INTERRUMPIDO","Interrumpido",IF(Transportes!F82="TRÁNSITO RESTRINGIDO","Restringido","Normal")))</f>
        <v>Restringido</v>
      </c>
      <c r="T82" t="str">
        <f>TRIM(IF(MID(TRIM(Transportes!H82),1,FIND("-",TRIM(Transportes!H82),1)-2)="Acción humana","H","F"))</f>
        <v>F</v>
      </c>
      <c r="U82" s="53">
        <f>Transportes!G82</f>
        <v>100</v>
      </c>
    </row>
    <row r="83" spans="18:21" ht="14.25" customHeight="1">
      <c r="R83" t="str">
        <f>TRIM(MID(TRIM(Transportes!D83),1,FIND(CHAR(10),TRIM(Transportes!D83),1)-1))</f>
        <v>Tumbes</v>
      </c>
      <c r="S83" t="str">
        <f>TRIM(IF(Transportes!F83="TRÁNSITO INTERRUMPIDO","Interrumpido",IF(Transportes!F83="TRÁNSITO RESTRINGIDO","Restringido","Normal")))</f>
        <v>Restringido</v>
      </c>
      <c r="T83" t="str">
        <f>TRIM(IF(MID(TRIM(Transportes!H83),1,FIND("-",TRIM(Transportes!H83),1)-2)="Acción humana","H","F"))</f>
        <v>F</v>
      </c>
      <c r="U83" s="53">
        <f>Transportes!G83</f>
        <v>415</v>
      </c>
    </row>
    <row r="84" spans="18:21" ht="14.25" customHeight="1">
      <c r="R84" t="str">
        <f>TRIM(MID(TRIM(Transportes!D84),1,FIND(CHAR(10),TRIM(Transportes!D84),1)-1))</f>
        <v>Tumbes</v>
      </c>
      <c r="S84" t="str">
        <f>TRIM(IF(Transportes!F84="TRÁNSITO INTERRUMPIDO","Interrumpido",IF(Transportes!F84="TRÁNSITO RESTRINGIDO","Restringido","Normal")))</f>
        <v>Restringido</v>
      </c>
      <c r="T84" t="str">
        <f>TRIM(IF(MID(TRIM(Transportes!H84),1,FIND("-",TRIM(Transportes!H84),1)-2)="Acción humana","H","F"))</f>
        <v>F</v>
      </c>
      <c r="U84" s="53" t="str">
        <f>Transportes!G84</f>
        <v>-</v>
      </c>
    </row>
    <row r="85" spans="18:21" ht="14.25" customHeight="1">
      <c r="R85" t="str">
        <f>TRIM(MID(TRIM(Transportes!D85),1,FIND(CHAR(10),TRIM(Transportes!D85),1)-1))</f>
        <v>Cusco</v>
      </c>
      <c r="S85" t="str">
        <f>TRIM(IF(Transportes!F85="TRÁNSITO INTERRUMPIDO","Interrumpido",IF(Transportes!F85="TRÁNSITO RESTRINGIDO","Restringido","Normal")))</f>
        <v>Restringido</v>
      </c>
      <c r="T85" t="str">
        <f>TRIM(IF(MID(TRIM(Transportes!H85),1,FIND("-",TRIM(Transportes!H85),1)-2)="Acción humana","H","F"))</f>
        <v>F</v>
      </c>
      <c r="U85" s="53">
        <f>Transportes!G85</f>
        <v>200</v>
      </c>
    </row>
    <row r="86" spans="18:21" ht="14.25" customHeight="1">
      <c r="R86" t="str">
        <f>TRIM(MID(TRIM(Transportes!D86),1,FIND(CHAR(10),TRIM(Transportes!D86),1)-1))</f>
        <v>Áncash</v>
      </c>
      <c r="S86" t="str">
        <f>TRIM(IF(Transportes!F86="TRÁNSITO INTERRUMPIDO","Interrumpido",IF(Transportes!F86="TRÁNSITO RESTRINGIDO","Restringido","Normal")))</f>
        <v>Restringido</v>
      </c>
      <c r="T86" t="str">
        <f>TRIM(IF(MID(TRIM(Transportes!H86),1,FIND("-",TRIM(Transportes!H86),1)-2)="Acción humana","H","F"))</f>
        <v>F</v>
      </c>
      <c r="U86" s="53">
        <f>Transportes!G86</f>
        <v>50</v>
      </c>
    </row>
    <row r="87" spans="18:21" ht="14.25" customHeight="1">
      <c r="R87" t="str">
        <f>TRIM(MID(TRIM(Transportes!D87),1,FIND(CHAR(10),TRIM(Transportes!D87),1)-1))</f>
        <v>Huánuco</v>
      </c>
      <c r="S87" t="str">
        <f>TRIM(IF(Transportes!F87="TRÁNSITO INTERRUMPIDO","Interrumpido",IF(Transportes!F87="TRÁNSITO RESTRINGIDO","Restringido","Normal")))</f>
        <v>Restringido</v>
      </c>
      <c r="T87" t="str">
        <f>TRIM(IF(MID(TRIM(Transportes!H87),1,FIND("-",TRIM(Transportes!H87),1)-2)="Acción humana","H","F"))</f>
        <v>F</v>
      </c>
      <c r="U87" s="53">
        <f>Transportes!G87</f>
        <v>100</v>
      </c>
    </row>
    <row r="88" spans="18:21" ht="14.25" customHeight="1">
      <c r="R88" t="str">
        <f>TRIM(MID(TRIM(Transportes!D88),1,FIND(CHAR(10),TRIM(Transportes!D88),1)-1))</f>
        <v>Piura</v>
      </c>
      <c r="S88" t="str">
        <f>TRIM(IF(Transportes!F88="TRÁNSITO INTERRUMPIDO","Interrumpido",IF(Transportes!F88="TRÁNSITO RESTRINGIDO","Restringido","Normal")))</f>
        <v>Restringido</v>
      </c>
      <c r="T88" t="str">
        <f>TRIM(IF(MID(TRIM(Transportes!H88),1,FIND("-",TRIM(Transportes!H88),1)-2)="Acción humana","H","F"))</f>
        <v>F</v>
      </c>
      <c r="U88" s="53">
        <f>Transportes!G88</f>
        <v>100</v>
      </c>
    </row>
    <row r="89" spans="18:21" ht="14.25" customHeight="1">
      <c r="R89" t="str">
        <f>TRIM(MID(TRIM(Transportes!D89),1,FIND(CHAR(10),TRIM(Transportes!D89),1)-1))</f>
        <v>Junín</v>
      </c>
      <c r="S89" t="str">
        <f>TRIM(IF(Transportes!F89="TRÁNSITO INTERRUMPIDO","Interrumpido",IF(Transportes!F89="TRÁNSITO RESTRINGIDO","Restringido","Normal")))</f>
        <v>Restringido</v>
      </c>
      <c r="T89" t="str">
        <f>TRIM(IF(MID(TRIM(Transportes!H89),1,FIND("-",TRIM(Transportes!H89),1)-2)="Acción humana","H","F"))</f>
        <v>F</v>
      </c>
      <c r="U89" s="53">
        <f>Transportes!G89</f>
        <v>50</v>
      </c>
    </row>
    <row r="90" spans="18:21" ht="14.25" customHeight="1">
      <c r="R90" t="str">
        <f>TRIM(MID(TRIM(Transportes!D90),1,FIND(CHAR(10),TRIM(Transportes!D90),1)-1))</f>
        <v>La Libertad</v>
      </c>
      <c r="S90" t="str">
        <f>TRIM(IF(Transportes!F90="TRÁNSITO INTERRUMPIDO","Interrumpido",IF(Transportes!F90="TRÁNSITO RESTRINGIDO","Restringido","Normal")))</f>
        <v>Restringido</v>
      </c>
      <c r="T90" t="str">
        <f>TRIM(IF(MID(TRIM(Transportes!H90),1,FIND("-",TRIM(Transportes!H90),1)-2)="Acción humana","H","F"))</f>
        <v>F</v>
      </c>
      <c r="U90" s="53">
        <f>Transportes!G90</f>
        <v>186</v>
      </c>
    </row>
    <row r="91" spans="18:21" ht="14.25" customHeight="1">
      <c r="R91" t="str">
        <f>TRIM(MID(TRIM(Transportes!D91),1,FIND(CHAR(10),TRIM(Transportes!D91),1)-1))</f>
        <v>Piura</v>
      </c>
      <c r="S91" t="str">
        <f>TRIM(IF(Transportes!F91="TRÁNSITO INTERRUMPIDO","Interrumpido",IF(Transportes!F91="TRÁNSITO RESTRINGIDO","Restringido","Normal")))</f>
        <v>Restringido</v>
      </c>
      <c r="T91" t="str">
        <f>TRIM(IF(MID(TRIM(Transportes!H91),1,FIND("-",TRIM(Transportes!H91),1)-2)="Acción humana","H","F"))</f>
        <v>F</v>
      </c>
      <c r="U91" s="53">
        <f>Transportes!G91</f>
        <v>63</v>
      </c>
    </row>
    <row r="92" spans="18:21" ht="14.25" customHeight="1">
      <c r="R92" t="str">
        <f>TRIM(MID(TRIM(Transportes!D92),1,FIND(CHAR(10),TRIM(Transportes!D92),1)-1))</f>
        <v>Piura</v>
      </c>
      <c r="S92" t="str">
        <f>TRIM(IF(Transportes!F92="TRÁNSITO INTERRUMPIDO","Interrumpido",IF(Transportes!F92="TRÁNSITO RESTRINGIDO","Restringido","Normal")))</f>
        <v>Restringido</v>
      </c>
      <c r="T92" t="str">
        <f>TRIM(IF(MID(TRIM(Transportes!H92),1,FIND("-",TRIM(Transportes!H92),1)-2)="Acción humana","H","F"))</f>
        <v>F</v>
      </c>
      <c r="U92" s="53">
        <f>Transportes!G92</f>
        <v>200</v>
      </c>
    </row>
    <row r="93" spans="18:21" ht="14.25" customHeight="1">
      <c r="R93" t="str">
        <f>TRIM(MID(TRIM(Transportes!D93),1,FIND(CHAR(10),TRIM(Transportes!D93),1)-1))</f>
        <v>Moquegua</v>
      </c>
      <c r="S93" t="str">
        <f>TRIM(IF(Transportes!F93="TRÁNSITO INTERRUMPIDO","Interrumpido",IF(Transportes!F93="TRÁNSITO RESTRINGIDO","Restringido","Normal")))</f>
        <v>Restringido</v>
      </c>
      <c r="T93" t="str">
        <f>TRIM(IF(MID(TRIM(Transportes!H93),1,FIND("-",TRIM(Transportes!H93),1)-2)="Acción humana","H","F"))</f>
        <v>F</v>
      </c>
      <c r="U93" s="53">
        <f>Transportes!G93</f>
        <v>25</v>
      </c>
    </row>
    <row r="94" spans="18:21" ht="14.25" customHeight="1">
      <c r="R94" t="str">
        <f>TRIM(MID(TRIM(Transportes!D94),1,FIND(CHAR(10),TRIM(Transportes!D94),1)-1))</f>
        <v>Huánuco</v>
      </c>
      <c r="S94" t="str">
        <f>TRIM(IF(Transportes!F94="TRÁNSITO INTERRUMPIDO","Interrumpido",IF(Transportes!F94="TRÁNSITO RESTRINGIDO","Restringido","Normal")))</f>
        <v>Restringido</v>
      </c>
      <c r="T94" t="str">
        <f>TRIM(IF(MID(TRIM(Transportes!H94),1,FIND("-",TRIM(Transportes!H94),1)-2)="Acción humana","H","F"))</f>
        <v>F</v>
      </c>
      <c r="U94" s="53">
        <f>Transportes!G94</f>
        <v>60</v>
      </c>
    </row>
    <row r="95" spans="18:21" ht="14.25" customHeight="1">
      <c r="R95" t="str">
        <f>TRIM(MID(TRIM(Transportes!D95),1,FIND(CHAR(10),TRIM(Transportes!D95),1)-1))</f>
        <v>Cajamarca</v>
      </c>
      <c r="S95" t="str">
        <f>TRIM(IF(Transportes!F95="TRÁNSITO INTERRUMPIDO","Interrumpido",IF(Transportes!F95="TRÁNSITO RESTRINGIDO","Restringido","Normal")))</f>
        <v>Restringido</v>
      </c>
      <c r="T95" t="str">
        <f>TRIM(IF(MID(TRIM(Transportes!H95),1,FIND("-",TRIM(Transportes!H95),1)-2)="Acción humana","H","F"))</f>
        <v>F</v>
      </c>
      <c r="U95" s="53" t="str">
        <f>Transportes!G95</f>
        <v>-</v>
      </c>
    </row>
    <row r="96" spans="18:21" ht="14.25" customHeight="1">
      <c r="R96" t="str">
        <f>TRIM(MID(TRIM(Transportes!D96),1,FIND(CHAR(10),TRIM(Transportes!D96),1)-1))</f>
        <v>Huancavelica</v>
      </c>
      <c r="S96" t="str">
        <f>TRIM(IF(Transportes!F96="TRÁNSITO INTERRUMPIDO","Interrumpido",IF(Transportes!F96="TRÁNSITO RESTRINGIDO","Restringido","Normal")))</f>
        <v>Restringido</v>
      </c>
      <c r="T96" t="str">
        <f>TRIM(IF(MID(TRIM(Transportes!H96),1,FIND("-",TRIM(Transportes!H96),1)-2)="Acción humana","H","F"))</f>
        <v>F</v>
      </c>
      <c r="U96" s="53">
        <f>Transportes!G96</f>
        <v>50</v>
      </c>
    </row>
    <row r="97" spans="18:21" ht="14.25" customHeight="1">
      <c r="R97" t="str">
        <f>TRIM(MID(TRIM(Transportes!D97),1,FIND(CHAR(10),TRIM(Transportes!D97),1)-1))</f>
        <v>Huancavelica</v>
      </c>
      <c r="S97" t="str">
        <f>TRIM(IF(Transportes!F97="TRÁNSITO INTERRUMPIDO","Interrumpido",IF(Transportes!F97="TRÁNSITO RESTRINGIDO","Restringido","Normal")))</f>
        <v>Restringido</v>
      </c>
      <c r="T97" t="str">
        <f>TRIM(IF(MID(TRIM(Transportes!H97),1,FIND("-",TRIM(Transportes!H97),1)-2)="Acción humana","H","F"))</f>
        <v>F</v>
      </c>
      <c r="U97" s="53">
        <f>Transportes!G97</f>
        <v>30</v>
      </c>
    </row>
    <row r="98" spans="18:21" ht="14.25" customHeight="1">
      <c r="R98" t="str">
        <f>TRIM(MID(TRIM(Transportes!D98),1,FIND(CHAR(10),TRIM(Transportes!D98),1)-1))</f>
        <v>Áncash</v>
      </c>
      <c r="S98" t="str">
        <f>TRIM(IF(Transportes!F98="TRÁNSITO INTERRUMPIDO","Interrumpido",IF(Transportes!F98="TRÁNSITO RESTRINGIDO","Restringido","Normal")))</f>
        <v>Restringido</v>
      </c>
      <c r="T98" t="str">
        <f>TRIM(IF(MID(TRIM(Transportes!H98),1,FIND("-",TRIM(Transportes!H98),1)-2)="Acción humana","H","F"))</f>
        <v>F</v>
      </c>
      <c r="U98" s="53">
        <f>Transportes!G98</f>
        <v>120</v>
      </c>
    </row>
    <row r="99" spans="18:21" ht="14.25" customHeight="1">
      <c r="R99" t="str">
        <f>TRIM(MID(TRIM(Transportes!D99),1,FIND(CHAR(10),TRIM(Transportes!D99),1)-1))</f>
        <v>Moquegua</v>
      </c>
      <c r="S99" t="str">
        <f>TRIM(IF(Transportes!F99="TRÁNSITO INTERRUMPIDO","Interrumpido",IF(Transportes!F99="TRÁNSITO RESTRINGIDO","Restringido","Normal")))</f>
        <v>Restringido</v>
      </c>
      <c r="T99" t="str">
        <f>TRIM(IF(MID(TRIM(Transportes!H99),1,FIND("-",TRIM(Transportes!H99),1)-2)="Acción humana","H","F"))</f>
        <v>F</v>
      </c>
      <c r="U99" s="53">
        <f>Transportes!G99</f>
        <v>50</v>
      </c>
    </row>
    <row r="100" spans="18:21" ht="14.25" customHeight="1">
      <c r="R100" t="str">
        <f>TRIM(MID(TRIM(Transportes!D100),1,FIND(CHAR(10),TRIM(Transportes!D100),1)-1))</f>
        <v>Áncash</v>
      </c>
      <c r="S100" t="str">
        <f>TRIM(IF(Transportes!F100="TRÁNSITO INTERRUMPIDO","Interrumpido",IF(Transportes!F100="TRÁNSITO RESTRINGIDO","Restringido","Normal")))</f>
        <v>Restringido</v>
      </c>
      <c r="T100" t="str">
        <f>TRIM(IF(MID(TRIM(Transportes!H100),1,FIND("-",TRIM(Transportes!H100),1)-2)="Acción humana","H","F"))</f>
        <v>F</v>
      </c>
      <c r="U100" s="53">
        <f>Transportes!G100</f>
        <v>10</v>
      </c>
    </row>
    <row r="101" spans="18:21" ht="14.25" customHeight="1">
      <c r="R101" t="str">
        <f>TRIM(MID(TRIM(Transportes!D101),1,FIND(CHAR(10),TRIM(Transportes!D101),1)-1))</f>
        <v>Áncash</v>
      </c>
      <c r="S101" t="str">
        <f>TRIM(IF(Transportes!F101="TRÁNSITO INTERRUMPIDO","Interrumpido",IF(Transportes!F101="TRÁNSITO RESTRINGIDO","Restringido","Normal")))</f>
        <v>Restringido</v>
      </c>
      <c r="T101" t="str">
        <f>TRIM(IF(MID(TRIM(Transportes!H101),1,FIND("-",TRIM(Transportes!H101),1)-2)="Acción humana","H","F"))</f>
        <v>F</v>
      </c>
      <c r="U101" s="53">
        <f>Transportes!G101</f>
        <v>15</v>
      </c>
    </row>
    <row r="102" spans="18:21" ht="14.25" customHeight="1">
      <c r="R102" t="str">
        <f>TRIM(MID(TRIM(Transportes!D102),1,FIND(CHAR(10),TRIM(Transportes!D102),1)-1))</f>
        <v>Áncash</v>
      </c>
      <c r="S102" t="str">
        <f>TRIM(IF(Transportes!F102="TRÁNSITO INTERRUMPIDO","Interrumpido",IF(Transportes!F102="TRÁNSITO RESTRINGIDO","Restringido","Normal")))</f>
        <v>Restringido</v>
      </c>
      <c r="T102" t="str">
        <f>TRIM(IF(MID(TRIM(Transportes!H102),1,FIND("-",TRIM(Transportes!H102),1)-2)="Acción humana","H","F"))</f>
        <v>F</v>
      </c>
      <c r="U102" s="53">
        <f>Transportes!G102</f>
        <v>12</v>
      </c>
    </row>
    <row r="103" spans="18:21" ht="14.25" customHeight="1">
      <c r="R103" t="str">
        <f>TRIM(MID(TRIM(Transportes!D103),1,FIND(CHAR(10),TRIM(Transportes!D103),1)-1))</f>
        <v>Áncash</v>
      </c>
      <c r="S103" t="str">
        <f>TRIM(IF(Transportes!F103="TRÁNSITO INTERRUMPIDO","Interrumpido",IF(Transportes!F103="TRÁNSITO RESTRINGIDO","Restringido","Normal")))</f>
        <v>Restringido</v>
      </c>
      <c r="T103" t="str">
        <f>TRIM(IF(MID(TRIM(Transportes!H103),1,FIND("-",TRIM(Transportes!H103),1)-2)="Acción humana","H","F"))</f>
        <v>F</v>
      </c>
      <c r="U103" s="53">
        <f>Transportes!G103</f>
        <v>16</v>
      </c>
    </row>
    <row r="104" spans="18:21" ht="14.25" customHeight="1">
      <c r="R104" t="str">
        <f>TRIM(MID(TRIM(Transportes!D104),1,FIND(CHAR(10),TRIM(Transportes!D104),1)-1))</f>
        <v>Apurímac</v>
      </c>
      <c r="S104" t="str">
        <f>TRIM(IF(Transportes!F104="TRÁNSITO INTERRUMPIDO","Interrumpido",IF(Transportes!F104="TRÁNSITO RESTRINGIDO","Restringido","Normal")))</f>
        <v>Restringido</v>
      </c>
      <c r="T104" t="str">
        <f>TRIM(IF(MID(TRIM(Transportes!H104),1,FIND("-",TRIM(Transportes!H104),1)-2)="Acción humana","H","F"))</f>
        <v>F</v>
      </c>
      <c r="U104" s="53">
        <f>Transportes!G104</f>
        <v>50</v>
      </c>
    </row>
    <row r="105" spans="18:21" ht="14.25" customHeight="1">
      <c r="R105" t="str">
        <f>TRIM(MID(TRIM(Transportes!D105),1,FIND(CHAR(10),TRIM(Transportes!D105),1)-1))</f>
        <v>San Martín</v>
      </c>
      <c r="S105" t="str">
        <f>TRIM(IF(Transportes!F105="TRÁNSITO INTERRUMPIDO","Interrumpido",IF(Transportes!F105="TRÁNSITO RESTRINGIDO","Restringido","Normal")))</f>
        <v>Restringido</v>
      </c>
      <c r="T105" t="str">
        <f>TRIM(IF(MID(TRIM(Transportes!H105),1,FIND("-",TRIM(Transportes!H105),1)-2)="Acción humana","H","F"))</f>
        <v>H</v>
      </c>
      <c r="U105" s="53">
        <f>Transportes!G105</f>
        <v>150</v>
      </c>
    </row>
    <row r="106" spans="18:21" ht="14.25" customHeight="1">
      <c r="R106" t="str">
        <f>TRIM(MID(TRIM(Transportes!D106),1,FIND(CHAR(10),TRIM(Transportes!D106),1)-1))</f>
        <v>La Libertad</v>
      </c>
      <c r="S106" t="str">
        <f>TRIM(IF(Transportes!F106="TRÁNSITO INTERRUMPIDO","Interrumpido",IF(Transportes!F106="TRÁNSITO RESTRINGIDO","Restringido","Normal")))</f>
        <v>Restringido</v>
      </c>
      <c r="T106" t="str">
        <f>TRIM(IF(MID(TRIM(Transportes!H106),1,FIND("-",TRIM(Transportes!H106),1)-2)="Acción humana","H","F"))</f>
        <v>F</v>
      </c>
      <c r="U106" s="53">
        <f>Transportes!G106</f>
        <v>260</v>
      </c>
    </row>
    <row r="107" spans="18:21" ht="14.25" customHeight="1">
      <c r="R107" t="str">
        <f>TRIM(MID(TRIM(Transportes!D107),1,FIND(CHAR(10),TRIM(Transportes!D107),1)-1))</f>
        <v>Piura</v>
      </c>
      <c r="S107" t="str">
        <f>TRIM(IF(Transportes!F107="TRÁNSITO INTERRUMPIDO","Interrumpido",IF(Transportes!F107="TRÁNSITO RESTRINGIDO","Restringido","Normal")))</f>
        <v>Restringido</v>
      </c>
      <c r="T107" t="str">
        <f>TRIM(IF(MID(TRIM(Transportes!H107),1,FIND("-",TRIM(Transportes!H107),1)-2)="Acción humana","H","F"))</f>
        <v>F</v>
      </c>
      <c r="U107" s="53">
        <f>Transportes!G107</f>
        <v>50</v>
      </c>
    </row>
    <row r="108" spans="18:21" ht="14.25" customHeight="1">
      <c r="R108" t="str">
        <f>TRIM(MID(TRIM(Transportes!D108),1,FIND(CHAR(10),TRIM(Transportes!D108),1)-1))</f>
        <v>Tacna</v>
      </c>
      <c r="S108" t="str">
        <f>TRIM(IF(Transportes!F108="TRÁNSITO INTERRUMPIDO","Interrumpido",IF(Transportes!F108="TRÁNSITO RESTRINGIDO","Restringido","Normal")))</f>
        <v>Restringido</v>
      </c>
      <c r="T108" t="str">
        <f>TRIM(IF(MID(TRIM(Transportes!H108),1,FIND("-",TRIM(Transportes!H108),1)-2)="Acción humana","H","F"))</f>
        <v>F</v>
      </c>
      <c r="U108" s="53">
        <f>Transportes!G108</f>
        <v>15</v>
      </c>
    </row>
    <row r="109" spans="18:21" ht="14.25" customHeight="1">
      <c r="R109" t="str">
        <f>TRIM(MID(TRIM(Transportes!D109),1,FIND(CHAR(10),TRIM(Transportes!D109),1)-1))</f>
        <v>Amazonas</v>
      </c>
      <c r="S109" t="str">
        <f>TRIM(IF(Transportes!F109="TRÁNSITO INTERRUMPIDO","Interrumpido",IF(Transportes!F109="TRÁNSITO RESTRINGIDO","Restringido","Normal")))</f>
        <v>Restringido</v>
      </c>
      <c r="T109" t="str">
        <f>TRIM(IF(MID(TRIM(Transportes!H109),1,FIND("-",TRIM(Transportes!H109),1)-2)="Acción humana","H","F"))</f>
        <v>F</v>
      </c>
      <c r="U109" s="53">
        <f>Transportes!G109</f>
        <v>16</v>
      </c>
    </row>
    <row r="110" spans="18:21" ht="14.25" customHeight="1">
      <c r="R110" t="str">
        <f>TRIM(MID(TRIM(Transportes!D110),1,FIND(CHAR(10),TRIM(Transportes!D110),1)-1))</f>
        <v>Cajamarca</v>
      </c>
      <c r="S110" t="str">
        <f>TRIM(IF(Transportes!F110="TRÁNSITO INTERRUMPIDO","Interrumpido",IF(Transportes!F110="TRÁNSITO RESTRINGIDO","Restringido","Normal")))</f>
        <v>Restringido</v>
      </c>
      <c r="T110" t="str">
        <f>TRIM(IF(MID(TRIM(Transportes!H110),1,FIND("-",TRIM(Transportes!H110),1)-2)="Acción humana","H","F"))</f>
        <v>F</v>
      </c>
      <c r="U110" s="53">
        <f>Transportes!G110</f>
        <v>30</v>
      </c>
    </row>
    <row r="111" spans="18:21" ht="14.25" customHeight="1">
      <c r="R111" t="str">
        <f>TRIM(MID(TRIM(Transportes!D111),1,FIND(CHAR(10),TRIM(Transportes!D111),1)-1))</f>
        <v>Piura</v>
      </c>
      <c r="S111" t="str">
        <f>TRIM(IF(Transportes!F111="TRÁNSITO INTERRUMPIDO","Interrumpido",IF(Transportes!F111="TRÁNSITO RESTRINGIDO","Restringido","Normal")))</f>
        <v>Restringido</v>
      </c>
      <c r="T111" t="str">
        <f>TRIM(IF(MID(TRIM(Transportes!H111),1,FIND("-",TRIM(Transportes!H111),1)-2)="Acción humana","H","F"))</f>
        <v>F</v>
      </c>
      <c r="U111" s="53">
        <f>Transportes!G111</f>
        <v>184</v>
      </c>
    </row>
    <row r="112" spans="18:21" ht="14.25" customHeight="1">
      <c r="R112" t="str">
        <f>TRIM(MID(TRIM(Transportes!D112),1,FIND(CHAR(10),TRIM(Transportes!D112),1)-1))</f>
        <v>Cajamarca</v>
      </c>
      <c r="S112" t="str">
        <f>TRIM(IF(Transportes!F112="TRÁNSITO INTERRUMPIDO","Interrumpido",IF(Transportes!F112="TRÁNSITO RESTRINGIDO","Restringido","Normal")))</f>
        <v>Restringido</v>
      </c>
      <c r="T112" t="str">
        <f>TRIM(IF(MID(TRIM(Transportes!H112),1,FIND("-",TRIM(Transportes!H112),1)-2)="Acción humana","H","F"))</f>
        <v>F</v>
      </c>
      <c r="U112" s="53">
        <f>Transportes!G112</f>
        <v>250</v>
      </c>
    </row>
    <row r="113" spans="18:21" ht="14.25" customHeight="1">
      <c r="R113" t="str">
        <f>TRIM(MID(TRIM(Transportes!D113),1,FIND(CHAR(10),TRIM(Transportes!D113),1)-1))</f>
        <v>Puno</v>
      </c>
      <c r="S113" t="str">
        <f>TRIM(IF(Transportes!F113="TRÁNSITO INTERRUMPIDO","Interrumpido",IF(Transportes!F113="TRÁNSITO RESTRINGIDO","Restringido","Normal")))</f>
        <v>Restringido</v>
      </c>
      <c r="T113" t="str">
        <f>TRIM(IF(MID(TRIM(Transportes!H113),1,FIND("-",TRIM(Transportes!H113),1)-2)="Acción humana","H","F"))</f>
        <v>H</v>
      </c>
      <c r="U113" s="53">
        <f>Transportes!G113</f>
        <v>20</v>
      </c>
    </row>
    <row r="114" spans="18:21" ht="14.25" customHeight="1">
      <c r="R114" t="str">
        <f>TRIM(MID(TRIM(Transportes!D114),1,FIND(CHAR(10),TRIM(Transportes!D114),1)-1))</f>
        <v>Tumbes</v>
      </c>
      <c r="S114" t="str">
        <f>TRIM(IF(Transportes!F114="TRÁNSITO INTERRUMPIDO","Interrumpido",IF(Transportes!F114="TRÁNSITO RESTRINGIDO","Restringido","Normal")))</f>
        <v>Restringido</v>
      </c>
      <c r="T114" t="str">
        <f>TRIM(IF(MID(TRIM(Transportes!H114),1,FIND("-",TRIM(Transportes!H114),1)-2)="Acción humana","H","F"))</f>
        <v>F</v>
      </c>
      <c r="U114" s="53">
        <f>Transportes!G114</f>
        <v>40</v>
      </c>
    </row>
    <row r="115" spans="18:21">
      <c r="R115" t="str">
        <f>TRIM(MID(TRIM(Transportes!D115),1,FIND(CHAR(10),TRIM(Transportes!D115),1)-1))</f>
        <v>Ica</v>
      </c>
      <c r="S115" t="str">
        <f>TRIM(IF(Transportes!F115="TRÁNSITO INTERRUMPIDO","Interrumpido",IF(Transportes!F115="TRÁNSITO RESTRINGIDO","Restringido","Normal")))</f>
        <v>Restringido</v>
      </c>
      <c r="T115" t="str">
        <f>TRIM(IF(MID(TRIM(Transportes!H115),1,FIND("-",TRIM(Transportes!H115),1)-2)="Acción humana","H","F"))</f>
        <v>F</v>
      </c>
      <c r="U115" s="53">
        <f>Transportes!G115</f>
        <v>300</v>
      </c>
    </row>
    <row r="116" spans="18:21">
      <c r="R116" t="str">
        <f>TRIM(MID(TRIM(Transportes!D116),1,FIND(CHAR(10),TRIM(Transportes!D116),1)-1))</f>
        <v>Lima</v>
      </c>
      <c r="S116" t="str">
        <f>TRIM(IF(Transportes!F116="TRÁNSITO INTERRUMPIDO","Interrumpido",IF(Transportes!F116="TRÁNSITO RESTRINGIDO","Restringido","Normal")))</f>
        <v>Restringido</v>
      </c>
      <c r="T116" t="str">
        <f>TRIM(IF(MID(TRIM(Transportes!H116),1,FIND("-",TRIM(Transportes!H116),1)-2)="Acción humana","H","F"))</f>
        <v>F</v>
      </c>
      <c r="U116" s="53">
        <f>Transportes!G116</f>
        <v>50</v>
      </c>
    </row>
    <row r="117" spans="18:21">
      <c r="R117" t="str">
        <f>TRIM(MID(TRIM(Transportes!D117),1,FIND(CHAR(10),TRIM(Transportes!D117),1)-1))</f>
        <v>Cajamarca</v>
      </c>
      <c r="S117" t="str">
        <f>TRIM(IF(Transportes!F117="TRÁNSITO INTERRUMPIDO","Interrumpido",IF(Transportes!F117="TRÁNSITO RESTRINGIDO","Restringido","Normal")))</f>
        <v>Restringido</v>
      </c>
      <c r="T117" t="str">
        <f>TRIM(IF(MID(TRIM(Transportes!H117),1,FIND("-",TRIM(Transportes!H117),1)-2)="Acción humana","H","F"))</f>
        <v>F</v>
      </c>
      <c r="U117" s="53">
        <f>Transportes!G117</f>
        <v>15</v>
      </c>
    </row>
    <row r="118" spans="18:21">
      <c r="R118" t="str">
        <f>TRIM(MID(TRIM(Transportes!D118),1,FIND(CHAR(10),TRIM(Transportes!D118),1)-1))</f>
        <v>La Libertad</v>
      </c>
      <c r="S118" t="str">
        <f>TRIM(IF(Transportes!F118="TRÁNSITO INTERRUMPIDO","Interrumpido",IF(Transportes!F118="TRÁNSITO RESTRINGIDO","Restringido","Normal")))</f>
        <v>Restringido</v>
      </c>
      <c r="T118" t="str">
        <f>TRIM(IF(MID(TRIM(Transportes!H118),1,FIND("-",TRIM(Transportes!H118),1)-2)="Acción humana","H","F"))</f>
        <v>F</v>
      </c>
      <c r="U118" s="53">
        <f>Transportes!G118</f>
        <v>36</v>
      </c>
    </row>
    <row r="119" spans="18:21">
      <c r="R119" t="str">
        <f>TRIM(MID(TRIM(Transportes!D119),1,FIND(CHAR(10),TRIM(Transportes!D119),1)-1))</f>
        <v>Tumbes</v>
      </c>
      <c r="S119" t="str">
        <f>TRIM(IF(Transportes!F119="TRÁNSITO INTERRUMPIDO","Interrumpido",IF(Transportes!F119="TRÁNSITO RESTRINGIDO","Restringido","Normal")))</f>
        <v>Restringido</v>
      </c>
      <c r="T119" t="str">
        <f>TRIM(IF(MID(TRIM(Transportes!H119),1,FIND("-",TRIM(Transportes!H119),1)-2)="Acción humana","H","F"))</f>
        <v>F</v>
      </c>
      <c r="U119" s="53">
        <f>Transportes!G119</f>
        <v>13</v>
      </c>
    </row>
    <row r="120" spans="18:21">
      <c r="R120" t="str">
        <f>TRIM(MID(TRIM(Transportes!D120),1,FIND(CHAR(10),TRIM(Transportes!D120),1)-1))</f>
        <v>Cajamarca</v>
      </c>
      <c r="S120" t="str">
        <f>TRIM(IF(Transportes!F120="TRÁNSITO INTERRUMPIDO","Interrumpido",IF(Transportes!F120="TRÁNSITO RESTRINGIDO","Restringido","Normal")))</f>
        <v>Restringido</v>
      </c>
      <c r="T120" t="str">
        <f>TRIM(IF(MID(TRIM(Transportes!H120),1,FIND("-",TRIM(Transportes!H120),1)-2)="Acción humana","H","F"))</f>
        <v>F</v>
      </c>
      <c r="U120" s="53">
        <f>Transportes!G120</f>
        <v>2</v>
      </c>
    </row>
    <row r="121" spans="18:21">
      <c r="R121" t="str">
        <f>TRIM(MID(TRIM(Transportes!D121),1,FIND(CHAR(10),TRIM(Transportes!D121),1)-1))</f>
        <v>Arequipa</v>
      </c>
      <c r="S121" t="str">
        <f>TRIM(IF(Transportes!F121="TRÁNSITO INTERRUMPIDO","Interrumpido",IF(Transportes!F121="TRÁNSITO RESTRINGIDO","Restringido","Normal")))</f>
        <v>Restringido</v>
      </c>
      <c r="T121" t="str">
        <f>TRIM(IF(MID(TRIM(Transportes!H121),1,FIND("-",TRIM(Transportes!H121),1)-2)="Acción humana","H","F"))</f>
        <v>H</v>
      </c>
      <c r="U121" s="53">
        <f>Transportes!G121</f>
        <v>200</v>
      </c>
    </row>
    <row r="122" spans="18:21">
      <c r="R122" t="str">
        <f>TRIM(MID(TRIM(Transportes!D122),1,FIND(CHAR(10),TRIM(Transportes!D122),1)-1))</f>
        <v>Piura</v>
      </c>
      <c r="S122" t="str">
        <f>TRIM(IF(Transportes!F122="TRÁNSITO INTERRUMPIDO","Interrumpido",IF(Transportes!F122="TRÁNSITO RESTRINGIDO","Restringido","Normal")))</f>
        <v>Restringido</v>
      </c>
      <c r="T122" t="str">
        <f>TRIM(IF(MID(TRIM(Transportes!H122),1,FIND("-",TRIM(Transportes!H122),1)-2)="Acción humana","H","F"))</f>
        <v>F</v>
      </c>
      <c r="U122" s="53">
        <f>Transportes!G122</f>
        <v>130</v>
      </c>
    </row>
    <row r="123" spans="18:21">
      <c r="R123" t="str">
        <f>TRIM(MID(TRIM(Transportes!D123),1,FIND(CHAR(10),TRIM(Transportes!D123),1)-1))</f>
        <v>Tumbes</v>
      </c>
      <c r="S123" t="str">
        <f>TRIM(IF(Transportes!F123="TRÁNSITO INTERRUMPIDO","Interrumpido",IF(Transportes!F123="TRÁNSITO RESTRINGIDO","Restringido","Normal")))</f>
        <v>Restringido</v>
      </c>
      <c r="T123" t="str">
        <f>TRIM(IF(MID(TRIM(Transportes!H123),1,FIND("-",TRIM(Transportes!H123),1)-2)="Acción humana","H","F"))</f>
        <v>F</v>
      </c>
      <c r="U123" s="53">
        <f>Transportes!G123</f>
        <v>11</v>
      </c>
    </row>
    <row r="124" spans="18:21">
      <c r="R124" t="str">
        <f>TRIM(MID(TRIM(Transportes!D124),1,FIND(CHAR(10),TRIM(Transportes!D124),1)-1))</f>
        <v>Ucayali</v>
      </c>
      <c r="S124" t="str">
        <f>TRIM(IF(Transportes!F124="TRÁNSITO INTERRUMPIDO","Interrumpido",IF(Transportes!F124="TRÁNSITO RESTRINGIDO","Restringido","Normal")))</f>
        <v>Restringido</v>
      </c>
      <c r="T124" t="str">
        <f>TRIM(IF(MID(TRIM(Transportes!H124),1,FIND("-",TRIM(Transportes!H124),1)-2)="Acción humana","H","F"))</f>
        <v>F</v>
      </c>
      <c r="U124" s="53">
        <f>Transportes!G124</f>
        <v>283</v>
      </c>
    </row>
    <row r="125" spans="18:21">
      <c r="R125" t="str">
        <f>TRIM(MID(TRIM(Transportes!D125),1,FIND(CHAR(10),TRIM(Transportes!D125),1)-1))</f>
        <v>Piura</v>
      </c>
      <c r="S125" t="str">
        <f>TRIM(IF(Transportes!F125="TRÁNSITO INTERRUMPIDO","Interrumpido",IF(Transportes!F125="TRÁNSITO RESTRINGIDO","Restringido","Normal")))</f>
        <v>Restringido</v>
      </c>
      <c r="T125" t="str">
        <f>TRIM(IF(MID(TRIM(Transportes!H125),1,FIND("-",TRIM(Transportes!H125),1)-2)="Acción humana","H","F"))</f>
        <v>F</v>
      </c>
      <c r="U125" s="53">
        <f>Transportes!G125</f>
        <v>30</v>
      </c>
    </row>
    <row r="126" spans="18:21">
      <c r="R126" t="str">
        <f>TRIM(MID(TRIM(Transportes!D126),1,FIND(CHAR(10),TRIM(Transportes!D126),1)-1))</f>
        <v>San Martín</v>
      </c>
      <c r="S126" t="str">
        <f>TRIM(IF(Transportes!F126="TRÁNSITO INTERRUMPIDO","Interrumpido",IF(Transportes!F126="TRÁNSITO RESTRINGIDO","Restringido","Normal")))</f>
        <v>Restringido</v>
      </c>
      <c r="T126" t="str">
        <f>TRIM(IF(MID(TRIM(Transportes!H126),1,FIND("-",TRIM(Transportes!H126),1)-2)="Acción humana","H","F"))</f>
        <v>F</v>
      </c>
      <c r="U126" s="53">
        <f>Transportes!G126</f>
        <v>200</v>
      </c>
    </row>
    <row r="127" spans="18:21">
      <c r="R127" t="str">
        <f>TRIM(MID(TRIM(Transportes!D127),1,FIND(CHAR(10),TRIM(Transportes!D127),1)-1))</f>
        <v>Lambayeque</v>
      </c>
      <c r="S127" t="str">
        <f>TRIM(IF(Transportes!F127="TRÁNSITO INTERRUMPIDO","Interrumpido",IF(Transportes!F127="TRÁNSITO RESTRINGIDO","Restringido","Normal")))</f>
        <v>Restringido</v>
      </c>
      <c r="T127" t="str">
        <f>TRIM(IF(MID(TRIM(Transportes!H127),1,FIND("-",TRIM(Transportes!H127),1)-2)="Acción humana","H","F"))</f>
        <v>F</v>
      </c>
      <c r="U127" s="53">
        <f>Transportes!G127</f>
        <v>20</v>
      </c>
    </row>
    <row r="128" spans="18:21">
      <c r="R128" t="str">
        <f>TRIM(MID(TRIM(Transportes!D128),1,FIND(CHAR(10),TRIM(Transportes!D128),1)-1))</f>
        <v>Amazonas</v>
      </c>
      <c r="S128" t="str">
        <f>TRIM(IF(Transportes!F128="TRÁNSITO INTERRUMPIDO","Interrumpido",IF(Transportes!F128="TRÁNSITO RESTRINGIDO","Restringido","Normal")))</f>
        <v>Restringido</v>
      </c>
      <c r="T128" t="str">
        <f>TRIM(IF(MID(TRIM(Transportes!H128),1,FIND("-",TRIM(Transportes!H128),1)-2)="Acción humana","H","F"))</f>
        <v>F</v>
      </c>
      <c r="U128" s="53">
        <f>Transportes!G128</f>
        <v>45</v>
      </c>
    </row>
    <row r="129" spans="18:21">
      <c r="R129" t="str">
        <f>TRIM(MID(TRIM(Transportes!D129),1,FIND(CHAR(10),TRIM(Transportes!D129),1)-1))</f>
        <v>Amazonas</v>
      </c>
      <c r="S129" t="str">
        <f>TRIM(IF(Transportes!F129="TRÁNSITO INTERRUMPIDO","Interrumpido",IF(Transportes!F129="TRÁNSITO RESTRINGIDO","Restringido","Normal")))</f>
        <v>Restringido</v>
      </c>
      <c r="T129" t="str">
        <f>TRIM(IF(MID(TRIM(Transportes!H129),1,FIND("-",TRIM(Transportes!H129),1)-2)="Acción humana","H","F"))</f>
        <v>F</v>
      </c>
      <c r="U129" s="53" t="str">
        <f>Transportes!G129</f>
        <v>-</v>
      </c>
    </row>
    <row r="130" spans="18:21">
      <c r="R130" t="str">
        <f>TRIM(MID(TRIM(Transportes!D130),1,FIND(CHAR(10),TRIM(Transportes!D130),1)-1))</f>
        <v>Amazonas</v>
      </c>
      <c r="S130" t="str">
        <f>TRIM(IF(Transportes!F130="TRÁNSITO INTERRUMPIDO","Interrumpido",IF(Transportes!F130="TRÁNSITO RESTRINGIDO","Restringido","Normal")))</f>
        <v>Restringido</v>
      </c>
      <c r="T130" t="str">
        <f>TRIM(IF(MID(TRIM(Transportes!H130),1,FIND("-",TRIM(Transportes!H130),1)-2)="Acción humana","H","F"))</f>
        <v>F</v>
      </c>
      <c r="U130" s="53">
        <f>Transportes!G130</f>
        <v>15</v>
      </c>
    </row>
    <row r="131" spans="18:21">
      <c r="R131" t="str">
        <f>TRIM(MID(TRIM(Transportes!D131),1,FIND(CHAR(10),TRIM(Transportes!D131),1)-1))</f>
        <v>Ucayali</v>
      </c>
      <c r="S131" t="str">
        <f>TRIM(IF(Transportes!F131="TRÁNSITO INTERRUMPIDO","Interrumpido",IF(Transportes!F131="TRÁNSITO RESTRINGIDO","Restringido","Normal")))</f>
        <v>Restringido</v>
      </c>
      <c r="T131" t="str">
        <f>TRIM(IF(MID(TRIM(Transportes!H131),1,FIND("-",TRIM(Transportes!H131),1)-2)="Acción humana","H","F"))</f>
        <v>F</v>
      </c>
      <c r="U131" s="53">
        <f>Transportes!G131</f>
        <v>141</v>
      </c>
    </row>
    <row r="132" spans="18:21">
      <c r="R132" t="str">
        <f>TRIM(MID(TRIM(Transportes!D132),1,FIND(CHAR(10),TRIM(Transportes!D132),1)-1))</f>
        <v>Ucayali</v>
      </c>
      <c r="S132" t="str">
        <f>TRIM(IF(Transportes!F132="TRÁNSITO INTERRUMPIDO","Interrumpido",IF(Transportes!F132="TRÁNSITO RESTRINGIDO","Restringido","Normal")))</f>
        <v>Restringido</v>
      </c>
      <c r="T132" t="str">
        <f>TRIM(IF(MID(TRIM(Transportes!H132),1,FIND("-",TRIM(Transportes!H132),1)-2)="Acción humana","H","F"))</f>
        <v>F</v>
      </c>
      <c r="U132" s="53">
        <f>Transportes!G132</f>
        <v>81</v>
      </c>
    </row>
    <row r="133" spans="18:21">
      <c r="R133" t="str">
        <f>TRIM(MID(TRIM(Transportes!D133),1,FIND(CHAR(10),TRIM(Transportes!D133),1)-1))</f>
        <v>Moquegua</v>
      </c>
      <c r="S133" t="str">
        <f>TRIM(IF(Transportes!F133="TRÁNSITO INTERRUMPIDO","Interrumpido",IF(Transportes!F133="TRÁNSITO RESTRINGIDO","Restringido","Normal")))</f>
        <v>Restringido</v>
      </c>
      <c r="T133" t="str">
        <f>TRIM(IF(MID(TRIM(Transportes!H133),1,FIND("-",TRIM(Transportes!H133),1)-2)="Acción humana","H","F"))</f>
        <v>F</v>
      </c>
      <c r="U133" s="53">
        <f>Transportes!G133</f>
        <v>40</v>
      </c>
    </row>
    <row r="134" spans="18:21">
      <c r="R134" t="str">
        <f>TRIM(MID(TRIM(Transportes!D134),1,FIND(CHAR(10),TRIM(Transportes!D134),1)-1))</f>
        <v>Moquegua</v>
      </c>
      <c r="S134" t="str">
        <f>TRIM(IF(Transportes!F134="TRÁNSITO INTERRUMPIDO","Interrumpido",IF(Transportes!F134="TRÁNSITO RESTRINGIDO","Restringido","Normal")))</f>
        <v>Restringido</v>
      </c>
      <c r="T134" t="str">
        <f>TRIM(IF(MID(TRIM(Transportes!H134),1,FIND("-",TRIM(Transportes!H134),1)-2)="Acción humana","H","F"))</f>
        <v>F</v>
      </c>
      <c r="U134" s="53">
        <f>Transportes!G134</f>
        <v>63</v>
      </c>
    </row>
    <row r="135" spans="18:21">
      <c r="R135" t="str">
        <f>TRIM(MID(TRIM(Transportes!D135),1,FIND(CHAR(10),TRIM(Transportes!D135),1)-1))</f>
        <v>La Libertad</v>
      </c>
      <c r="S135" t="str">
        <f>TRIM(IF(Transportes!F135="TRÁNSITO INTERRUMPIDO","Interrumpido",IF(Transportes!F135="TRÁNSITO RESTRINGIDO","Restringido","Normal")))</f>
        <v>Restringido</v>
      </c>
      <c r="T135" t="str">
        <f>TRIM(IF(MID(TRIM(Transportes!H135),1,FIND("-",TRIM(Transportes!H135),1)-2)="Acción humana","H","F"))</f>
        <v>H</v>
      </c>
      <c r="U135" s="53" t="str">
        <f>Transportes!G135</f>
        <v>-</v>
      </c>
    </row>
    <row r="136" spans="18:21">
      <c r="R136" t="str">
        <f>TRIM(MID(TRIM(Transportes!D136),1,FIND(CHAR(10),TRIM(Transportes!D136),1)-1))</f>
        <v>Puno</v>
      </c>
      <c r="S136" t="str">
        <f>TRIM(IF(Transportes!F136="TRÁNSITO INTERRUMPIDO","Interrumpido",IF(Transportes!F136="TRÁNSITO RESTRINGIDO","Restringido","Normal")))</f>
        <v>Restringido</v>
      </c>
      <c r="T136" t="str">
        <f>TRIM(IF(MID(TRIM(Transportes!H136),1,FIND("-",TRIM(Transportes!H136),1)-2)="Acción humana","H","F"))</f>
        <v>F</v>
      </c>
      <c r="U136" s="53">
        <f>Transportes!G136</f>
        <v>60</v>
      </c>
    </row>
    <row r="137" spans="18:21">
      <c r="R137" t="str">
        <f>TRIM(MID(TRIM(Transportes!D137),1,FIND(CHAR(10),TRIM(Transportes!D137),1)-1))</f>
        <v>Cajamarca</v>
      </c>
      <c r="S137" t="str">
        <f>TRIM(IF(Transportes!F137="TRÁNSITO INTERRUMPIDO","Interrumpido",IF(Transportes!F137="TRÁNSITO RESTRINGIDO","Restringido","Normal")))</f>
        <v>Normal</v>
      </c>
      <c r="T137" t="str">
        <f>TRIM(IF(MID(TRIM(Transportes!H137),1,FIND("-",TRIM(Transportes!H137),1)-2)="Acción humana","H","F"))</f>
        <v>F</v>
      </c>
      <c r="U137" s="53">
        <f>Transportes!G137</f>
        <v>70</v>
      </c>
    </row>
    <row r="138" spans="18:21">
      <c r="R138" t="str">
        <f>TRIM(MID(TRIM(Transportes!D138),1,FIND(CHAR(10),TRIM(Transportes!D138),1)-1))</f>
        <v>Cajamarca</v>
      </c>
      <c r="S138" t="str">
        <f>TRIM(IF(Transportes!F138="TRÁNSITO INTERRUMPIDO","Interrumpido",IF(Transportes!F138="TRÁNSITO RESTRINGIDO","Restringido","Normal")))</f>
        <v>Normal</v>
      </c>
      <c r="T138" t="str">
        <f>TRIM(IF(MID(TRIM(Transportes!H138),1,FIND("-",TRIM(Transportes!H138),1)-2)="Acción humana","H","F"))</f>
        <v>F</v>
      </c>
      <c r="U138" s="53">
        <f>Transportes!G138</f>
        <v>100</v>
      </c>
    </row>
    <row r="139" spans="18:21">
      <c r="R139" t="str">
        <f>TRIM(MID(TRIM(Transportes!D139),1,FIND(CHAR(10),TRIM(Transportes!D139),1)-1))</f>
        <v>Ayacucho</v>
      </c>
      <c r="S139" t="str">
        <f>TRIM(IF(Transportes!F139="TRÁNSITO INTERRUMPIDO","Interrumpido",IF(Transportes!F139="TRÁNSITO RESTRINGIDO","Restringido","Normal")))</f>
        <v>Normal</v>
      </c>
      <c r="T139" t="str">
        <f>TRIM(IF(MID(TRIM(Transportes!H139),1,FIND("-",TRIM(Transportes!H139),1)-2)="Acción humana","H","F"))</f>
        <v>F</v>
      </c>
      <c r="U139" s="53">
        <f>Transportes!G139</f>
        <v>30</v>
      </c>
    </row>
    <row r="140" spans="18:21">
      <c r="R140" t="str">
        <f>TRIM(MID(TRIM(Transportes!D140),1,FIND(CHAR(10),TRIM(Transportes!D140),1)-1))</f>
        <v>Ucayali</v>
      </c>
      <c r="S140" t="str">
        <f>TRIM(IF(Transportes!F140="TRÁNSITO INTERRUMPIDO","Interrumpido",IF(Transportes!F140="TRÁNSITO RESTRINGIDO","Restringido","Normal")))</f>
        <v>Normal</v>
      </c>
      <c r="T140" t="str">
        <f>TRIM(IF(MID(TRIM(Transportes!H140),1,FIND("-",TRIM(Transportes!H140),1)-2)="Acción humana","H","F"))</f>
        <v>F</v>
      </c>
      <c r="U140" s="53">
        <f>Transportes!G140</f>
        <v>5</v>
      </c>
    </row>
    <row r="141" spans="18:21">
      <c r="R141" t="str">
        <f>TRIM(MID(TRIM(Transportes!D141),1,FIND(CHAR(10),TRIM(Transportes!D141),1)-1))</f>
        <v>Piura</v>
      </c>
      <c r="S141" t="str">
        <f>TRIM(IF(Transportes!F141="TRÁNSITO INTERRUMPIDO","Interrumpido",IF(Transportes!F141="TRÁNSITO RESTRINGIDO","Restringido","Normal")))</f>
        <v>Normal</v>
      </c>
      <c r="T141" t="str">
        <f>TRIM(IF(MID(TRIM(Transportes!H141),1,FIND("-",TRIM(Transportes!H141),1)-2)="Acción humana","H","F"))</f>
        <v>F</v>
      </c>
      <c r="U141" s="53">
        <f>Transportes!G141</f>
        <v>970</v>
      </c>
    </row>
    <row r="142" spans="18:21">
      <c r="R142" t="str">
        <f>TRIM(MID(TRIM(Transportes!D142),1,FIND(CHAR(10),TRIM(Transportes!D142),1)-1))</f>
        <v>Puno</v>
      </c>
      <c r="S142" t="str">
        <f>TRIM(IF(Transportes!F142="TRÁNSITO INTERRUMPIDO","Interrumpido",IF(Transportes!F142="TRÁNSITO RESTRINGIDO","Restringido","Normal")))</f>
        <v>Normal</v>
      </c>
      <c r="T142" t="str">
        <f>TRIM(IF(MID(TRIM(Transportes!H142),1,FIND("-",TRIM(Transportes!H142),1)-2)="Acción humana","H","F"))</f>
        <v>F</v>
      </c>
      <c r="U142" s="53">
        <f>Transportes!G142</f>
        <v>230</v>
      </c>
    </row>
    <row r="143" spans="18:21">
      <c r="R143" t="str">
        <f>TRIM(MID(TRIM(Transportes!D143),1,FIND(CHAR(10),TRIM(Transportes!D143),1)-1))</f>
        <v>Piura</v>
      </c>
      <c r="S143" t="str">
        <f>TRIM(IF(Transportes!F143="TRÁNSITO INTERRUMPIDO","Interrumpido",IF(Transportes!F143="TRÁNSITO RESTRINGIDO","Restringido","Normal")))</f>
        <v>Normal</v>
      </c>
      <c r="T143" t="str">
        <f>TRIM(IF(MID(TRIM(Transportes!H143),1,FIND("-",TRIM(Transportes!H143),1)-2)="Acción humana","H","F"))</f>
        <v>F</v>
      </c>
      <c r="U143" s="53">
        <f>Transportes!G143</f>
        <v>27</v>
      </c>
    </row>
    <row r="144" spans="18:21">
      <c r="R144" t="str">
        <f>TRIM(MID(TRIM(Transportes!D144),1,FIND(CHAR(10),TRIM(Transportes!D144),1)-1))</f>
        <v>Piura</v>
      </c>
      <c r="S144" t="str">
        <f>TRIM(IF(Transportes!F144="TRÁNSITO INTERRUMPIDO","Interrumpido",IF(Transportes!F144="TRÁNSITO RESTRINGIDO","Restringido","Normal")))</f>
        <v>Normal</v>
      </c>
      <c r="T144" t="str">
        <f>TRIM(IF(MID(TRIM(Transportes!H144),1,FIND("-",TRIM(Transportes!H144),1)-2)="Acción humana","H","F"))</f>
        <v>F</v>
      </c>
      <c r="U144" s="53">
        <f>Transportes!G144</f>
        <v>10</v>
      </c>
    </row>
    <row r="145" spans="18:21">
      <c r="R145" t="str">
        <f>TRIM(MID(TRIM(Transportes!D145),1,FIND(CHAR(10),TRIM(Transportes!D145),1)-1))</f>
        <v>Pasco</v>
      </c>
      <c r="S145" t="str">
        <f>TRIM(IF(Transportes!F145="TRÁNSITO INTERRUMPIDO","Interrumpido",IF(Transportes!F145="TRÁNSITO RESTRINGIDO","Restringido","Normal")))</f>
        <v>Normal</v>
      </c>
      <c r="T145" t="str">
        <f>TRIM(IF(MID(TRIM(Transportes!H145),1,FIND("-",TRIM(Transportes!H145),1)-2)="Acción humana","H","F"))</f>
        <v>F</v>
      </c>
      <c r="U145" s="53">
        <f>Transportes!G145</f>
        <v>20</v>
      </c>
    </row>
    <row r="146" spans="18:21">
      <c r="R146" t="e">
        <f>TRIM(MID(TRIM(Transportes!D146),1,FIND(CHAR(10),TRIM(Transportes!D146),1)-1))</f>
        <v>#VALUE!</v>
      </c>
      <c r="S146" t="str">
        <f>TRIM(IF(Transportes!F146="TRÁNSITO INTERRUMPIDO","Interrumpido",IF(Transportes!F146="TRÁNSITO RESTRINGIDO","Restringido","Normal")))</f>
        <v>Normal</v>
      </c>
      <c r="T146" t="e">
        <f>TRIM(IF(MID(TRIM(Transportes!H146),1,FIND("-",TRIM(Transportes!H146),1)-2)="Acción humana","H","F"))</f>
        <v>#VALUE!</v>
      </c>
      <c r="U146" s="53">
        <f>Transportes!G146</f>
        <v>0</v>
      </c>
    </row>
    <row r="147" spans="18:21">
      <c r="R147" t="e">
        <f>TRIM(MID(TRIM(Transportes!D147),1,FIND(CHAR(10),TRIM(Transportes!D147),1)-1))</f>
        <v>#VALUE!</v>
      </c>
      <c r="S147" t="str">
        <f>TRIM(IF(Transportes!F147="TRÁNSITO INTERRUMPIDO","Interrumpido",IF(Transportes!F147="TRÁNSITO RESTRINGIDO","Restringido","Normal")))</f>
        <v>Normal</v>
      </c>
      <c r="T147" t="e">
        <f>TRIM(IF(MID(TRIM(Transportes!H147),1,FIND("-",TRIM(Transportes!H147),1)-2)="Acción humana","H","F"))</f>
        <v>#VALUE!</v>
      </c>
      <c r="U147" s="53">
        <f>Transportes!G147</f>
        <v>0</v>
      </c>
    </row>
    <row r="148" spans="18:21">
      <c r="R148" t="e">
        <f>TRIM(MID(TRIM(Transportes!D148),1,FIND(CHAR(10),TRIM(Transportes!D148),1)-1))</f>
        <v>#VALUE!</v>
      </c>
      <c r="S148" t="str">
        <f>TRIM(IF(Transportes!F148="TRÁNSITO INTERRUMPIDO","Interrumpido",IF(Transportes!F148="TRÁNSITO RESTRINGIDO","Restringido","Normal")))</f>
        <v>Normal</v>
      </c>
      <c r="T148" t="e">
        <f>TRIM(IF(MID(TRIM(Transportes!H148),1,FIND("-",TRIM(Transportes!H148),1)-2)="Acción humana","H","F"))</f>
        <v>#VALUE!</v>
      </c>
      <c r="U148" s="53">
        <f>Transportes!G148</f>
        <v>0</v>
      </c>
    </row>
    <row r="149" spans="18:21">
      <c r="R149" t="e">
        <f>TRIM(MID(TRIM(Transportes!D149),1,FIND(CHAR(10),TRIM(Transportes!D149),1)-1))</f>
        <v>#VALUE!</v>
      </c>
      <c r="S149" t="str">
        <f>TRIM(IF(Transportes!F149="TRÁNSITO INTERRUMPIDO","Interrumpido",IF(Transportes!F149="TRÁNSITO RESTRINGIDO","Restringido","Normal")))</f>
        <v>Normal</v>
      </c>
      <c r="T149" t="e">
        <f>TRIM(IF(MID(TRIM(Transportes!H149),1,FIND("-",TRIM(Transportes!H149),1)-2)="Acción humana","H","F"))</f>
        <v>#VALUE!</v>
      </c>
      <c r="U149" s="53">
        <f>Transportes!G149</f>
        <v>0</v>
      </c>
    </row>
    <row r="150" spans="18:21">
      <c r="R150" t="e">
        <f>TRIM(MID(TRIM(Transportes!D150),1,FIND(CHAR(10),TRIM(Transportes!D150),1)-1))</f>
        <v>#VALUE!</v>
      </c>
      <c r="S150" t="str">
        <f>TRIM(IF(Transportes!F150="TRÁNSITO INTERRUMPIDO","Interrumpido",IF(Transportes!F150="TRÁNSITO RESTRINGIDO","Restringido","Normal")))</f>
        <v>Normal</v>
      </c>
      <c r="T150" t="e">
        <f>TRIM(IF(MID(TRIM(Transportes!H150),1,FIND("-",TRIM(Transportes!H150),1)-2)="Acción humana","H","F"))</f>
        <v>#VALUE!</v>
      </c>
      <c r="U150" s="53">
        <f>Transportes!G150</f>
        <v>0</v>
      </c>
    </row>
    <row r="151" spans="18:21">
      <c r="R151" t="e">
        <f>TRIM(MID(TRIM(Transportes!D151),1,FIND(CHAR(10),TRIM(Transportes!D151),1)-1))</f>
        <v>#VALUE!</v>
      </c>
      <c r="S151" t="str">
        <f>TRIM(IF(Transportes!F151="TRÁNSITO INTERRUMPIDO","Interrumpido",IF(Transportes!F151="TRÁNSITO RESTRINGIDO","Restringido","Normal")))</f>
        <v>Normal</v>
      </c>
      <c r="T151" t="e">
        <f>TRIM(IF(MID(TRIM(Transportes!H151),1,FIND("-",TRIM(Transportes!H151),1)-2)="Acción humana","H","F"))</f>
        <v>#VALUE!</v>
      </c>
      <c r="U151" s="53">
        <f>Transportes!G151</f>
        <v>0</v>
      </c>
    </row>
    <row r="152" spans="18:21">
      <c r="R152" t="e">
        <f>TRIM(MID(TRIM(Transportes!D152),1,FIND(CHAR(10),TRIM(Transportes!D152),1)-1))</f>
        <v>#VALUE!</v>
      </c>
      <c r="S152" t="str">
        <f>TRIM(IF(Transportes!F152="TRÁNSITO INTERRUMPIDO","Interrumpido",IF(Transportes!F152="TRÁNSITO RESTRINGIDO","Restringido","Normal")))</f>
        <v>Normal</v>
      </c>
      <c r="T152" t="e">
        <f>TRIM(IF(MID(TRIM(Transportes!H152),1,FIND("-",TRIM(Transportes!H152),1)-2)="Acción humana","H","F"))</f>
        <v>#VALUE!</v>
      </c>
      <c r="U152" s="53">
        <f>Transportes!G152</f>
        <v>0</v>
      </c>
    </row>
    <row r="153" spans="18:21">
      <c r="R153" t="e">
        <f>TRIM(MID(TRIM(Transportes!D153),1,FIND(CHAR(10),TRIM(Transportes!D153),1)-1))</f>
        <v>#VALUE!</v>
      </c>
      <c r="S153" t="str">
        <f>TRIM(IF(Transportes!F153="TRÁNSITO INTERRUMPIDO","Interrumpido",IF(Transportes!F153="TRÁNSITO RESTRINGIDO","Restringido","Normal")))</f>
        <v>Normal</v>
      </c>
      <c r="T153" t="e">
        <f>TRIM(IF(MID(TRIM(Transportes!H153),1,FIND("-",TRIM(Transportes!H153),1)-2)="Acción humana","H","F"))</f>
        <v>#VALUE!</v>
      </c>
      <c r="U153" s="53">
        <f>Transportes!G153</f>
        <v>0</v>
      </c>
    </row>
    <row r="154" spans="18:21">
      <c r="R154" t="e">
        <f>TRIM(MID(TRIM(Transportes!D154),1,FIND(CHAR(10),TRIM(Transportes!D154),1)-1))</f>
        <v>#VALUE!</v>
      </c>
      <c r="S154" t="str">
        <f>TRIM(IF(Transportes!F154="TRÁNSITO INTERRUMPIDO","Interrumpido",IF(Transportes!F154="TRÁNSITO RESTRINGIDO","Restringido","Normal")))</f>
        <v>Normal</v>
      </c>
      <c r="T154" t="e">
        <f>TRIM(IF(MID(TRIM(Transportes!H154),1,FIND("-",TRIM(Transportes!H154),1)-2)="Acción humana","H","F"))</f>
        <v>#VALUE!</v>
      </c>
      <c r="U154" s="53">
        <f>Transportes!G154</f>
        <v>0</v>
      </c>
    </row>
    <row r="155" spans="18:21">
      <c r="R155" t="e">
        <f>TRIM(MID(TRIM(Transportes!D155),1,FIND(CHAR(10),TRIM(Transportes!D155),1)-1))</f>
        <v>#VALUE!</v>
      </c>
      <c r="S155" t="str">
        <f>TRIM(IF(Transportes!F155="TRÁNSITO INTERRUMPIDO","Interrumpido",IF(Transportes!F155="TRÁNSITO RESTRINGIDO","Restringido","Normal")))</f>
        <v>Normal</v>
      </c>
      <c r="T155" t="e">
        <f>TRIM(IF(MID(TRIM(Transportes!H155),1,FIND("-",TRIM(Transportes!H155),1)-2)="Acción humana","H","F"))</f>
        <v>#VALUE!</v>
      </c>
      <c r="U155" s="53">
        <f>Transportes!G155</f>
        <v>0</v>
      </c>
    </row>
    <row r="156" spans="18:21">
      <c r="R156" t="e">
        <f>TRIM(MID(TRIM(Transportes!D156),1,FIND(CHAR(10),TRIM(Transportes!D156),1)-1))</f>
        <v>#VALUE!</v>
      </c>
      <c r="S156" t="str">
        <f>TRIM(IF(Transportes!F156="TRÁNSITO INTERRUMPIDO","Interrumpido",IF(Transportes!F156="TRÁNSITO RESTRINGIDO","Restringido","Normal")))</f>
        <v>Normal</v>
      </c>
      <c r="T156" t="e">
        <f>TRIM(IF(MID(TRIM(Transportes!H156),1,FIND("-",TRIM(Transportes!H156),1)-2)="Acción humana","H","F"))</f>
        <v>#VALUE!</v>
      </c>
      <c r="U156" s="53">
        <f>Transportes!G156</f>
        <v>0</v>
      </c>
    </row>
    <row r="157" spans="18:21">
      <c r="R157" t="e">
        <f>TRIM(MID(TRIM(Transportes!D157),1,FIND(CHAR(10),TRIM(Transportes!D157),1)-1))</f>
        <v>#VALUE!</v>
      </c>
      <c r="S157" t="str">
        <f>TRIM(IF(Transportes!F157="TRÁNSITO INTERRUMPIDO","Interrumpido",IF(Transportes!F157="TRÁNSITO RESTRINGIDO","Restringido","Normal")))</f>
        <v>Normal</v>
      </c>
      <c r="T157" t="e">
        <f>TRIM(IF(MID(TRIM(Transportes!H157),1,FIND("-",TRIM(Transportes!H157),1)-2)="Acción humana","H","F"))</f>
        <v>#VALUE!</v>
      </c>
      <c r="U157" s="53">
        <f>Transportes!G157</f>
        <v>0</v>
      </c>
    </row>
    <row r="158" spans="18:21">
      <c r="R158" t="e">
        <f>TRIM(MID(TRIM(Transportes!D158),1,FIND(CHAR(10),TRIM(Transportes!D158),1)-1))</f>
        <v>#VALUE!</v>
      </c>
      <c r="S158" t="str">
        <f>TRIM(IF(Transportes!F158="TRÁNSITO INTERRUMPIDO","Interrumpido",IF(Transportes!F158="TRÁNSITO RESTRINGIDO","Restringido","Normal")))</f>
        <v>Normal</v>
      </c>
      <c r="T158" t="e">
        <f>TRIM(IF(MID(TRIM(Transportes!H158),1,FIND("-",TRIM(Transportes!H158),1)-2)="Acción humana","H","F"))</f>
        <v>#VALUE!</v>
      </c>
      <c r="U158" s="53">
        <f>Transportes!G158</f>
        <v>0</v>
      </c>
    </row>
    <row r="159" spans="18:21">
      <c r="R159" t="e">
        <f>TRIM(MID(TRIM(Transportes!D159),1,FIND(CHAR(10),TRIM(Transportes!D159),1)-1))</f>
        <v>#VALUE!</v>
      </c>
      <c r="S159" t="str">
        <f>TRIM(IF(Transportes!F159="TRÁNSITO INTERRUMPIDO","Interrumpido",IF(Transportes!F159="TRÁNSITO RESTRINGIDO","Restringido","Normal")))</f>
        <v>Normal</v>
      </c>
      <c r="T159" t="e">
        <f>TRIM(IF(MID(TRIM(Transportes!H159),1,FIND("-",TRIM(Transportes!H159),1)-2)="Acción humana","H","F"))</f>
        <v>#VALUE!</v>
      </c>
      <c r="U159" s="53">
        <f>Transportes!G159</f>
        <v>0</v>
      </c>
    </row>
    <row r="160" spans="18:21">
      <c r="R160" t="e">
        <f>TRIM(MID(TRIM(Transportes!D160),1,FIND(CHAR(10),TRIM(Transportes!D160),1)-1))</f>
        <v>#VALUE!</v>
      </c>
      <c r="S160" t="str">
        <f>TRIM(IF(Transportes!F160="TRÁNSITO INTERRUMPIDO","Interrumpido",IF(Transportes!F160="TRÁNSITO RESTRINGIDO","Restringido","Normal")))</f>
        <v>Normal</v>
      </c>
      <c r="T160" t="e">
        <f>TRIM(IF(MID(TRIM(Transportes!H160),1,FIND("-",TRIM(Transportes!H160),1)-2)="Acción humana","H","F"))</f>
        <v>#VALUE!</v>
      </c>
      <c r="U160" s="53">
        <f>Transportes!G160</f>
        <v>0</v>
      </c>
    </row>
    <row r="161" spans="18:21">
      <c r="R161" t="e">
        <f>TRIM(MID(TRIM(Transportes!D161),1,FIND(CHAR(10),TRIM(Transportes!D161),1)-1))</f>
        <v>#VALUE!</v>
      </c>
      <c r="S161" t="str">
        <f>TRIM(IF(Transportes!F161="TRÁNSITO INTERRUMPIDO","Interrumpido",IF(Transportes!F161="TRÁNSITO RESTRINGIDO","Restringido","Normal")))</f>
        <v>Normal</v>
      </c>
      <c r="T161" t="e">
        <f>TRIM(IF(MID(TRIM(Transportes!H161),1,FIND("-",TRIM(Transportes!H161),1)-2)="Acción humana","H","F"))</f>
        <v>#VALUE!</v>
      </c>
      <c r="U161" s="53">
        <f>Transportes!G161</f>
        <v>0</v>
      </c>
    </row>
    <row r="162" spans="18:21">
      <c r="R162" t="e">
        <f>TRIM(MID(TRIM(Transportes!D162),1,FIND(CHAR(10),TRIM(Transportes!D162),1)-1))</f>
        <v>#VALUE!</v>
      </c>
      <c r="S162" t="str">
        <f>TRIM(IF(Transportes!F162="TRÁNSITO INTERRUMPIDO","Interrumpido",IF(Transportes!F162="TRÁNSITO RESTRINGIDO","Restringido","Normal")))</f>
        <v>Normal</v>
      </c>
      <c r="T162" t="e">
        <f>TRIM(IF(MID(TRIM(Transportes!H162),1,FIND("-",TRIM(Transportes!H162),1)-2)="Acción humana","H","F"))</f>
        <v>#VALUE!</v>
      </c>
      <c r="U162" s="53">
        <f>Transportes!G162</f>
        <v>0</v>
      </c>
    </row>
    <row r="163" spans="18:21">
      <c r="R163" t="e">
        <f>TRIM(MID(TRIM(Transportes!D163),1,FIND(CHAR(10),TRIM(Transportes!D163),1)-1))</f>
        <v>#VALUE!</v>
      </c>
      <c r="S163" t="str">
        <f>TRIM(IF(Transportes!F163="TRÁNSITO INTERRUMPIDO","Interrumpido",IF(Transportes!F163="TRÁNSITO RESTRINGIDO","Restringido","Normal")))</f>
        <v>Normal</v>
      </c>
      <c r="T163" t="e">
        <f>TRIM(IF(MID(TRIM(Transportes!H163),1,FIND("-",TRIM(Transportes!H163),1)-2)="Acción humana","H","F"))</f>
        <v>#VALUE!</v>
      </c>
      <c r="U163" s="53">
        <f>Transportes!G163</f>
        <v>0</v>
      </c>
    </row>
    <row r="164" spans="18:21">
      <c r="R164" t="e">
        <f>TRIM(MID(TRIM(Transportes!D164),1,FIND(CHAR(10),TRIM(Transportes!D164),1)-1))</f>
        <v>#VALUE!</v>
      </c>
      <c r="S164" t="str">
        <f>TRIM(IF(Transportes!F164="TRÁNSITO INTERRUMPIDO","Interrumpido",IF(Transportes!F164="TRÁNSITO RESTRINGIDO","Restringido","Normal")))</f>
        <v>Normal</v>
      </c>
      <c r="T164" t="e">
        <f>TRIM(IF(MID(TRIM(Transportes!H164),1,FIND("-",TRIM(Transportes!H164),1)-2)="Acción humana","H","F"))</f>
        <v>#VALUE!</v>
      </c>
      <c r="U164" s="53">
        <f>Transportes!G164</f>
        <v>0</v>
      </c>
    </row>
    <row r="165" spans="18:21">
      <c r="R165" t="e">
        <f>TRIM(MID(TRIM(Transportes!D165),1,FIND(CHAR(10),TRIM(Transportes!D165),1)-1))</f>
        <v>#VALUE!</v>
      </c>
      <c r="S165" t="str">
        <f>TRIM(IF(Transportes!F165="TRÁNSITO INTERRUMPIDO","Interrumpido",IF(Transportes!F165="TRÁNSITO RESTRINGIDO","Restringido","Normal")))</f>
        <v>Normal</v>
      </c>
      <c r="T165" t="e">
        <f>TRIM(IF(MID(TRIM(Transportes!H165),1,FIND("-",TRIM(Transportes!H165),1)-2)="Acción humana","H","F"))</f>
        <v>#VALUE!</v>
      </c>
      <c r="U165" s="53">
        <f>Transportes!G165</f>
        <v>0</v>
      </c>
    </row>
    <row r="166" spans="18:21">
      <c r="R166" t="e">
        <f>TRIM(MID(TRIM(Transportes!D166),1,FIND(CHAR(10),TRIM(Transportes!D166),1)-1))</f>
        <v>#VALUE!</v>
      </c>
      <c r="S166" t="str">
        <f>TRIM(IF(Transportes!F166="TRÁNSITO INTERRUMPIDO","Interrumpido",IF(Transportes!F166="TRÁNSITO RESTRINGIDO","Restringido","Normal")))</f>
        <v>Normal</v>
      </c>
      <c r="T166" t="e">
        <f>TRIM(IF(MID(TRIM(Transportes!H166),1,FIND("-",TRIM(Transportes!H166),1)-2)="Acción humana","H","F"))</f>
        <v>#VALUE!</v>
      </c>
      <c r="U166" s="53">
        <f>Transportes!G166</f>
        <v>0</v>
      </c>
    </row>
    <row r="167" spans="18:21">
      <c r="R167" t="e">
        <f>TRIM(MID(TRIM(Transportes!D167),1,FIND(CHAR(10),TRIM(Transportes!D167),1)-1))</f>
        <v>#VALUE!</v>
      </c>
      <c r="S167" t="str">
        <f>TRIM(IF(Transportes!F167="TRÁNSITO INTERRUMPIDO","Interrumpido",IF(Transportes!F167="TRÁNSITO RESTRINGIDO","Restringido","Normal")))</f>
        <v>Normal</v>
      </c>
      <c r="T167" t="e">
        <f>TRIM(IF(MID(TRIM(Transportes!H167),1,FIND("-",TRIM(Transportes!H167),1)-2)="Acción humana","H","F"))</f>
        <v>#VALUE!</v>
      </c>
      <c r="U167" s="53">
        <f>Transportes!G167</f>
        <v>0</v>
      </c>
    </row>
    <row r="168" spans="18:21">
      <c r="R168" t="e">
        <f>TRIM(MID(TRIM(Transportes!D168),1,FIND(CHAR(10),TRIM(Transportes!D168),1)-1))</f>
        <v>#VALUE!</v>
      </c>
      <c r="S168" t="str">
        <f>TRIM(IF(Transportes!F168="TRÁNSITO INTERRUMPIDO","Interrumpido",IF(Transportes!F168="TRÁNSITO RESTRINGIDO","Restringido","Normal")))</f>
        <v>Normal</v>
      </c>
      <c r="T168" t="e">
        <f>TRIM(IF(MID(TRIM(Transportes!H168),1,FIND("-",TRIM(Transportes!H168),1)-2)="Acción humana","H","F"))</f>
        <v>#VALUE!</v>
      </c>
      <c r="U168" s="53">
        <f>Transportes!G168</f>
        <v>0</v>
      </c>
    </row>
    <row r="169" spans="18:21">
      <c r="R169" t="e">
        <f>TRIM(MID(TRIM(Transportes!D169),1,FIND(CHAR(10),TRIM(Transportes!D169),1)-1))</f>
        <v>#VALUE!</v>
      </c>
      <c r="S169" t="str">
        <f>TRIM(IF(Transportes!F169="TRÁNSITO INTERRUMPIDO","Interrumpido",IF(Transportes!F169="TRÁNSITO RESTRINGIDO","Restringido","Normal")))</f>
        <v>Normal</v>
      </c>
      <c r="T169" t="e">
        <f>TRIM(IF(MID(TRIM(Transportes!H169),1,FIND("-",TRIM(Transportes!H169),1)-2)="Acción humana","H","F"))</f>
        <v>#VALUE!</v>
      </c>
      <c r="U169" s="53">
        <f>Transportes!G169</f>
        <v>0</v>
      </c>
    </row>
    <row r="170" spans="18:21">
      <c r="R170" t="e">
        <f>TRIM(MID(TRIM(Transportes!D170),1,FIND(CHAR(10),TRIM(Transportes!D170),1)-1))</f>
        <v>#VALUE!</v>
      </c>
      <c r="S170" t="str">
        <f>TRIM(IF(Transportes!F170="TRÁNSITO INTERRUMPIDO","Interrumpido",IF(Transportes!F170="TRÁNSITO RESTRINGIDO","Restringido","Normal")))</f>
        <v>Normal</v>
      </c>
      <c r="T170" t="e">
        <f>TRIM(IF(MID(TRIM(Transportes!H170),1,FIND("-",TRIM(Transportes!H170),1)-2)="Acción humana","H","F"))</f>
        <v>#VALUE!</v>
      </c>
      <c r="U170" s="53">
        <f>Transportes!G170</f>
        <v>0</v>
      </c>
    </row>
    <row r="171" spans="18:21">
      <c r="R171" t="e">
        <f>TRIM(MID(TRIM(Transportes!D171),1,FIND(CHAR(10),TRIM(Transportes!D171),1)-1))</f>
        <v>#VALUE!</v>
      </c>
      <c r="S171" t="str">
        <f>TRIM(IF(Transportes!F171="TRÁNSITO INTERRUMPIDO","Interrumpido",IF(Transportes!F171="TRÁNSITO RESTRINGIDO","Restringido","Normal")))</f>
        <v>Normal</v>
      </c>
      <c r="T171" t="e">
        <f>TRIM(IF(MID(TRIM(Transportes!H171),1,FIND("-",TRIM(Transportes!H171),1)-2)="Acción humana","H","F"))</f>
        <v>#VALUE!</v>
      </c>
      <c r="U171" s="53">
        <f>Transportes!G171</f>
        <v>0</v>
      </c>
    </row>
    <row r="172" spans="18:21">
      <c r="R172" t="e">
        <f>TRIM(MID(TRIM(Transportes!D172),1,FIND(CHAR(10),TRIM(Transportes!D172),1)-1))</f>
        <v>#VALUE!</v>
      </c>
      <c r="S172" t="str">
        <f>TRIM(IF(Transportes!F172="TRÁNSITO INTERRUMPIDO","Interrumpido",IF(Transportes!F172="TRÁNSITO RESTRINGIDO","Restringido","Normal")))</f>
        <v>Normal</v>
      </c>
      <c r="T172" t="e">
        <f>TRIM(IF(MID(TRIM(Transportes!H172),1,FIND("-",TRIM(Transportes!H172),1)-2)="Acción humana","H","F"))</f>
        <v>#VALUE!</v>
      </c>
      <c r="U172" s="53">
        <f>Transportes!G172</f>
        <v>0</v>
      </c>
    </row>
    <row r="173" spans="18:21">
      <c r="R173" t="e">
        <f>TRIM(MID(TRIM(Transportes!D173),1,FIND(CHAR(10),TRIM(Transportes!D173),1)-1))</f>
        <v>#VALUE!</v>
      </c>
      <c r="S173" t="str">
        <f>TRIM(IF(Transportes!F173="TRÁNSITO INTERRUMPIDO","Interrumpido",IF(Transportes!F173="TRÁNSITO RESTRINGIDO","Restringido","Normal")))</f>
        <v>Normal</v>
      </c>
      <c r="T173" t="e">
        <f>TRIM(IF(MID(TRIM(Transportes!H173),1,FIND("-",TRIM(Transportes!H173),1)-2)="Acción humana","H","F"))</f>
        <v>#VALUE!</v>
      </c>
      <c r="U173" s="53">
        <f>Transportes!G173</f>
        <v>0</v>
      </c>
    </row>
    <row r="174" spans="18:21">
      <c r="R174" t="e">
        <f>TRIM(MID(TRIM(Transportes!D174),1,FIND(CHAR(10),TRIM(Transportes!D174),1)-1))</f>
        <v>#VALUE!</v>
      </c>
      <c r="S174" t="str">
        <f>TRIM(IF(Transportes!F174="TRÁNSITO INTERRUMPIDO","Interrumpido",IF(Transportes!F174="TRÁNSITO RESTRINGIDO","Restringido","Normal")))</f>
        <v>Normal</v>
      </c>
      <c r="T174" t="e">
        <f>TRIM(IF(MID(TRIM(Transportes!H174),1,FIND("-",TRIM(Transportes!H174),1)-2)="Acción humana","H","F"))</f>
        <v>#VALUE!</v>
      </c>
      <c r="U174" s="53">
        <f>Transportes!G174</f>
        <v>0</v>
      </c>
    </row>
    <row r="175" spans="18:21">
      <c r="R175" t="e">
        <f>TRIM(MID(TRIM(Transportes!D175),1,FIND(CHAR(10),TRIM(Transportes!D175),1)-1))</f>
        <v>#VALUE!</v>
      </c>
      <c r="S175" t="str">
        <f>TRIM(IF(Transportes!F175="TRÁNSITO INTERRUMPIDO","Interrumpido",IF(Transportes!F175="TRÁNSITO RESTRINGIDO","Restringido","Normal")))</f>
        <v>Normal</v>
      </c>
      <c r="T175" t="e">
        <f>TRIM(IF(MID(TRIM(Transportes!H175),1,FIND("-",TRIM(Transportes!H175),1)-2)="Acción humana","H","F"))</f>
        <v>#VALUE!</v>
      </c>
      <c r="U175" s="53">
        <f>Transportes!G175</f>
        <v>0</v>
      </c>
    </row>
    <row r="176" spans="18:21">
      <c r="R176" t="e">
        <f>TRIM(MID(TRIM(Transportes!D176),1,FIND(CHAR(10),TRIM(Transportes!D176),1)-1))</f>
        <v>#VALUE!</v>
      </c>
      <c r="S176" t="str">
        <f>TRIM(IF(Transportes!F176="TRÁNSITO INTERRUMPIDO","Interrumpido",IF(Transportes!F176="TRÁNSITO RESTRINGIDO","Restringido","Normal")))</f>
        <v>Normal</v>
      </c>
      <c r="T176" t="e">
        <f>TRIM(IF(MID(TRIM(Transportes!H176),1,FIND("-",TRIM(Transportes!H176),1)-2)="Acción humana","H","F"))</f>
        <v>#VALUE!</v>
      </c>
      <c r="U176" s="53">
        <f>Transportes!G176</f>
        <v>0</v>
      </c>
    </row>
    <row r="177" spans="18:21">
      <c r="R177" t="e">
        <f>TRIM(MID(TRIM(Transportes!D177),1,FIND(CHAR(10),TRIM(Transportes!D177),1)-1))</f>
        <v>#VALUE!</v>
      </c>
      <c r="S177" t="str">
        <f>TRIM(IF(Transportes!F177="TRÁNSITO INTERRUMPIDO","Interrumpido",IF(Transportes!F177="TRÁNSITO RESTRINGIDO","Restringido","Normal")))</f>
        <v>Normal</v>
      </c>
      <c r="T177" t="e">
        <f>TRIM(IF(MID(TRIM(Transportes!H177),1,FIND("-",TRIM(Transportes!H177),1)-2)="Acción humana","H","F"))</f>
        <v>#VALUE!</v>
      </c>
      <c r="U177" s="53">
        <f>Transportes!G177</f>
        <v>0</v>
      </c>
    </row>
    <row r="178" spans="18:21">
      <c r="R178" t="e">
        <f>TRIM(MID(TRIM(Transportes!D178),1,FIND(CHAR(10),TRIM(Transportes!D178),1)-1))</f>
        <v>#VALUE!</v>
      </c>
      <c r="S178" t="str">
        <f>TRIM(IF(Transportes!F178="TRÁNSITO INTERRUMPIDO","Interrumpido",IF(Transportes!F178="TRÁNSITO RESTRINGIDO","Restringido","Normal")))</f>
        <v>Normal</v>
      </c>
      <c r="T178" t="e">
        <f>TRIM(IF(MID(TRIM(Transportes!H178),1,FIND("-",TRIM(Transportes!H178),1)-2)="Acción humana","H","F"))</f>
        <v>#VALUE!</v>
      </c>
      <c r="U178" s="53">
        <f>Transportes!G178</f>
        <v>0</v>
      </c>
    </row>
    <row r="179" spans="18:21">
      <c r="R179" t="e">
        <f>TRIM(MID(TRIM(Transportes!D179),1,FIND(CHAR(10),TRIM(Transportes!D179),1)-1))</f>
        <v>#VALUE!</v>
      </c>
      <c r="S179" t="str">
        <f>TRIM(IF(Transportes!F179="TRÁNSITO INTERRUMPIDO","Interrumpido",IF(Transportes!F179="TRÁNSITO RESTRINGIDO","Restringido","Normal")))</f>
        <v>Normal</v>
      </c>
      <c r="T179" t="e">
        <f>TRIM(IF(MID(TRIM(Transportes!H179),1,FIND("-",TRIM(Transportes!H179),1)-2)="Acción humana","H","F"))</f>
        <v>#VALUE!</v>
      </c>
      <c r="U179" s="53">
        <f>Transportes!G179</f>
        <v>0</v>
      </c>
    </row>
    <row r="180" spans="18:21">
      <c r="R180" t="e">
        <f>TRIM(MID(TRIM(Transportes!D180),1,FIND(CHAR(10),TRIM(Transportes!D180),1)-1))</f>
        <v>#VALUE!</v>
      </c>
      <c r="S180" t="str">
        <f>TRIM(IF(Transportes!F180="TRÁNSITO INTERRUMPIDO","Interrumpido",IF(Transportes!F180="TRÁNSITO RESTRINGIDO","Restringido","Normal")))</f>
        <v>Normal</v>
      </c>
      <c r="T180" t="e">
        <f>TRIM(IF(MID(TRIM(Transportes!H180),1,FIND("-",TRIM(Transportes!H180),1)-2)="Acción humana","H","F"))</f>
        <v>#VALUE!</v>
      </c>
      <c r="U180" s="53">
        <f>Transportes!G180</f>
        <v>0</v>
      </c>
    </row>
    <row r="181" spans="18:21">
      <c r="R181" t="e">
        <f>TRIM(MID(TRIM(Transportes!D181),1,FIND(CHAR(10),TRIM(Transportes!D181),1)-1))</f>
        <v>#VALUE!</v>
      </c>
      <c r="S181" t="str">
        <f>TRIM(IF(Transportes!F181="TRÁNSITO INTERRUMPIDO","Interrumpido",IF(Transportes!F181="TRÁNSITO RESTRINGIDO","Restringido","Normal")))</f>
        <v>Normal</v>
      </c>
      <c r="T181" t="e">
        <f>TRIM(IF(MID(TRIM(Transportes!H181),1,FIND("-",TRIM(Transportes!H181),1)-2)="Acción humana","H","F"))</f>
        <v>#VALUE!</v>
      </c>
      <c r="U181" s="53">
        <f>Transportes!G181</f>
        <v>0</v>
      </c>
    </row>
    <row r="182" spans="18:21">
      <c r="R182" t="e">
        <f>TRIM(MID(TRIM(Transportes!D182),1,FIND(CHAR(10),TRIM(Transportes!D182),1)-1))</f>
        <v>#VALUE!</v>
      </c>
      <c r="S182" t="str">
        <f>TRIM(IF(Transportes!F182="TRÁNSITO INTERRUMPIDO","Interrumpido",IF(Transportes!F182="TRÁNSITO RESTRINGIDO","Restringido","Normal")))</f>
        <v>Normal</v>
      </c>
      <c r="T182" t="e">
        <f>TRIM(IF(MID(TRIM(Transportes!H182),1,FIND("-",TRIM(Transportes!H182),1)-2)="Acción humana","H","F"))</f>
        <v>#VALUE!</v>
      </c>
      <c r="U182" s="53">
        <f>Transportes!G182</f>
        <v>0</v>
      </c>
    </row>
    <row r="183" spans="18:21">
      <c r="R183" t="e">
        <f>TRIM(MID(TRIM(Transportes!D183),1,FIND(CHAR(10),TRIM(Transportes!D183),1)-1))</f>
        <v>#VALUE!</v>
      </c>
      <c r="S183" t="str">
        <f>TRIM(IF(Transportes!F183="TRÁNSITO INTERRUMPIDO","Interrumpido",IF(Transportes!F183="TRÁNSITO RESTRINGIDO","Restringido","Normal")))</f>
        <v>Normal</v>
      </c>
      <c r="T183" t="e">
        <f>TRIM(IF(MID(TRIM(Transportes!H183),1,FIND("-",TRIM(Transportes!H183),1)-2)="Acción humana","H","F"))</f>
        <v>#VALUE!</v>
      </c>
      <c r="U183" s="53">
        <f>Transportes!G183</f>
        <v>0</v>
      </c>
    </row>
    <row r="184" spans="18:21">
      <c r="R184" t="e">
        <f>TRIM(MID(TRIM(Transportes!D184),1,FIND(CHAR(10),TRIM(Transportes!D184),1)-1))</f>
        <v>#VALUE!</v>
      </c>
      <c r="S184" t="str">
        <f>TRIM(IF(Transportes!F184="TRÁNSITO INTERRUMPIDO","Interrumpido",IF(Transportes!F184="TRÁNSITO RESTRINGIDO","Restringido","Normal")))</f>
        <v>Normal</v>
      </c>
      <c r="T184" t="e">
        <f>TRIM(IF(MID(TRIM(Transportes!H184),1,FIND("-",TRIM(Transportes!H184),1)-2)="Acción humana","H","F"))</f>
        <v>#VALUE!</v>
      </c>
      <c r="U184" s="53">
        <f>Transportes!G184</f>
        <v>0</v>
      </c>
    </row>
    <row r="185" spans="18:21">
      <c r="R185" t="e">
        <f>TRIM(MID(TRIM(Transportes!D185),1,FIND(CHAR(10),TRIM(Transportes!D185),1)-1))</f>
        <v>#VALUE!</v>
      </c>
      <c r="S185" t="str">
        <f>TRIM(IF(Transportes!F185="TRÁNSITO INTERRUMPIDO","Interrumpido",IF(Transportes!F185="TRÁNSITO RESTRINGIDO","Restringido","Normal")))</f>
        <v>Normal</v>
      </c>
      <c r="T185" t="e">
        <f>TRIM(IF(MID(TRIM(Transportes!H185),1,FIND("-",TRIM(Transportes!H185),1)-2)="Acción humana","H","F"))</f>
        <v>#VALUE!</v>
      </c>
      <c r="U185" s="53">
        <f>Transportes!G185</f>
        <v>0</v>
      </c>
    </row>
    <row r="186" spans="18:21">
      <c r="R186" t="e">
        <f>TRIM(MID(TRIM(Transportes!D186),1,FIND(CHAR(10),TRIM(Transportes!D186),1)-1))</f>
        <v>#VALUE!</v>
      </c>
      <c r="S186" t="str">
        <f>TRIM(IF(Transportes!F186="TRÁNSITO INTERRUMPIDO","Interrumpido",IF(Transportes!F186="TRÁNSITO RESTRINGIDO","Restringido","Normal")))</f>
        <v>Normal</v>
      </c>
      <c r="T186" t="e">
        <f>TRIM(IF(MID(TRIM(Transportes!H186),1,FIND("-",TRIM(Transportes!H186),1)-2)="Acción humana","H","F"))</f>
        <v>#VALUE!</v>
      </c>
      <c r="U186" s="53">
        <f>Transportes!G186</f>
        <v>0</v>
      </c>
    </row>
    <row r="187" spans="18:21">
      <c r="R187" t="e">
        <f>TRIM(MID(TRIM(Transportes!D187),1,FIND(CHAR(10),TRIM(Transportes!D187),1)-1))</f>
        <v>#VALUE!</v>
      </c>
      <c r="S187" t="str">
        <f>TRIM(IF(Transportes!F187="TRÁNSITO INTERRUMPIDO","Interrumpido",IF(Transportes!F187="TRÁNSITO RESTRINGIDO","Restringido","Normal")))</f>
        <v>Normal</v>
      </c>
      <c r="T187" t="e">
        <f>TRIM(IF(MID(TRIM(Transportes!H187),1,FIND("-",TRIM(Transportes!H187),1)-2)="Acción humana","H","F"))</f>
        <v>#VALUE!</v>
      </c>
      <c r="U187" s="53">
        <f>Transportes!G187</f>
        <v>0</v>
      </c>
    </row>
    <row r="188" spans="18:21">
      <c r="R188" t="e">
        <f>TRIM(MID(TRIM(Transportes!D188),1,FIND(CHAR(10),TRIM(Transportes!D188),1)-1))</f>
        <v>#VALUE!</v>
      </c>
      <c r="S188" t="str">
        <f>TRIM(IF(Transportes!F188="TRÁNSITO INTERRUMPIDO","Interrumpido",IF(Transportes!F188="TRÁNSITO RESTRINGIDO","Restringido","Normal")))</f>
        <v>Normal</v>
      </c>
      <c r="T188" t="e">
        <f>TRIM(IF(MID(TRIM(Transportes!H188),1,FIND("-",TRIM(Transportes!H188),1)-2)="Acción humana","H","F"))</f>
        <v>#VALUE!</v>
      </c>
      <c r="U188" s="53">
        <f>Transportes!G188</f>
        <v>0</v>
      </c>
    </row>
    <row r="189" spans="18:21">
      <c r="R189" t="e">
        <f>TRIM(MID(TRIM(Transportes!D189),1,FIND(CHAR(10),TRIM(Transportes!D189),1)-1))</f>
        <v>#VALUE!</v>
      </c>
      <c r="S189" t="str">
        <f>TRIM(IF(Transportes!F189="TRÁNSITO INTERRUMPIDO","Interrumpido",IF(Transportes!F189="TRÁNSITO RESTRINGIDO","Restringido","Normal")))</f>
        <v>Normal</v>
      </c>
      <c r="T189" t="e">
        <f>TRIM(IF(MID(TRIM(Transportes!H189),1,FIND("-",TRIM(Transportes!H189),1)-2)="Acción humana","H","F"))</f>
        <v>#VALUE!</v>
      </c>
      <c r="U189" s="53">
        <f>Transportes!G189</f>
        <v>0</v>
      </c>
    </row>
    <row r="190" spans="18:21">
      <c r="R190" t="e">
        <f>TRIM(MID(TRIM(Transportes!D190),1,FIND(CHAR(10),TRIM(Transportes!D190),1)-1))</f>
        <v>#VALUE!</v>
      </c>
      <c r="S190" t="str">
        <f>TRIM(IF(Transportes!F190="TRÁNSITO INTERRUMPIDO","Interrumpido",IF(Transportes!F190="TRÁNSITO RESTRINGIDO","Restringido","Normal")))</f>
        <v>Normal</v>
      </c>
      <c r="T190" t="e">
        <f>TRIM(IF(MID(TRIM(Transportes!H190),1,FIND("-",TRIM(Transportes!H190),1)-2)="Acción humana","H","F"))</f>
        <v>#VALUE!</v>
      </c>
      <c r="U190" s="53">
        <f>Transportes!G190</f>
        <v>0</v>
      </c>
    </row>
    <row r="191" spans="18:21">
      <c r="R191" t="e">
        <f>TRIM(MID(TRIM(Transportes!D191),1,FIND(CHAR(10),TRIM(Transportes!D191),1)-1))</f>
        <v>#VALUE!</v>
      </c>
      <c r="S191" t="str">
        <f>TRIM(IF(Transportes!F191="TRÁNSITO INTERRUMPIDO","Interrumpido",IF(Transportes!F191="TRÁNSITO RESTRINGIDO","Restringido","Normal")))</f>
        <v>Normal</v>
      </c>
      <c r="T191" t="e">
        <f>TRIM(IF(MID(TRIM(Transportes!H191),1,FIND("-",TRIM(Transportes!H191),1)-2)="Acción humana","H","F"))</f>
        <v>#VALUE!</v>
      </c>
      <c r="U191" s="53">
        <f>Transportes!G191</f>
        <v>0</v>
      </c>
    </row>
    <row r="192" spans="18:21">
      <c r="R192" t="e">
        <f>TRIM(MID(TRIM(Transportes!D192),1,FIND(CHAR(10),TRIM(Transportes!D192),1)-1))</f>
        <v>#VALUE!</v>
      </c>
      <c r="S192" t="str">
        <f>TRIM(IF(Transportes!F192="TRÁNSITO INTERRUMPIDO","Interrumpido",IF(Transportes!F192="TRÁNSITO RESTRINGIDO","Restringido","Normal")))</f>
        <v>Normal</v>
      </c>
      <c r="T192" t="e">
        <f>TRIM(IF(MID(TRIM(Transportes!H192),1,FIND("-",TRIM(Transportes!H192),1)-2)="Acción humana","H","F"))</f>
        <v>#VALUE!</v>
      </c>
      <c r="U192" s="53">
        <f>Transportes!G192</f>
        <v>0</v>
      </c>
    </row>
    <row r="193" spans="18:21">
      <c r="R193" t="e">
        <f>TRIM(MID(TRIM(Transportes!D196),1,FIND(CHAR(10),TRIM(Transportes!D196),1)-1))</f>
        <v>#VALUE!</v>
      </c>
      <c r="S193" t="str">
        <f>TRIM(IF(Transportes!F196="TRÁNSITO INTERRUMPIDO","Interrumpido",IF(Transportes!F196="TRÁNSITO RESTRINGIDO","Restringido","Normal")))</f>
        <v>Normal</v>
      </c>
      <c r="T193" t="e">
        <f>TRIM(IF(MID(TRIM(Transportes!H196),1,FIND("-",TRIM(Transportes!H196),1)-2)="Acción humana","H","F"))</f>
        <v>#VALUE!</v>
      </c>
      <c r="U193" s="53">
        <f>Transportes!G196</f>
        <v>0</v>
      </c>
    </row>
    <row r="194" spans="18:21">
      <c r="R194" t="e">
        <f>TRIM(MID(TRIM(Transportes!D197),1,FIND(CHAR(10),TRIM(Transportes!D197),1)-1))</f>
        <v>#VALUE!</v>
      </c>
      <c r="S194" t="str">
        <f>TRIM(IF(Transportes!F197="TRÁNSITO INTERRUMPIDO","Interrumpido",IF(Transportes!F197="TRÁNSITO RESTRINGIDO","Restringido","Normal")))</f>
        <v>Normal</v>
      </c>
      <c r="T194" t="e">
        <f>TRIM(IF(MID(TRIM(Transportes!H197),1,FIND("-",TRIM(Transportes!H197),1)-2)="Acción humana","H","F"))</f>
        <v>#VALUE!</v>
      </c>
      <c r="U194" s="53">
        <f>Transportes!G197</f>
        <v>0</v>
      </c>
    </row>
    <row r="195" spans="18:21">
      <c r="R195" t="e">
        <f>TRIM(MID(TRIM(Transportes!D198),1,FIND(CHAR(10),TRIM(Transportes!D198),1)-1))</f>
        <v>#VALUE!</v>
      </c>
      <c r="S195" t="str">
        <f>TRIM(IF(Transportes!F198="TRÁNSITO INTERRUMPIDO","Interrumpido",IF(Transportes!F198="TRÁNSITO RESTRINGIDO","Restringido","Normal")))</f>
        <v>Normal</v>
      </c>
      <c r="T195" t="e">
        <f>TRIM(IF(MID(TRIM(Transportes!H198),1,FIND("-",TRIM(Transportes!H198),1)-2)="Acción humana","H","F"))</f>
        <v>#VALUE!</v>
      </c>
      <c r="U195" s="53">
        <f>Transportes!G198</f>
        <v>0</v>
      </c>
    </row>
    <row r="196" spans="18:21">
      <c r="R196" t="e">
        <f>TRIM(MID(TRIM(Transportes!D199),1,FIND(CHAR(10),TRIM(Transportes!D199),1)-1))</f>
        <v>#VALUE!</v>
      </c>
      <c r="S196" t="str">
        <f>TRIM(IF(Transportes!F199="TRÁNSITO INTERRUMPIDO","Interrumpido",IF(Transportes!F199="TRÁNSITO RESTRINGIDO","Restringido","Normal")))</f>
        <v>Normal</v>
      </c>
      <c r="T196" t="e">
        <f>TRIM(IF(MID(TRIM(Transportes!H199),1,FIND("-",TRIM(Transportes!H199),1)-2)="Acción humana","H","F"))</f>
        <v>#VALUE!</v>
      </c>
      <c r="U196" s="53">
        <f>Transportes!G199</f>
        <v>0</v>
      </c>
    </row>
    <row r="197" spans="18:21">
      <c r="R197" t="e">
        <f>TRIM(MID(TRIM(Transportes!D200),1,FIND(CHAR(10),TRIM(Transportes!D200),1)-1))</f>
        <v>#VALUE!</v>
      </c>
      <c r="S197" t="str">
        <f>TRIM(IF(Transportes!F200="TRÁNSITO INTERRUMPIDO","Interrumpido",IF(Transportes!F200="TRÁNSITO RESTRINGIDO","Restringido","Normal")))</f>
        <v>Normal</v>
      </c>
      <c r="T197" t="e">
        <f>TRIM(IF(MID(TRIM(Transportes!H200),1,FIND("-",TRIM(Transportes!H200),1)-2)="Acción humana","H","F"))</f>
        <v>#VALUE!</v>
      </c>
      <c r="U197" s="53">
        <f>Transportes!G200</f>
        <v>0</v>
      </c>
    </row>
    <row r="198" spans="18:21">
      <c r="R198" t="e">
        <f>TRIM(MID(TRIM(Transportes!D201),1,FIND(CHAR(10),TRIM(Transportes!D201),1)-1))</f>
        <v>#VALUE!</v>
      </c>
      <c r="S198" t="str">
        <f>TRIM(IF(Transportes!F201="TRÁNSITO INTERRUMPIDO","Interrumpido",IF(Transportes!F201="TRÁNSITO RESTRINGIDO","Restringido","Normal")))</f>
        <v>Normal</v>
      </c>
      <c r="T198" t="e">
        <f>TRIM(IF(MID(TRIM(Transportes!H201),1,FIND("-",TRIM(Transportes!H201),1)-2)="Acción humana","H","F"))</f>
        <v>#VALUE!</v>
      </c>
      <c r="U198" s="53">
        <f>Transportes!G201</f>
        <v>0</v>
      </c>
    </row>
    <row r="199" spans="18:21">
      <c r="R199" t="e">
        <f>TRIM(MID(TRIM(Transportes!D202),1,FIND(CHAR(10),TRIM(Transportes!D202),1)-1))</f>
        <v>#VALUE!</v>
      </c>
      <c r="S199" t="str">
        <f>TRIM(IF(Transportes!F202="TRÁNSITO INTERRUMPIDO","Interrumpido",IF(Transportes!F202="TRÁNSITO RESTRINGIDO","Restringido","Normal")))</f>
        <v>Normal</v>
      </c>
      <c r="T199" t="e">
        <f>TRIM(IF(MID(TRIM(Transportes!H202),1,FIND("-",TRIM(Transportes!H202),1)-2)="Acción humana","H","F"))</f>
        <v>#VALUE!</v>
      </c>
      <c r="U199" s="53">
        <f>Transportes!G202</f>
        <v>0</v>
      </c>
    </row>
    <row r="200" spans="18:21">
      <c r="R200" t="e">
        <f>TRIM(MID(TRIM(Transportes!D203),1,FIND(CHAR(10),TRIM(Transportes!D203),1)-1))</f>
        <v>#VALUE!</v>
      </c>
      <c r="S200" t="str">
        <f>TRIM(IF(Transportes!F203="TRÁNSITO INTERRUMPIDO","Interrumpido",IF(Transportes!F203="TRÁNSITO RESTRINGIDO","Restringido","Normal")))</f>
        <v>Normal</v>
      </c>
      <c r="T200" t="e">
        <f>TRIM(IF(MID(TRIM(Transportes!H203),1,FIND("-",TRIM(Transportes!H203),1)-2)="Acción humana","H","F"))</f>
        <v>#VALUE!</v>
      </c>
      <c r="U200" s="53">
        <f>Transportes!G203</f>
        <v>0</v>
      </c>
    </row>
    <row r="201" spans="18:21">
      <c r="R201" t="e">
        <f>TRIM(MID(TRIM(Transportes!D204),1,FIND(CHAR(10),TRIM(Transportes!D204),1)-1))</f>
        <v>#VALUE!</v>
      </c>
      <c r="S201" t="str">
        <f>TRIM(IF(Transportes!F204="TRÁNSITO INTERRUMPIDO","Interrumpido",IF(Transportes!F204="TRÁNSITO RESTRINGIDO","Restringido","Normal")))</f>
        <v>Normal</v>
      </c>
      <c r="T201" t="e">
        <f>TRIM(IF(MID(TRIM(Transportes!H204),1,FIND("-",TRIM(Transportes!H204),1)-2)="Acción humana","H","F"))</f>
        <v>#VALUE!</v>
      </c>
      <c r="U201" s="53">
        <f>Transportes!G204</f>
        <v>0</v>
      </c>
    </row>
    <row r="202" spans="18:21">
      <c r="R202" t="e">
        <f>TRIM(MID(TRIM(Transportes!D205),1,FIND(CHAR(10),TRIM(Transportes!D205),1)-1))</f>
        <v>#VALUE!</v>
      </c>
      <c r="S202" t="str">
        <f>TRIM(IF(Transportes!F205="TRÁNSITO INTERRUMPIDO","Interrumpido",IF(Transportes!F205="TRÁNSITO RESTRINGIDO","Restringido","Normal")))</f>
        <v>Normal</v>
      </c>
      <c r="T202" t="e">
        <f>TRIM(IF(MID(TRIM(Transportes!H205),1,FIND("-",TRIM(Transportes!H205),1)-2)="Acción humana","H","F"))</f>
        <v>#VALUE!</v>
      </c>
      <c r="U202" s="53">
        <f>Transportes!G205</f>
        <v>0</v>
      </c>
    </row>
    <row r="203" spans="18:21">
      <c r="R203" t="e">
        <f>TRIM(MID(TRIM(Transportes!D206),1,FIND(CHAR(10),TRIM(Transportes!D206),1)-1))</f>
        <v>#VALUE!</v>
      </c>
      <c r="S203" t="str">
        <f>TRIM(IF(Transportes!F206="TRÁNSITO INTERRUMPIDO","Interrumpido",IF(Transportes!F206="TRÁNSITO RESTRINGIDO","Restringido","Normal")))</f>
        <v>Normal</v>
      </c>
      <c r="T203" t="e">
        <f>TRIM(IF(MID(TRIM(Transportes!H206),1,FIND("-",TRIM(Transportes!H206),1)-2)="Acción humana","H","F"))</f>
        <v>#VALUE!</v>
      </c>
      <c r="U203" s="53">
        <f>Transportes!G206</f>
        <v>0</v>
      </c>
    </row>
    <row r="204" spans="18:21">
      <c r="R204" t="e">
        <f>TRIM(MID(TRIM(Transportes!D207),1,FIND(CHAR(10),TRIM(Transportes!D207),1)-1))</f>
        <v>#VALUE!</v>
      </c>
      <c r="S204" t="str">
        <f>TRIM(IF(Transportes!F207="TRÁNSITO INTERRUMPIDO","Interrumpido",IF(Transportes!F207="TRÁNSITO RESTRINGIDO","Restringido","Normal")))</f>
        <v>Normal</v>
      </c>
      <c r="T204" t="e">
        <f>TRIM(IF(MID(TRIM(Transportes!H207),1,FIND("-",TRIM(Transportes!H207),1)-2)="Acción humana","H","F"))</f>
        <v>#VALUE!</v>
      </c>
      <c r="U204" s="53">
        <f>Transportes!G207</f>
        <v>0</v>
      </c>
    </row>
    <row r="205" spans="18:21">
      <c r="R205" t="e">
        <f>TRIM(MID(TRIM(Transportes!D208),1,FIND(CHAR(10),TRIM(Transportes!D208),1)-1))</f>
        <v>#VALUE!</v>
      </c>
      <c r="S205" t="str">
        <f>TRIM(IF(Transportes!F208="TRÁNSITO INTERRUMPIDO","Interrumpido",IF(Transportes!F208="TRÁNSITO RESTRINGIDO","Restringido","Normal")))</f>
        <v>Normal</v>
      </c>
      <c r="T205" t="e">
        <f>TRIM(IF(MID(TRIM(Transportes!H208),1,FIND("-",TRIM(Transportes!H208),1)-2)="Acción humana","H","F"))</f>
        <v>#VALUE!</v>
      </c>
      <c r="U205" s="53">
        <f>Transportes!G208</f>
        <v>0</v>
      </c>
    </row>
    <row r="206" spans="18:21">
      <c r="R206" t="e">
        <f>TRIM(MID(TRIM(Transportes!D209),1,FIND(CHAR(10),TRIM(Transportes!D209),1)-1))</f>
        <v>#VALUE!</v>
      </c>
      <c r="S206" t="str">
        <f>TRIM(IF(Transportes!F209="TRÁNSITO INTERRUMPIDO","Interrumpido",IF(Transportes!F209="TRÁNSITO RESTRINGIDO","Restringido","Normal")))</f>
        <v>Normal</v>
      </c>
      <c r="T206" t="e">
        <f>TRIM(IF(MID(TRIM(Transportes!H209),1,FIND("-",TRIM(Transportes!H209),1)-2)="Acción humana","H","F"))</f>
        <v>#VALUE!</v>
      </c>
      <c r="U206" s="53">
        <f>Transportes!G209</f>
        <v>0</v>
      </c>
    </row>
    <row r="207" spans="18:21">
      <c r="R207" t="e">
        <f>TRIM(MID(TRIM(Transportes!D210),1,FIND(CHAR(10),TRIM(Transportes!D210),1)-1))</f>
        <v>#VALUE!</v>
      </c>
      <c r="S207" t="str">
        <f>TRIM(IF(Transportes!F210="TRÁNSITO INTERRUMPIDO","Interrumpido",IF(Transportes!F210="TRÁNSITO RESTRINGIDO","Restringido","Normal")))</f>
        <v>Normal</v>
      </c>
      <c r="T207" t="e">
        <f>TRIM(IF(MID(TRIM(Transportes!H210),1,FIND("-",TRIM(Transportes!H210),1)-2)="Acción humana","H","F"))</f>
        <v>#VALUE!</v>
      </c>
      <c r="U207" s="53">
        <f>Transportes!G210</f>
        <v>0</v>
      </c>
    </row>
    <row r="208" spans="18:21">
      <c r="R208" t="e">
        <f>TRIM(MID(TRIM(Transportes!D211),1,FIND(CHAR(10),TRIM(Transportes!D211),1)-1))</f>
        <v>#VALUE!</v>
      </c>
      <c r="S208" t="str">
        <f>TRIM(IF(Transportes!F211="TRÁNSITO INTERRUMPIDO","Interrumpido",IF(Transportes!F211="TRÁNSITO RESTRINGIDO","Restringido","Normal")))</f>
        <v>Normal</v>
      </c>
      <c r="T208" t="e">
        <f>TRIM(IF(MID(TRIM(Transportes!H211),1,FIND("-",TRIM(Transportes!H211),1)-2)="Acción humana","H","F"))</f>
        <v>#VALUE!</v>
      </c>
      <c r="U208" s="53">
        <f>Transportes!G211</f>
        <v>0</v>
      </c>
    </row>
    <row r="209" spans="18:21">
      <c r="R209" t="e">
        <f>TRIM(MID(TRIM(Transportes!D212),1,FIND(CHAR(10),TRIM(Transportes!D212),1)-1))</f>
        <v>#VALUE!</v>
      </c>
      <c r="S209" t="str">
        <f>TRIM(IF(Transportes!F212="TRÁNSITO INTERRUMPIDO","Interrumpido",IF(Transportes!F212="TRÁNSITO RESTRINGIDO","Restringido","Normal")))</f>
        <v>Normal</v>
      </c>
      <c r="T209" t="e">
        <f>TRIM(IF(MID(TRIM(Transportes!H212),1,FIND("-",TRIM(Transportes!H212),1)-2)="Acción humana","H","F"))</f>
        <v>#VALUE!</v>
      </c>
      <c r="U209" s="53">
        <f>Transportes!G212</f>
        <v>0</v>
      </c>
    </row>
    <row r="210" spans="18:21">
      <c r="R210" t="e">
        <f>TRIM(MID(TRIM(Transportes!D213),1,FIND(CHAR(10),TRIM(Transportes!D213),1)-1))</f>
        <v>#VALUE!</v>
      </c>
      <c r="S210" t="str">
        <f>TRIM(IF(Transportes!F213="TRÁNSITO INTERRUMPIDO","Interrumpido",IF(Transportes!F213="TRÁNSITO RESTRINGIDO","Restringido","Normal")))</f>
        <v>Normal</v>
      </c>
      <c r="T210" t="e">
        <f>TRIM(IF(MID(TRIM(Transportes!H213),1,FIND("-",TRIM(Transportes!H213),1)-2)="Acción humana","H","F"))</f>
        <v>#VALUE!</v>
      </c>
      <c r="U210" s="53">
        <f>Transportes!G213</f>
        <v>0</v>
      </c>
    </row>
    <row r="211" spans="18:21">
      <c r="R211" t="e">
        <f>TRIM(MID(TRIM(Transportes!D214),1,FIND(CHAR(10),TRIM(Transportes!D214),1)-1))</f>
        <v>#VALUE!</v>
      </c>
      <c r="S211" t="str">
        <f>TRIM(IF(Transportes!F214="TRÁNSITO INTERRUMPIDO","Interrumpido",IF(Transportes!F214="TRÁNSITO RESTRINGIDO","Restringido","Normal")))</f>
        <v>Normal</v>
      </c>
      <c r="T211" t="e">
        <f>TRIM(IF(MID(TRIM(Transportes!H214),1,FIND("-",TRIM(Transportes!H214),1)-2)="Acción humana","H","F"))</f>
        <v>#VALUE!</v>
      </c>
      <c r="U211" s="53">
        <f>Transportes!G214</f>
        <v>0</v>
      </c>
    </row>
    <row r="212" spans="18:21">
      <c r="R212" t="e">
        <f>TRIM(MID(TRIM(Transportes!D215),1,FIND(CHAR(10),TRIM(Transportes!D215),1)-1))</f>
        <v>#VALUE!</v>
      </c>
      <c r="S212" t="str">
        <f>TRIM(IF(Transportes!F215="TRÁNSITO INTERRUMPIDO","Interrumpido",IF(Transportes!F215="TRÁNSITO RESTRINGIDO","Restringido","Normal")))</f>
        <v>Normal</v>
      </c>
      <c r="T212" t="e">
        <f>TRIM(IF(MID(TRIM(Transportes!H215),1,FIND("-",TRIM(Transportes!H215),1)-2)="Acción humana","H","F"))</f>
        <v>#VALUE!</v>
      </c>
      <c r="U212" s="53">
        <f>Transportes!G215</f>
        <v>0</v>
      </c>
    </row>
    <row r="213" spans="18:21">
      <c r="R213" t="e">
        <f>TRIM(MID(TRIM(Transportes!D216),1,FIND(CHAR(10),TRIM(Transportes!D216),1)-1))</f>
        <v>#VALUE!</v>
      </c>
      <c r="S213" t="str">
        <f>TRIM(IF(Transportes!F216="TRÁNSITO INTERRUMPIDO","Interrumpido",IF(Transportes!F216="TRÁNSITO RESTRINGIDO","Restringido","Normal")))</f>
        <v>Normal</v>
      </c>
      <c r="T213" t="e">
        <f>TRIM(IF(MID(TRIM(Transportes!H216),1,FIND("-",TRIM(Transportes!H216),1)-2)="Acción humana","H","F"))</f>
        <v>#VALUE!</v>
      </c>
      <c r="U213" s="53">
        <f>Transportes!G216</f>
        <v>0</v>
      </c>
    </row>
    <row r="214" spans="18:21">
      <c r="R214" t="e">
        <f>TRIM(MID(TRIM(Transportes!D217),1,FIND(CHAR(10),TRIM(Transportes!D217),1)-1))</f>
        <v>#VALUE!</v>
      </c>
      <c r="S214" t="str">
        <f>TRIM(IF(Transportes!F217="TRÁNSITO INTERRUMPIDO","Interrumpido",IF(Transportes!F217="TRÁNSITO RESTRINGIDO","Restringido","Normal")))</f>
        <v>Normal</v>
      </c>
      <c r="T214" t="e">
        <f>TRIM(IF(MID(TRIM(Transportes!H217),1,FIND("-",TRIM(Transportes!H217),1)-2)="Acción humana","H","F"))</f>
        <v>#VALUE!</v>
      </c>
      <c r="U214" s="53">
        <f>Transportes!G217</f>
        <v>0</v>
      </c>
    </row>
    <row r="215" spans="18:21">
      <c r="R215" t="e">
        <f>TRIM(MID(TRIM(Transportes!D218),1,FIND(CHAR(10),TRIM(Transportes!D218),1)-1))</f>
        <v>#VALUE!</v>
      </c>
      <c r="S215" t="str">
        <f>TRIM(IF(Transportes!F218="TRÁNSITO INTERRUMPIDO","Interrumpido",IF(Transportes!F218="TRÁNSITO RESTRINGIDO","Restringido","Normal")))</f>
        <v>Normal</v>
      </c>
      <c r="T215" t="e">
        <f>TRIM(IF(MID(TRIM(Transportes!H218),1,FIND("-",TRIM(Transportes!H218),1)-2)="Acción humana","H","F"))</f>
        <v>#VALUE!</v>
      </c>
      <c r="U215" s="53">
        <f>Transportes!G218</f>
        <v>0</v>
      </c>
    </row>
    <row r="216" spans="18:21">
      <c r="R216" t="e">
        <f>TRIM(MID(TRIM(Transportes!D219),1,FIND(CHAR(10),TRIM(Transportes!D219),1)-1))</f>
        <v>#VALUE!</v>
      </c>
      <c r="S216" t="str">
        <f>TRIM(IF(Transportes!F219="TRÁNSITO INTERRUMPIDO","Interrumpido",IF(Transportes!F219="TRÁNSITO RESTRINGIDO","Restringido","Normal")))</f>
        <v>Normal</v>
      </c>
      <c r="T216" t="e">
        <f>TRIM(IF(MID(TRIM(Transportes!H219),1,FIND("-",TRIM(Transportes!H219),1)-2)="Acción humana","H","F"))</f>
        <v>#VALUE!</v>
      </c>
      <c r="U216" s="53">
        <f>Transportes!G219</f>
        <v>0</v>
      </c>
    </row>
    <row r="217" spans="18:21">
      <c r="R217" t="e">
        <f>TRIM(MID(TRIM(Transportes!D220),1,FIND(CHAR(10),TRIM(Transportes!D220),1)-1))</f>
        <v>#VALUE!</v>
      </c>
      <c r="S217" t="str">
        <f>TRIM(IF(Transportes!F220="TRÁNSITO INTERRUMPIDO","Interrumpido",IF(Transportes!F220="TRÁNSITO RESTRINGIDO","Restringido","Normal")))</f>
        <v>Normal</v>
      </c>
      <c r="T217" t="e">
        <f>TRIM(IF(MID(TRIM(Transportes!H220),1,FIND("-",TRIM(Transportes!H220),1)-2)="Acción humana","H","F"))</f>
        <v>#VALUE!</v>
      </c>
      <c r="U217" s="53">
        <f>Transportes!G220</f>
        <v>0</v>
      </c>
    </row>
    <row r="218" spans="18:21">
      <c r="R218" t="e">
        <f>TRIM(MID(TRIM(Transportes!D221),1,FIND(CHAR(10),TRIM(Transportes!D221),1)-1))</f>
        <v>#VALUE!</v>
      </c>
      <c r="S218" t="str">
        <f>TRIM(IF(Transportes!F221="TRÁNSITO INTERRUMPIDO","Interrumpido",IF(Transportes!F221="TRÁNSITO RESTRINGIDO","Restringido","Normal")))</f>
        <v>Normal</v>
      </c>
      <c r="T218" t="e">
        <f>TRIM(IF(MID(TRIM(Transportes!H221),1,FIND("-",TRIM(Transportes!H221),1)-2)="Acción humana","H","F"))</f>
        <v>#VALUE!</v>
      </c>
      <c r="U218" s="53">
        <f>Transportes!G221</f>
        <v>0</v>
      </c>
    </row>
    <row r="219" spans="18:21">
      <c r="R219" t="e">
        <f>TRIM(MID(TRIM(Transportes!D222),1,FIND(CHAR(10),TRIM(Transportes!D222),1)-1))</f>
        <v>#VALUE!</v>
      </c>
      <c r="S219" t="str">
        <f>TRIM(IF(Transportes!F222="TRÁNSITO INTERRUMPIDO","Interrumpido",IF(Transportes!F222="TRÁNSITO RESTRINGIDO","Restringido","Normal")))</f>
        <v>Normal</v>
      </c>
      <c r="T219" t="e">
        <f>TRIM(IF(MID(TRIM(Transportes!H222),1,FIND("-",TRIM(Transportes!H222),1)-2)="Acción humana","H","F"))</f>
        <v>#VALUE!</v>
      </c>
      <c r="U219" s="53">
        <f>Transportes!G222</f>
        <v>0</v>
      </c>
    </row>
    <row r="220" spans="18:21">
      <c r="R220" t="e">
        <f>TRIM(MID(TRIM(Transportes!D223),1,FIND(CHAR(10),TRIM(Transportes!D223),1)-1))</f>
        <v>#VALUE!</v>
      </c>
      <c r="S220" t="str">
        <f>TRIM(IF(Transportes!F223="TRÁNSITO INTERRUMPIDO","Interrumpido",IF(Transportes!F223="TRÁNSITO RESTRINGIDO","Restringido","Normal")))</f>
        <v>Normal</v>
      </c>
      <c r="T220" t="e">
        <f>TRIM(IF(MID(TRIM(Transportes!H223),1,FIND("-",TRIM(Transportes!H223),1)-2)="Acción humana","H","F"))</f>
        <v>#VALUE!</v>
      </c>
      <c r="U220" s="53">
        <f>Transportes!G223</f>
        <v>0</v>
      </c>
    </row>
    <row r="221" spans="18:21">
      <c r="R221" t="e">
        <f>TRIM(MID(TRIM(Transportes!D224),1,FIND(CHAR(10),TRIM(Transportes!D224),1)-1))</f>
        <v>#VALUE!</v>
      </c>
      <c r="S221" t="str">
        <f>TRIM(IF(Transportes!F224="TRÁNSITO INTERRUMPIDO","Interrumpido",IF(Transportes!F224="TRÁNSITO RESTRINGIDO","Restringido","Normal")))</f>
        <v>Normal</v>
      </c>
      <c r="T221" t="e">
        <f>TRIM(IF(MID(TRIM(Transportes!H224),1,FIND("-",TRIM(Transportes!H224),1)-2)="Acción humana","H","F"))</f>
        <v>#VALUE!</v>
      </c>
      <c r="U221" s="53">
        <f>Transportes!G224</f>
        <v>0</v>
      </c>
    </row>
    <row r="222" spans="18:21">
      <c r="R222" t="e">
        <f>TRIM(MID(TRIM(Transportes!D225),1,FIND(CHAR(10),TRIM(Transportes!D225),1)-1))</f>
        <v>#VALUE!</v>
      </c>
      <c r="S222" t="str">
        <f>TRIM(IF(Transportes!F225="TRÁNSITO INTERRUMPIDO","Interrumpido",IF(Transportes!F225="TRÁNSITO RESTRINGIDO","Restringido","Normal")))</f>
        <v>Normal</v>
      </c>
      <c r="T222" t="e">
        <f>TRIM(IF(MID(TRIM(Transportes!H225),1,FIND("-",TRIM(Transportes!H225),1)-2)="Acción humana","H","F"))</f>
        <v>#VALUE!</v>
      </c>
      <c r="U222" s="53">
        <f>Transportes!G225</f>
        <v>0</v>
      </c>
    </row>
    <row r="223" spans="18:21">
      <c r="R223" t="e">
        <f>TRIM(MID(TRIM(Transportes!D226),1,FIND(CHAR(10),TRIM(Transportes!D226),1)-1))</f>
        <v>#VALUE!</v>
      </c>
      <c r="S223" t="str">
        <f>TRIM(IF(Transportes!F226="TRÁNSITO INTERRUMPIDO","Interrumpido",IF(Transportes!F226="TRÁNSITO RESTRINGIDO","Restringido","Normal")))</f>
        <v>Normal</v>
      </c>
      <c r="T223" t="e">
        <f>TRIM(IF(MID(TRIM(Transportes!H226),1,FIND("-",TRIM(Transportes!H226),1)-2)="Acción humana","H","F"))</f>
        <v>#VALUE!</v>
      </c>
      <c r="U223" s="53">
        <f>Transportes!G226</f>
        <v>0</v>
      </c>
    </row>
    <row r="224" spans="18:21">
      <c r="R224" t="e">
        <f>TRIM(MID(TRIM(Transportes!D227),1,FIND(CHAR(10),TRIM(Transportes!D227),1)-1))</f>
        <v>#VALUE!</v>
      </c>
      <c r="S224" t="str">
        <f>TRIM(IF(Transportes!F227="TRÁNSITO INTERRUMPIDO","Interrumpido",IF(Transportes!F227="TRÁNSITO RESTRINGIDO","Restringido","Normal")))</f>
        <v>Normal</v>
      </c>
      <c r="T224" t="e">
        <f>TRIM(IF(MID(TRIM(Transportes!H227),1,FIND("-",TRIM(Transportes!H227),1)-2)="Acción humana","H","F"))</f>
        <v>#VALUE!</v>
      </c>
      <c r="U224" s="53">
        <f>Transportes!G227</f>
        <v>0</v>
      </c>
    </row>
    <row r="225" spans="18:21">
      <c r="R225" t="e">
        <f>TRIM(MID(TRIM(Transportes!D228),1,FIND(CHAR(10),TRIM(Transportes!D228),1)-1))</f>
        <v>#VALUE!</v>
      </c>
      <c r="S225" t="str">
        <f>TRIM(IF(Transportes!F228="TRÁNSITO INTERRUMPIDO","Interrumpido",IF(Transportes!F228="TRÁNSITO RESTRINGIDO","Restringido","Normal")))</f>
        <v>Normal</v>
      </c>
      <c r="T225" t="e">
        <f>TRIM(IF(MID(TRIM(Transportes!H228),1,FIND("-",TRIM(Transportes!H228),1)-2)="Acción humana","H","F"))</f>
        <v>#VALUE!</v>
      </c>
      <c r="U225" s="53">
        <f>Transportes!G228</f>
        <v>0</v>
      </c>
    </row>
    <row r="226" spans="18:21">
      <c r="R226" t="e">
        <f>TRIM(MID(TRIM(Transportes!D229),1,FIND(CHAR(10),TRIM(Transportes!D229),1)-1))</f>
        <v>#VALUE!</v>
      </c>
      <c r="S226" t="str">
        <f>TRIM(IF(Transportes!F229="TRÁNSITO INTERRUMPIDO","Interrumpido",IF(Transportes!F229="TRÁNSITO RESTRINGIDO","Restringido","Normal")))</f>
        <v>Normal</v>
      </c>
      <c r="T226" t="e">
        <f>TRIM(IF(MID(TRIM(Transportes!H229),1,FIND("-",TRIM(Transportes!H229),1)-2)="Acción humana","H","F"))</f>
        <v>#VALUE!</v>
      </c>
      <c r="U226" s="53">
        <f>Transportes!G229</f>
        <v>0</v>
      </c>
    </row>
    <row r="227" spans="18:21">
      <c r="R227" t="e">
        <f>TRIM(MID(TRIM(Transportes!D230),1,FIND(CHAR(10),TRIM(Transportes!D230),1)-1))</f>
        <v>#VALUE!</v>
      </c>
      <c r="S227" t="str">
        <f>TRIM(IF(Transportes!F230="TRÁNSITO INTERRUMPIDO","Interrumpido",IF(Transportes!F230="TRÁNSITO RESTRINGIDO","Restringido","Normal")))</f>
        <v>Normal</v>
      </c>
      <c r="T227" t="e">
        <f>TRIM(IF(MID(TRIM(Transportes!H230),1,FIND("-",TRIM(Transportes!H230),1)-2)="Acción humana","H","F"))</f>
        <v>#VALUE!</v>
      </c>
      <c r="U227" s="53">
        <f>Transportes!G230</f>
        <v>0</v>
      </c>
    </row>
    <row r="228" spans="18:21">
      <c r="R228" t="e">
        <f>TRIM(MID(TRIM(Transportes!D231),1,FIND(CHAR(10),TRIM(Transportes!D231),1)-1))</f>
        <v>#VALUE!</v>
      </c>
      <c r="S228" t="str">
        <f>TRIM(IF(Transportes!F231="TRÁNSITO INTERRUMPIDO","Interrumpido",IF(Transportes!F231="TRÁNSITO RESTRINGIDO","Restringido","Normal")))</f>
        <v>Normal</v>
      </c>
      <c r="T228" t="e">
        <f>TRIM(IF(MID(TRIM(Transportes!H231),1,FIND("-",TRIM(Transportes!H231),1)-2)="Acción humana","H","F"))</f>
        <v>#VALUE!</v>
      </c>
      <c r="U228" s="53">
        <f>Transportes!G231</f>
        <v>0</v>
      </c>
    </row>
    <row r="229" spans="18:21">
      <c r="R229" t="e">
        <f>TRIM(MID(TRIM(Transportes!D232),1,FIND(CHAR(10),TRIM(Transportes!D232),1)-1))</f>
        <v>#VALUE!</v>
      </c>
      <c r="S229" t="str">
        <f>TRIM(IF(Transportes!F232="TRÁNSITO INTERRUMPIDO","Interrumpido",IF(Transportes!F232="TRÁNSITO RESTRINGIDO","Restringido","Normal")))</f>
        <v>Normal</v>
      </c>
      <c r="T229" t="e">
        <f>TRIM(IF(MID(TRIM(Transportes!H232),1,FIND("-",TRIM(Transportes!H232),1)-2)="Acción humana","H","F"))</f>
        <v>#VALUE!</v>
      </c>
      <c r="U229" s="53">
        <f>Transportes!G232</f>
        <v>0</v>
      </c>
    </row>
    <row r="230" spans="18:21">
      <c r="R230" t="e">
        <f>TRIM(MID(TRIM(Transportes!D233),1,FIND(CHAR(10),TRIM(Transportes!D233),1)-1))</f>
        <v>#VALUE!</v>
      </c>
      <c r="S230" t="str">
        <f>TRIM(IF(Transportes!F233="TRÁNSITO INTERRUMPIDO","Interrumpido",IF(Transportes!F233="TRÁNSITO RESTRINGIDO","Restringido","Normal")))</f>
        <v>Normal</v>
      </c>
      <c r="T230" t="e">
        <f>TRIM(IF(MID(TRIM(Transportes!H233),1,FIND("-",TRIM(Transportes!H233),1)-2)="Acción humana","H","F"))</f>
        <v>#VALUE!</v>
      </c>
      <c r="U230" s="53">
        <f>Transportes!G233</f>
        <v>0</v>
      </c>
    </row>
    <row r="231" spans="18:21">
      <c r="R231" t="e">
        <f>TRIM(MID(TRIM(Transportes!D234),1,FIND(CHAR(10),TRIM(Transportes!D234),1)-1))</f>
        <v>#VALUE!</v>
      </c>
      <c r="S231" t="str">
        <f>TRIM(IF(Transportes!F234="TRÁNSITO INTERRUMPIDO","Interrumpido",IF(Transportes!F234="TRÁNSITO RESTRINGIDO","Restringido","Normal")))</f>
        <v>Normal</v>
      </c>
      <c r="T231" t="e">
        <f>TRIM(IF(MID(TRIM(Transportes!H234),1,FIND("-",TRIM(Transportes!H234),1)-2)="Acción humana","H","F"))</f>
        <v>#VALUE!</v>
      </c>
      <c r="U231" s="53">
        <f>Transportes!G234</f>
        <v>0</v>
      </c>
    </row>
    <row r="232" spans="18:21">
      <c r="R232" t="e">
        <f>TRIM(MID(TRIM(Transportes!D235),1,FIND(CHAR(10),TRIM(Transportes!D235),1)-1))</f>
        <v>#VALUE!</v>
      </c>
      <c r="S232" t="str">
        <f>TRIM(IF(Transportes!F235="TRÁNSITO INTERRUMPIDO","Interrumpido",IF(Transportes!F235="TRÁNSITO RESTRINGIDO","Restringido","Normal")))</f>
        <v>Normal</v>
      </c>
      <c r="T232" t="e">
        <f>TRIM(IF(MID(TRIM(Transportes!H235),1,FIND("-",TRIM(Transportes!H235),1)-2)="Acción humana","H","F"))</f>
        <v>#VALUE!</v>
      </c>
      <c r="U232" s="53">
        <f>Transportes!G235</f>
        <v>0</v>
      </c>
    </row>
    <row r="233" spans="18:21">
      <c r="R233" t="e">
        <f>TRIM(MID(TRIM(Transportes!D236),1,FIND(CHAR(10),TRIM(Transportes!D236),1)-1))</f>
        <v>#VALUE!</v>
      </c>
      <c r="S233" t="str">
        <f>TRIM(IF(Transportes!F236="TRÁNSITO INTERRUMPIDO","Interrumpido",IF(Transportes!F236="TRÁNSITO RESTRINGIDO","Restringido","Normal")))</f>
        <v>Normal</v>
      </c>
      <c r="T233" t="e">
        <f>TRIM(IF(MID(TRIM(Transportes!H236),1,FIND("-",TRIM(Transportes!H236),1)-2)="Acción humana","H","F"))</f>
        <v>#VALUE!</v>
      </c>
      <c r="U233" s="53">
        <f>Transportes!G236</f>
        <v>0</v>
      </c>
    </row>
    <row r="234" spans="18:21">
      <c r="R234" t="e">
        <f>TRIM(MID(TRIM(Transportes!D237),1,FIND(CHAR(10),TRIM(Transportes!D237),1)-1))</f>
        <v>#VALUE!</v>
      </c>
      <c r="S234" t="str">
        <f>TRIM(IF(Transportes!F237="TRÁNSITO INTERRUMPIDO","Interrumpido",IF(Transportes!F237="TRÁNSITO RESTRINGIDO","Restringido","Normal")))</f>
        <v>Normal</v>
      </c>
      <c r="T234" t="e">
        <f>TRIM(IF(MID(TRIM(Transportes!H237),1,FIND("-",TRIM(Transportes!H237),1)-2)="Acción humana","H","F"))</f>
        <v>#VALUE!</v>
      </c>
      <c r="U234" s="53">
        <f>Transportes!G237</f>
        <v>0</v>
      </c>
    </row>
    <row r="235" spans="18:21">
      <c r="R235" t="e">
        <f>TRIM(MID(TRIM(Transportes!D238),1,FIND(CHAR(10),TRIM(Transportes!D238),1)-1))</f>
        <v>#VALUE!</v>
      </c>
      <c r="S235" t="str">
        <f>TRIM(IF(Transportes!F238="TRÁNSITO INTERRUMPIDO","Interrumpido",IF(Transportes!F238="TRÁNSITO RESTRINGIDO","Restringido","Normal")))</f>
        <v>Normal</v>
      </c>
      <c r="T235" t="e">
        <f>TRIM(IF(MID(TRIM(Transportes!H238),1,FIND("-",TRIM(Transportes!H238),1)-2)="Acción humana","H","F"))</f>
        <v>#VALUE!</v>
      </c>
      <c r="U235" s="53">
        <f>Transportes!G238</f>
        <v>0</v>
      </c>
    </row>
    <row r="236" spans="18:21">
      <c r="R236" t="e">
        <f>TRIM(MID(TRIM(Transportes!D239),1,FIND(CHAR(10),TRIM(Transportes!D239),1)-1))</f>
        <v>#VALUE!</v>
      </c>
      <c r="S236" t="str">
        <f>TRIM(IF(Transportes!F239="TRÁNSITO INTERRUMPIDO","Interrumpido",IF(Transportes!F239="TRÁNSITO RESTRINGIDO","Restringido","Normal")))</f>
        <v>Normal</v>
      </c>
      <c r="T236" t="e">
        <f>TRIM(IF(MID(TRIM(Transportes!H239),1,FIND("-",TRIM(Transportes!H239),1)-2)="Acción humana","H","F"))</f>
        <v>#VALUE!</v>
      </c>
      <c r="U236" s="53">
        <f>Transportes!G239</f>
        <v>0</v>
      </c>
    </row>
    <row r="237" spans="18:21">
      <c r="R237" t="e">
        <f>TRIM(MID(TRIM(Transportes!D240),1,FIND(CHAR(10),TRIM(Transportes!D240),1)-1))</f>
        <v>#VALUE!</v>
      </c>
      <c r="S237" t="str">
        <f>TRIM(IF(Transportes!F240="TRÁNSITO INTERRUMPIDO","Interrumpido",IF(Transportes!F240="TRÁNSITO RESTRINGIDO","Restringido","Normal")))</f>
        <v>Normal</v>
      </c>
      <c r="T237" t="e">
        <f>TRIM(IF(MID(TRIM(Transportes!H240),1,FIND("-",TRIM(Transportes!H240),1)-2)="Acción humana","H","F"))</f>
        <v>#VALUE!</v>
      </c>
      <c r="U237" s="53">
        <f>Transportes!G240</f>
        <v>0</v>
      </c>
    </row>
    <row r="238" spans="18:21">
      <c r="R238" t="e">
        <f>TRIM(MID(TRIM(Transportes!D241),1,FIND(CHAR(10),TRIM(Transportes!D241),1)-1))</f>
        <v>#VALUE!</v>
      </c>
      <c r="S238" t="str">
        <f>TRIM(IF(Transportes!F241="TRÁNSITO INTERRUMPIDO","Interrumpido",IF(Transportes!F241="TRÁNSITO RESTRINGIDO","Restringido","Normal")))</f>
        <v>Normal</v>
      </c>
      <c r="T238" t="e">
        <f>TRIM(IF(MID(TRIM(Transportes!H241),1,FIND("-",TRIM(Transportes!H241),1)-2)="Acción humana","H","F"))</f>
        <v>#VALUE!</v>
      </c>
      <c r="U238" s="53">
        <f>Transportes!G241</f>
        <v>0</v>
      </c>
    </row>
    <row r="239" spans="18:21">
      <c r="R239" t="e">
        <f>TRIM(MID(TRIM(Transportes!D242),1,FIND(CHAR(10),TRIM(Transportes!D242),1)-1))</f>
        <v>#VALUE!</v>
      </c>
      <c r="S239" t="str">
        <f>TRIM(IF(Transportes!F242="TRÁNSITO INTERRUMPIDO","Interrumpido",IF(Transportes!F242="TRÁNSITO RESTRINGIDO","Restringido","Normal")))</f>
        <v>Normal</v>
      </c>
      <c r="T239" t="e">
        <f>TRIM(IF(MID(TRIM(Transportes!H242),1,FIND("-",TRIM(Transportes!H242),1)-2)="Acción humana","H","F"))</f>
        <v>#VALUE!</v>
      </c>
      <c r="U239" s="53">
        <f>Transportes!G242</f>
        <v>0</v>
      </c>
    </row>
    <row r="240" spans="18:21">
      <c r="R240" t="e">
        <f>TRIM(MID(TRIM(Transportes!D243),1,FIND(CHAR(10),TRIM(Transportes!D243),1)-1))</f>
        <v>#VALUE!</v>
      </c>
      <c r="S240" t="str">
        <f>TRIM(IF(Transportes!F243="TRÁNSITO INTERRUMPIDO","Interrumpido",IF(Transportes!F243="TRÁNSITO RESTRINGIDO","Restringido","Normal")))</f>
        <v>Normal</v>
      </c>
      <c r="T240" t="e">
        <f>TRIM(IF(MID(TRIM(Transportes!H243),1,FIND("-",TRIM(Transportes!H243),1)-2)="Acción humana","H","F"))</f>
        <v>#VALUE!</v>
      </c>
      <c r="U240" s="53">
        <f>Transportes!G243</f>
        <v>0</v>
      </c>
    </row>
    <row r="241" spans="18:21">
      <c r="R241" t="e">
        <f>TRIM(MID(TRIM(Transportes!D244),1,FIND(CHAR(10),TRIM(Transportes!D244),1)-1))</f>
        <v>#VALUE!</v>
      </c>
      <c r="S241" t="str">
        <f>TRIM(IF(Transportes!F244="TRÁNSITO INTERRUMPIDO","Interrumpido",IF(Transportes!F244="TRÁNSITO RESTRINGIDO","Restringido","Normal")))</f>
        <v>Normal</v>
      </c>
      <c r="T241" t="e">
        <f>TRIM(IF(MID(TRIM(Transportes!H244),1,FIND("-",TRIM(Transportes!H244),1)-2)="Acción humana","H","F"))</f>
        <v>#VALUE!</v>
      </c>
      <c r="U241" s="53">
        <f>Transportes!G244</f>
        <v>0</v>
      </c>
    </row>
    <row r="242" spans="18:21">
      <c r="R242" t="e">
        <f>TRIM(MID(TRIM(Transportes!D245),1,FIND(CHAR(10),TRIM(Transportes!D245),1)-1))</f>
        <v>#VALUE!</v>
      </c>
      <c r="S242" t="str">
        <f>TRIM(IF(Transportes!F245="TRÁNSITO INTERRUMPIDO","Interrumpido",IF(Transportes!F245="TRÁNSITO RESTRINGIDO","Restringido","Normal")))</f>
        <v>Normal</v>
      </c>
      <c r="T242" t="e">
        <f>TRIM(IF(MID(TRIM(Transportes!H245),1,FIND("-",TRIM(Transportes!H245),1)-2)="Acción humana","H","F"))</f>
        <v>#VALUE!</v>
      </c>
      <c r="U242" s="53">
        <f>Transportes!G245</f>
        <v>0</v>
      </c>
    </row>
    <row r="243" spans="18:21">
      <c r="R243" t="e">
        <f>TRIM(MID(TRIM(Transportes!D246),1,FIND(CHAR(10),TRIM(Transportes!D246),1)-1))</f>
        <v>#VALUE!</v>
      </c>
      <c r="S243" t="str">
        <f>TRIM(IF(Transportes!F246="TRÁNSITO INTERRUMPIDO","Interrumpido",IF(Transportes!F246="TRÁNSITO RESTRINGIDO","Restringido","Normal")))</f>
        <v>Normal</v>
      </c>
      <c r="T243" t="e">
        <f>TRIM(IF(MID(TRIM(Transportes!H246),1,FIND("-",TRIM(Transportes!H246),1)-2)="Acción humana","H","F"))</f>
        <v>#VALUE!</v>
      </c>
      <c r="U243" s="53">
        <f>Transportes!G246</f>
        <v>0</v>
      </c>
    </row>
    <row r="244" spans="18:21">
      <c r="R244" t="e">
        <f>TRIM(MID(TRIM(Transportes!D247),1,FIND(CHAR(10),TRIM(Transportes!D247),1)-1))</f>
        <v>#VALUE!</v>
      </c>
      <c r="S244" t="str">
        <f>TRIM(IF(Transportes!F247="TRÁNSITO INTERRUMPIDO","Interrumpido",IF(Transportes!F247="TRÁNSITO RESTRINGIDO","Restringido","Normal")))</f>
        <v>Normal</v>
      </c>
      <c r="T244" t="e">
        <f>TRIM(IF(MID(TRIM(Transportes!H247),1,FIND("-",TRIM(Transportes!H247),1)-2)="Acción humana","H","F"))</f>
        <v>#VALUE!</v>
      </c>
      <c r="U244" s="53">
        <f>Transportes!G247</f>
        <v>0</v>
      </c>
    </row>
    <row r="245" spans="18:21">
      <c r="R245" t="e">
        <f>TRIM(MID(TRIM(Transportes!D248),1,FIND(CHAR(10),TRIM(Transportes!D248),1)-1))</f>
        <v>#VALUE!</v>
      </c>
      <c r="S245" t="str">
        <f>TRIM(IF(Transportes!F248="TRÁNSITO INTERRUMPIDO","Interrumpido",IF(Transportes!F248="TRÁNSITO RESTRINGIDO","Restringido","Normal")))</f>
        <v>Normal</v>
      </c>
      <c r="T245" t="e">
        <f>TRIM(IF(MID(TRIM(Transportes!H248),1,FIND("-",TRIM(Transportes!H248),1)-2)="Acción humana","H","F"))</f>
        <v>#VALUE!</v>
      </c>
      <c r="U245" s="53">
        <f>Transportes!G248</f>
        <v>0</v>
      </c>
    </row>
    <row r="246" spans="18:21">
      <c r="R246" t="e">
        <f>TRIM(MID(TRIM(Transportes!D249),1,FIND(CHAR(10),TRIM(Transportes!D249),1)-1))</f>
        <v>#VALUE!</v>
      </c>
      <c r="S246" t="str">
        <f>TRIM(IF(Transportes!F249="TRÁNSITO INTERRUMPIDO","Interrumpido",IF(Transportes!F249="TRÁNSITO RESTRINGIDO","Restringido","Normal")))</f>
        <v>Normal</v>
      </c>
      <c r="T246" t="e">
        <f>TRIM(IF(MID(TRIM(Transportes!H249),1,FIND("-",TRIM(Transportes!H249),1)-2)="Acción humana","H","F"))</f>
        <v>#VALUE!</v>
      </c>
      <c r="U246" s="53">
        <f>Transportes!G249</f>
        <v>0</v>
      </c>
    </row>
    <row r="247" spans="18:21">
      <c r="R247" t="e">
        <f>TRIM(MID(TRIM(Transportes!D250),1,FIND(CHAR(10),TRIM(Transportes!D250),1)-1))</f>
        <v>#VALUE!</v>
      </c>
      <c r="S247" t="str">
        <f>TRIM(IF(Transportes!F250="TRÁNSITO INTERRUMPIDO","Interrumpido",IF(Transportes!F250="TRÁNSITO RESTRINGIDO","Restringido","Normal")))</f>
        <v>Normal</v>
      </c>
      <c r="T247" t="e">
        <f>TRIM(IF(MID(TRIM(Transportes!H250),1,FIND("-",TRIM(Transportes!H250),1)-2)="Acción humana","H","F"))</f>
        <v>#VALUE!</v>
      </c>
      <c r="U247" s="53">
        <f>Transportes!G250</f>
        <v>0</v>
      </c>
    </row>
    <row r="248" spans="18:21">
      <c r="R248" t="e">
        <f>TRIM(MID(TRIM(Transportes!D251),1,FIND(CHAR(10),TRIM(Transportes!D251),1)-1))</f>
        <v>#VALUE!</v>
      </c>
      <c r="S248" t="str">
        <f>TRIM(IF(Transportes!F251="TRÁNSITO INTERRUMPIDO","Interrumpido",IF(Transportes!F251="TRÁNSITO RESTRINGIDO","Restringido","Normal")))</f>
        <v>Normal</v>
      </c>
      <c r="T248" t="e">
        <f>TRIM(IF(MID(TRIM(Transportes!H251),1,FIND("-",TRIM(Transportes!H251),1)-2)="Acción humana","H","F"))</f>
        <v>#VALUE!</v>
      </c>
      <c r="U248" s="53">
        <f>Transportes!G251</f>
        <v>0</v>
      </c>
    </row>
    <row r="249" spans="18:21">
      <c r="R249" t="e">
        <f>TRIM(MID(TRIM(Transportes!D252),1,FIND(CHAR(10),TRIM(Transportes!D252),1)-1))</f>
        <v>#VALUE!</v>
      </c>
      <c r="S249" t="str">
        <f>TRIM(IF(Transportes!F252="TRÁNSITO INTERRUMPIDO","Interrumpido",IF(Transportes!F252="TRÁNSITO RESTRINGIDO","Restringido","Normal")))</f>
        <v>Normal</v>
      </c>
      <c r="T249" t="e">
        <f>TRIM(IF(MID(TRIM(Transportes!H252),1,FIND("-",TRIM(Transportes!H252),1)-2)="Acción humana","H","F"))</f>
        <v>#VALUE!</v>
      </c>
      <c r="U249" s="53">
        <f>Transportes!G252</f>
        <v>0</v>
      </c>
    </row>
    <row r="250" spans="18:21">
      <c r="R250" t="e">
        <f>TRIM(MID(TRIM(Transportes!D253),1,FIND(CHAR(10),TRIM(Transportes!D253),1)-1))</f>
        <v>#VALUE!</v>
      </c>
      <c r="S250" t="str">
        <f>TRIM(IF(Transportes!F253="TRÁNSITO INTERRUMPIDO","Interrumpido",IF(Transportes!F253="TRÁNSITO RESTRINGIDO","Restringido","Normal")))</f>
        <v>Normal</v>
      </c>
      <c r="T250" t="e">
        <f>TRIM(IF(MID(TRIM(Transportes!H253),1,FIND("-",TRIM(Transportes!H253),1)-2)="Acción humana","H","F"))</f>
        <v>#VALUE!</v>
      </c>
      <c r="U250" s="53">
        <f>Transportes!G253</f>
        <v>0</v>
      </c>
    </row>
    <row r="251" spans="18:21">
      <c r="R251" t="e">
        <f>TRIM(MID(TRIM(Transportes!D254),1,FIND(CHAR(10),TRIM(Transportes!D254),1)-1))</f>
        <v>#VALUE!</v>
      </c>
      <c r="S251" t="str">
        <f>TRIM(IF(Transportes!F254="TRÁNSITO INTERRUMPIDO","Interrumpido",IF(Transportes!F254="TRÁNSITO RESTRINGIDO","Restringido","Normal")))</f>
        <v>Normal</v>
      </c>
      <c r="T251" t="e">
        <f>TRIM(IF(MID(TRIM(Transportes!H254),1,FIND("-",TRIM(Transportes!H254),1)-2)="Acción humana","H","F"))</f>
        <v>#VALUE!</v>
      </c>
      <c r="U251" s="53">
        <f>Transportes!G254</f>
        <v>0</v>
      </c>
    </row>
    <row r="252" spans="18:21">
      <c r="R252" t="e">
        <f>TRIM(MID(TRIM(Transportes!D255),1,FIND(CHAR(10),TRIM(Transportes!D255),1)-1))</f>
        <v>#VALUE!</v>
      </c>
      <c r="S252" t="str">
        <f>TRIM(IF(Transportes!F255="TRÁNSITO INTERRUMPIDO","Interrumpido",IF(Transportes!F255="TRÁNSITO RESTRINGIDO","Restringido","Normal")))</f>
        <v>Normal</v>
      </c>
      <c r="T252" t="e">
        <f>TRIM(IF(MID(TRIM(Transportes!H255),1,FIND("-",TRIM(Transportes!H255),1)-2)="Acción humana","H","F"))</f>
        <v>#VALUE!</v>
      </c>
      <c r="U252" s="53">
        <f>Transportes!G255</f>
        <v>0</v>
      </c>
    </row>
    <row r="253" spans="18:21">
      <c r="R253" t="e">
        <f>TRIM(MID(TRIM(Transportes!D256),1,FIND(CHAR(10),TRIM(Transportes!D256),1)-1))</f>
        <v>#VALUE!</v>
      </c>
      <c r="S253" t="str">
        <f>TRIM(IF(Transportes!F256="TRÁNSITO INTERRUMPIDO","Interrumpido",IF(Transportes!F256="TRÁNSITO RESTRINGIDO","Restringido","Normal")))</f>
        <v>Normal</v>
      </c>
      <c r="T253" t="e">
        <f>TRIM(IF(MID(TRIM(Transportes!H256),1,FIND("-",TRIM(Transportes!H256),1)-2)="Acción humana","H","F"))</f>
        <v>#VALUE!</v>
      </c>
      <c r="U253" s="53">
        <f>Transportes!G256</f>
        <v>0</v>
      </c>
    </row>
    <row r="254" spans="18:21">
      <c r="R254" t="e">
        <f>TRIM(MID(TRIM(Transportes!D257),1,FIND(CHAR(10),TRIM(Transportes!D257),1)-1))</f>
        <v>#VALUE!</v>
      </c>
      <c r="S254" t="str">
        <f>TRIM(IF(Transportes!F257="TRÁNSITO INTERRUMPIDO","Interrumpido",IF(Transportes!F257="TRÁNSITO RESTRINGIDO","Restringido","Normal")))</f>
        <v>Normal</v>
      </c>
      <c r="T254" t="e">
        <f>TRIM(IF(MID(TRIM(Transportes!H257),1,FIND("-",TRIM(Transportes!H257),1)-2)="Acción humana","H","F"))</f>
        <v>#VALUE!</v>
      </c>
      <c r="U254" s="53">
        <f>Transportes!G257</f>
        <v>0</v>
      </c>
    </row>
    <row r="255" spans="18:21">
      <c r="R255" t="e">
        <f>TRIM(MID(TRIM(Transportes!D258),1,FIND(CHAR(10),TRIM(Transportes!D258),1)-1))</f>
        <v>#VALUE!</v>
      </c>
      <c r="S255" t="str">
        <f>TRIM(IF(Transportes!F258="TRÁNSITO INTERRUMPIDO","Interrumpido",IF(Transportes!F258="TRÁNSITO RESTRINGIDO","Restringido","Normal")))</f>
        <v>Normal</v>
      </c>
      <c r="T255" t="e">
        <f>TRIM(IF(MID(TRIM(Transportes!H258),1,FIND("-",TRIM(Transportes!H258),1)-2)="Acción humana","H","F"))</f>
        <v>#VALUE!</v>
      </c>
      <c r="U255" s="53">
        <f>Transportes!G258</f>
        <v>0</v>
      </c>
    </row>
    <row r="256" spans="18:21">
      <c r="R256" t="e">
        <f>TRIM(MID(TRIM(Transportes!D259),1,FIND(CHAR(10),TRIM(Transportes!D259),1)-1))</f>
        <v>#VALUE!</v>
      </c>
      <c r="S256" t="str">
        <f>TRIM(IF(Transportes!F259="TRÁNSITO INTERRUMPIDO","Interrumpido",IF(Transportes!F259="TRÁNSITO RESTRINGIDO","Restringido","Normal")))</f>
        <v>Normal</v>
      </c>
      <c r="T256" t="e">
        <f>TRIM(IF(MID(TRIM(Transportes!H259),1,FIND("-",TRIM(Transportes!H259),1)-2)="Acción humana","H","F"))</f>
        <v>#VALUE!</v>
      </c>
      <c r="U256" s="53">
        <f>Transportes!G259</f>
        <v>0</v>
      </c>
    </row>
    <row r="257" spans="18:21">
      <c r="R257" t="e">
        <f>TRIM(MID(TRIM(Transportes!D260),1,FIND(CHAR(10),TRIM(Transportes!D260),1)-1))</f>
        <v>#VALUE!</v>
      </c>
      <c r="S257" t="str">
        <f>TRIM(IF(Transportes!F260="TRÁNSITO INTERRUMPIDO","Interrumpido",IF(Transportes!F260="TRÁNSITO RESTRINGIDO","Restringido","Normal")))</f>
        <v>Normal</v>
      </c>
      <c r="T257" t="e">
        <f>TRIM(IF(MID(TRIM(Transportes!H260),1,FIND("-",TRIM(Transportes!H260),1)-2)="Acción humana","H","F"))</f>
        <v>#VALUE!</v>
      </c>
      <c r="U257" s="53">
        <f>Transportes!G260</f>
        <v>0</v>
      </c>
    </row>
    <row r="258" spans="18:21">
      <c r="R258" t="e">
        <f>TRIM(MID(TRIM(Transportes!D261),1,FIND(CHAR(10),TRIM(Transportes!D261),1)-1))</f>
        <v>#VALUE!</v>
      </c>
      <c r="S258" t="str">
        <f>TRIM(IF(Transportes!F261="TRÁNSITO INTERRUMPIDO","Interrumpido",IF(Transportes!F261="TRÁNSITO RESTRINGIDO","Restringido","Normal")))</f>
        <v>Normal</v>
      </c>
      <c r="T258" t="e">
        <f>TRIM(IF(MID(TRIM(Transportes!H261),1,FIND("-",TRIM(Transportes!H261),1)-2)="Acción humana","H","F"))</f>
        <v>#VALUE!</v>
      </c>
      <c r="U258" s="53">
        <f>Transportes!G261</f>
        <v>0</v>
      </c>
    </row>
    <row r="259" spans="18:21">
      <c r="R259" t="e">
        <f>TRIM(MID(TRIM(Transportes!D262),1,FIND(CHAR(10),TRIM(Transportes!D262),1)-1))</f>
        <v>#VALUE!</v>
      </c>
      <c r="S259" t="str">
        <f>TRIM(IF(Transportes!F262="TRÁNSITO INTERRUMPIDO","Interrumpido",IF(Transportes!F262="TRÁNSITO RESTRINGIDO","Restringido","Normal")))</f>
        <v>Normal</v>
      </c>
      <c r="T259" t="e">
        <f>TRIM(IF(MID(TRIM(Transportes!H262),1,FIND("-",TRIM(Transportes!H262),1)-2)="Acción humana","H","F"))</f>
        <v>#VALUE!</v>
      </c>
      <c r="U259" s="53">
        <f>Transportes!G262</f>
        <v>0</v>
      </c>
    </row>
    <row r="260" spans="18:21">
      <c r="R260" t="e">
        <f>TRIM(MID(TRIM(Transportes!D263),1,FIND(CHAR(10),TRIM(Transportes!D263),1)-1))</f>
        <v>#VALUE!</v>
      </c>
      <c r="S260" t="str">
        <f>TRIM(IF(Transportes!F263="TRÁNSITO INTERRUMPIDO","Interrumpido",IF(Transportes!F263="TRÁNSITO RESTRINGIDO","Restringido","Normal")))</f>
        <v>Normal</v>
      </c>
      <c r="T260" t="e">
        <f>TRIM(IF(MID(TRIM(Transportes!H263),1,FIND("-",TRIM(Transportes!H263),1)-2)="Acción humana","H","F"))</f>
        <v>#VALUE!</v>
      </c>
      <c r="U260" s="53">
        <f>Transportes!G263</f>
        <v>0</v>
      </c>
    </row>
    <row r="261" spans="18:21">
      <c r="R261" t="e">
        <f>TRIM(MID(TRIM(Transportes!D264),1,FIND(CHAR(10),TRIM(Transportes!D264),1)-1))</f>
        <v>#VALUE!</v>
      </c>
      <c r="S261" t="str">
        <f>TRIM(IF(Transportes!F264="TRÁNSITO INTERRUMPIDO","Interrumpido",IF(Transportes!F264="TRÁNSITO RESTRINGIDO","Restringido","Normal")))</f>
        <v>Normal</v>
      </c>
      <c r="T261" t="e">
        <f>TRIM(IF(MID(TRIM(Transportes!H264),1,FIND("-",TRIM(Transportes!H264),1)-2)="Acción humana","H","F"))</f>
        <v>#VALUE!</v>
      </c>
      <c r="U261" s="53">
        <f>Transportes!G264</f>
        <v>0</v>
      </c>
    </row>
    <row r="262" spans="18:21">
      <c r="R262" t="e">
        <f>TRIM(MID(TRIM(Transportes!D265),1,FIND(CHAR(10),TRIM(Transportes!D265),1)-1))</f>
        <v>#VALUE!</v>
      </c>
      <c r="S262" t="str">
        <f>TRIM(IF(Transportes!F265="TRÁNSITO INTERRUMPIDO","Interrumpido",IF(Transportes!F265="TRÁNSITO RESTRINGIDO","Restringido","Normal")))</f>
        <v>Normal</v>
      </c>
      <c r="T262" t="e">
        <f>TRIM(IF(MID(TRIM(Transportes!H265),1,FIND("-",TRIM(Transportes!H265),1)-2)="Acción humana","H","F"))</f>
        <v>#VALUE!</v>
      </c>
      <c r="U262" s="53">
        <f>Transportes!G265</f>
        <v>0</v>
      </c>
    </row>
    <row r="263" spans="18:21">
      <c r="R263" t="e">
        <f>TRIM(MID(TRIM(Transportes!D266),1,FIND(CHAR(10),TRIM(Transportes!D266),1)-1))</f>
        <v>#VALUE!</v>
      </c>
      <c r="S263" t="str">
        <f>TRIM(IF(Transportes!F266="TRÁNSITO INTERRUMPIDO","Interrumpido",IF(Transportes!F266="TRÁNSITO RESTRINGIDO","Restringido","Normal")))</f>
        <v>Normal</v>
      </c>
      <c r="T263" t="e">
        <f>TRIM(IF(MID(TRIM(Transportes!H266),1,FIND("-",TRIM(Transportes!H266),1)-2)="Acción humana","H","F"))</f>
        <v>#VALUE!</v>
      </c>
      <c r="U263" s="53">
        <f>Transportes!G266</f>
        <v>0</v>
      </c>
    </row>
    <row r="264" spans="18:21">
      <c r="R264" t="e">
        <f>TRIM(MID(TRIM(Transportes!D267),1,FIND(CHAR(10),TRIM(Transportes!D267),1)-1))</f>
        <v>#VALUE!</v>
      </c>
      <c r="S264" t="str">
        <f>TRIM(IF(Transportes!F267="TRÁNSITO INTERRUMPIDO","Interrumpido",IF(Transportes!F267="TRÁNSITO RESTRINGIDO","Restringido","Normal")))</f>
        <v>Normal</v>
      </c>
      <c r="T264" t="e">
        <f>TRIM(IF(MID(TRIM(Transportes!H267),1,FIND("-",TRIM(Transportes!H267),1)-2)="Acción humana","H","F"))</f>
        <v>#VALUE!</v>
      </c>
      <c r="U264" s="53">
        <f>Transportes!G267</f>
        <v>0</v>
      </c>
    </row>
    <row r="265" spans="18:21">
      <c r="R265" t="e">
        <f>TRIM(MID(TRIM(Transportes!D268),1,FIND(CHAR(10),TRIM(Transportes!D268),1)-1))</f>
        <v>#VALUE!</v>
      </c>
      <c r="S265" t="str">
        <f>TRIM(IF(Transportes!F268="TRÁNSITO INTERRUMPIDO","Interrumpido",IF(Transportes!F268="TRÁNSITO RESTRINGIDO","Restringido","Normal")))</f>
        <v>Normal</v>
      </c>
      <c r="T265" t="e">
        <f>TRIM(IF(MID(TRIM(Transportes!H268),1,FIND("-",TRIM(Transportes!H268),1)-2)="Acción humana","H","F"))</f>
        <v>#VALUE!</v>
      </c>
      <c r="U265" s="53">
        <f>Transportes!G268</f>
        <v>0</v>
      </c>
    </row>
    <row r="266" spans="18:21">
      <c r="R266" t="e">
        <f>TRIM(MID(TRIM(Transportes!D269),1,FIND(CHAR(10),TRIM(Transportes!D269),1)-1))</f>
        <v>#VALUE!</v>
      </c>
      <c r="S266" t="str">
        <f>TRIM(IF(Transportes!F269="TRÁNSITO INTERRUMPIDO","Interrumpido",IF(Transportes!F269="TRÁNSITO RESTRINGIDO","Restringido","Normal")))</f>
        <v>Normal</v>
      </c>
      <c r="T266" t="e">
        <f>TRIM(IF(MID(TRIM(Transportes!H269),1,FIND("-",TRIM(Transportes!H269),1)-2)="Acción humana","H","F"))</f>
        <v>#VALUE!</v>
      </c>
      <c r="U266" s="53">
        <f>Transportes!G269</f>
        <v>0</v>
      </c>
    </row>
    <row r="267" spans="18:21">
      <c r="R267" t="e">
        <f>TRIM(MID(TRIM(Transportes!D270),1,FIND(CHAR(10),TRIM(Transportes!D270),1)-1))</f>
        <v>#VALUE!</v>
      </c>
      <c r="S267" t="str">
        <f>TRIM(IF(Transportes!F270="TRÁNSITO INTERRUMPIDO","Interrumpido",IF(Transportes!F270="TRÁNSITO RESTRINGIDO","Restringido","Normal")))</f>
        <v>Normal</v>
      </c>
      <c r="T267" t="e">
        <f>TRIM(IF(MID(TRIM(Transportes!H270),1,FIND("-",TRIM(Transportes!H270),1)-2)="Acción humana","H","F"))</f>
        <v>#VALUE!</v>
      </c>
      <c r="U267" s="53">
        <f>Transportes!G270</f>
        <v>0</v>
      </c>
    </row>
    <row r="268" spans="18:21">
      <c r="R268" t="e">
        <f>TRIM(MID(TRIM(Transportes!D271),1,FIND(CHAR(10),TRIM(Transportes!D271),1)-1))</f>
        <v>#VALUE!</v>
      </c>
      <c r="S268" t="str">
        <f>TRIM(IF(Transportes!F271="TRÁNSITO INTERRUMPIDO","Interrumpido",IF(Transportes!F271="TRÁNSITO RESTRINGIDO","Restringido","Normal")))</f>
        <v>Normal</v>
      </c>
      <c r="T268" t="e">
        <f>TRIM(IF(MID(TRIM(Transportes!H271),1,FIND("-",TRIM(Transportes!H271),1)-2)="Acción humana","H","F"))</f>
        <v>#VALUE!</v>
      </c>
      <c r="U268" s="53">
        <f>Transportes!G271</f>
        <v>0</v>
      </c>
    </row>
    <row r="269" spans="18:21">
      <c r="R269" t="e">
        <f>TRIM(MID(TRIM(Transportes!D272),1,FIND(CHAR(10),TRIM(Transportes!D272),1)-1))</f>
        <v>#VALUE!</v>
      </c>
      <c r="S269" t="str">
        <f>TRIM(IF(Transportes!F272="TRÁNSITO INTERRUMPIDO","Interrumpido",IF(Transportes!F272="TRÁNSITO RESTRINGIDO","Restringido","Normal")))</f>
        <v>Normal</v>
      </c>
      <c r="T269" t="e">
        <f>TRIM(IF(MID(TRIM(Transportes!H272),1,FIND("-",TRIM(Transportes!H272),1)-2)="Acción humana","H","F"))</f>
        <v>#VALUE!</v>
      </c>
      <c r="U269" s="53">
        <f>Transportes!G272</f>
        <v>0</v>
      </c>
    </row>
    <row r="270" spans="18:21">
      <c r="R270" t="e">
        <f>TRIM(MID(TRIM(Transportes!D273),1,FIND(CHAR(10),TRIM(Transportes!D273),1)-1))</f>
        <v>#VALUE!</v>
      </c>
      <c r="S270" t="str">
        <f>TRIM(IF(Transportes!F273="TRÁNSITO INTERRUMPIDO","Interrumpido",IF(Transportes!F273="TRÁNSITO RESTRINGIDO","Restringido","Normal")))</f>
        <v>Normal</v>
      </c>
      <c r="T270" t="e">
        <f>TRIM(IF(MID(TRIM(Transportes!H273),1,FIND("-",TRIM(Transportes!H273),1)-2)="Acción humana","H","F"))</f>
        <v>#VALUE!</v>
      </c>
      <c r="U270" s="53">
        <f>Transportes!G273</f>
        <v>0</v>
      </c>
    </row>
    <row r="271" spans="18:21">
      <c r="R271" t="e">
        <f>TRIM(MID(TRIM(Transportes!D274),1,FIND(CHAR(10),TRIM(Transportes!D274),1)-1))</f>
        <v>#VALUE!</v>
      </c>
      <c r="S271" t="str">
        <f>TRIM(IF(Transportes!F274="TRÁNSITO INTERRUMPIDO","Interrumpido",IF(Transportes!F274="TRÁNSITO RESTRINGIDO","Restringido","Normal")))</f>
        <v>Normal</v>
      </c>
      <c r="T271" t="e">
        <f>TRIM(IF(MID(TRIM(Transportes!H274),1,FIND("-",TRIM(Transportes!H274),1)-2)="Acción humana","H","F"))</f>
        <v>#VALUE!</v>
      </c>
      <c r="U271" s="53">
        <f>Transportes!G274</f>
        <v>0</v>
      </c>
    </row>
    <row r="272" spans="18:21">
      <c r="R272" t="e">
        <f>TRIM(MID(TRIM(Transportes!D275),1,FIND(CHAR(10),TRIM(Transportes!D275),1)-1))</f>
        <v>#VALUE!</v>
      </c>
      <c r="S272" t="str">
        <f>TRIM(IF(Transportes!F275="TRÁNSITO INTERRUMPIDO","Interrumpido",IF(Transportes!F275="TRÁNSITO RESTRINGIDO","Restringido","Normal")))</f>
        <v>Normal</v>
      </c>
      <c r="T272" t="e">
        <f>TRIM(IF(MID(TRIM(Transportes!H275),1,FIND("-",TRIM(Transportes!H275),1)-2)="Acción humana","H","F"))</f>
        <v>#VALUE!</v>
      </c>
      <c r="U272" s="53">
        <f>Transportes!G275</f>
        <v>0</v>
      </c>
    </row>
    <row r="273" spans="18:21">
      <c r="R273" t="e">
        <f>TRIM(MID(TRIM(Transportes!D276),1,FIND(CHAR(10),TRIM(Transportes!D276),1)-1))</f>
        <v>#VALUE!</v>
      </c>
      <c r="S273" t="str">
        <f>TRIM(IF(Transportes!F276="TRÁNSITO INTERRUMPIDO","Interrumpido",IF(Transportes!F276="TRÁNSITO RESTRINGIDO","Restringido","Normal")))</f>
        <v>Normal</v>
      </c>
      <c r="T273" t="e">
        <f>TRIM(IF(MID(TRIM(Transportes!H276),1,FIND("-",TRIM(Transportes!H276),1)-2)="Acción humana","H","F"))</f>
        <v>#VALUE!</v>
      </c>
      <c r="U273" s="53">
        <f>Transportes!G276</f>
        <v>0</v>
      </c>
    </row>
    <row r="274" spans="18:21">
      <c r="R274" t="e">
        <f>TRIM(MID(TRIM(Transportes!D277),1,FIND(CHAR(10),TRIM(Transportes!D277),1)-1))</f>
        <v>#VALUE!</v>
      </c>
      <c r="S274" t="str">
        <f>TRIM(IF(Transportes!F277="TRÁNSITO INTERRUMPIDO","Interrumpido",IF(Transportes!F277="TRÁNSITO RESTRINGIDO","Restringido","Normal")))</f>
        <v>Normal</v>
      </c>
      <c r="T274" t="e">
        <f>TRIM(IF(MID(TRIM(Transportes!H277),1,FIND("-",TRIM(Transportes!H277),1)-2)="Acción humana","H","F"))</f>
        <v>#VALUE!</v>
      </c>
      <c r="U274" s="53">
        <f>Transportes!G277</f>
        <v>0</v>
      </c>
    </row>
    <row r="275" spans="18:21">
      <c r="R275" t="e">
        <f>TRIM(MID(TRIM(Transportes!D278),1,FIND(CHAR(10),TRIM(Transportes!D278),1)-1))</f>
        <v>#VALUE!</v>
      </c>
      <c r="S275" t="str">
        <f>TRIM(IF(Transportes!F278="TRÁNSITO INTERRUMPIDO","Interrumpido",IF(Transportes!F278="TRÁNSITO RESTRINGIDO","Restringido","Normal")))</f>
        <v>Normal</v>
      </c>
      <c r="T275" t="e">
        <f>TRIM(IF(MID(TRIM(Transportes!H278),1,FIND("-",TRIM(Transportes!H278),1)-2)="Acción humana","H","F"))</f>
        <v>#VALUE!</v>
      </c>
      <c r="U275" s="53">
        <f>Transportes!G278</f>
        <v>0</v>
      </c>
    </row>
    <row r="276" spans="18:21">
      <c r="R276" t="e">
        <f>TRIM(MID(TRIM(Transportes!D279),1,FIND(CHAR(10),TRIM(Transportes!D279),1)-1))</f>
        <v>#VALUE!</v>
      </c>
      <c r="S276" t="str">
        <f>TRIM(IF(Transportes!F279="TRÁNSITO INTERRUMPIDO","Interrumpido",IF(Transportes!F279="TRÁNSITO RESTRINGIDO","Restringido","Normal")))</f>
        <v>Normal</v>
      </c>
      <c r="T276" t="e">
        <f>TRIM(IF(MID(TRIM(Transportes!H279),1,FIND("-",TRIM(Transportes!H279),1)-2)="Acción humana","H","F"))</f>
        <v>#VALUE!</v>
      </c>
      <c r="U276" s="53">
        <f>Transportes!G279</f>
        <v>0</v>
      </c>
    </row>
    <row r="277" spans="18:21">
      <c r="R277" t="e">
        <f>TRIM(MID(TRIM(Transportes!D280),1,FIND(CHAR(10),TRIM(Transportes!D280),1)-1))</f>
        <v>#VALUE!</v>
      </c>
      <c r="S277" t="str">
        <f>TRIM(IF(Transportes!F280="TRÁNSITO INTERRUMPIDO","Interrumpido",IF(Transportes!F280="TRÁNSITO RESTRINGIDO","Restringido","Normal")))</f>
        <v>Normal</v>
      </c>
      <c r="T277" t="e">
        <f>TRIM(IF(MID(TRIM(Transportes!H280),1,FIND("-",TRIM(Transportes!H280),1)-2)="Acción humana","H","F"))</f>
        <v>#VALUE!</v>
      </c>
      <c r="U277" s="53">
        <f>Transportes!G280</f>
        <v>0</v>
      </c>
    </row>
    <row r="278" spans="18:21">
      <c r="R278" t="e">
        <f>TRIM(MID(TRIM(Transportes!D281),1,FIND(CHAR(10),TRIM(Transportes!D281),1)-1))</f>
        <v>#VALUE!</v>
      </c>
      <c r="S278" t="str">
        <f>TRIM(IF(Transportes!F281="TRÁNSITO INTERRUMPIDO","Interrumpido",IF(Transportes!F281="TRÁNSITO RESTRINGIDO","Restringido","Normal")))</f>
        <v>Normal</v>
      </c>
      <c r="T278" t="e">
        <f>TRIM(IF(MID(TRIM(Transportes!H281),1,FIND("-",TRIM(Transportes!H281),1)-2)="Acción humana","H","F"))</f>
        <v>#VALUE!</v>
      </c>
      <c r="U278" s="53">
        <f>Transportes!G281</f>
        <v>0</v>
      </c>
    </row>
    <row r="279" spans="18:21">
      <c r="R279" t="e">
        <f>TRIM(MID(TRIM(Transportes!D282),1,FIND(CHAR(10),TRIM(Transportes!D282),1)-1))</f>
        <v>#VALUE!</v>
      </c>
      <c r="S279" t="str">
        <f>TRIM(IF(Transportes!F282="TRÁNSITO INTERRUMPIDO","Interrumpido",IF(Transportes!F282="TRÁNSITO RESTRINGIDO","Restringido","Normal")))</f>
        <v>Normal</v>
      </c>
      <c r="T279" t="e">
        <f>TRIM(IF(MID(TRIM(Transportes!H282),1,FIND("-",TRIM(Transportes!H282),1)-2)="Acción humana","H","F"))</f>
        <v>#VALUE!</v>
      </c>
      <c r="U279" s="53">
        <f>Transportes!G282</f>
        <v>0</v>
      </c>
    </row>
    <row r="280" spans="18:21">
      <c r="R280" t="e">
        <f>TRIM(MID(TRIM(Transportes!D283),1,FIND(CHAR(10),TRIM(Transportes!D283),1)-1))</f>
        <v>#VALUE!</v>
      </c>
      <c r="S280" t="str">
        <f>TRIM(IF(Transportes!F283="TRÁNSITO INTERRUMPIDO","Interrumpido",IF(Transportes!F283="TRÁNSITO RESTRINGIDO","Restringido","Normal")))</f>
        <v>Normal</v>
      </c>
      <c r="T280" t="e">
        <f>TRIM(IF(MID(TRIM(Transportes!H283),1,FIND("-",TRIM(Transportes!H283),1)-2)="Acción humana","H","F"))</f>
        <v>#VALUE!</v>
      </c>
      <c r="U280" s="53">
        <f>Transportes!G283</f>
        <v>0</v>
      </c>
    </row>
    <row r="281" spans="18:21">
      <c r="R281" t="e">
        <f>TRIM(MID(TRIM(Transportes!D284),1,FIND(CHAR(10),TRIM(Transportes!D284),1)-1))</f>
        <v>#VALUE!</v>
      </c>
      <c r="S281" t="str">
        <f>TRIM(IF(Transportes!F284="TRÁNSITO INTERRUMPIDO","Interrumpido",IF(Transportes!F284="TRÁNSITO RESTRINGIDO","Restringido","Normal")))</f>
        <v>Normal</v>
      </c>
      <c r="T281" t="e">
        <f>TRIM(IF(MID(TRIM(Transportes!H284),1,FIND("-",TRIM(Transportes!H284),1)-2)="Acción humana","H","F"))</f>
        <v>#VALUE!</v>
      </c>
      <c r="U281" s="53">
        <f>Transportes!G284</f>
        <v>0</v>
      </c>
    </row>
    <row r="282" spans="18:21">
      <c r="R282" t="e">
        <f>TRIM(MID(TRIM(Transportes!D285),1,FIND(CHAR(10),TRIM(Transportes!D285),1)-1))</f>
        <v>#VALUE!</v>
      </c>
      <c r="S282" t="str">
        <f>TRIM(IF(Transportes!F285="TRÁNSITO INTERRUMPIDO","Interrumpido",IF(Transportes!F285="TRÁNSITO RESTRINGIDO","Restringido","Normal")))</f>
        <v>Normal</v>
      </c>
      <c r="T282" t="e">
        <f>TRIM(IF(MID(TRIM(Transportes!H285),1,FIND("-",TRIM(Transportes!H285),1)-2)="Acción humana","H","F"))</f>
        <v>#VALUE!</v>
      </c>
      <c r="U282" s="53">
        <f>Transportes!G285</f>
        <v>0</v>
      </c>
    </row>
    <row r="283" spans="18:21">
      <c r="R283" t="e">
        <f>TRIM(MID(TRIM(Transportes!D286),1,FIND(CHAR(10),TRIM(Transportes!D286),1)-1))</f>
        <v>#VALUE!</v>
      </c>
      <c r="S283" t="str">
        <f>TRIM(IF(Transportes!F286="TRÁNSITO INTERRUMPIDO","Interrumpido",IF(Transportes!F286="TRÁNSITO RESTRINGIDO","Restringido","Normal")))</f>
        <v>Normal</v>
      </c>
      <c r="T283" t="e">
        <f>TRIM(IF(MID(TRIM(Transportes!H286),1,FIND("-",TRIM(Transportes!H286),1)-2)="Acción humana","H","F"))</f>
        <v>#VALUE!</v>
      </c>
      <c r="U283" s="53">
        <f>Transportes!G286</f>
        <v>0</v>
      </c>
    </row>
    <row r="284" spans="18:21">
      <c r="R284" t="e">
        <f>TRIM(MID(TRIM(Transportes!D287),1,FIND(CHAR(10),TRIM(Transportes!D287),1)-1))</f>
        <v>#VALUE!</v>
      </c>
      <c r="S284" t="str">
        <f>TRIM(IF(Transportes!F287="TRÁNSITO INTERRUMPIDO","Interrumpido",IF(Transportes!F287="TRÁNSITO RESTRINGIDO","Restringido","Normal")))</f>
        <v>Normal</v>
      </c>
      <c r="T284" t="e">
        <f>TRIM(IF(MID(TRIM(Transportes!H287),1,FIND("-",TRIM(Transportes!H287),1)-2)="Acción humana","H","F"))</f>
        <v>#VALUE!</v>
      </c>
      <c r="U284" s="53">
        <f>Transportes!G287</f>
        <v>0</v>
      </c>
    </row>
    <row r="285" spans="18:21">
      <c r="R285" t="e">
        <f>TRIM(MID(TRIM(Transportes!D288),1,FIND(CHAR(10),TRIM(Transportes!D288),1)-1))</f>
        <v>#VALUE!</v>
      </c>
      <c r="S285" t="str">
        <f>TRIM(IF(Transportes!F288="TRÁNSITO INTERRUMPIDO","Interrumpido",IF(Transportes!F288="TRÁNSITO RESTRINGIDO","Restringido","Normal")))</f>
        <v>Normal</v>
      </c>
      <c r="T285" t="e">
        <f>TRIM(IF(MID(TRIM(Transportes!H288),1,FIND("-",TRIM(Transportes!H288),1)-2)="Acción humana","H","F"))</f>
        <v>#VALUE!</v>
      </c>
      <c r="U285" s="53">
        <f>Transportes!G288</f>
        <v>0</v>
      </c>
    </row>
    <row r="286" spans="18:21">
      <c r="R286" t="e">
        <f>TRIM(MID(TRIM(Transportes!D289),1,FIND(CHAR(10),TRIM(Transportes!D289),1)-1))</f>
        <v>#VALUE!</v>
      </c>
      <c r="S286" t="str">
        <f>TRIM(IF(Transportes!F289="TRÁNSITO INTERRUMPIDO","Interrumpido",IF(Transportes!F289="TRÁNSITO RESTRINGIDO","Restringido","Normal")))</f>
        <v>Normal</v>
      </c>
      <c r="T286" t="e">
        <f>TRIM(IF(MID(TRIM(Transportes!H289),1,FIND("-",TRIM(Transportes!H289),1)-2)="Acción humana","H","F"))</f>
        <v>#VALUE!</v>
      </c>
      <c r="U286" s="53">
        <f>Transportes!G289</f>
        <v>0</v>
      </c>
    </row>
    <row r="287" spans="18:21">
      <c r="R287" t="e">
        <f>TRIM(MID(TRIM(Transportes!D290),1,FIND(CHAR(10),TRIM(Transportes!D290),1)-1))</f>
        <v>#VALUE!</v>
      </c>
      <c r="S287" t="str">
        <f>TRIM(IF(Transportes!F290="TRÁNSITO INTERRUMPIDO","Interrumpido",IF(Transportes!F290="TRÁNSITO RESTRINGIDO","Restringido","Normal")))</f>
        <v>Normal</v>
      </c>
      <c r="T287" t="e">
        <f>TRIM(IF(MID(TRIM(Transportes!H290),1,FIND("-",TRIM(Transportes!H290),1)-2)="Acción humana","H","F"))</f>
        <v>#VALUE!</v>
      </c>
      <c r="U287" s="53">
        <f>Transportes!G290</f>
        <v>0</v>
      </c>
    </row>
    <row r="288" spans="18:21">
      <c r="R288" t="e">
        <f>TRIM(MID(TRIM(Transportes!D291),1,FIND(CHAR(10),TRIM(Transportes!D291),1)-1))</f>
        <v>#VALUE!</v>
      </c>
      <c r="S288" t="str">
        <f>TRIM(IF(Transportes!F291="TRÁNSITO INTERRUMPIDO","Interrumpido",IF(Transportes!F291="TRÁNSITO RESTRINGIDO","Restringido","Normal")))</f>
        <v>Normal</v>
      </c>
      <c r="T288" t="e">
        <f>TRIM(IF(MID(TRIM(Transportes!H291),1,FIND("-",TRIM(Transportes!H291),1)-2)="Acción humana","H","F"))</f>
        <v>#VALUE!</v>
      </c>
      <c r="U288" s="53">
        <f>Transportes!G291</f>
        <v>0</v>
      </c>
    </row>
    <row r="289" spans="18:21">
      <c r="R289" t="e">
        <f>TRIM(MID(TRIM(Transportes!D292),1,FIND(CHAR(10),TRIM(Transportes!D292),1)-1))</f>
        <v>#VALUE!</v>
      </c>
      <c r="S289" t="str">
        <f>TRIM(IF(Transportes!F292="TRÁNSITO INTERRUMPIDO","Interrumpido",IF(Transportes!F292="TRÁNSITO RESTRINGIDO","Restringido","Normal")))</f>
        <v>Normal</v>
      </c>
      <c r="T289" t="e">
        <f>TRIM(IF(MID(TRIM(Transportes!H292),1,FIND("-",TRIM(Transportes!H292),1)-2)="Acción humana","H","F"))</f>
        <v>#VALUE!</v>
      </c>
      <c r="U289" s="53">
        <f>Transportes!G292</f>
        <v>0</v>
      </c>
    </row>
    <row r="290" spans="18:21">
      <c r="R290" t="e">
        <f>TRIM(MID(TRIM(Transportes!D293),1,FIND(CHAR(10),TRIM(Transportes!D293),1)-1))</f>
        <v>#VALUE!</v>
      </c>
      <c r="S290" t="str">
        <f>TRIM(IF(Transportes!F293="TRÁNSITO INTERRUMPIDO","Interrumpido",IF(Transportes!F293="TRÁNSITO RESTRINGIDO","Restringido","Normal")))</f>
        <v>Normal</v>
      </c>
      <c r="T290" t="e">
        <f>TRIM(IF(MID(TRIM(Transportes!H293),1,FIND("-",TRIM(Transportes!H293),1)-2)="Acción humana","H","F"))</f>
        <v>#VALUE!</v>
      </c>
      <c r="U290" s="53">
        <f>Transportes!G293</f>
        <v>0</v>
      </c>
    </row>
    <row r="291" spans="18:21">
      <c r="R291" t="e">
        <f>TRIM(MID(TRIM(Transportes!D294),1,FIND(CHAR(10),TRIM(Transportes!D294),1)-1))</f>
        <v>#VALUE!</v>
      </c>
      <c r="S291" t="str">
        <f>TRIM(IF(Transportes!F294="TRÁNSITO INTERRUMPIDO","Interrumpido",IF(Transportes!F294="TRÁNSITO RESTRINGIDO","Restringido","Normal")))</f>
        <v>Normal</v>
      </c>
      <c r="T291" t="e">
        <f>TRIM(IF(MID(TRIM(Transportes!H294),1,FIND("-",TRIM(Transportes!H294),1)-2)="Acción humana","H","F"))</f>
        <v>#VALUE!</v>
      </c>
      <c r="U291" s="53">
        <f>Transportes!G294</f>
        <v>0</v>
      </c>
    </row>
    <row r="292" spans="18:21">
      <c r="R292" t="e">
        <f>TRIM(MID(TRIM(Transportes!D295),1,FIND(CHAR(10),TRIM(Transportes!D295),1)-1))</f>
        <v>#VALUE!</v>
      </c>
      <c r="S292" t="str">
        <f>TRIM(IF(Transportes!F295="TRÁNSITO INTERRUMPIDO","Interrumpido",IF(Transportes!F295="TRÁNSITO RESTRINGIDO","Restringido","Normal")))</f>
        <v>Normal</v>
      </c>
      <c r="T292" t="e">
        <f>TRIM(IF(MID(TRIM(Transportes!H295),1,FIND("-",TRIM(Transportes!H295),1)-2)="Acción humana","H","F"))</f>
        <v>#VALUE!</v>
      </c>
      <c r="U292" s="53">
        <f>Transportes!G295</f>
        <v>0</v>
      </c>
    </row>
    <row r="293" spans="18:21">
      <c r="R293" t="e">
        <f>TRIM(MID(TRIM(Transportes!D296),1,FIND(CHAR(10),TRIM(Transportes!D296),1)-1))</f>
        <v>#VALUE!</v>
      </c>
      <c r="S293" t="str">
        <f>TRIM(IF(Transportes!F296="TRÁNSITO INTERRUMPIDO","Interrumpido",IF(Transportes!F296="TRÁNSITO RESTRINGIDO","Restringido","Normal")))</f>
        <v>Normal</v>
      </c>
      <c r="T293" t="e">
        <f>TRIM(IF(MID(TRIM(Transportes!H296),1,FIND("-",TRIM(Transportes!H296),1)-2)="Acción humana","H","F"))</f>
        <v>#VALUE!</v>
      </c>
      <c r="U293" s="53">
        <f>Transportes!G296</f>
        <v>0</v>
      </c>
    </row>
    <row r="294" spans="18:21">
      <c r="R294" t="e">
        <f>TRIM(MID(TRIM(Transportes!D297),1,FIND(CHAR(10),TRIM(Transportes!D297),1)-1))</f>
        <v>#VALUE!</v>
      </c>
      <c r="S294" t="str">
        <f>TRIM(IF(Transportes!F297="TRÁNSITO INTERRUMPIDO","Interrumpido",IF(Transportes!F297="TRÁNSITO RESTRINGIDO","Restringido","Normal")))</f>
        <v>Normal</v>
      </c>
      <c r="T294" t="e">
        <f>TRIM(IF(MID(TRIM(Transportes!H297),1,FIND("-",TRIM(Transportes!H297),1)-2)="Acción humana","H","F"))</f>
        <v>#VALUE!</v>
      </c>
      <c r="U294" s="53">
        <f>Transportes!G297</f>
        <v>0</v>
      </c>
    </row>
    <row r="295" spans="18:21">
      <c r="R295" t="e">
        <f>TRIM(MID(TRIM(Transportes!D298),1,FIND(CHAR(10),TRIM(Transportes!D298),1)-1))</f>
        <v>#VALUE!</v>
      </c>
      <c r="S295" t="str">
        <f>TRIM(IF(Transportes!F298="TRÁNSITO INTERRUMPIDO","Interrumpido",IF(Transportes!F298="TRÁNSITO RESTRINGIDO","Restringido","Normal")))</f>
        <v>Normal</v>
      </c>
      <c r="T295" t="e">
        <f>TRIM(IF(MID(TRIM(Transportes!H298),1,FIND("-",TRIM(Transportes!H298),1)-2)="Acción humana","H","F"))</f>
        <v>#VALUE!</v>
      </c>
      <c r="U295" s="53">
        <f>Transportes!G298</f>
        <v>0</v>
      </c>
    </row>
    <row r="296" spans="18:21">
      <c r="R296" t="e">
        <f>TRIM(MID(TRIM(Transportes!D299),1,FIND(CHAR(10),TRIM(Transportes!D299),1)-1))</f>
        <v>#VALUE!</v>
      </c>
      <c r="S296" t="str">
        <f>TRIM(IF(Transportes!F299="TRÁNSITO INTERRUMPIDO","Interrumpido",IF(Transportes!F299="TRÁNSITO RESTRINGIDO","Restringido","Normal")))</f>
        <v>Normal</v>
      </c>
      <c r="T296" t="e">
        <f>TRIM(IF(MID(TRIM(Transportes!H299),1,FIND("-",TRIM(Transportes!H299),1)-2)="Acción humana","H","F"))</f>
        <v>#VALUE!</v>
      </c>
      <c r="U296" s="53">
        <f>Transportes!G299</f>
        <v>0</v>
      </c>
    </row>
    <row r="297" spans="18:21">
      <c r="R297" t="e">
        <f>TRIM(MID(TRIM(Transportes!D300),1,FIND(CHAR(10),TRIM(Transportes!D300),1)-1))</f>
        <v>#VALUE!</v>
      </c>
      <c r="S297" t="str">
        <f>TRIM(IF(Transportes!F300="TRÁNSITO INTERRUMPIDO","Interrumpido",IF(Transportes!F300="TRÁNSITO RESTRINGIDO","Restringido","Normal")))</f>
        <v>Normal</v>
      </c>
      <c r="T297" t="e">
        <f>TRIM(IF(MID(TRIM(Transportes!H300),1,FIND("-",TRIM(Transportes!H300),1)-2)="Acción humana","H","F"))</f>
        <v>#VALUE!</v>
      </c>
      <c r="U297" s="53">
        <f>Transportes!G300</f>
        <v>0</v>
      </c>
    </row>
    <row r="298" spans="18:21">
      <c r="R298" t="e">
        <f>TRIM(MID(TRIM(Transportes!D301),1,FIND(CHAR(10),TRIM(Transportes!D301),1)-1))</f>
        <v>#VALUE!</v>
      </c>
      <c r="S298" t="str">
        <f>TRIM(IF(Transportes!F301="TRÁNSITO INTERRUMPIDO","Interrumpido",IF(Transportes!F301="TRÁNSITO RESTRINGIDO","Restringido","Normal")))</f>
        <v>Normal</v>
      </c>
      <c r="T298" t="e">
        <f>TRIM(IF(MID(TRIM(Transportes!H301),1,FIND("-",TRIM(Transportes!H301),1)-2)="Acción humana","H","F"))</f>
        <v>#VALUE!</v>
      </c>
      <c r="U298" s="53">
        <f>Transportes!G301</f>
        <v>0</v>
      </c>
    </row>
    <row r="299" spans="18:21">
      <c r="R299" t="e">
        <f>TRIM(MID(TRIM(Transportes!D302),1,FIND(CHAR(10),TRIM(Transportes!D302),1)-1))</f>
        <v>#VALUE!</v>
      </c>
      <c r="S299" t="str">
        <f>TRIM(IF(Transportes!F302="TRÁNSITO INTERRUMPIDO","Interrumpido",IF(Transportes!F302="TRÁNSITO RESTRINGIDO","Restringido","Normal")))</f>
        <v>Normal</v>
      </c>
      <c r="T299" t="e">
        <f>TRIM(IF(MID(TRIM(Transportes!H302),1,FIND("-",TRIM(Transportes!H302),1)-2)="Acción humana","H","F"))</f>
        <v>#VALUE!</v>
      </c>
      <c r="U299" s="53">
        <f>Transportes!G302</f>
        <v>0</v>
      </c>
    </row>
    <row r="300" spans="18:21">
      <c r="R300" t="e">
        <f>TRIM(MID(TRIM(Transportes!D303),1,FIND(CHAR(10),TRIM(Transportes!D303),1)-1))</f>
        <v>#VALUE!</v>
      </c>
      <c r="S300" t="str">
        <f>TRIM(IF(Transportes!F303="TRÁNSITO INTERRUMPIDO","Interrumpido",IF(Transportes!F303="TRÁNSITO RESTRINGIDO","Restringido","Normal")))</f>
        <v>Normal</v>
      </c>
      <c r="T300" t="e">
        <f>TRIM(IF(MID(TRIM(Transportes!H303),1,FIND("-",TRIM(Transportes!H303),1)-2)="Acción humana","H","F"))</f>
        <v>#VALUE!</v>
      </c>
      <c r="U300" s="53">
        <f>Transportes!G303</f>
        <v>0</v>
      </c>
    </row>
    <row r="301" spans="18:21">
      <c r="R301" t="e">
        <f>TRIM(MID(TRIM(Transportes!D304),1,FIND(CHAR(10),TRIM(Transportes!D304),1)-1))</f>
        <v>#VALUE!</v>
      </c>
      <c r="S301" t="str">
        <f>TRIM(IF(Transportes!F304="TRÁNSITO INTERRUMPIDO","Interrumpido",IF(Transportes!F304="TRÁNSITO RESTRINGIDO","Restringido","Normal")))</f>
        <v>Normal</v>
      </c>
      <c r="T301" t="e">
        <f>TRIM(IF(MID(TRIM(Transportes!H304),1,FIND("-",TRIM(Transportes!H304),1)-2)="Acción humana","H","F"))</f>
        <v>#VALUE!</v>
      </c>
      <c r="U301" s="53">
        <f>Transportes!G304</f>
        <v>0</v>
      </c>
    </row>
    <row r="302" spans="18:21">
      <c r="R302" t="e">
        <f>TRIM(MID(TRIM(Transportes!D305),1,FIND(CHAR(10),TRIM(Transportes!D305),1)-1))</f>
        <v>#VALUE!</v>
      </c>
      <c r="S302" t="str">
        <f>TRIM(IF(Transportes!F305="TRÁNSITO INTERRUMPIDO","Interrumpido",IF(Transportes!F305="TRÁNSITO RESTRINGIDO","Restringido","Normal")))</f>
        <v>Normal</v>
      </c>
      <c r="T302" t="e">
        <f>TRIM(IF(MID(TRIM(Transportes!H305),1,FIND("-",TRIM(Transportes!H305),1)-2)="Acción humana","H","F"))</f>
        <v>#VALUE!</v>
      </c>
      <c r="U302" s="53">
        <f>Transportes!G305</f>
        <v>0</v>
      </c>
    </row>
    <row r="303" spans="18:21">
      <c r="R303" t="e">
        <f>TRIM(MID(TRIM(Transportes!D306),1,FIND(CHAR(10),TRIM(Transportes!D306),1)-1))</f>
        <v>#VALUE!</v>
      </c>
      <c r="S303" t="str">
        <f>TRIM(IF(Transportes!F306="TRÁNSITO INTERRUMPIDO","Interrumpido",IF(Transportes!F306="TRÁNSITO RESTRINGIDO","Restringido","Normal")))</f>
        <v>Normal</v>
      </c>
      <c r="T303" t="e">
        <f>TRIM(IF(MID(TRIM(Transportes!H306),1,FIND("-",TRIM(Transportes!H306),1)-2)="Acción humana","H","F"))</f>
        <v>#VALUE!</v>
      </c>
      <c r="U303" s="53">
        <f>Transportes!G306</f>
        <v>0</v>
      </c>
    </row>
    <row r="304" spans="18:21">
      <c r="R304" t="e">
        <f>TRIM(MID(TRIM(Transportes!D307),1,FIND(CHAR(10),TRIM(Transportes!D307),1)-1))</f>
        <v>#VALUE!</v>
      </c>
      <c r="S304" t="str">
        <f>TRIM(IF(Transportes!F307="TRÁNSITO INTERRUMPIDO","Interrumpido",IF(Transportes!F307="TRÁNSITO RESTRINGIDO","Restringido","Normal")))</f>
        <v>Normal</v>
      </c>
      <c r="T304" t="e">
        <f>TRIM(IF(MID(TRIM(Transportes!H307),1,FIND("-",TRIM(Transportes!H307),1)-2)="Acción humana","H","F"))</f>
        <v>#VALUE!</v>
      </c>
      <c r="U304" s="53">
        <f>Transportes!G307</f>
        <v>0</v>
      </c>
    </row>
    <row r="305" spans="18:21">
      <c r="R305" t="e">
        <f>TRIM(MID(TRIM(Transportes!D308),1,FIND(CHAR(10),TRIM(Transportes!D308),1)-1))</f>
        <v>#VALUE!</v>
      </c>
      <c r="S305" t="str">
        <f>TRIM(IF(Transportes!F308="TRÁNSITO INTERRUMPIDO","Interrumpido",IF(Transportes!F308="TRÁNSITO RESTRINGIDO","Restringido","Normal")))</f>
        <v>Normal</v>
      </c>
      <c r="T305" t="e">
        <f>TRIM(IF(MID(TRIM(Transportes!H308),1,FIND("-",TRIM(Transportes!H308),1)-2)="Acción humana","H","F"))</f>
        <v>#VALUE!</v>
      </c>
      <c r="U305" s="53">
        <f>Transportes!G308</f>
        <v>0</v>
      </c>
    </row>
    <row r="306" spans="18:21">
      <c r="R306" t="e">
        <f>TRIM(MID(TRIM(Transportes!D309),1,FIND(CHAR(10),TRIM(Transportes!D309),1)-1))</f>
        <v>#VALUE!</v>
      </c>
      <c r="S306" t="str">
        <f>TRIM(IF(Transportes!F309="TRÁNSITO INTERRUMPIDO","Interrumpido",IF(Transportes!F309="TRÁNSITO RESTRINGIDO","Restringido","Normal")))</f>
        <v>Normal</v>
      </c>
      <c r="T306" t="e">
        <f>TRIM(IF(MID(TRIM(Transportes!H309),1,FIND("-",TRIM(Transportes!H309),1)-2)="Acción humana","H","F"))</f>
        <v>#VALUE!</v>
      </c>
      <c r="U306" s="53">
        <f>Transportes!G309</f>
        <v>0</v>
      </c>
    </row>
    <row r="307" spans="18:21">
      <c r="R307" t="e">
        <f>TRIM(MID(TRIM(Transportes!D310),1,FIND(CHAR(10),TRIM(Transportes!D310),1)-1))</f>
        <v>#VALUE!</v>
      </c>
      <c r="S307" t="str">
        <f>TRIM(IF(Transportes!F310="TRÁNSITO INTERRUMPIDO","Interrumpido",IF(Transportes!F310="TRÁNSITO RESTRINGIDO","Restringido","Normal")))</f>
        <v>Normal</v>
      </c>
      <c r="T307" t="e">
        <f>TRIM(IF(MID(TRIM(Transportes!H310),1,FIND("-",TRIM(Transportes!H310),1)-2)="Acción humana","H","F"))</f>
        <v>#VALUE!</v>
      </c>
      <c r="U307" s="53">
        <f>Transportes!G310</f>
        <v>0</v>
      </c>
    </row>
    <row r="308" spans="18:21">
      <c r="R308" t="e">
        <f>TRIM(MID(TRIM(Transportes!D311),1,FIND(CHAR(10),TRIM(Transportes!D311),1)-1))</f>
        <v>#VALUE!</v>
      </c>
      <c r="S308" t="str">
        <f>TRIM(IF(Transportes!F311="TRÁNSITO INTERRUMPIDO","Interrumpido",IF(Transportes!F311="TRÁNSITO RESTRINGIDO","Restringido","Normal")))</f>
        <v>Normal</v>
      </c>
      <c r="T308" t="e">
        <f>TRIM(IF(MID(TRIM(Transportes!H311),1,FIND("-",TRIM(Transportes!H311),1)-2)="Acción humana","H","F"))</f>
        <v>#VALUE!</v>
      </c>
      <c r="U308" s="53">
        <f>Transportes!G311</f>
        <v>0</v>
      </c>
    </row>
    <row r="309" spans="18:21">
      <c r="R309" t="e">
        <f>TRIM(MID(TRIM(Transportes!D312),1,FIND(CHAR(10),TRIM(Transportes!D312),1)-1))</f>
        <v>#VALUE!</v>
      </c>
      <c r="S309" t="str">
        <f>TRIM(IF(Transportes!F312="TRÁNSITO INTERRUMPIDO","Interrumpido",IF(Transportes!F312="TRÁNSITO RESTRINGIDO","Restringido","Normal")))</f>
        <v>Normal</v>
      </c>
      <c r="T309" t="e">
        <f>TRIM(IF(MID(TRIM(Transportes!H312),1,FIND("-",TRIM(Transportes!H312),1)-2)="Acción humana","H","F"))</f>
        <v>#VALUE!</v>
      </c>
      <c r="U309" s="53">
        <f>Transportes!G312</f>
        <v>0</v>
      </c>
    </row>
    <row r="310" spans="18:21">
      <c r="R310" t="e">
        <f>TRIM(MID(TRIM(Transportes!D313),1,FIND(CHAR(10),TRIM(Transportes!D313),1)-1))</f>
        <v>#VALUE!</v>
      </c>
      <c r="S310" t="str">
        <f>TRIM(IF(Transportes!F313="TRÁNSITO INTERRUMPIDO","Interrumpido",IF(Transportes!F313="TRÁNSITO RESTRINGIDO","Restringido","Normal")))</f>
        <v>Normal</v>
      </c>
      <c r="T310" t="e">
        <f>TRIM(IF(MID(TRIM(Transportes!H313),1,FIND("-",TRIM(Transportes!H313),1)-2)="Acción humana","H","F"))</f>
        <v>#VALUE!</v>
      </c>
      <c r="U310" s="53">
        <f>Transportes!G313</f>
        <v>0</v>
      </c>
    </row>
    <row r="311" spans="18:21">
      <c r="R311" t="e">
        <f>TRIM(MID(TRIM(Transportes!D314),1,FIND(CHAR(10),TRIM(Transportes!D314),1)-1))</f>
        <v>#VALUE!</v>
      </c>
      <c r="S311" t="str">
        <f>TRIM(IF(Transportes!F314="TRÁNSITO INTERRUMPIDO","Interrumpido",IF(Transportes!F314="TRÁNSITO RESTRINGIDO","Restringido","Normal")))</f>
        <v>Normal</v>
      </c>
      <c r="T311" t="e">
        <f>TRIM(IF(MID(TRIM(Transportes!H314),1,FIND("-",TRIM(Transportes!H314),1)-2)="Acción humana","H","F"))</f>
        <v>#VALUE!</v>
      </c>
      <c r="U311" s="53">
        <f>Transportes!G314</f>
        <v>0</v>
      </c>
    </row>
    <row r="312" spans="18:21">
      <c r="R312" t="e">
        <f>TRIM(MID(TRIM(Transportes!D315),1,FIND(CHAR(10),TRIM(Transportes!D315),1)-1))</f>
        <v>#VALUE!</v>
      </c>
      <c r="S312" t="str">
        <f>TRIM(IF(Transportes!F315="TRÁNSITO INTERRUMPIDO","Interrumpido",IF(Transportes!F315="TRÁNSITO RESTRINGIDO","Restringido","Normal")))</f>
        <v>Normal</v>
      </c>
      <c r="T312" t="e">
        <f>TRIM(IF(MID(TRIM(Transportes!H315),1,FIND("-",TRIM(Transportes!H315),1)-2)="Acción humana","H","F"))</f>
        <v>#VALUE!</v>
      </c>
      <c r="U312" s="53">
        <f>Transportes!G315</f>
        <v>0</v>
      </c>
    </row>
    <row r="313" spans="18:21">
      <c r="R313" t="e">
        <f>TRIM(MID(TRIM(Transportes!D316),1,FIND(CHAR(10),TRIM(Transportes!D316),1)-1))</f>
        <v>#VALUE!</v>
      </c>
      <c r="S313" t="str">
        <f>TRIM(IF(Transportes!F316="TRÁNSITO INTERRUMPIDO","Interrumpido",IF(Transportes!F316="TRÁNSITO RESTRINGIDO","Restringido","Normal")))</f>
        <v>Normal</v>
      </c>
      <c r="T313" t="e">
        <f>TRIM(IF(MID(TRIM(Transportes!H316),1,FIND("-",TRIM(Transportes!H316),1)-2)="Acción humana","H","F"))</f>
        <v>#VALUE!</v>
      </c>
      <c r="U313" s="53">
        <f>Transportes!G316</f>
        <v>0</v>
      </c>
    </row>
    <row r="314" spans="18:21">
      <c r="R314" t="e">
        <f>TRIM(MID(TRIM(Transportes!D317),1,FIND(CHAR(10),TRIM(Transportes!D317),1)-1))</f>
        <v>#VALUE!</v>
      </c>
      <c r="S314" t="str">
        <f>TRIM(IF(Transportes!F317="TRÁNSITO INTERRUMPIDO","Interrumpido",IF(Transportes!F317="TRÁNSITO RESTRINGIDO","Restringido","Normal")))</f>
        <v>Normal</v>
      </c>
      <c r="T314" t="e">
        <f>TRIM(IF(MID(TRIM(Transportes!H317),1,FIND("-",TRIM(Transportes!H317),1)-2)="Acción humana","H","F"))</f>
        <v>#VALUE!</v>
      </c>
      <c r="U314" s="53">
        <f>Transportes!G317</f>
        <v>0</v>
      </c>
    </row>
    <row r="315" spans="18:21">
      <c r="R315" t="e">
        <f>TRIM(MID(TRIM(Transportes!D318),1,FIND(CHAR(10),TRIM(Transportes!D318),1)-1))</f>
        <v>#VALUE!</v>
      </c>
      <c r="S315" t="str">
        <f>TRIM(IF(Transportes!F318="TRÁNSITO INTERRUMPIDO","Interrumpido",IF(Transportes!F318="TRÁNSITO RESTRINGIDO","Restringido","Normal")))</f>
        <v>Normal</v>
      </c>
      <c r="T315" t="e">
        <f>TRIM(IF(MID(TRIM(Transportes!H318),1,FIND("-",TRIM(Transportes!H318),1)-2)="Acción humana","H","F"))</f>
        <v>#VALUE!</v>
      </c>
      <c r="U315" s="53">
        <f>Transportes!G318</f>
        <v>0</v>
      </c>
    </row>
    <row r="316" spans="18:21">
      <c r="R316" t="e">
        <f>TRIM(MID(TRIM(Transportes!D319),1,FIND(CHAR(10),TRIM(Transportes!D319),1)-1))</f>
        <v>#VALUE!</v>
      </c>
      <c r="S316" t="str">
        <f>TRIM(IF(Transportes!F319="TRÁNSITO INTERRUMPIDO","Interrumpido",IF(Transportes!F319="TRÁNSITO RESTRINGIDO","Restringido","Normal")))</f>
        <v>Normal</v>
      </c>
      <c r="T316" t="e">
        <f>TRIM(IF(MID(TRIM(Transportes!H319),1,FIND("-",TRIM(Transportes!H319),1)-2)="Acción humana","H","F"))</f>
        <v>#VALUE!</v>
      </c>
      <c r="U316" s="53">
        <f>Transportes!G319</f>
        <v>0</v>
      </c>
    </row>
    <row r="317" spans="18:21">
      <c r="R317" t="e">
        <f>TRIM(MID(TRIM(Transportes!D320),1,FIND(CHAR(10),TRIM(Transportes!D320),1)-1))</f>
        <v>#VALUE!</v>
      </c>
      <c r="S317" t="str">
        <f>TRIM(IF(Transportes!F320="TRÁNSITO INTERRUMPIDO","Interrumpido",IF(Transportes!F320="TRÁNSITO RESTRINGIDO","Restringido","Normal")))</f>
        <v>Normal</v>
      </c>
      <c r="T317" t="e">
        <f>TRIM(IF(MID(TRIM(Transportes!H320),1,FIND("-",TRIM(Transportes!H320),1)-2)="Acción humana","H","F"))</f>
        <v>#VALUE!</v>
      </c>
      <c r="U317" s="53">
        <f>Transportes!G320</f>
        <v>0</v>
      </c>
    </row>
    <row r="318" spans="18:21">
      <c r="R318" t="e">
        <f>TRIM(MID(TRIM(Transportes!D321),1,FIND(CHAR(10),TRIM(Transportes!D321),1)-1))</f>
        <v>#VALUE!</v>
      </c>
      <c r="S318" t="str">
        <f>TRIM(IF(Transportes!F321="TRÁNSITO INTERRUMPIDO","Interrumpido",IF(Transportes!F321="TRÁNSITO RESTRINGIDO","Restringido","Normal")))</f>
        <v>Normal</v>
      </c>
      <c r="T318" t="e">
        <f>TRIM(IF(MID(TRIM(Transportes!H321),1,FIND("-",TRIM(Transportes!H321),1)-2)="Acción humana","H","F"))</f>
        <v>#VALUE!</v>
      </c>
      <c r="U318" s="53">
        <f>Transportes!G321</f>
        <v>0</v>
      </c>
    </row>
    <row r="319" spans="18:21">
      <c r="R319" t="e">
        <f>TRIM(MID(TRIM(Transportes!D322),1,FIND(CHAR(10),TRIM(Transportes!D322),1)-1))</f>
        <v>#VALUE!</v>
      </c>
      <c r="S319" t="str">
        <f>TRIM(IF(Transportes!F322="TRÁNSITO INTERRUMPIDO","Interrumpido",IF(Transportes!F322="TRÁNSITO RESTRINGIDO","Restringido","Normal")))</f>
        <v>Normal</v>
      </c>
      <c r="T319" t="e">
        <f>TRIM(IF(MID(TRIM(Transportes!H322),1,FIND("-",TRIM(Transportes!H322),1)-2)="Acción humana","H","F"))</f>
        <v>#VALUE!</v>
      </c>
      <c r="U319" s="53">
        <f>Transportes!G322</f>
        <v>0</v>
      </c>
    </row>
    <row r="320" spans="18:21">
      <c r="R320" t="e">
        <f>TRIM(MID(TRIM(Transportes!D323),1,FIND(CHAR(10),TRIM(Transportes!D323),1)-1))</f>
        <v>#VALUE!</v>
      </c>
      <c r="S320" t="str">
        <f>TRIM(IF(Transportes!F323="TRÁNSITO INTERRUMPIDO","Interrumpido",IF(Transportes!F323="TRÁNSITO RESTRINGIDO","Restringido","Normal")))</f>
        <v>Normal</v>
      </c>
      <c r="T320" t="e">
        <f>TRIM(IF(MID(TRIM(Transportes!H323),1,FIND("-",TRIM(Transportes!H323),1)-2)="Acción humana","H","F"))</f>
        <v>#VALUE!</v>
      </c>
      <c r="U320" s="53">
        <f>Transportes!G323</f>
        <v>0</v>
      </c>
    </row>
    <row r="321" spans="18:21">
      <c r="R321" t="e">
        <f>TRIM(MID(TRIM(Transportes!D324),1,FIND(CHAR(10),TRIM(Transportes!D324),1)-1))</f>
        <v>#VALUE!</v>
      </c>
      <c r="S321" t="str">
        <f>TRIM(IF(Transportes!F324="TRÁNSITO INTERRUMPIDO","Interrumpido",IF(Transportes!F324="TRÁNSITO RESTRINGIDO","Restringido","Normal")))</f>
        <v>Normal</v>
      </c>
      <c r="T321" t="e">
        <f>TRIM(IF(MID(TRIM(Transportes!H324),1,FIND("-",TRIM(Transportes!H324),1)-2)="Acción humana","H","F"))</f>
        <v>#VALUE!</v>
      </c>
      <c r="U321" s="53">
        <f>Transportes!G324</f>
        <v>0</v>
      </c>
    </row>
    <row r="322" spans="18:21">
      <c r="R322" t="e">
        <f>TRIM(MID(TRIM(Transportes!D325),1,FIND(CHAR(10),TRIM(Transportes!D325),1)-1))</f>
        <v>#VALUE!</v>
      </c>
      <c r="S322" t="str">
        <f>TRIM(IF(Transportes!F325="TRÁNSITO INTERRUMPIDO","Interrumpido",IF(Transportes!F325="TRÁNSITO RESTRINGIDO","Restringido","Normal")))</f>
        <v>Normal</v>
      </c>
      <c r="T322" t="e">
        <f>TRIM(IF(MID(TRIM(Transportes!H325),1,FIND("-",TRIM(Transportes!H325),1)-2)="Acción humana","H","F"))</f>
        <v>#VALUE!</v>
      </c>
      <c r="U322" s="53">
        <f>Transportes!G325</f>
        <v>0</v>
      </c>
    </row>
    <row r="323" spans="18:21">
      <c r="R323" t="e">
        <f>TRIM(MID(TRIM(Transportes!D326),1,FIND(CHAR(10),TRIM(Transportes!D326),1)-1))</f>
        <v>#VALUE!</v>
      </c>
      <c r="S323" t="str">
        <f>TRIM(IF(Transportes!F326="TRÁNSITO INTERRUMPIDO","Interrumpido",IF(Transportes!F326="TRÁNSITO RESTRINGIDO","Restringido","Normal")))</f>
        <v>Normal</v>
      </c>
      <c r="T323" t="e">
        <f>TRIM(IF(MID(TRIM(Transportes!H326),1,FIND("-",TRIM(Transportes!H326),1)-2)="Acción humana","H","F"))</f>
        <v>#VALUE!</v>
      </c>
      <c r="U323" s="53">
        <f>Transportes!G326</f>
        <v>0</v>
      </c>
    </row>
    <row r="324" spans="18:21">
      <c r="R324" t="e">
        <f>TRIM(MID(TRIM(Transportes!D327),1,FIND(CHAR(10),TRIM(Transportes!D327),1)-1))</f>
        <v>#VALUE!</v>
      </c>
      <c r="S324" t="str">
        <f>TRIM(IF(Transportes!F327="TRÁNSITO INTERRUMPIDO","Interrumpido",IF(Transportes!F327="TRÁNSITO RESTRINGIDO","Restringido","Normal")))</f>
        <v>Normal</v>
      </c>
      <c r="T324" t="e">
        <f>TRIM(IF(MID(TRIM(Transportes!H327),1,FIND("-",TRIM(Transportes!H327),1)-2)="Acción humana","H","F"))</f>
        <v>#VALUE!</v>
      </c>
      <c r="U324" s="53">
        <f>Transportes!G327</f>
        <v>0</v>
      </c>
    </row>
    <row r="325" spans="18:21">
      <c r="R325" t="e">
        <f>TRIM(MID(TRIM(Transportes!D328),1,FIND(CHAR(10),TRIM(Transportes!D328),1)-1))</f>
        <v>#VALUE!</v>
      </c>
      <c r="S325" t="str">
        <f>TRIM(IF(Transportes!F328="TRÁNSITO INTERRUMPIDO","Interrumpido",IF(Transportes!F328="TRÁNSITO RESTRINGIDO","Restringido","Normal")))</f>
        <v>Normal</v>
      </c>
      <c r="T325" t="e">
        <f>TRIM(IF(MID(TRIM(Transportes!H328),1,FIND("-",TRIM(Transportes!H328),1)-2)="Acción humana","H","F"))</f>
        <v>#VALUE!</v>
      </c>
      <c r="U325" s="53">
        <f>Transportes!G328</f>
        <v>0</v>
      </c>
    </row>
    <row r="326" spans="18:21">
      <c r="R326" t="e">
        <f>TRIM(MID(TRIM(Transportes!D329),1,FIND(CHAR(10),TRIM(Transportes!D329),1)-1))</f>
        <v>#VALUE!</v>
      </c>
      <c r="S326" t="str">
        <f>TRIM(IF(Transportes!F329="TRÁNSITO INTERRUMPIDO","Interrumpido",IF(Transportes!F329="TRÁNSITO RESTRINGIDO","Restringido","Normal")))</f>
        <v>Normal</v>
      </c>
      <c r="T326" t="e">
        <f>TRIM(IF(MID(TRIM(Transportes!H329),1,FIND("-",TRIM(Transportes!H329),1)-2)="Acción humana","H","F"))</f>
        <v>#VALUE!</v>
      </c>
      <c r="U326" s="53">
        <f>Transportes!G329</f>
        <v>0</v>
      </c>
    </row>
    <row r="327" spans="18:21">
      <c r="R327" t="e">
        <f>TRIM(MID(TRIM(Transportes!D330),1,FIND(CHAR(10),TRIM(Transportes!D330),1)-1))</f>
        <v>#VALUE!</v>
      </c>
      <c r="S327" t="str">
        <f>TRIM(IF(Transportes!F330="TRÁNSITO INTERRUMPIDO","Interrumpido",IF(Transportes!F330="TRÁNSITO RESTRINGIDO","Restringido","Normal")))</f>
        <v>Normal</v>
      </c>
      <c r="T327" t="e">
        <f>TRIM(IF(MID(TRIM(Transportes!H330),1,FIND("-",TRIM(Transportes!H330),1)-2)="Acción humana","H","F"))</f>
        <v>#VALUE!</v>
      </c>
      <c r="U327" s="53">
        <f>Transportes!G330</f>
        <v>0</v>
      </c>
    </row>
    <row r="328" spans="18:21">
      <c r="R328" t="e">
        <f>TRIM(MID(TRIM(Transportes!D331),1,FIND(CHAR(10),TRIM(Transportes!D331),1)-1))</f>
        <v>#VALUE!</v>
      </c>
      <c r="S328" t="str">
        <f>TRIM(IF(Transportes!F331="TRÁNSITO INTERRUMPIDO","Interrumpido",IF(Transportes!F331="TRÁNSITO RESTRINGIDO","Restringido","Normal")))</f>
        <v>Normal</v>
      </c>
      <c r="T328" t="e">
        <f>TRIM(IF(MID(TRIM(Transportes!H331),1,FIND("-",TRIM(Transportes!H331),1)-2)="Acción humana","H","F"))</f>
        <v>#VALUE!</v>
      </c>
      <c r="U328" s="53">
        <f>Transportes!G331</f>
        <v>0</v>
      </c>
    </row>
    <row r="329" spans="18:21">
      <c r="R329" t="e">
        <f>TRIM(MID(TRIM(Transportes!D332),1,FIND(CHAR(10),TRIM(Transportes!D332),1)-1))</f>
        <v>#VALUE!</v>
      </c>
      <c r="S329" t="str">
        <f>TRIM(IF(Transportes!F332="TRÁNSITO INTERRUMPIDO","Interrumpido",IF(Transportes!F332="TRÁNSITO RESTRINGIDO","Restringido","Normal")))</f>
        <v>Normal</v>
      </c>
      <c r="T329" t="e">
        <f>TRIM(IF(MID(TRIM(Transportes!H332),1,FIND("-",TRIM(Transportes!H332),1)-2)="Acción humana","H","F"))</f>
        <v>#VALUE!</v>
      </c>
      <c r="U329" s="53">
        <f>Transportes!G332</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5"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46"/>
  <sheetViews>
    <sheetView showGridLines="0" topLeftCell="A3" zoomScaleNormal="100" zoomScaleSheetLayoutView="100" workbookViewId="0">
      <selection activeCell="F8" sqref="F8"/>
    </sheetView>
  </sheetViews>
  <sheetFormatPr baseColWidth="10" defaultColWidth="11" defaultRowHeight="14.25"/>
  <cols>
    <col min="1" max="1" width="4.875" style="64" bestFit="1" customWidth="1"/>
    <col min="2" max="2" width="12.875" style="179" bestFit="1" customWidth="1"/>
    <col min="3" max="3" width="11" customWidth="1"/>
    <col min="4" max="4" width="20.75" bestFit="1" customWidth="1"/>
    <col min="5" max="5" width="29.125" style="55" customWidth="1"/>
    <col min="6" max="6" width="14.25" style="55" customWidth="1"/>
    <col min="7" max="7" width="12.375" style="53" hidden="1" customWidth="1"/>
    <col min="8" max="8" width="59.5" customWidth="1"/>
    <col min="9" max="9" width="22.25" customWidth="1"/>
    <col min="10" max="10" width="27" bestFit="1" customWidth="1"/>
    <col min="11" max="11" width="10.125" style="278" bestFit="1" customWidth="1"/>
    <col min="12" max="12" width="12" style="148" customWidth="1"/>
    <col min="13" max="13" width="12.625" style="149" customWidth="1"/>
  </cols>
  <sheetData>
    <row r="1" spans="1:13" ht="36" customHeight="1">
      <c r="B1" s="172"/>
      <c r="D1" s="329" t="s">
        <v>140</v>
      </c>
      <c r="E1" s="329"/>
      <c r="F1" s="329"/>
      <c r="G1" s="329"/>
      <c r="H1" s="329"/>
      <c r="I1" s="329"/>
      <c r="J1" s="329"/>
      <c r="K1" s="329"/>
    </row>
    <row r="2" spans="1:13" ht="26.25">
      <c r="A2" s="68"/>
      <c r="B2" s="173"/>
      <c r="C2" s="48" t="s">
        <v>0</v>
      </c>
      <c r="D2" s="330" t="s">
        <v>1</v>
      </c>
      <c r="E2" s="330"/>
      <c r="F2" s="330"/>
      <c r="G2" s="330"/>
      <c r="H2" s="330"/>
      <c r="I2" s="330"/>
      <c r="J2" s="330"/>
      <c r="K2" s="330"/>
      <c r="L2" s="150"/>
    </row>
    <row r="3" spans="1:13" ht="26.25">
      <c r="A3" s="68"/>
      <c r="B3" s="174" t="s">
        <v>14</v>
      </c>
      <c r="C3" s="47" t="s">
        <v>853</v>
      </c>
      <c r="D3" s="49"/>
      <c r="E3" s="13"/>
      <c r="F3" s="13"/>
      <c r="G3" s="50"/>
      <c r="H3" s="51"/>
      <c r="I3" s="52"/>
      <c r="J3" s="51"/>
      <c r="K3" s="277"/>
      <c r="L3" s="151"/>
    </row>
    <row r="4" spans="1:13" ht="25.5">
      <c r="A4" s="57" t="s">
        <v>322</v>
      </c>
      <c r="B4" s="57" t="s">
        <v>3</v>
      </c>
      <c r="C4" s="57" t="s">
        <v>17</v>
      </c>
      <c r="D4" s="57" t="s">
        <v>4</v>
      </c>
      <c r="E4" s="262" t="s">
        <v>5</v>
      </c>
      <c r="F4" s="57" t="s">
        <v>7</v>
      </c>
      <c r="G4" s="58" t="s">
        <v>86</v>
      </c>
      <c r="H4" s="57" t="s">
        <v>23</v>
      </c>
      <c r="I4" s="57" t="s">
        <v>481</v>
      </c>
      <c r="J4" s="57" t="s">
        <v>82</v>
      </c>
      <c r="K4" s="57" t="s">
        <v>9</v>
      </c>
      <c r="L4" s="152" t="s">
        <v>10</v>
      </c>
      <c r="M4" s="153" t="s">
        <v>11</v>
      </c>
    </row>
    <row r="5" spans="1:13" ht="114" customHeight="1">
      <c r="A5" s="142">
        <v>141</v>
      </c>
      <c r="B5" s="212" t="s">
        <v>573</v>
      </c>
      <c r="C5" s="89">
        <v>45814</v>
      </c>
      <c r="D5" s="83" t="s">
        <v>538</v>
      </c>
      <c r="E5" s="80" t="s">
        <v>574</v>
      </c>
      <c r="F5" s="134" t="s">
        <v>28</v>
      </c>
      <c r="G5" s="91">
        <v>90</v>
      </c>
      <c r="H5" s="84" t="s">
        <v>726</v>
      </c>
      <c r="I5" s="87" t="s">
        <v>110</v>
      </c>
      <c r="J5" s="86" t="s">
        <v>170</v>
      </c>
      <c r="K5" s="206" t="s">
        <v>30</v>
      </c>
      <c r="L5" s="204">
        <v>9.1887910000000002</v>
      </c>
      <c r="M5" s="205">
        <v>-76.961229000000003</v>
      </c>
    </row>
    <row r="6" spans="1:13" ht="109.5" customHeight="1">
      <c r="A6" s="142">
        <v>140</v>
      </c>
      <c r="B6" s="212" t="s">
        <v>438</v>
      </c>
      <c r="C6" s="89">
        <v>45792</v>
      </c>
      <c r="D6" s="83" t="s">
        <v>120</v>
      </c>
      <c r="E6" s="80" t="s">
        <v>441</v>
      </c>
      <c r="F6" s="134" t="s">
        <v>28</v>
      </c>
      <c r="G6" s="91">
        <v>25</v>
      </c>
      <c r="H6" s="84" t="s">
        <v>727</v>
      </c>
      <c r="I6" s="87" t="s">
        <v>110</v>
      </c>
      <c r="J6" s="86" t="s">
        <v>170</v>
      </c>
      <c r="K6" s="178" t="s">
        <v>30</v>
      </c>
      <c r="L6" s="204">
        <v>-10.074085</v>
      </c>
      <c r="M6" s="205">
        <v>-77.145172000000002</v>
      </c>
    </row>
    <row r="7" spans="1:13" ht="102">
      <c r="A7" s="142">
        <v>139</v>
      </c>
      <c r="B7" s="212" t="s">
        <v>422</v>
      </c>
      <c r="C7" s="89">
        <v>45790</v>
      </c>
      <c r="D7" s="90" t="s">
        <v>423</v>
      </c>
      <c r="E7" s="80" t="s">
        <v>424</v>
      </c>
      <c r="F7" s="134" t="s">
        <v>28</v>
      </c>
      <c r="G7" s="91">
        <v>1</v>
      </c>
      <c r="H7" s="81" t="s">
        <v>728</v>
      </c>
      <c r="I7" s="87" t="s">
        <v>425</v>
      </c>
      <c r="J7" s="88" t="s">
        <v>211</v>
      </c>
      <c r="K7" s="177" t="s">
        <v>30</v>
      </c>
      <c r="L7" s="82">
        <v>-6.7519439999999999</v>
      </c>
      <c r="M7" s="66">
        <v>-79.724999999999994</v>
      </c>
    </row>
    <row r="8" spans="1:13" ht="167.25" customHeight="1">
      <c r="A8" s="142">
        <v>138</v>
      </c>
      <c r="B8" s="212" t="s">
        <v>233</v>
      </c>
      <c r="C8" s="89">
        <v>45719</v>
      </c>
      <c r="D8" s="90" t="s">
        <v>234</v>
      </c>
      <c r="E8" s="80" t="s">
        <v>235</v>
      </c>
      <c r="F8" s="134" t="s">
        <v>28</v>
      </c>
      <c r="G8" s="91">
        <v>30</v>
      </c>
      <c r="H8" s="81" t="s">
        <v>729</v>
      </c>
      <c r="I8" s="87" t="s">
        <v>236</v>
      </c>
      <c r="J8" s="86" t="s">
        <v>184</v>
      </c>
      <c r="K8" s="177" t="s">
        <v>30</v>
      </c>
      <c r="L8" s="82">
        <v>-7.6699510000000002</v>
      </c>
      <c r="M8" s="66">
        <v>-77.848448000000005</v>
      </c>
    </row>
    <row r="9" spans="1:13" ht="114" customHeight="1">
      <c r="A9" s="142">
        <v>137</v>
      </c>
      <c r="B9" s="309" t="s">
        <v>868</v>
      </c>
      <c r="C9" s="89">
        <v>45822</v>
      </c>
      <c r="D9" s="83" t="s">
        <v>866</v>
      </c>
      <c r="E9" s="80" t="s">
        <v>867</v>
      </c>
      <c r="F9" s="94" t="s">
        <v>12</v>
      </c>
      <c r="G9" s="306"/>
      <c r="H9" s="81" t="s">
        <v>883</v>
      </c>
      <c r="I9" s="87" t="s">
        <v>884</v>
      </c>
      <c r="J9" s="88" t="s">
        <v>869</v>
      </c>
      <c r="K9" s="206" t="s">
        <v>30</v>
      </c>
      <c r="L9" s="307">
        <v>-13.5151</v>
      </c>
      <c r="M9" s="308">
        <v>-70.899199999999993</v>
      </c>
    </row>
    <row r="10" spans="1:13" ht="101.25" customHeight="1">
      <c r="A10" s="142">
        <v>136</v>
      </c>
      <c r="B10" s="285" t="s">
        <v>875</v>
      </c>
      <c r="C10" s="89">
        <v>45822</v>
      </c>
      <c r="D10" s="96" t="s">
        <v>527</v>
      </c>
      <c r="E10" s="80" t="s">
        <v>873</v>
      </c>
      <c r="F10" s="94" t="s">
        <v>12</v>
      </c>
      <c r="G10" s="91">
        <v>20</v>
      </c>
      <c r="H10" s="81" t="s">
        <v>874</v>
      </c>
      <c r="I10" s="87" t="s">
        <v>489</v>
      </c>
      <c r="J10" s="88" t="s">
        <v>211</v>
      </c>
      <c r="K10" s="178"/>
      <c r="L10" s="82">
        <v>-6.103453</v>
      </c>
      <c r="M10" s="66">
        <v>-78.716819999999998</v>
      </c>
    </row>
    <row r="11" spans="1:13" ht="117.75" customHeight="1">
      <c r="A11" s="142">
        <v>135</v>
      </c>
      <c r="B11" s="285" t="s">
        <v>857</v>
      </c>
      <c r="C11" s="89">
        <v>45822</v>
      </c>
      <c r="D11" s="96" t="s">
        <v>449</v>
      </c>
      <c r="E11" s="80" t="s">
        <v>856</v>
      </c>
      <c r="F11" s="94" t="s">
        <v>12</v>
      </c>
      <c r="G11" s="91">
        <v>300</v>
      </c>
      <c r="H11" s="81" t="s">
        <v>854</v>
      </c>
      <c r="I11" s="87" t="s">
        <v>855</v>
      </c>
      <c r="J11" s="88" t="s">
        <v>220</v>
      </c>
      <c r="K11" s="178"/>
      <c r="L11" s="82">
        <v>-14.359156</v>
      </c>
      <c r="M11" s="66">
        <v>-69.479721999999995</v>
      </c>
    </row>
    <row r="12" spans="1:13" ht="95.25" customHeight="1">
      <c r="A12" s="142">
        <v>134</v>
      </c>
      <c r="B12" s="285" t="s">
        <v>852</v>
      </c>
      <c r="C12" s="89">
        <v>45821</v>
      </c>
      <c r="D12" s="96" t="s">
        <v>848</v>
      </c>
      <c r="E12" s="80" t="s">
        <v>849</v>
      </c>
      <c r="F12" s="94" t="s">
        <v>12</v>
      </c>
      <c r="G12" s="91">
        <v>90</v>
      </c>
      <c r="H12" s="81" t="s">
        <v>850</v>
      </c>
      <c r="I12" s="87" t="s">
        <v>851</v>
      </c>
      <c r="J12" s="86" t="s">
        <v>152</v>
      </c>
      <c r="K12" s="164"/>
      <c r="L12" s="82">
        <v>-11.102658</v>
      </c>
      <c r="M12" s="66">
        <v>-76.605610999999996</v>
      </c>
    </row>
    <row r="13" spans="1:13" ht="124.5" customHeight="1">
      <c r="A13" s="142">
        <v>133</v>
      </c>
      <c r="B13" s="285" t="s">
        <v>697</v>
      </c>
      <c r="C13" s="89">
        <v>45821</v>
      </c>
      <c r="D13" s="96" t="s">
        <v>698</v>
      </c>
      <c r="E13" s="168" t="s">
        <v>700</v>
      </c>
      <c r="F13" s="94" t="s">
        <v>12</v>
      </c>
      <c r="G13" s="36">
        <v>12</v>
      </c>
      <c r="H13" s="31" t="s">
        <v>730</v>
      </c>
      <c r="I13" s="87" t="s">
        <v>699</v>
      </c>
      <c r="J13" s="88" t="s">
        <v>194</v>
      </c>
      <c r="K13" s="164" t="s">
        <v>30</v>
      </c>
      <c r="L13" s="82">
        <v>-14.720348</v>
      </c>
      <c r="M13" s="66">
        <v>-74.074780000000004</v>
      </c>
    </row>
    <row r="14" spans="1:13" ht="114.75">
      <c r="A14" s="142">
        <v>132</v>
      </c>
      <c r="B14" s="285" t="s">
        <v>694</v>
      </c>
      <c r="C14" s="89">
        <v>45821</v>
      </c>
      <c r="D14" s="96" t="s">
        <v>691</v>
      </c>
      <c r="E14" s="80" t="s">
        <v>692</v>
      </c>
      <c r="F14" s="94" t="s">
        <v>12</v>
      </c>
      <c r="G14" s="91">
        <v>90</v>
      </c>
      <c r="H14" s="81" t="s">
        <v>731</v>
      </c>
      <c r="I14" s="87" t="s">
        <v>693</v>
      </c>
      <c r="J14" s="86" t="s">
        <v>152</v>
      </c>
      <c r="K14" s="164" t="s">
        <v>30</v>
      </c>
      <c r="L14" s="82">
        <v>-11.479469</v>
      </c>
      <c r="M14" s="66">
        <v>-76.622540999999998</v>
      </c>
    </row>
    <row r="15" spans="1:13" ht="101.25" customHeight="1">
      <c r="A15" s="142">
        <v>131</v>
      </c>
      <c r="B15" s="285" t="s">
        <v>701</v>
      </c>
      <c r="C15" s="281">
        <v>45820</v>
      </c>
      <c r="D15" s="83" t="s">
        <v>695</v>
      </c>
      <c r="E15" s="131" t="s">
        <v>696</v>
      </c>
      <c r="F15" s="284" t="s">
        <v>12</v>
      </c>
      <c r="G15" s="304">
        <v>10</v>
      </c>
      <c r="H15" s="84" t="s">
        <v>732</v>
      </c>
      <c r="I15" s="137" t="s">
        <v>110</v>
      </c>
      <c r="J15" s="86" t="s">
        <v>170</v>
      </c>
      <c r="K15" s="164" t="s">
        <v>30</v>
      </c>
      <c r="L15" s="82">
        <v>-8.6998870000000004</v>
      </c>
      <c r="M15" s="66">
        <v>-78.381114999999994</v>
      </c>
    </row>
    <row r="16" spans="1:13" ht="89.25">
      <c r="A16" s="142">
        <v>130</v>
      </c>
      <c r="B16" s="285" t="s">
        <v>678</v>
      </c>
      <c r="C16" s="89">
        <v>45820</v>
      </c>
      <c r="D16" s="96" t="s">
        <v>527</v>
      </c>
      <c r="E16" s="80" t="s">
        <v>679</v>
      </c>
      <c r="F16" s="94" t="s">
        <v>12</v>
      </c>
      <c r="G16" s="91">
        <v>20</v>
      </c>
      <c r="H16" s="81" t="s">
        <v>733</v>
      </c>
      <c r="I16" s="87" t="s">
        <v>489</v>
      </c>
      <c r="J16" s="88" t="s">
        <v>211</v>
      </c>
      <c r="K16" s="164" t="s">
        <v>30</v>
      </c>
      <c r="L16" s="82">
        <v>-6.0972350000000004</v>
      </c>
      <c r="M16" s="66">
        <v>-78.721344000000002</v>
      </c>
    </row>
    <row r="17" spans="1:13" ht="76.5">
      <c r="A17" s="142">
        <v>129</v>
      </c>
      <c r="B17" s="285" t="s">
        <v>665</v>
      </c>
      <c r="C17" s="89">
        <v>45820</v>
      </c>
      <c r="D17" s="90" t="s">
        <v>507</v>
      </c>
      <c r="E17" s="80" t="s">
        <v>664</v>
      </c>
      <c r="F17" s="94" t="s">
        <v>12</v>
      </c>
      <c r="G17" s="91">
        <v>10</v>
      </c>
      <c r="H17" s="97" t="s">
        <v>734</v>
      </c>
      <c r="I17" s="87" t="s">
        <v>690</v>
      </c>
      <c r="J17" s="88" t="s">
        <v>299</v>
      </c>
      <c r="K17" s="164" t="s">
        <v>30</v>
      </c>
      <c r="L17" s="272">
        <v>-5.0512079999999999</v>
      </c>
      <c r="M17" s="273">
        <v>-78.274925999999994</v>
      </c>
    </row>
    <row r="18" spans="1:13" ht="89.25">
      <c r="A18" s="142">
        <v>128</v>
      </c>
      <c r="B18" s="285" t="s">
        <v>644</v>
      </c>
      <c r="C18" s="89">
        <v>45820</v>
      </c>
      <c r="D18" s="83" t="s">
        <v>550</v>
      </c>
      <c r="E18" s="168" t="s">
        <v>645</v>
      </c>
      <c r="F18" s="94" t="s">
        <v>12</v>
      </c>
      <c r="G18" s="36">
        <v>10</v>
      </c>
      <c r="H18" s="31" t="s">
        <v>735</v>
      </c>
      <c r="I18" s="87" t="s">
        <v>525</v>
      </c>
      <c r="J18" s="88" t="s">
        <v>194</v>
      </c>
      <c r="K18" s="164" t="s">
        <v>30</v>
      </c>
      <c r="L18" s="82">
        <v>-14.723566999999999</v>
      </c>
      <c r="M18" s="66">
        <v>-74.070400000000006</v>
      </c>
    </row>
    <row r="19" spans="1:13" ht="89.25">
      <c r="A19" s="142">
        <v>127</v>
      </c>
      <c r="B19" s="285" t="s">
        <v>683</v>
      </c>
      <c r="C19" s="89">
        <v>45819</v>
      </c>
      <c r="D19" s="83" t="s">
        <v>680</v>
      </c>
      <c r="E19" s="168" t="s">
        <v>682</v>
      </c>
      <c r="F19" s="94" t="s">
        <v>12</v>
      </c>
      <c r="G19" s="36">
        <v>100</v>
      </c>
      <c r="H19" s="31" t="s">
        <v>736</v>
      </c>
      <c r="I19" s="87" t="s">
        <v>681</v>
      </c>
      <c r="J19" s="88" t="s">
        <v>174</v>
      </c>
      <c r="K19" s="206" t="s">
        <v>30</v>
      </c>
      <c r="L19" s="82">
        <v>-14.398429999999999</v>
      </c>
      <c r="M19" s="66">
        <v>-75.110149000000007</v>
      </c>
    </row>
    <row r="20" spans="1:13" ht="89.25">
      <c r="A20" s="142">
        <v>126</v>
      </c>
      <c r="B20" s="285" t="s">
        <v>643</v>
      </c>
      <c r="C20" s="89">
        <v>45819</v>
      </c>
      <c r="D20" s="79" t="s">
        <v>519</v>
      </c>
      <c r="E20" s="80" t="s">
        <v>641</v>
      </c>
      <c r="F20" s="94" t="s">
        <v>12</v>
      </c>
      <c r="G20" s="91">
        <v>20</v>
      </c>
      <c r="H20" s="81" t="s">
        <v>737</v>
      </c>
      <c r="I20" s="87" t="s">
        <v>642</v>
      </c>
      <c r="J20" s="88" t="s">
        <v>171</v>
      </c>
      <c r="K20" s="164" t="s">
        <v>30</v>
      </c>
      <c r="L20" s="82">
        <v>-4.6193720000000003</v>
      </c>
      <c r="M20" s="66">
        <v>-79.639140999999995</v>
      </c>
    </row>
    <row r="21" spans="1:13" ht="89.25">
      <c r="A21" s="142">
        <v>125</v>
      </c>
      <c r="B21" s="285" t="s">
        <v>632</v>
      </c>
      <c r="C21" s="89">
        <v>45819</v>
      </c>
      <c r="D21" s="96" t="s">
        <v>527</v>
      </c>
      <c r="E21" s="80" t="s">
        <v>633</v>
      </c>
      <c r="F21" s="94" t="s">
        <v>12</v>
      </c>
      <c r="G21" s="91">
        <v>20</v>
      </c>
      <c r="H21" s="81" t="s">
        <v>738</v>
      </c>
      <c r="I21" s="87" t="s">
        <v>489</v>
      </c>
      <c r="J21" s="88" t="s">
        <v>211</v>
      </c>
      <c r="K21" s="164" t="s">
        <v>30</v>
      </c>
      <c r="L21" s="82">
        <v>-6.1032970000000004</v>
      </c>
      <c r="M21" s="66">
        <v>-78.717173000000003</v>
      </c>
    </row>
    <row r="22" spans="1:13" ht="102">
      <c r="A22" s="142">
        <v>124</v>
      </c>
      <c r="B22" s="285" t="s">
        <v>629</v>
      </c>
      <c r="C22" s="89">
        <v>45819</v>
      </c>
      <c r="D22" s="96" t="s">
        <v>510</v>
      </c>
      <c r="E22" s="80" t="s">
        <v>631</v>
      </c>
      <c r="F22" s="94" t="s">
        <v>12</v>
      </c>
      <c r="G22" s="235">
        <v>150</v>
      </c>
      <c r="H22" s="81" t="s">
        <v>739</v>
      </c>
      <c r="I22" s="34" t="s">
        <v>630</v>
      </c>
      <c r="J22" s="86" t="s">
        <v>152</v>
      </c>
      <c r="K22" s="206" t="s">
        <v>30</v>
      </c>
      <c r="L22" s="236">
        <v>-10.471378</v>
      </c>
      <c r="M22" s="237">
        <v>-77.154838999999996</v>
      </c>
    </row>
    <row r="23" spans="1:13" ht="89.25">
      <c r="A23" s="142">
        <v>123</v>
      </c>
      <c r="B23" s="285" t="s">
        <v>628</v>
      </c>
      <c r="C23" s="89">
        <v>45819</v>
      </c>
      <c r="D23" s="90" t="s">
        <v>625</v>
      </c>
      <c r="E23" s="80" t="s">
        <v>626</v>
      </c>
      <c r="F23" s="94" t="s">
        <v>12</v>
      </c>
      <c r="G23" s="91">
        <v>30</v>
      </c>
      <c r="H23" s="81" t="s">
        <v>740</v>
      </c>
      <c r="I23" s="34" t="s">
        <v>627</v>
      </c>
      <c r="J23" s="88" t="s">
        <v>412</v>
      </c>
      <c r="K23" s="206" t="s">
        <v>30</v>
      </c>
      <c r="L23" s="82">
        <v>-9.7193450000000006</v>
      </c>
      <c r="M23" s="66">
        <v>-75.506328999999994</v>
      </c>
    </row>
    <row r="24" spans="1:13" ht="76.5">
      <c r="A24" s="142">
        <v>122</v>
      </c>
      <c r="B24" s="285" t="s">
        <v>636</v>
      </c>
      <c r="C24" s="89">
        <v>45818</v>
      </c>
      <c r="D24" s="79" t="s">
        <v>129</v>
      </c>
      <c r="E24" s="80" t="s">
        <v>634</v>
      </c>
      <c r="F24" s="94" t="s">
        <v>12</v>
      </c>
      <c r="G24" s="91">
        <v>100</v>
      </c>
      <c r="H24" s="81" t="s">
        <v>741</v>
      </c>
      <c r="I24" s="87" t="s">
        <v>635</v>
      </c>
      <c r="J24" s="88" t="s">
        <v>171</v>
      </c>
      <c r="K24" s="206" t="s">
        <v>30</v>
      </c>
      <c r="L24" s="82">
        <v>-4.6273229999999996</v>
      </c>
      <c r="M24" s="66">
        <v>-79.623118000000005</v>
      </c>
    </row>
    <row r="25" spans="1:13" ht="89.25">
      <c r="A25" s="142">
        <v>121</v>
      </c>
      <c r="B25" s="212" t="s">
        <v>616</v>
      </c>
      <c r="C25" s="89">
        <v>45818</v>
      </c>
      <c r="D25" s="79" t="s">
        <v>129</v>
      </c>
      <c r="E25" s="80" t="s">
        <v>617</v>
      </c>
      <c r="F25" s="94" t="s">
        <v>12</v>
      </c>
      <c r="G25" s="91">
        <v>30</v>
      </c>
      <c r="H25" s="81" t="s">
        <v>742</v>
      </c>
      <c r="I25" s="87" t="s">
        <v>618</v>
      </c>
      <c r="J25" s="88" t="s">
        <v>171</v>
      </c>
      <c r="K25" s="206" t="s">
        <v>30</v>
      </c>
      <c r="L25" s="82">
        <v>-4.6193720000000003</v>
      </c>
      <c r="M25" s="66">
        <v>-79.639140999999995</v>
      </c>
    </row>
    <row r="26" spans="1:13" ht="89.25">
      <c r="A26" s="142">
        <v>120</v>
      </c>
      <c r="B26" s="212" t="s">
        <v>613</v>
      </c>
      <c r="C26" s="89">
        <v>45818</v>
      </c>
      <c r="D26" s="79" t="s">
        <v>129</v>
      </c>
      <c r="E26" s="80" t="s">
        <v>614</v>
      </c>
      <c r="F26" s="94" t="s">
        <v>12</v>
      </c>
      <c r="G26" s="91">
        <v>34</v>
      </c>
      <c r="H26" s="81" t="s">
        <v>742</v>
      </c>
      <c r="I26" s="87" t="s">
        <v>615</v>
      </c>
      <c r="J26" s="88" t="s">
        <v>171</v>
      </c>
      <c r="K26" s="206" t="s">
        <v>30</v>
      </c>
      <c r="L26" s="82">
        <v>-4.6250330000000002</v>
      </c>
      <c r="M26" s="66">
        <v>-79.630026000000001</v>
      </c>
    </row>
    <row r="27" spans="1:13" ht="89.25">
      <c r="A27" s="142">
        <v>119</v>
      </c>
      <c r="B27" s="212" t="s">
        <v>610</v>
      </c>
      <c r="C27" s="89">
        <v>45818</v>
      </c>
      <c r="D27" s="79" t="s">
        <v>129</v>
      </c>
      <c r="E27" s="80" t="s">
        <v>611</v>
      </c>
      <c r="F27" s="94" t="s">
        <v>12</v>
      </c>
      <c r="G27" s="91">
        <v>100</v>
      </c>
      <c r="H27" s="81" t="s">
        <v>743</v>
      </c>
      <c r="I27" s="87" t="s">
        <v>612</v>
      </c>
      <c r="J27" s="88" t="s">
        <v>171</v>
      </c>
      <c r="K27" s="206" t="s">
        <v>30</v>
      </c>
      <c r="L27" s="82">
        <v>-4.6824089999999998</v>
      </c>
      <c r="M27" s="66">
        <v>-79.597228000000001</v>
      </c>
    </row>
    <row r="28" spans="1:13" ht="102">
      <c r="A28" s="142">
        <v>118</v>
      </c>
      <c r="B28" s="212" t="s">
        <v>607</v>
      </c>
      <c r="C28" s="89">
        <v>45818</v>
      </c>
      <c r="D28" s="79" t="s">
        <v>129</v>
      </c>
      <c r="E28" s="80" t="s">
        <v>608</v>
      </c>
      <c r="F28" s="94" t="s">
        <v>12</v>
      </c>
      <c r="G28" s="91">
        <v>15</v>
      </c>
      <c r="H28" s="81" t="s">
        <v>744</v>
      </c>
      <c r="I28" s="87" t="s">
        <v>609</v>
      </c>
      <c r="J28" s="88" t="s">
        <v>171</v>
      </c>
      <c r="K28" s="206" t="s">
        <v>30</v>
      </c>
      <c r="L28" s="82">
        <v>-4.6220090000000003</v>
      </c>
      <c r="M28" s="66">
        <v>-79.646075999999994</v>
      </c>
    </row>
    <row r="29" spans="1:13" ht="102">
      <c r="A29" s="142">
        <v>117</v>
      </c>
      <c r="B29" s="212" t="s">
        <v>599</v>
      </c>
      <c r="C29" s="89">
        <v>45817</v>
      </c>
      <c r="D29" s="79" t="s">
        <v>596</v>
      </c>
      <c r="E29" s="80" t="s">
        <v>597</v>
      </c>
      <c r="F29" s="94" t="s">
        <v>12</v>
      </c>
      <c r="G29" s="91">
        <v>20</v>
      </c>
      <c r="H29" s="81" t="s">
        <v>745</v>
      </c>
      <c r="I29" s="87" t="s">
        <v>598</v>
      </c>
      <c r="J29" s="88" t="s">
        <v>462</v>
      </c>
      <c r="K29" s="206" t="s">
        <v>30</v>
      </c>
      <c r="L29" s="82">
        <v>-10.413456999999999</v>
      </c>
      <c r="M29" s="66">
        <v>-74.995763999999994</v>
      </c>
    </row>
    <row r="30" spans="1:13" ht="89.25">
      <c r="A30" s="142">
        <v>116</v>
      </c>
      <c r="B30" s="212" t="s">
        <v>593</v>
      </c>
      <c r="C30" s="89">
        <v>45817</v>
      </c>
      <c r="D30" s="90" t="s">
        <v>507</v>
      </c>
      <c r="E30" s="80" t="s">
        <v>590</v>
      </c>
      <c r="F30" s="94" t="s">
        <v>12</v>
      </c>
      <c r="G30" s="91">
        <v>10</v>
      </c>
      <c r="H30" s="97" t="s">
        <v>746</v>
      </c>
      <c r="I30" s="87" t="s">
        <v>526</v>
      </c>
      <c r="J30" s="88" t="s">
        <v>299</v>
      </c>
      <c r="K30" s="206" t="s">
        <v>30</v>
      </c>
      <c r="L30" s="272">
        <v>-4.7915190000000001</v>
      </c>
      <c r="M30" s="273">
        <v>-78.169658999999996</v>
      </c>
    </row>
    <row r="31" spans="1:13" ht="76.5">
      <c r="A31" s="142">
        <v>115</v>
      </c>
      <c r="B31" s="212" t="s">
        <v>592</v>
      </c>
      <c r="C31" s="89">
        <v>45817</v>
      </c>
      <c r="D31" s="96" t="s">
        <v>534</v>
      </c>
      <c r="E31" s="80" t="s">
        <v>589</v>
      </c>
      <c r="F31" s="94" t="s">
        <v>12</v>
      </c>
      <c r="G31" s="91">
        <v>110</v>
      </c>
      <c r="H31" s="81" t="s">
        <v>747</v>
      </c>
      <c r="I31" s="87" t="s">
        <v>535</v>
      </c>
      <c r="J31" s="88" t="s">
        <v>220</v>
      </c>
      <c r="K31" s="206" t="s">
        <v>30</v>
      </c>
      <c r="L31" s="272">
        <v>-14.212784633009299</v>
      </c>
      <c r="M31" s="273">
        <v>-69.137271344661698</v>
      </c>
    </row>
    <row r="32" spans="1:13" ht="76.5">
      <c r="A32" s="142">
        <v>114</v>
      </c>
      <c r="B32" s="212" t="s">
        <v>585</v>
      </c>
      <c r="C32" s="89">
        <v>45817</v>
      </c>
      <c r="D32" s="96" t="s">
        <v>437</v>
      </c>
      <c r="E32" s="80" t="s">
        <v>584</v>
      </c>
      <c r="F32" s="94" t="s">
        <v>12</v>
      </c>
      <c r="G32" s="91">
        <v>15</v>
      </c>
      <c r="H32" s="81" t="s">
        <v>748</v>
      </c>
      <c r="I32" s="87" t="s">
        <v>533</v>
      </c>
      <c r="J32" s="88" t="s">
        <v>171</v>
      </c>
      <c r="K32" s="206" t="s">
        <v>30</v>
      </c>
      <c r="L32" s="82">
        <v>-4.7544649999999997</v>
      </c>
      <c r="M32" s="66">
        <v>-79.616162000000003</v>
      </c>
    </row>
    <row r="33" spans="1:13" ht="89.25">
      <c r="A33" s="142">
        <v>113</v>
      </c>
      <c r="B33" s="212" t="s">
        <v>602</v>
      </c>
      <c r="C33" s="89">
        <v>45814</v>
      </c>
      <c r="D33" s="79" t="s">
        <v>600</v>
      </c>
      <c r="E33" s="80" t="s">
        <v>601</v>
      </c>
      <c r="F33" s="94" t="s">
        <v>12</v>
      </c>
      <c r="G33" s="91">
        <v>25</v>
      </c>
      <c r="H33" s="97" t="s">
        <v>749</v>
      </c>
      <c r="I33" s="87" t="s">
        <v>511</v>
      </c>
      <c r="J33" s="86" t="s">
        <v>152</v>
      </c>
      <c r="K33" s="206" t="s">
        <v>30</v>
      </c>
      <c r="L33" s="238">
        <v>-10.485894999999999</v>
      </c>
      <c r="M33" s="239">
        <v>-77.172548000000006</v>
      </c>
    </row>
    <row r="34" spans="1:13" ht="76.5">
      <c r="A34" s="142">
        <v>112</v>
      </c>
      <c r="B34" s="212" t="s">
        <v>579</v>
      </c>
      <c r="C34" s="89">
        <v>45814</v>
      </c>
      <c r="D34" s="79" t="s">
        <v>577</v>
      </c>
      <c r="E34" s="80" t="s">
        <v>578</v>
      </c>
      <c r="F34" s="94" t="s">
        <v>12</v>
      </c>
      <c r="G34" s="91" t="s">
        <v>101</v>
      </c>
      <c r="H34" s="81" t="s">
        <v>750</v>
      </c>
      <c r="I34" s="87" t="s">
        <v>27</v>
      </c>
      <c r="J34" s="88" t="s">
        <v>293</v>
      </c>
      <c r="K34" s="206" t="s">
        <v>30</v>
      </c>
      <c r="L34" s="236">
        <v>-11.207281999999999</v>
      </c>
      <c r="M34" s="237">
        <v>-75.914540000000002</v>
      </c>
    </row>
    <row r="35" spans="1:13" ht="76.5">
      <c r="A35" s="142">
        <v>111</v>
      </c>
      <c r="B35" s="212" t="s">
        <v>576</v>
      </c>
      <c r="C35" s="89">
        <v>45814</v>
      </c>
      <c r="D35" s="79" t="s">
        <v>543</v>
      </c>
      <c r="E35" s="80" t="s">
        <v>575</v>
      </c>
      <c r="F35" s="94" t="s">
        <v>12</v>
      </c>
      <c r="G35" s="91" t="s">
        <v>101</v>
      </c>
      <c r="H35" s="81" t="s">
        <v>751</v>
      </c>
      <c r="I35" s="87" t="s">
        <v>27</v>
      </c>
      <c r="J35" s="88" t="s">
        <v>293</v>
      </c>
      <c r="K35" s="206" t="s">
        <v>30</v>
      </c>
      <c r="L35" s="236">
        <v>-11.056152000000001</v>
      </c>
      <c r="M35" s="237">
        <v>-75.332248000000007</v>
      </c>
    </row>
    <row r="36" spans="1:13" ht="76.5">
      <c r="A36" s="142">
        <v>110</v>
      </c>
      <c r="B36" s="212" t="s">
        <v>569</v>
      </c>
      <c r="C36" s="89">
        <v>45814</v>
      </c>
      <c r="D36" s="96" t="s">
        <v>571</v>
      </c>
      <c r="E36" s="130" t="s">
        <v>570</v>
      </c>
      <c r="F36" s="94" t="s">
        <v>12</v>
      </c>
      <c r="G36" s="91">
        <v>5</v>
      </c>
      <c r="H36" s="81" t="s">
        <v>752</v>
      </c>
      <c r="I36" s="87" t="s">
        <v>572</v>
      </c>
      <c r="J36" s="88" t="s">
        <v>416</v>
      </c>
      <c r="K36" s="206" t="s">
        <v>30</v>
      </c>
      <c r="L36" s="82">
        <v>-14.075093000000001</v>
      </c>
      <c r="M36" s="66">
        <v>-72.538702999999998</v>
      </c>
    </row>
    <row r="37" spans="1:13" ht="76.5">
      <c r="A37" s="142">
        <v>109</v>
      </c>
      <c r="B37" s="212" t="s">
        <v>562</v>
      </c>
      <c r="C37" s="89">
        <v>45813</v>
      </c>
      <c r="D37" s="90" t="s">
        <v>559</v>
      </c>
      <c r="E37" s="80" t="s">
        <v>560</v>
      </c>
      <c r="F37" s="94" t="s">
        <v>12</v>
      </c>
      <c r="G37" s="259">
        <v>40</v>
      </c>
      <c r="H37" s="81" t="s">
        <v>753</v>
      </c>
      <c r="I37" s="87" t="s">
        <v>565</v>
      </c>
      <c r="J37" s="86" t="s">
        <v>561</v>
      </c>
      <c r="K37" s="206" t="s">
        <v>30</v>
      </c>
      <c r="L37" s="257">
        <v>-8.0978630000000003</v>
      </c>
      <c r="M37" s="258">
        <v>-79.030422999999999</v>
      </c>
    </row>
    <row r="38" spans="1:13" ht="89.25">
      <c r="A38" s="142">
        <v>108</v>
      </c>
      <c r="B38" s="274" t="s">
        <v>554</v>
      </c>
      <c r="C38" s="89">
        <v>45813</v>
      </c>
      <c r="D38" s="90" t="s">
        <v>543</v>
      </c>
      <c r="E38" s="80" t="s">
        <v>553</v>
      </c>
      <c r="F38" s="94" t="s">
        <v>12</v>
      </c>
      <c r="G38" s="198">
        <v>30</v>
      </c>
      <c r="H38" s="97" t="s">
        <v>754</v>
      </c>
      <c r="I38" s="87" t="s">
        <v>128</v>
      </c>
      <c r="J38" s="88" t="s">
        <v>293</v>
      </c>
      <c r="K38" s="206" t="s">
        <v>30</v>
      </c>
      <c r="L38" s="82">
        <v>-11.056132</v>
      </c>
      <c r="M38" s="66">
        <v>-75.332256000000001</v>
      </c>
    </row>
    <row r="39" spans="1:13" ht="89.25">
      <c r="A39" s="142">
        <v>107</v>
      </c>
      <c r="B39" s="212" t="s">
        <v>552</v>
      </c>
      <c r="C39" s="89">
        <v>45812</v>
      </c>
      <c r="D39" s="79" t="s">
        <v>129</v>
      </c>
      <c r="E39" s="80" t="s">
        <v>549</v>
      </c>
      <c r="F39" s="94" t="s">
        <v>12</v>
      </c>
      <c r="G39" s="91" t="s">
        <v>101</v>
      </c>
      <c r="H39" s="81" t="s">
        <v>755</v>
      </c>
      <c r="I39" s="87" t="s">
        <v>386</v>
      </c>
      <c r="J39" s="88" t="s">
        <v>171</v>
      </c>
      <c r="K39" s="206" t="s">
        <v>30</v>
      </c>
      <c r="L39" s="257">
        <v>-4.7486540000000002</v>
      </c>
      <c r="M39" s="258">
        <v>-79.613950000000003</v>
      </c>
    </row>
    <row r="40" spans="1:13" ht="89.25">
      <c r="A40" s="142">
        <v>106</v>
      </c>
      <c r="B40" s="212" t="s">
        <v>551</v>
      </c>
      <c r="C40" s="89">
        <v>45812</v>
      </c>
      <c r="D40" s="83" t="s">
        <v>548</v>
      </c>
      <c r="E40" s="80" t="s">
        <v>580</v>
      </c>
      <c r="F40" s="94" t="s">
        <v>12</v>
      </c>
      <c r="G40" s="180">
        <v>170</v>
      </c>
      <c r="H40" s="97" t="s">
        <v>756</v>
      </c>
      <c r="I40" s="87" t="s">
        <v>27</v>
      </c>
      <c r="J40" s="86" t="s">
        <v>300</v>
      </c>
      <c r="K40" s="206" t="s">
        <v>30</v>
      </c>
      <c r="L40" s="257">
        <v>-7.3845789999999996</v>
      </c>
      <c r="M40" s="258">
        <v>-76.661277999999996</v>
      </c>
    </row>
    <row r="41" spans="1:13" ht="76.5">
      <c r="A41" s="142">
        <v>105</v>
      </c>
      <c r="B41" s="285" t="s">
        <v>537</v>
      </c>
      <c r="C41" s="89">
        <v>45811</v>
      </c>
      <c r="D41" s="83" t="s">
        <v>538</v>
      </c>
      <c r="E41" s="80" t="s">
        <v>539</v>
      </c>
      <c r="F41" s="94" t="s">
        <v>12</v>
      </c>
      <c r="G41" s="91">
        <v>100</v>
      </c>
      <c r="H41" s="84" t="s">
        <v>757</v>
      </c>
      <c r="I41" s="87" t="s">
        <v>27</v>
      </c>
      <c r="J41" s="86" t="s">
        <v>170</v>
      </c>
      <c r="K41" s="206" t="s">
        <v>30</v>
      </c>
      <c r="L41" s="82">
        <v>-9.1889970000000005</v>
      </c>
      <c r="M41" s="66">
        <v>-76.961309</v>
      </c>
    </row>
    <row r="42" spans="1:13" ht="89.25">
      <c r="A42" s="142">
        <v>104</v>
      </c>
      <c r="B42" s="212" t="s">
        <v>529</v>
      </c>
      <c r="C42" s="89">
        <v>45811</v>
      </c>
      <c r="D42" s="96" t="s">
        <v>527</v>
      </c>
      <c r="E42" s="80" t="s">
        <v>528</v>
      </c>
      <c r="F42" s="94" t="s">
        <v>12</v>
      </c>
      <c r="G42" s="91">
        <v>15</v>
      </c>
      <c r="H42" s="81" t="s">
        <v>738</v>
      </c>
      <c r="I42" s="87" t="s">
        <v>489</v>
      </c>
      <c r="J42" s="88" t="s">
        <v>211</v>
      </c>
      <c r="K42" s="206" t="s">
        <v>30</v>
      </c>
      <c r="L42" s="82">
        <v>-6.0774949999999999</v>
      </c>
      <c r="M42" s="66">
        <v>-78.741095000000001</v>
      </c>
    </row>
    <row r="43" spans="1:13" ht="89.25">
      <c r="A43" s="142">
        <v>103</v>
      </c>
      <c r="B43" s="212" t="s">
        <v>521</v>
      </c>
      <c r="C43" s="89">
        <v>45810</v>
      </c>
      <c r="D43" s="96" t="s">
        <v>522</v>
      </c>
      <c r="E43" s="80" t="s">
        <v>523</v>
      </c>
      <c r="F43" s="94" t="s">
        <v>12</v>
      </c>
      <c r="G43" s="91">
        <v>30</v>
      </c>
      <c r="H43" s="81" t="s">
        <v>758</v>
      </c>
      <c r="I43" s="87" t="s">
        <v>524</v>
      </c>
      <c r="J43" s="88" t="s">
        <v>220</v>
      </c>
      <c r="K43" s="206" t="s">
        <v>30</v>
      </c>
      <c r="L43" s="82">
        <v>-14.854581</v>
      </c>
      <c r="M43" s="66">
        <v>-69.682599999999994</v>
      </c>
    </row>
    <row r="44" spans="1:13" ht="114.75">
      <c r="A44" s="142">
        <v>102</v>
      </c>
      <c r="B44" s="212" t="s">
        <v>518</v>
      </c>
      <c r="C44" s="89">
        <v>45810</v>
      </c>
      <c r="D44" s="83" t="s">
        <v>519</v>
      </c>
      <c r="E44" s="168" t="s">
        <v>520</v>
      </c>
      <c r="F44" s="94" t="s">
        <v>12</v>
      </c>
      <c r="G44" s="36">
        <v>14</v>
      </c>
      <c r="H44" s="31" t="s">
        <v>759</v>
      </c>
      <c r="I44" s="87" t="s">
        <v>435</v>
      </c>
      <c r="J44" s="88" t="s">
        <v>194</v>
      </c>
      <c r="K44" s="206" t="s">
        <v>30</v>
      </c>
      <c r="L44" s="82">
        <v>-4.9635699999999998</v>
      </c>
      <c r="M44" s="66">
        <v>-79.632498999999996</v>
      </c>
    </row>
    <row r="45" spans="1:13" ht="76.5">
      <c r="A45" s="142">
        <v>101</v>
      </c>
      <c r="B45" s="212" t="s">
        <v>512</v>
      </c>
      <c r="C45" s="89">
        <v>45810</v>
      </c>
      <c r="D45" s="79" t="s">
        <v>513</v>
      </c>
      <c r="E45" s="80" t="s">
        <v>514</v>
      </c>
      <c r="F45" s="94" t="s">
        <v>12</v>
      </c>
      <c r="G45" s="91">
        <v>50</v>
      </c>
      <c r="H45" s="97" t="s">
        <v>760</v>
      </c>
      <c r="I45" s="87" t="s">
        <v>27</v>
      </c>
      <c r="J45" s="86" t="s">
        <v>532</v>
      </c>
      <c r="K45" s="206" t="s">
        <v>30</v>
      </c>
      <c r="L45" s="238">
        <v>-12.586857</v>
      </c>
      <c r="M45" s="239">
        <v>-75.950134000000006</v>
      </c>
    </row>
    <row r="46" spans="1:13" ht="89.25">
      <c r="A46" s="142">
        <v>100</v>
      </c>
      <c r="B46" s="212" t="s">
        <v>509</v>
      </c>
      <c r="C46" s="89">
        <v>45810</v>
      </c>
      <c r="D46" s="79" t="s">
        <v>507</v>
      </c>
      <c r="E46" s="80" t="s">
        <v>508</v>
      </c>
      <c r="F46" s="94" t="s">
        <v>12</v>
      </c>
      <c r="G46" s="91">
        <v>13</v>
      </c>
      <c r="H46" s="97" t="s">
        <v>761</v>
      </c>
      <c r="I46" s="87" t="s">
        <v>526</v>
      </c>
      <c r="J46" s="88" t="s">
        <v>299</v>
      </c>
      <c r="K46" s="206" t="s">
        <v>30</v>
      </c>
      <c r="L46" s="238">
        <v>-5.1144119999999997</v>
      </c>
      <c r="M46" s="239">
        <v>-78.363304999999997</v>
      </c>
    </row>
    <row r="47" spans="1:13" ht="76.5">
      <c r="A47" s="142">
        <v>99</v>
      </c>
      <c r="B47" s="212" t="s">
        <v>500</v>
      </c>
      <c r="C47" s="89">
        <v>45807</v>
      </c>
      <c r="D47" s="79" t="s">
        <v>463</v>
      </c>
      <c r="E47" s="80" t="s">
        <v>499</v>
      </c>
      <c r="F47" s="94" t="s">
        <v>12</v>
      </c>
      <c r="G47" s="91" t="s">
        <v>101</v>
      </c>
      <c r="H47" s="81" t="s">
        <v>762</v>
      </c>
      <c r="I47" s="87" t="s">
        <v>27</v>
      </c>
      <c r="J47" s="88" t="s">
        <v>293</v>
      </c>
      <c r="K47" s="206" t="s">
        <v>30</v>
      </c>
      <c r="L47" s="236">
        <v>-10.716491</v>
      </c>
      <c r="M47" s="237">
        <v>-75.176242999999999</v>
      </c>
    </row>
    <row r="48" spans="1:13" ht="89.25">
      <c r="A48" s="142">
        <v>98</v>
      </c>
      <c r="B48" s="285" t="s">
        <v>558</v>
      </c>
      <c r="C48" s="89">
        <v>45806</v>
      </c>
      <c r="D48" s="32" t="s">
        <v>556</v>
      </c>
      <c r="E48" s="168" t="s">
        <v>557</v>
      </c>
      <c r="F48" s="94" t="s">
        <v>12</v>
      </c>
      <c r="G48" s="36">
        <v>15</v>
      </c>
      <c r="H48" s="31" t="s">
        <v>763</v>
      </c>
      <c r="I48" s="87" t="s">
        <v>27</v>
      </c>
      <c r="J48" s="88" t="s">
        <v>174</v>
      </c>
      <c r="K48" s="206" t="s">
        <v>30</v>
      </c>
      <c r="L48" s="257">
        <v>-13.341654</v>
      </c>
      <c r="M48" s="258">
        <v>-74.540285999999995</v>
      </c>
    </row>
    <row r="49" spans="1:13" ht="89.25">
      <c r="A49" s="142">
        <v>97</v>
      </c>
      <c r="B49" s="212" t="s">
        <v>498</v>
      </c>
      <c r="C49" s="89">
        <v>45805</v>
      </c>
      <c r="D49" s="83" t="s">
        <v>496</v>
      </c>
      <c r="E49" s="168" t="s">
        <v>497</v>
      </c>
      <c r="F49" s="94" t="s">
        <v>12</v>
      </c>
      <c r="G49" s="91">
        <v>40</v>
      </c>
      <c r="H49" s="81" t="s">
        <v>764</v>
      </c>
      <c r="I49" s="87" t="s">
        <v>27</v>
      </c>
      <c r="J49" s="86" t="s">
        <v>170</v>
      </c>
      <c r="K49" s="206" t="s">
        <v>30</v>
      </c>
      <c r="L49" s="82">
        <v>-9.2378119999999999</v>
      </c>
      <c r="M49" s="66">
        <v>-76.974254000000002</v>
      </c>
    </row>
    <row r="50" spans="1:13" ht="76.5">
      <c r="A50" s="142">
        <v>96</v>
      </c>
      <c r="B50" s="212" t="s">
        <v>568</v>
      </c>
      <c r="C50" s="89">
        <v>45804</v>
      </c>
      <c r="D50" s="96" t="s">
        <v>450</v>
      </c>
      <c r="E50" s="80" t="s">
        <v>567</v>
      </c>
      <c r="F50" s="94" t="s">
        <v>12</v>
      </c>
      <c r="G50" s="207">
        <v>50</v>
      </c>
      <c r="H50" s="81" t="s">
        <v>765</v>
      </c>
      <c r="I50" s="87" t="s">
        <v>27</v>
      </c>
      <c r="J50" s="88" t="s">
        <v>407</v>
      </c>
      <c r="K50" s="164" t="s">
        <v>30</v>
      </c>
      <c r="L50" s="208">
        <v>-10.615335</v>
      </c>
      <c r="M50" s="209">
        <v>-76.178973999999997</v>
      </c>
    </row>
    <row r="51" spans="1:13" ht="102">
      <c r="A51" s="142">
        <v>95</v>
      </c>
      <c r="B51" s="274" t="s">
        <v>480</v>
      </c>
      <c r="C51" s="89">
        <v>45803</v>
      </c>
      <c r="D51" s="83" t="s">
        <v>309</v>
      </c>
      <c r="E51" s="131" t="s">
        <v>479</v>
      </c>
      <c r="F51" s="94" t="s">
        <v>12</v>
      </c>
      <c r="G51" s="116">
        <v>20</v>
      </c>
      <c r="H51" s="84" t="s">
        <v>766</v>
      </c>
      <c r="I51" s="87" t="s">
        <v>323</v>
      </c>
      <c r="J51" s="86" t="s">
        <v>244</v>
      </c>
      <c r="K51" s="206" t="s">
        <v>30</v>
      </c>
      <c r="L51" s="82">
        <v>-17.466985000000001</v>
      </c>
      <c r="M51" s="66">
        <v>-70.024193999999994</v>
      </c>
    </row>
    <row r="52" spans="1:13" ht="76.5">
      <c r="A52" s="142">
        <v>94</v>
      </c>
      <c r="B52" s="212" t="s">
        <v>477</v>
      </c>
      <c r="C52" s="89">
        <v>45803</v>
      </c>
      <c r="D52" s="96" t="s">
        <v>478</v>
      </c>
      <c r="E52" s="130" t="s">
        <v>482</v>
      </c>
      <c r="F52" s="94" t="s">
        <v>12</v>
      </c>
      <c r="G52" s="91">
        <v>50</v>
      </c>
      <c r="H52" s="81" t="s">
        <v>767</v>
      </c>
      <c r="I52" s="87" t="s">
        <v>27</v>
      </c>
      <c r="J52" s="88" t="s">
        <v>415</v>
      </c>
      <c r="K52" s="206" t="s">
        <v>30</v>
      </c>
      <c r="L52" s="82">
        <v>-13.731812</v>
      </c>
      <c r="M52" s="66">
        <v>-72.349795999999998</v>
      </c>
    </row>
    <row r="53" spans="1:13" ht="89.25">
      <c r="A53" s="142">
        <v>93</v>
      </c>
      <c r="B53" s="212" t="s">
        <v>485</v>
      </c>
      <c r="C53" s="89">
        <v>45798</v>
      </c>
      <c r="D53" s="83" t="s">
        <v>486</v>
      </c>
      <c r="E53" s="168" t="s">
        <v>487</v>
      </c>
      <c r="F53" s="94" t="s">
        <v>12</v>
      </c>
      <c r="G53" s="36">
        <v>15</v>
      </c>
      <c r="H53" s="31" t="s">
        <v>768</v>
      </c>
      <c r="I53" s="87" t="s">
        <v>27</v>
      </c>
      <c r="J53" s="88" t="s">
        <v>174</v>
      </c>
      <c r="K53" s="206" t="s">
        <v>30</v>
      </c>
      <c r="L53" s="82">
        <v>-13.637276999999999</v>
      </c>
      <c r="M53" s="66">
        <v>-75.697784999999996</v>
      </c>
    </row>
    <row r="54" spans="1:13" ht="76.5">
      <c r="A54" s="142">
        <v>92</v>
      </c>
      <c r="B54" s="212" t="s">
        <v>457</v>
      </c>
      <c r="C54" s="89">
        <v>45798</v>
      </c>
      <c r="D54" s="83" t="s">
        <v>458</v>
      </c>
      <c r="E54" s="80" t="s">
        <v>459</v>
      </c>
      <c r="F54" s="94" t="s">
        <v>12</v>
      </c>
      <c r="G54" s="180">
        <v>100</v>
      </c>
      <c r="H54" s="97" t="s">
        <v>769</v>
      </c>
      <c r="I54" s="87" t="s">
        <v>27</v>
      </c>
      <c r="J54" s="86" t="s">
        <v>300</v>
      </c>
      <c r="K54" s="164" t="s">
        <v>30</v>
      </c>
      <c r="L54" s="181">
        <v>-7.0855420000000002</v>
      </c>
      <c r="M54" s="182">
        <v>-76.637118999999998</v>
      </c>
    </row>
    <row r="55" spans="1:13" ht="89.25">
      <c r="A55" s="142">
        <v>91</v>
      </c>
      <c r="B55" s="212" t="s">
        <v>454</v>
      </c>
      <c r="C55" s="89">
        <v>45433</v>
      </c>
      <c r="D55" s="90" t="s">
        <v>456</v>
      </c>
      <c r="E55" s="80" t="s">
        <v>453</v>
      </c>
      <c r="F55" s="94" t="s">
        <v>12</v>
      </c>
      <c r="G55" s="91">
        <v>30</v>
      </c>
      <c r="H55" s="81" t="s">
        <v>770</v>
      </c>
      <c r="I55" s="92" t="s">
        <v>455</v>
      </c>
      <c r="J55" s="88" t="s">
        <v>227</v>
      </c>
      <c r="K55" s="206" t="s">
        <v>30</v>
      </c>
      <c r="L55" s="210">
        <v>-6.509557</v>
      </c>
      <c r="M55" s="211">
        <v>-78.715943999999993</v>
      </c>
    </row>
    <row r="56" spans="1:13" ht="76.5">
      <c r="A56" s="142">
        <v>90</v>
      </c>
      <c r="B56" s="275" t="s">
        <v>452</v>
      </c>
      <c r="C56" s="89">
        <v>45432</v>
      </c>
      <c r="D56" s="90" t="s">
        <v>31</v>
      </c>
      <c r="E56" s="80" t="s">
        <v>474</v>
      </c>
      <c r="F56" s="94" t="s">
        <v>12</v>
      </c>
      <c r="G56" s="91" t="s">
        <v>101</v>
      </c>
      <c r="H56" s="97" t="s">
        <v>771</v>
      </c>
      <c r="I56" s="87" t="s">
        <v>488</v>
      </c>
      <c r="J56" s="88" t="s">
        <v>421</v>
      </c>
      <c r="K56" s="164" t="s">
        <v>30</v>
      </c>
      <c r="L56" s="82">
        <v>-9.0845099999999999</v>
      </c>
      <c r="M56" s="66">
        <v>-75.721131</v>
      </c>
    </row>
    <row r="57" spans="1:13" ht="76.5">
      <c r="A57" s="142">
        <v>89</v>
      </c>
      <c r="B57" s="212" t="s">
        <v>451</v>
      </c>
      <c r="C57" s="89">
        <v>45796</v>
      </c>
      <c r="D57" s="96" t="s">
        <v>450</v>
      </c>
      <c r="E57" s="80" t="s">
        <v>491</v>
      </c>
      <c r="F57" s="94" t="s">
        <v>12</v>
      </c>
      <c r="G57" s="207">
        <v>50</v>
      </c>
      <c r="H57" s="81" t="s">
        <v>765</v>
      </c>
      <c r="I57" s="87" t="s">
        <v>123</v>
      </c>
      <c r="J57" s="88" t="s">
        <v>407</v>
      </c>
      <c r="K57" s="164" t="s">
        <v>30</v>
      </c>
      <c r="L57" s="208">
        <v>-10.613597</v>
      </c>
      <c r="M57" s="209">
        <v>-76.179884000000001</v>
      </c>
    </row>
    <row r="58" spans="1:13" ht="89.25">
      <c r="A58" s="142">
        <v>88</v>
      </c>
      <c r="B58" s="276" t="s">
        <v>464</v>
      </c>
      <c r="C58" s="89">
        <v>45793</v>
      </c>
      <c r="D58" s="90" t="s">
        <v>465</v>
      </c>
      <c r="E58" s="80" t="s">
        <v>466</v>
      </c>
      <c r="F58" s="94" t="s">
        <v>12</v>
      </c>
      <c r="G58" s="91">
        <v>20</v>
      </c>
      <c r="H58" s="81" t="s">
        <v>772</v>
      </c>
      <c r="I58" s="87" t="s">
        <v>467</v>
      </c>
      <c r="J58" s="88" t="s">
        <v>211</v>
      </c>
      <c r="K58" s="164" t="s">
        <v>30</v>
      </c>
      <c r="L58" s="82">
        <v>-6.630833</v>
      </c>
      <c r="M58" s="66">
        <v>-79.125277999999994</v>
      </c>
    </row>
    <row r="59" spans="1:13" ht="89.25">
      <c r="A59" s="142">
        <v>87</v>
      </c>
      <c r="B59" s="212" t="s">
        <v>447</v>
      </c>
      <c r="C59" s="89">
        <v>45792</v>
      </c>
      <c r="D59" s="79" t="s">
        <v>442</v>
      </c>
      <c r="E59" s="80" t="s">
        <v>443</v>
      </c>
      <c r="F59" s="94" t="s">
        <v>12</v>
      </c>
      <c r="G59" s="91" t="s">
        <v>101</v>
      </c>
      <c r="H59" s="81" t="s">
        <v>773</v>
      </c>
      <c r="I59" s="87" t="s">
        <v>27</v>
      </c>
      <c r="J59" s="88" t="s">
        <v>415</v>
      </c>
      <c r="K59" s="206" t="s">
        <v>30</v>
      </c>
      <c r="L59" s="82">
        <v>-14.66864666</v>
      </c>
      <c r="M59" s="66">
        <v>-71.280101536999993</v>
      </c>
    </row>
    <row r="60" spans="1:13" ht="89.25">
      <c r="A60" s="142">
        <v>86</v>
      </c>
      <c r="B60" s="212" t="s">
        <v>446</v>
      </c>
      <c r="C60" s="89">
        <v>45792</v>
      </c>
      <c r="D60" s="79" t="s">
        <v>444</v>
      </c>
      <c r="E60" s="80" t="s">
        <v>445</v>
      </c>
      <c r="F60" s="94" t="s">
        <v>12</v>
      </c>
      <c r="G60" s="91" t="s">
        <v>101</v>
      </c>
      <c r="H60" s="81" t="s">
        <v>773</v>
      </c>
      <c r="I60" s="87" t="s">
        <v>27</v>
      </c>
      <c r="J60" s="88" t="s">
        <v>415</v>
      </c>
      <c r="K60" s="206" t="s">
        <v>30</v>
      </c>
      <c r="L60" s="82">
        <v>-14.635122000000001</v>
      </c>
      <c r="M60" s="66">
        <v>-71.276989999999998</v>
      </c>
    </row>
    <row r="61" spans="1:13" ht="76.5">
      <c r="A61" s="142">
        <v>85</v>
      </c>
      <c r="B61" s="212" t="s">
        <v>429</v>
      </c>
      <c r="C61" s="89">
        <v>45785</v>
      </c>
      <c r="D61" s="32" t="s">
        <v>430</v>
      </c>
      <c r="E61" s="168" t="s">
        <v>431</v>
      </c>
      <c r="F61" s="94" t="s">
        <v>12</v>
      </c>
      <c r="G61" s="36">
        <v>15</v>
      </c>
      <c r="H61" s="31" t="s">
        <v>774</v>
      </c>
      <c r="I61" s="87" t="s">
        <v>27</v>
      </c>
      <c r="J61" s="88" t="s">
        <v>174</v>
      </c>
      <c r="K61" s="177" t="s">
        <v>30</v>
      </c>
      <c r="L61" s="82">
        <v>-13.353954999999999</v>
      </c>
      <c r="M61" s="66">
        <v>-74.668083999999993</v>
      </c>
    </row>
    <row r="62" spans="1:13" ht="76.5">
      <c r="A62" s="142">
        <v>84</v>
      </c>
      <c r="B62" s="212" t="s">
        <v>426</v>
      </c>
      <c r="C62" s="89">
        <v>45784</v>
      </c>
      <c r="D62" s="32" t="s">
        <v>427</v>
      </c>
      <c r="E62" s="168" t="s">
        <v>428</v>
      </c>
      <c r="F62" s="94" t="s">
        <v>12</v>
      </c>
      <c r="G62" s="36" t="s">
        <v>101</v>
      </c>
      <c r="H62" s="31" t="s">
        <v>775</v>
      </c>
      <c r="I62" s="87" t="s">
        <v>27</v>
      </c>
      <c r="J62" s="88" t="s">
        <v>174</v>
      </c>
      <c r="K62" s="178" t="s">
        <v>30</v>
      </c>
      <c r="L62" s="82">
        <v>-15.676631</v>
      </c>
      <c r="M62" s="66">
        <v>-74.524173000000005</v>
      </c>
    </row>
    <row r="63" spans="1:13" ht="76.5">
      <c r="A63" s="142">
        <v>83</v>
      </c>
      <c r="B63" s="276" t="s">
        <v>419</v>
      </c>
      <c r="C63" s="89">
        <v>45784</v>
      </c>
      <c r="D63" s="79" t="s">
        <v>417</v>
      </c>
      <c r="E63" s="80" t="s">
        <v>418</v>
      </c>
      <c r="F63" s="94" t="s">
        <v>12</v>
      </c>
      <c r="G63" s="195">
        <v>250</v>
      </c>
      <c r="H63" s="81" t="s">
        <v>776</v>
      </c>
      <c r="I63" s="87" t="s">
        <v>637</v>
      </c>
      <c r="J63" s="88" t="s">
        <v>415</v>
      </c>
      <c r="K63" s="178" t="s">
        <v>30</v>
      </c>
      <c r="L63" s="196">
        <v>-13.130601</v>
      </c>
      <c r="M63" s="197">
        <v>-72.593124000000003</v>
      </c>
    </row>
    <row r="64" spans="1:13" ht="89.25">
      <c r="A64" s="142">
        <v>82</v>
      </c>
      <c r="B64" s="276" t="s">
        <v>410</v>
      </c>
      <c r="C64" s="89">
        <v>45783</v>
      </c>
      <c r="D64" s="90" t="s">
        <v>408</v>
      </c>
      <c r="E64" s="80" t="s">
        <v>409</v>
      </c>
      <c r="F64" s="94" t="s">
        <v>12</v>
      </c>
      <c r="G64" s="198" t="s">
        <v>101</v>
      </c>
      <c r="H64" s="97" t="s">
        <v>777</v>
      </c>
      <c r="I64" s="87" t="s">
        <v>27</v>
      </c>
      <c r="J64" s="88" t="s">
        <v>293</v>
      </c>
      <c r="K64" s="177" t="s">
        <v>30</v>
      </c>
      <c r="L64" s="199">
        <v>-10.890098</v>
      </c>
      <c r="M64" s="200">
        <v>-74.954255000000003</v>
      </c>
    </row>
    <row r="65" spans="1:13" ht="89.25">
      <c r="A65" s="142">
        <v>81</v>
      </c>
      <c r="B65" s="276" t="s">
        <v>402</v>
      </c>
      <c r="C65" s="89">
        <v>45782</v>
      </c>
      <c r="D65" s="90" t="s">
        <v>403</v>
      </c>
      <c r="E65" s="80" t="s">
        <v>404</v>
      </c>
      <c r="F65" s="94" t="s">
        <v>12</v>
      </c>
      <c r="G65" s="91">
        <v>600</v>
      </c>
      <c r="H65" s="81" t="s">
        <v>778</v>
      </c>
      <c r="I65" s="87" t="s">
        <v>411</v>
      </c>
      <c r="J65" s="86" t="s">
        <v>300</v>
      </c>
      <c r="K65" s="178" t="s">
        <v>30</v>
      </c>
      <c r="L65" s="82">
        <v>-7.7010930000000002</v>
      </c>
      <c r="M65" s="66">
        <v>-76.667962000000003</v>
      </c>
    </row>
    <row r="66" spans="1:13" ht="89.25">
      <c r="A66" s="142">
        <v>80</v>
      </c>
      <c r="B66" s="275" t="s">
        <v>398</v>
      </c>
      <c r="C66" s="89">
        <v>45778</v>
      </c>
      <c r="D66" s="90" t="s">
        <v>287</v>
      </c>
      <c r="E66" s="80" t="s">
        <v>399</v>
      </c>
      <c r="F66" s="94" t="s">
        <v>12</v>
      </c>
      <c r="G66" s="161">
        <v>50</v>
      </c>
      <c r="H66" s="81" t="s">
        <v>779</v>
      </c>
      <c r="I66" s="87" t="s">
        <v>400</v>
      </c>
      <c r="J66" s="88" t="s">
        <v>114</v>
      </c>
      <c r="K66" s="177" t="s">
        <v>30</v>
      </c>
      <c r="L66" s="128">
        <v>-6.5538777777777701</v>
      </c>
      <c r="M66" s="129">
        <v>-78.751011111111097</v>
      </c>
    </row>
    <row r="67" spans="1:13" ht="76.5">
      <c r="A67" s="142">
        <v>79</v>
      </c>
      <c r="B67" s="275" t="s">
        <v>468</v>
      </c>
      <c r="C67" s="89">
        <v>45777</v>
      </c>
      <c r="D67" s="83" t="s">
        <v>469</v>
      </c>
      <c r="E67" s="80" t="s">
        <v>470</v>
      </c>
      <c r="F67" s="94" t="s">
        <v>12</v>
      </c>
      <c r="G67" s="91">
        <v>15</v>
      </c>
      <c r="H67" s="81" t="s">
        <v>780</v>
      </c>
      <c r="I67" s="87" t="s">
        <v>27</v>
      </c>
      <c r="J67" s="86" t="s">
        <v>170</v>
      </c>
      <c r="K67" s="164" t="s">
        <v>30</v>
      </c>
      <c r="L67" s="82">
        <v>-8.9671070000000004</v>
      </c>
      <c r="M67" s="66">
        <v>-77.354515000000006</v>
      </c>
    </row>
    <row r="68" spans="1:13" ht="76.5">
      <c r="A68" s="142">
        <v>78</v>
      </c>
      <c r="B68" s="276" t="s">
        <v>391</v>
      </c>
      <c r="C68" s="89">
        <v>45775</v>
      </c>
      <c r="D68" s="90" t="s">
        <v>390</v>
      </c>
      <c r="E68" s="80" t="s">
        <v>420</v>
      </c>
      <c r="F68" s="94" t="s">
        <v>12</v>
      </c>
      <c r="G68" s="191">
        <v>16</v>
      </c>
      <c r="H68" s="81" t="s">
        <v>781</v>
      </c>
      <c r="I68" s="87" t="s">
        <v>128</v>
      </c>
      <c r="J68" s="86" t="s">
        <v>300</v>
      </c>
      <c r="K68" s="178" t="s">
        <v>30</v>
      </c>
      <c r="L68" s="192">
        <v>-6.2358419999999999</v>
      </c>
      <c r="M68" s="193">
        <v>-77.196231999999995</v>
      </c>
    </row>
    <row r="69" spans="1:13" ht="102">
      <c r="A69" s="142">
        <v>77</v>
      </c>
      <c r="B69" s="276" t="s">
        <v>387</v>
      </c>
      <c r="C69" s="89">
        <v>45775</v>
      </c>
      <c r="D69" s="90" t="s">
        <v>126</v>
      </c>
      <c r="E69" s="80" t="s">
        <v>388</v>
      </c>
      <c r="F69" s="94" t="s">
        <v>12</v>
      </c>
      <c r="G69" s="191">
        <v>130</v>
      </c>
      <c r="H69" s="81" t="s">
        <v>782</v>
      </c>
      <c r="I69" s="87" t="s">
        <v>389</v>
      </c>
      <c r="J69" s="86" t="s">
        <v>184</v>
      </c>
      <c r="K69" s="178" t="s">
        <v>30</v>
      </c>
      <c r="L69" s="192">
        <v>-7.8206540000000002</v>
      </c>
      <c r="M69" s="193">
        <v>-77.658400999999998</v>
      </c>
    </row>
    <row r="70" spans="1:13" ht="76.5">
      <c r="A70" s="142">
        <v>76</v>
      </c>
      <c r="B70" s="212" t="s">
        <v>368</v>
      </c>
      <c r="C70" s="89">
        <v>45772</v>
      </c>
      <c r="D70" s="83" t="s">
        <v>122</v>
      </c>
      <c r="E70" s="80" t="s">
        <v>367</v>
      </c>
      <c r="F70" s="94" t="s">
        <v>12</v>
      </c>
      <c r="G70" s="122">
        <v>120</v>
      </c>
      <c r="H70" s="81" t="s">
        <v>783</v>
      </c>
      <c r="I70" s="87" t="s">
        <v>401</v>
      </c>
      <c r="J70" s="86" t="s">
        <v>184</v>
      </c>
      <c r="K70" s="177" t="s">
        <v>30</v>
      </c>
      <c r="L70" s="188">
        <v>-7.9349379999999998</v>
      </c>
      <c r="M70" s="189">
        <v>-77.561670000000007</v>
      </c>
    </row>
    <row r="71" spans="1:13" ht="102">
      <c r="A71" s="142">
        <v>75</v>
      </c>
      <c r="B71" s="212" t="s">
        <v>395</v>
      </c>
      <c r="C71" s="89">
        <v>45771</v>
      </c>
      <c r="D71" s="83" t="s">
        <v>393</v>
      </c>
      <c r="E71" s="80" t="s">
        <v>394</v>
      </c>
      <c r="F71" s="94" t="s">
        <v>12</v>
      </c>
      <c r="G71" s="91">
        <v>45</v>
      </c>
      <c r="H71" s="81" t="s">
        <v>784</v>
      </c>
      <c r="I71" s="87" t="s">
        <v>27</v>
      </c>
      <c r="J71" s="86" t="s">
        <v>170</v>
      </c>
      <c r="K71" s="177" t="s">
        <v>30</v>
      </c>
      <c r="L71" s="82">
        <v>-8.5288500000000003</v>
      </c>
      <c r="M71" s="66">
        <v>-77.399497999999994</v>
      </c>
    </row>
    <row r="72" spans="1:13" ht="89.25">
      <c r="A72" s="142">
        <v>74</v>
      </c>
      <c r="B72" s="212" t="s">
        <v>375</v>
      </c>
      <c r="C72" s="89">
        <v>45771</v>
      </c>
      <c r="D72" s="83" t="s">
        <v>373</v>
      </c>
      <c r="E72" s="80" t="s">
        <v>374</v>
      </c>
      <c r="F72" s="94" t="s">
        <v>12</v>
      </c>
      <c r="G72" s="122">
        <v>150</v>
      </c>
      <c r="H72" s="81" t="s">
        <v>785</v>
      </c>
      <c r="I72" s="87" t="s">
        <v>27</v>
      </c>
      <c r="J72" s="88" t="s">
        <v>293</v>
      </c>
      <c r="K72" s="177" t="s">
        <v>30</v>
      </c>
      <c r="L72" s="188">
        <v>-11.517265999999999</v>
      </c>
      <c r="M72" s="189">
        <v>-74.449680999999998</v>
      </c>
    </row>
    <row r="73" spans="1:13" ht="89.25">
      <c r="A73" s="142">
        <v>73</v>
      </c>
      <c r="B73" s="212" t="s">
        <v>372</v>
      </c>
      <c r="C73" s="89">
        <v>45771</v>
      </c>
      <c r="D73" s="83" t="s">
        <v>335</v>
      </c>
      <c r="E73" s="80" t="s">
        <v>371</v>
      </c>
      <c r="F73" s="94" t="s">
        <v>12</v>
      </c>
      <c r="G73" s="91">
        <v>80</v>
      </c>
      <c r="H73" s="81" t="s">
        <v>785</v>
      </c>
      <c r="I73" s="87" t="s">
        <v>27</v>
      </c>
      <c r="J73" s="88" t="s">
        <v>293</v>
      </c>
      <c r="K73" s="177" t="s">
        <v>30</v>
      </c>
      <c r="L73" s="188">
        <v>-11.268234439949801</v>
      </c>
      <c r="M73" s="189">
        <v>-74.424197673797593</v>
      </c>
    </row>
    <row r="74" spans="1:13" ht="76.5">
      <c r="A74" s="142">
        <v>72</v>
      </c>
      <c r="B74" s="212" t="s">
        <v>370</v>
      </c>
      <c r="C74" s="89">
        <v>45771</v>
      </c>
      <c r="D74" s="83" t="s">
        <v>369</v>
      </c>
      <c r="E74" s="80" t="s">
        <v>436</v>
      </c>
      <c r="F74" s="94" t="s">
        <v>12</v>
      </c>
      <c r="G74" s="187">
        <v>50</v>
      </c>
      <c r="H74" s="84" t="s">
        <v>786</v>
      </c>
      <c r="I74" s="87" t="s">
        <v>27</v>
      </c>
      <c r="J74" s="86" t="s">
        <v>170</v>
      </c>
      <c r="K74" s="177" t="s">
        <v>30</v>
      </c>
      <c r="L74" s="188">
        <v>-8.5007839999999995</v>
      </c>
      <c r="M74" s="189">
        <v>-77.298874999999995</v>
      </c>
    </row>
    <row r="75" spans="1:13" ht="89.25">
      <c r="A75" s="142">
        <v>71</v>
      </c>
      <c r="B75" s="212" t="s">
        <v>363</v>
      </c>
      <c r="C75" s="89">
        <v>45770</v>
      </c>
      <c r="D75" s="83" t="s">
        <v>280</v>
      </c>
      <c r="E75" s="80" t="s">
        <v>362</v>
      </c>
      <c r="F75" s="94" t="s">
        <v>12</v>
      </c>
      <c r="G75" s="91">
        <v>135</v>
      </c>
      <c r="H75" s="81" t="s">
        <v>787</v>
      </c>
      <c r="I75" s="87" t="s">
        <v>27</v>
      </c>
      <c r="J75" s="88" t="s">
        <v>174</v>
      </c>
      <c r="K75" s="177" t="s">
        <v>30</v>
      </c>
      <c r="L75" s="82">
        <v>-14.3927</v>
      </c>
      <c r="M75" s="66">
        <v>-75.598640000000003</v>
      </c>
    </row>
    <row r="76" spans="1:13" ht="102">
      <c r="A76" s="142">
        <v>70</v>
      </c>
      <c r="B76" s="212" t="s">
        <v>366</v>
      </c>
      <c r="C76" s="89">
        <v>45770</v>
      </c>
      <c r="D76" s="83" t="s">
        <v>364</v>
      </c>
      <c r="E76" s="80" t="s">
        <v>365</v>
      </c>
      <c r="F76" s="94" t="s">
        <v>12</v>
      </c>
      <c r="G76" s="91">
        <v>30</v>
      </c>
      <c r="H76" s="81" t="s">
        <v>788</v>
      </c>
      <c r="I76" s="87" t="s">
        <v>27</v>
      </c>
      <c r="J76" s="88" t="s">
        <v>156</v>
      </c>
      <c r="K76" s="177" t="s">
        <v>30</v>
      </c>
      <c r="L76" s="185">
        <v>-5.4047900000000002</v>
      </c>
      <c r="M76" s="186">
        <v>-79.621875000000003</v>
      </c>
    </row>
    <row r="77" spans="1:13" ht="89.25">
      <c r="A77" s="142">
        <v>69</v>
      </c>
      <c r="B77" s="212" t="s">
        <v>358</v>
      </c>
      <c r="C77" s="89">
        <v>45770</v>
      </c>
      <c r="D77" s="90" t="s">
        <v>129</v>
      </c>
      <c r="E77" s="80" t="s">
        <v>356</v>
      </c>
      <c r="F77" s="94" t="s">
        <v>12</v>
      </c>
      <c r="G77" s="91">
        <v>100</v>
      </c>
      <c r="H77" s="81" t="s">
        <v>789</v>
      </c>
      <c r="I77" s="85" t="s">
        <v>357</v>
      </c>
      <c r="J77" s="88" t="s">
        <v>171</v>
      </c>
      <c r="K77" s="177" t="s">
        <v>30</v>
      </c>
      <c r="L77" s="162">
        <v>-4.670223</v>
      </c>
      <c r="M77" s="163">
        <v>-79.600038999999995</v>
      </c>
    </row>
    <row r="78" spans="1:13" ht="102">
      <c r="A78" s="142">
        <v>68</v>
      </c>
      <c r="B78" s="212" t="s">
        <v>359</v>
      </c>
      <c r="C78" s="89">
        <v>45762</v>
      </c>
      <c r="D78" s="83" t="s">
        <v>360</v>
      </c>
      <c r="E78" s="80" t="s">
        <v>475</v>
      </c>
      <c r="F78" s="94" t="s">
        <v>12</v>
      </c>
      <c r="G78" s="91">
        <v>130</v>
      </c>
      <c r="H78" s="81" t="s">
        <v>790</v>
      </c>
      <c r="I78" s="87" t="s">
        <v>638</v>
      </c>
      <c r="J78" s="88" t="s">
        <v>171</v>
      </c>
      <c r="K78" s="178" t="s">
        <v>30</v>
      </c>
      <c r="L78" s="181">
        <v>-4.7083000000000004</v>
      </c>
      <c r="M78" s="182">
        <v>-79.818700000000007</v>
      </c>
    </row>
    <row r="79" spans="1:13" ht="89.25">
      <c r="A79" s="142">
        <v>67</v>
      </c>
      <c r="B79" s="212" t="s">
        <v>344</v>
      </c>
      <c r="C79" s="89">
        <v>45762</v>
      </c>
      <c r="D79" s="83" t="s">
        <v>342</v>
      </c>
      <c r="E79" s="80" t="s">
        <v>343</v>
      </c>
      <c r="F79" s="94" t="s">
        <v>12</v>
      </c>
      <c r="G79" s="180">
        <v>300</v>
      </c>
      <c r="H79" s="97" t="s">
        <v>791</v>
      </c>
      <c r="I79" s="87" t="s">
        <v>27</v>
      </c>
      <c r="J79" s="86" t="s">
        <v>300</v>
      </c>
      <c r="K79" s="177" t="s">
        <v>30</v>
      </c>
      <c r="L79" s="181">
        <v>-7.2650750000000004</v>
      </c>
      <c r="M79" s="182">
        <v>-76.735725000000002</v>
      </c>
    </row>
    <row r="80" spans="1:13" ht="114.75">
      <c r="A80" s="142">
        <v>66</v>
      </c>
      <c r="B80" s="212" t="s">
        <v>337</v>
      </c>
      <c r="C80" s="89">
        <v>45761</v>
      </c>
      <c r="D80" s="83" t="s">
        <v>112</v>
      </c>
      <c r="E80" s="80" t="s">
        <v>336</v>
      </c>
      <c r="F80" s="94" t="s">
        <v>12</v>
      </c>
      <c r="G80" s="91">
        <v>100</v>
      </c>
      <c r="H80" s="81" t="s">
        <v>792</v>
      </c>
      <c r="I80" s="87" t="s">
        <v>123</v>
      </c>
      <c r="J80" s="88" t="s">
        <v>210</v>
      </c>
      <c r="K80" s="178" t="s">
        <v>30</v>
      </c>
      <c r="L80" s="146">
        <v>-7.6089560000000001</v>
      </c>
      <c r="M80" s="147">
        <v>-76.680706999999998</v>
      </c>
    </row>
    <row r="81" spans="1:17" ht="89.25">
      <c r="A81" s="142">
        <v>65</v>
      </c>
      <c r="B81" s="212" t="s">
        <v>338</v>
      </c>
      <c r="C81" s="89">
        <v>45761</v>
      </c>
      <c r="D81" s="83" t="s">
        <v>341</v>
      </c>
      <c r="E81" s="80" t="s">
        <v>503</v>
      </c>
      <c r="F81" s="94" t="s">
        <v>12</v>
      </c>
      <c r="G81" s="91">
        <v>50</v>
      </c>
      <c r="H81" s="81" t="s">
        <v>793</v>
      </c>
      <c r="I81" s="87" t="s">
        <v>339</v>
      </c>
      <c r="J81" s="86" t="s">
        <v>340</v>
      </c>
      <c r="K81" s="178" t="s">
        <v>30</v>
      </c>
      <c r="L81" s="82">
        <v>-11.789118</v>
      </c>
      <c r="M81" s="66">
        <v>-75.690263999999999</v>
      </c>
    </row>
    <row r="82" spans="1:17" ht="114.75">
      <c r="A82" s="142">
        <v>64</v>
      </c>
      <c r="B82" s="276" t="s">
        <v>332</v>
      </c>
      <c r="C82" s="89">
        <v>45759</v>
      </c>
      <c r="D82" s="79" t="s">
        <v>331</v>
      </c>
      <c r="E82" s="80" t="s">
        <v>333</v>
      </c>
      <c r="F82" s="94" t="s">
        <v>12</v>
      </c>
      <c r="G82" s="91">
        <v>100</v>
      </c>
      <c r="H82" s="81" t="s">
        <v>794</v>
      </c>
      <c r="I82" s="87" t="s">
        <v>406</v>
      </c>
      <c r="J82" s="88" t="s">
        <v>302</v>
      </c>
      <c r="K82" s="178" t="s">
        <v>30</v>
      </c>
      <c r="L82" s="175">
        <v>-5.8245511958332701</v>
      </c>
      <c r="M82" s="176">
        <v>-78.257423043250995</v>
      </c>
      <c r="Q82" t="s">
        <v>0</v>
      </c>
    </row>
    <row r="83" spans="1:17" ht="89.25">
      <c r="A83" s="142">
        <v>63</v>
      </c>
      <c r="B83" s="212" t="s">
        <v>328</v>
      </c>
      <c r="C83" s="89">
        <v>45756</v>
      </c>
      <c r="D83" s="83" t="s">
        <v>327</v>
      </c>
      <c r="E83" s="130" t="s">
        <v>379</v>
      </c>
      <c r="F83" s="94" t="s">
        <v>12</v>
      </c>
      <c r="G83" s="91">
        <v>415</v>
      </c>
      <c r="H83" s="81" t="s">
        <v>795</v>
      </c>
      <c r="I83" s="87" t="s">
        <v>27</v>
      </c>
      <c r="J83" s="88" t="s">
        <v>156</v>
      </c>
      <c r="K83" s="178" t="s">
        <v>30</v>
      </c>
      <c r="L83" s="82">
        <v>-3.5743510000000001</v>
      </c>
      <c r="M83" s="66">
        <v>-80.463727000000006</v>
      </c>
    </row>
    <row r="84" spans="1:17" ht="89.25">
      <c r="A84" s="142">
        <v>62</v>
      </c>
      <c r="B84" s="212" t="s">
        <v>326</v>
      </c>
      <c r="C84" s="89">
        <v>45755</v>
      </c>
      <c r="D84" s="83" t="s">
        <v>327</v>
      </c>
      <c r="E84" s="130" t="s">
        <v>380</v>
      </c>
      <c r="F84" s="94" t="s">
        <v>12</v>
      </c>
      <c r="G84" s="91" t="s">
        <v>101</v>
      </c>
      <c r="H84" s="81" t="s">
        <v>795</v>
      </c>
      <c r="I84" s="87" t="s">
        <v>27</v>
      </c>
      <c r="J84" s="88" t="s">
        <v>156</v>
      </c>
      <c r="K84" s="177" t="s">
        <v>30</v>
      </c>
      <c r="L84" s="82">
        <v>-3.6095060000000001</v>
      </c>
      <c r="M84" s="66">
        <v>-80.506831000000005</v>
      </c>
    </row>
    <row r="85" spans="1:17" ht="76.5">
      <c r="A85" s="142">
        <v>61</v>
      </c>
      <c r="B85" s="212" t="s">
        <v>324</v>
      </c>
      <c r="C85" s="89">
        <v>45755</v>
      </c>
      <c r="D85" s="83" t="s">
        <v>270</v>
      </c>
      <c r="E85" s="80" t="s">
        <v>325</v>
      </c>
      <c r="F85" s="94" t="s">
        <v>12</v>
      </c>
      <c r="G85" s="91">
        <v>200</v>
      </c>
      <c r="H85" s="81" t="s">
        <v>796</v>
      </c>
      <c r="I85" s="87" t="s">
        <v>27</v>
      </c>
      <c r="J85" s="88" t="s">
        <v>260</v>
      </c>
      <c r="K85" s="177" t="s">
        <v>30</v>
      </c>
      <c r="L85" s="170">
        <v>-12.618480999999999</v>
      </c>
      <c r="M85" s="171">
        <v>-72.839072999999999</v>
      </c>
    </row>
    <row r="86" spans="1:17" ht="102">
      <c r="A86" s="142">
        <v>60</v>
      </c>
      <c r="B86" s="212" t="s">
        <v>316</v>
      </c>
      <c r="C86" s="89">
        <v>45754</v>
      </c>
      <c r="D86" s="90" t="s">
        <v>314</v>
      </c>
      <c r="E86" s="80" t="s">
        <v>315</v>
      </c>
      <c r="F86" s="94" t="s">
        <v>12</v>
      </c>
      <c r="G86" s="91">
        <v>50</v>
      </c>
      <c r="H86" s="81" t="s">
        <v>797</v>
      </c>
      <c r="I86" s="85" t="s">
        <v>27</v>
      </c>
      <c r="J86" s="86" t="s">
        <v>170</v>
      </c>
      <c r="K86" s="177" t="s">
        <v>30</v>
      </c>
      <c r="L86" s="162">
        <v>-8.4742669999999993</v>
      </c>
      <c r="M86" s="163">
        <v>-78.017394999999993</v>
      </c>
    </row>
    <row r="87" spans="1:17" ht="102">
      <c r="A87" s="142">
        <v>59</v>
      </c>
      <c r="B87" s="212" t="s">
        <v>306</v>
      </c>
      <c r="C87" s="89">
        <v>45753</v>
      </c>
      <c r="D87" s="32" t="s">
        <v>305</v>
      </c>
      <c r="E87" s="168" t="s">
        <v>307</v>
      </c>
      <c r="F87" s="94" t="s">
        <v>12</v>
      </c>
      <c r="G87" s="36">
        <v>100</v>
      </c>
      <c r="H87" s="31" t="s">
        <v>798</v>
      </c>
      <c r="I87" s="34" t="s">
        <v>308</v>
      </c>
      <c r="J87" s="88" t="s">
        <v>413</v>
      </c>
      <c r="K87" s="178" t="s">
        <v>30</v>
      </c>
      <c r="L87" s="82">
        <v>-9.7617139999999996</v>
      </c>
      <c r="M87" s="66">
        <v>-76.798074</v>
      </c>
    </row>
    <row r="88" spans="1:17" ht="89.25">
      <c r="A88" s="142">
        <v>58</v>
      </c>
      <c r="B88" s="212" t="s">
        <v>297</v>
      </c>
      <c r="C88" s="89">
        <v>45748</v>
      </c>
      <c r="D88" s="83" t="s">
        <v>129</v>
      </c>
      <c r="E88" s="80" t="s">
        <v>296</v>
      </c>
      <c r="F88" s="94" t="s">
        <v>12</v>
      </c>
      <c r="G88" s="165">
        <v>100</v>
      </c>
      <c r="H88" s="81" t="s">
        <v>799</v>
      </c>
      <c r="I88" s="87" t="s">
        <v>295</v>
      </c>
      <c r="J88" s="88" t="s">
        <v>171</v>
      </c>
      <c r="K88" s="178" t="s">
        <v>30</v>
      </c>
      <c r="L88" s="166">
        <v>-4.6405479999999999</v>
      </c>
      <c r="M88" s="167">
        <v>-79.612014000000002</v>
      </c>
    </row>
    <row r="89" spans="1:17" ht="76.5">
      <c r="A89" s="142">
        <v>57</v>
      </c>
      <c r="B89" s="212" t="s">
        <v>290</v>
      </c>
      <c r="C89" s="89">
        <v>45745</v>
      </c>
      <c r="D89" s="83" t="s">
        <v>291</v>
      </c>
      <c r="E89" s="80" t="s">
        <v>292</v>
      </c>
      <c r="F89" s="94" t="s">
        <v>12</v>
      </c>
      <c r="G89" s="91">
        <v>50</v>
      </c>
      <c r="H89" s="81" t="s">
        <v>800</v>
      </c>
      <c r="I89" s="87" t="s">
        <v>27</v>
      </c>
      <c r="J89" s="88" t="s">
        <v>293</v>
      </c>
      <c r="K89" s="178" t="s">
        <v>30</v>
      </c>
      <c r="L89" s="82">
        <v>-11.189406</v>
      </c>
      <c r="M89" s="66">
        <v>-75.466669699999997</v>
      </c>
    </row>
    <row r="90" spans="1:17" ht="76.5">
      <c r="A90" s="142">
        <v>56</v>
      </c>
      <c r="B90" s="212" t="s">
        <v>304</v>
      </c>
      <c r="C90" s="169">
        <v>45744</v>
      </c>
      <c r="D90" s="90" t="s">
        <v>126</v>
      </c>
      <c r="E90" s="80" t="s">
        <v>313</v>
      </c>
      <c r="F90" s="94" t="s">
        <v>12</v>
      </c>
      <c r="G90" s="91">
        <v>186</v>
      </c>
      <c r="H90" s="81" t="s">
        <v>801</v>
      </c>
      <c r="I90" s="87" t="s">
        <v>330</v>
      </c>
      <c r="J90" s="86" t="s">
        <v>184</v>
      </c>
      <c r="K90" s="177" t="s">
        <v>30</v>
      </c>
      <c r="L90" s="82">
        <v>-7.8278540000000003</v>
      </c>
      <c r="M90" s="66">
        <v>-77.639292999999995</v>
      </c>
    </row>
    <row r="91" spans="1:17" ht="76.5">
      <c r="A91" s="142">
        <v>55</v>
      </c>
      <c r="B91" s="212" t="s">
        <v>351</v>
      </c>
      <c r="C91" s="89">
        <v>45743</v>
      </c>
      <c r="D91" s="90" t="s">
        <v>125</v>
      </c>
      <c r="E91" s="80" t="s">
        <v>350</v>
      </c>
      <c r="F91" s="94" t="s">
        <v>12</v>
      </c>
      <c r="G91" s="91">
        <v>63</v>
      </c>
      <c r="H91" s="97" t="s">
        <v>802</v>
      </c>
      <c r="I91" s="92" t="s">
        <v>27</v>
      </c>
      <c r="J91" s="88" t="s">
        <v>232</v>
      </c>
      <c r="K91" s="177" t="s">
        <v>30</v>
      </c>
      <c r="L91" s="183">
        <v>-4.1072790000000001</v>
      </c>
      <c r="M91" s="184">
        <v>-81.056887000000003</v>
      </c>
    </row>
    <row r="92" spans="1:17" ht="76.5">
      <c r="A92" s="142">
        <v>54</v>
      </c>
      <c r="B92" s="212" t="s">
        <v>303</v>
      </c>
      <c r="C92" s="89">
        <v>45743</v>
      </c>
      <c r="D92" s="90" t="s">
        <v>125</v>
      </c>
      <c r="E92" s="80" t="s">
        <v>345</v>
      </c>
      <c r="F92" s="94" t="s">
        <v>12</v>
      </c>
      <c r="G92" s="91">
        <v>200</v>
      </c>
      <c r="H92" s="97" t="s">
        <v>802</v>
      </c>
      <c r="I92" s="92" t="s">
        <v>27</v>
      </c>
      <c r="J92" s="88" t="s">
        <v>232</v>
      </c>
      <c r="K92" s="178" t="s">
        <v>30</v>
      </c>
      <c r="L92" s="82">
        <v>-4.1048220000000004</v>
      </c>
      <c r="M92" s="66">
        <v>-81.040464999999998</v>
      </c>
    </row>
    <row r="93" spans="1:17" ht="102">
      <c r="A93" s="142">
        <v>53</v>
      </c>
      <c r="B93" s="212" t="s">
        <v>301</v>
      </c>
      <c r="C93" s="115">
        <v>45743</v>
      </c>
      <c r="D93" s="83" t="s">
        <v>172</v>
      </c>
      <c r="E93" s="131" t="s">
        <v>294</v>
      </c>
      <c r="F93" s="94" t="s">
        <v>12</v>
      </c>
      <c r="G93" s="116">
        <v>25</v>
      </c>
      <c r="H93" s="84" t="s">
        <v>803</v>
      </c>
      <c r="I93" s="87" t="s">
        <v>27</v>
      </c>
      <c r="J93" s="86" t="s">
        <v>213</v>
      </c>
      <c r="K93" s="177" t="s">
        <v>30</v>
      </c>
      <c r="L93" s="117">
        <v>-16.621767999999999</v>
      </c>
      <c r="M93" s="118">
        <v>-71.071156999999999</v>
      </c>
    </row>
    <row r="94" spans="1:17" ht="114.75">
      <c r="A94" s="142">
        <v>52</v>
      </c>
      <c r="B94" s="212" t="s">
        <v>319</v>
      </c>
      <c r="C94" s="89">
        <v>45743</v>
      </c>
      <c r="D94" s="79" t="s">
        <v>305</v>
      </c>
      <c r="E94" s="80" t="s">
        <v>320</v>
      </c>
      <c r="F94" s="94" t="s">
        <v>12</v>
      </c>
      <c r="G94" s="91">
        <v>60</v>
      </c>
      <c r="H94" s="81" t="s">
        <v>804</v>
      </c>
      <c r="I94" s="87" t="s">
        <v>321</v>
      </c>
      <c r="J94" s="88" t="s">
        <v>414</v>
      </c>
      <c r="K94" s="178" t="s">
        <v>30</v>
      </c>
      <c r="L94" s="82">
        <v>-9.7791340000000009</v>
      </c>
      <c r="M94" s="66">
        <v>-76.805539999999993</v>
      </c>
    </row>
    <row r="95" spans="1:17" ht="89.25">
      <c r="A95" s="142">
        <v>51</v>
      </c>
      <c r="B95" s="212" t="s">
        <v>604</v>
      </c>
      <c r="C95" s="89">
        <v>45742</v>
      </c>
      <c r="D95" s="90" t="s">
        <v>287</v>
      </c>
      <c r="E95" s="80" t="s">
        <v>605</v>
      </c>
      <c r="F95" s="94" t="s">
        <v>12</v>
      </c>
      <c r="G95" s="91" t="s">
        <v>101</v>
      </c>
      <c r="H95" s="81" t="s">
        <v>805</v>
      </c>
      <c r="I95" s="92" t="s">
        <v>128</v>
      </c>
      <c r="J95" s="88" t="s">
        <v>606</v>
      </c>
      <c r="K95" s="177" t="s">
        <v>30</v>
      </c>
      <c r="L95" s="82">
        <v>-6.5590590000000004</v>
      </c>
      <c r="M95" s="66">
        <v>-78.737170000000006</v>
      </c>
    </row>
    <row r="96" spans="1:17" ht="89.25">
      <c r="A96" s="142">
        <v>50</v>
      </c>
      <c r="B96" s="275" t="s">
        <v>285</v>
      </c>
      <c r="C96" s="89">
        <v>45742</v>
      </c>
      <c r="D96" s="90" t="s">
        <v>284</v>
      </c>
      <c r="E96" s="80" t="s">
        <v>355</v>
      </c>
      <c r="F96" s="94" t="s">
        <v>12</v>
      </c>
      <c r="G96" s="91">
        <v>50</v>
      </c>
      <c r="H96" s="97" t="s">
        <v>806</v>
      </c>
      <c r="I96" s="85" t="s">
        <v>27</v>
      </c>
      <c r="J96" s="88" t="s">
        <v>195</v>
      </c>
      <c r="K96" s="177" t="s">
        <v>30</v>
      </c>
      <c r="L96" s="82">
        <v>-12.688105999999999</v>
      </c>
      <c r="M96" s="66">
        <v>-74.588984999999994</v>
      </c>
    </row>
    <row r="97" spans="1:13" ht="89.25">
      <c r="A97" s="142">
        <v>49</v>
      </c>
      <c r="B97" s="275" t="s">
        <v>282</v>
      </c>
      <c r="C97" s="89">
        <v>45741</v>
      </c>
      <c r="D97" s="90" t="s">
        <v>281</v>
      </c>
      <c r="E97" s="80" t="s">
        <v>283</v>
      </c>
      <c r="F97" s="94" t="s">
        <v>12</v>
      </c>
      <c r="G97" s="91">
        <v>30</v>
      </c>
      <c r="H97" s="97" t="s">
        <v>807</v>
      </c>
      <c r="I97" s="87" t="s">
        <v>27</v>
      </c>
      <c r="J97" s="88" t="s">
        <v>195</v>
      </c>
      <c r="K97" s="177" t="s">
        <v>30</v>
      </c>
      <c r="L97" s="82">
        <v>-12.796348999999999</v>
      </c>
      <c r="M97" s="66">
        <v>-74.476848000000004</v>
      </c>
    </row>
    <row r="98" spans="1:13" ht="89.25">
      <c r="A98" s="142">
        <v>48</v>
      </c>
      <c r="B98" s="212" t="s">
        <v>274</v>
      </c>
      <c r="C98" s="89">
        <v>45739</v>
      </c>
      <c r="D98" s="90" t="s">
        <v>275</v>
      </c>
      <c r="E98" s="80" t="s">
        <v>276</v>
      </c>
      <c r="F98" s="94" t="s">
        <v>12</v>
      </c>
      <c r="G98" s="158">
        <v>120</v>
      </c>
      <c r="H98" s="81" t="s">
        <v>808</v>
      </c>
      <c r="I98" s="87" t="s">
        <v>286</v>
      </c>
      <c r="J98" s="86" t="s">
        <v>170</v>
      </c>
      <c r="K98" s="177" t="s">
        <v>30</v>
      </c>
      <c r="L98" s="159">
        <v>-8.9705159999999999</v>
      </c>
      <c r="M98" s="160">
        <v>-77.363794999999996</v>
      </c>
    </row>
    <row r="99" spans="1:13" ht="102">
      <c r="A99" s="142">
        <v>47</v>
      </c>
      <c r="B99" s="212" t="s">
        <v>263</v>
      </c>
      <c r="C99" s="89">
        <v>45736</v>
      </c>
      <c r="D99" s="79" t="s">
        <v>34</v>
      </c>
      <c r="E99" s="80" t="s">
        <v>277</v>
      </c>
      <c r="F99" s="94" t="s">
        <v>12</v>
      </c>
      <c r="G99" s="91">
        <v>50</v>
      </c>
      <c r="H99" s="81" t="s">
        <v>809</v>
      </c>
      <c r="I99" s="87" t="s">
        <v>29</v>
      </c>
      <c r="J99" s="88" t="s">
        <v>147</v>
      </c>
      <c r="K99" s="178" t="s">
        <v>30</v>
      </c>
      <c r="L99" s="82">
        <v>-17.076312000000001</v>
      </c>
      <c r="M99" s="66">
        <v>-70.840873000000002</v>
      </c>
    </row>
    <row r="100" spans="1:13" ht="89.25">
      <c r="A100" s="142">
        <v>46</v>
      </c>
      <c r="B100" s="212" t="s">
        <v>272</v>
      </c>
      <c r="C100" s="89">
        <v>45735</v>
      </c>
      <c r="D100" s="90" t="s">
        <v>273</v>
      </c>
      <c r="E100" s="80" t="s">
        <v>278</v>
      </c>
      <c r="F100" s="94" t="s">
        <v>12</v>
      </c>
      <c r="G100" s="91">
        <v>10</v>
      </c>
      <c r="H100" s="81" t="s">
        <v>810</v>
      </c>
      <c r="I100" s="87" t="s">
        <v>27</v>
      </c>
      <c r="J100" s="86" t="s">
        <v>170</v>
      </c>
      <c r="K100" s="177" t="s">
        <v>30</v>
      </c>
      <c r="L100" s="82">
        <v>-9.1105710000000002</v>
      </c>
      <c r="M100" s="66">
        <v>-77.315596999999997</v>
      </c>
    </row>
    <row r="101" spans="1:13" ht="89.25">
      <c r="A101" s="142">
        <v>45</v>
      </c>
      <c r="B101" s="212" t="s">
        <v>271</v>
      </c>
      <c r="C101" s="89">
        <v>45735</v>
      </c>
      <c r="D101" s="90" t="s">
        <v>127</v>
      </c>
      <c r="E101" s="80" t="s">
        <v>268</v>
      </c>
      <c r="F101" s="94" t="s">
        <v>12</v>
      </c>
      <c r="G101" s="158">
        <v>15</v>
      </c>
      <c r="H101" s="81" t="s">
        <v>811</v>
      </c>
      <c r="I101" s="87" t="s">
        <v>27</v>
      </c>
      <c r="J101" s="86" t="s">
        <v>170</v>
      </c>
      <c r="K101" s="177" t="s">
        <v>30</v>
      </c>
      <c r="L101" s="159">
        <v>-9.0419610000000006</v>
      </c>
      <c r="M101" s="160">
        <v>-77.362418000000005</v>
      </c>
    </row>
    <row r="102" spans="1:13" ht="76.5">
      <c r="A102" s="142">
        <v>44</v>
      </c>
      <c r="B102" s="212" t="s">
        <v>269</v>
      </c>
      <c r="C102" s="89">
        <v>45735</v>
      </c>
      <c r="D102" s="90" t="s">
        <v>267</v>
      </c>
      <c r="E102" s="80" t="s">
        <v>279</v>
      </c>
      <c r="F102" s="94" t="s">
        <v>12</v>
      </c>
      <c r="G102" s="158">
        <v>12</v>
      </c>
      <c r="H102" s="81" t="s">
        <v>812</v>
      </c>
      <c r="I102" s="87" t="s">
        <v>27</v>
      </c>
      <c r="J102" s="86" t="s">
        <v>170</v>
      </c>
      <c r="K102" s="177" t="s">
        <v>30</v>
      </c>
      <c r="L102" s="159">
        <v>-8.8485910000000008</v>
      </c>
      <c r="M102" s="160">
        <v>-77.406182999999999</v>
      </c>
    </row>
    <row r="103" spans="1:13" ht="89.25">
      <c r="A103" s="142">
        <v>43</v>
      </c>
      <c r="B103" s="212" t="s">
        <v>266</v>
      </c>
      <c r="C103" s="89">
        <v>45735</v>
      </c>
      <c r="D103" s="90" t="s">
        <v>264</v>
      </c>
      <c r="E103" s="80" t="s">
        <v>265</v>
      </c>
      <c r="F103" s="94" t="s">
        <v>12</v>
      </c>
      <c r="G103" s="91">
        <v>16</v>
      </c>
      <c r="H103" s="81" t="s">
        <v>813</v>
      </c>
      <c r="I103" s="87" t="s">
        <v>27</v>
      </c>
      <c r="J103" s="86" t="s">
        <v>170</v>
      </c>
      <c r="K103" s="178" t="s">
        <v>30</v>
      </c>
      <c r="L103" s="155">
        <v>-8.9195620000000009</v>
      </c>
      <c r="M103" s="156">
        <v>-77.353319999999997</v>
      </c>
    </row>
    <row r="104" spans="1:13" ht="76.5">
      <c r="A104" s="142">
        <v>42</v>
      </c>
      <c r="B104" s="212" t="s">
        <v>258</v>
      </c>
      <c r="C104" s="89">
        <v>45729</v>
      </c>
      <c r="D104" s="96" t="s">
        <v>257</v>
      </c>
      <c r="E104" s="130" t="s">
        <v>262</v>
      </c>
      <c r="F104" s="94" t="s">
        <v>12</v>
      </c>
      <c r="G104" s="91">
        <v>50</v>
      </c>
      <c r="H104" s="81" t="s">
        <v>814</v>
      </c>
      <c r="I104" s="87" t="s">
        <v>27</v>
      </c>
      <c r="J104" s="88" t="s">
        <v>415</v>
      </c>
      <c r="K104" s="177" t="s">
        <v>30</v>
      </c>
      <c r="L104" s="82">
        <v>-14.013590000000001</v>
      </c>
      <c r="M104" s="66">
        <v>-72.363420000000005</v>
      </c>
    </row>
    <row r="105" spans="1:13" ht="89.25">
      <c r="A105" s="142">
        <v>41</v>
      </c>
      <c r="B105" s="212" t="s">
        <v>254</v>
      </c>
      <c r="C105" s="89">
        <v>45728</v>
      </c>
      <c r="D105" s="83" t="s">
        <v>112</v>
      </c>
      <c r="E105" s="80" t="s">
        <v>255</v>
      </c>
      <c r="F105" s="94" t="s">
        <v>12</v>
      </c>
      <c r="G105" s="91">
        <v>150</v>
      </c>
      <c r="H105" s="81" t="s">
        <v>815</v>
      </c>
      <c r="I105" s="92" t="s">
        <v>27</v>
      </c>
      <c r="J105" s="88" t="s">
        <v>210</v>
      </c>
      <c r="K105" s="178" t="s">
        <v>30</v>
      </c>
      <c r="L105" s="146">
        <v>-7.5290169999999996</v>
      </c>
      <c r="M105" s="147">
        <v>-76.671807999999999</v>
      </c>
    </row>
    <row r="106" spans="1:13" ht="102">
      <c r="A106" s="142">
        <v>40</v>
      </c>
      <c r="B106" s="212" t="s">
        <v>252</v>
      </c>
      <c r="C106" s="89">
        <v>45726</v>
      </c>
      <c r="D106" s="90" t="s">
        <v>251</v>
      </c>
      <c r="E106" s="80" t="s">
        <v>603</v>
      </c>
      <c r="F106" s="94" t="s">
        <v>12</v>
      </c>
      <c r="G106" s="91">
        <v>260</v>
      </c>
      <c r="H106" s="81" t="s">
        <v>816</v>
      </c>
      <c r="I106" s="87" t="s">
        <v>506</v>
      </c>
      <c r="J106" s="86" t="s">
        <v>184</v>
      </c>
      <c r="K106" s="177" t="s">
        <v>30</v>
      </c>
      <c r="L106" s="82">
        <v>-7.6618000000000004</v>
      </c>
      <c r="M106" s="66">
        <v>-77.866600000000005</v>
      </c>
    </row>
    <row r="107" spans="1:13" ht="76.5">
      <c r="A107" s="142">
        <v>39</v>
      </c>
      <c r="B107" s="276" t="s">
        <v>253</v>
      </c>
      <c r="C107" s="89">
        <v>45723</v>
      </c>
      <c r="D107" s="90" t="s">
        <v>124</v>
      </c>
      <c r="E107" s="80" t="s">
        <v>381</v>
      </c>
      <c r="F107" s="94" t="s">
        <v>12</v>
      </c>
      <c r="G107" s="91">
        <v>50</v>
      </c>
      <c r="H107" s="97" t="s">
        <v>817</v>
      </c>
      <c r="I107" s="92" t="s">
        <v>27</v>
      </c>
      <c r="J107" s="88" t="s">
        <v>232</v>
      </c>
      <c r="K107" s="178" t="s">
        <v>30</v>
      </c>
      <c r="L107" s="82">
        <v>-4.1789940000000003</v>
      </c>
      <c r="M107" s="66">
        <v>-81.129051000000004</v>
      </c>
    </row>
    <row r="108" spans="1:13" ht="114.75">
      <c r="A108" s="142">
        <v>38</v>
      </c>
      <c r="B108" s="276" t="s">
        <v>241</v>
      </c>
      <c r="C108" s="89">
        <v>45719</v>
      </c>
      <c r="D108" s="83" t="s">
        <v>245</v>
      </c>
      <c r="E108" s="80" t="s">
        <v>242</v>
      </c>
      <c r="F108" s="94" t="s">
        <v>12</v>
      </c>
      <c r="G108" s="91">
        <v>15</v>
      </c>
      <c r="H108" s="84" t="s">
        <v>818</v>
      </c>
      <c r="I108" s="87" t="s">
        <v>243</v>
      </c>
      <c r="J108" s="86" t="s">
        <v>244</v>
      </c>
      <c r="K108" s="177" t="s">
        <v>30</v>
      </c>
      <c r="L108" s="82">
        <v>-17.529775000000001</v>
      </c>
      <c r="M108" s="66">
        <v>-70.035994000000002</v>
      </c>
    </row>
    <row r="109" spans="1:13" ht="89.25">
      <c r="A109" s="142">
        <v>37</v>
      </c>
      <c r="B109" s="212" t="s">
        <v>238</v>
      </c>
      <c r="C109" s="89">
        <v>45719</v>
      </c>
      <c r="D109" s="79" t="s">
        <v>239</v>
      </c>
      <c r="E109" s="80" t="s">
        <v>240</v>
      </c>
      <c r="F109" s="94" t="s">
        <v>12</v>
      </c>
      <c r="G109" s="91">
        <v>16</v>
      </c>
      <c r="H109" s="84" t="s">
        <v>819</v>
      </c>
      <c r="I109" s="87" t="s">
        <v>178</v>
      </c>
      <c r="J109" s="88" t="s">
        <v>227</v>
      </c>
      <c r="K109" s="177" t="s">
        <v>30</v>
      </c>
      <c r="L109" s="82">
        <v>-6.3433950000000001</v>
      </c>
      <c r="M109" s="66">
        <v>-77.930058000000002</v>
      </c>
    </row>
    <row r="110" spans="1:13" ht="140.25">
      <c r="A110" s="142">
        <v>36</v>
      </c>
      <c r="B110" s="212" t="s">
        <v>230</v>
      </c>
      <c r="C110" s="89">
        <v>45719</v>
      </c>
      <c r="D110" s="96" t="s">
        <v>226</v>
      </c>
      <c r="E110" s="130" t="s">
        <v>229</v>
      </c>
      <c r="F110" s="94" t="s">
        <v>12</v>
      </c>
      <c r="G110" s="91">
        <v>30</v>
      </c>
      <c r="H110" s="84" t="s">
        <v>820</v>
      </c>
      <c r="I110" s="137" t="s">
        <v>246</v>
      </c>
      <c r="J110" s="88" t="s">
        <v>227</v>
      </c>
      <c r="K110" s="177" t="s">
        <v>30</v>
      </c>
      <c r="L110" s="82">
        <v>-5.4831269999999996</v>
      </c>
      <c r="M110" s="66">
        <v>-78.822682999999998</v>
      </c>
    </row>
    <row r="111" spans="1:13" ht="102">
      <c r="A111" s="142">
        <v>35</v>
      </c>
      <c r="B111" s="212" t="s">
        <v>231</v>
      </c>
      <c r="C111" s="89">
        <v>45718</v>
      </c>
      <c r="D111" s="90" t="s">
        <v>125</v>
      </c>
      <c r="E111" s="80" t="s">
        <v>352</v>
      </c>
      <c r="F111" s="94" t="s">
        <v>12</v>
      </c>
      <c r="G111" s="91">
        <v>184</v>
      </c>
      <c r="H111" s="97" t="s">
        <v>821</v>
      </c>
      <c r="I111" s="92" t="s">
        <v>27</v>
      </c>
      <c r="J111" s="88" t="s">
        <v>232</v>
      </c>
      <c r="K111" s="177" t="s">
        <v>30</v>
      </c>
      <c r="L111" s="82">
        <v>-4.1054079999999997</v>
      </c>
      <c r="M111" s="66">
        <v>-81.043093999999996</v>
      </c>
    </row>
    <row r="112" spans="1:13" ht="89.25">
      <c r="A112" s="142">
        <v>34</v>
      </c>
      <c r="B112" s="212" t="s">
        <v>224</v>
      </c>
      <c r="C112" s="89">
        <v>45716</v>
      </c>
      <c r="D112" s="79" t="s">
        <v>225</v>
      </c>
      <c r="E112" s="80" t="s">
        <v>237</v>
      </c>
      <c r="F112" s="94" t="s">
        <v>12</v>
      </c>
      <c r="G112" s="56">
        <v>250</v>
      </c>
      <c r="H112" s="81" t="s">
        <v>822</v>
      </c>
      <c r="I112" s="87" t="s">
        <v>256</v>
      </c>
      <c r="J112" s="88" t="s">
        <v>114</v>
      </c>
      <c r="K112" s="178" t="s">
        <v>30</v>
      </c>
      <c r="L112" s="82">
        <v>-7.2686000000000002</v>
      </c>
      <c r="M112" s="66">
        <v>-78.514700000000005</v>
      </c>
    </row>
    <row r="113" spans="1:13" ht="89.25">
      <c r="A113" s="142">
        <v>33</v>
      </c>
      <c r="B113" s="212" t="s">
        <v>214</v>
      </c>
      <c r="C113" s="89">
        <v>45709</v>
      </c>
      <c r="D113" s="96" t="s">
        <v>217</v>
      </c>
      <c r="E113" s="130" t="s">
        <v>215</v>
      </c>
      <c r="F113" s="94" t="s">
        <v>12</v>
      </c>
      <c r="G113" s="91">
        <v>20</v>
      </c>
      <c r="H113" s="81" t="s">
        <v>823</v>
      </c>
      <c r="I113" s="87" t="s">
        <v>216</v>
      </c>
      <c r="J113" s="88" t="s">
        <v>220</v>
      </c>
      <c r="K113" s="178" t="s">
        <v>30</v>
      </c>
      <c r="L113" s="82">
        <v>-16.091723000000002</v>
      </c>
      <c r="M113" s="66">
        <v>-69.632259000000005</v>
      </c>
    </row>
    <row r="114" spans="1:13" ht="89.25">
      <c r="A114" s="142">
        <v>32</v>
      </c>
      <c r="B114" s="212" t="s">
        <v>222</v>
      </c>
      <c r="C114" s="89">
        <v>45709</v>
      </c>
      <c r="D114" s="96" t="s">
        <v>221</v>
      </c>
      <c r="E114" s="130" t="s">
        <v>382</v>
      </c>
      <c r="F114" s="94" t="s">
        <v>12</v>
      </c>
      <c r="G114" s="127">
        <v>40</v>
      </c>
      <c r="H114" s="81" t="s">
        <v>824</v>
      </c>
      <c r="I114" s="92" t="s">
        <v>27</v>
      </c>
      <c r="J114" s="88" t="s">
        <v>156</v>
      </c>
      <c r="K114" s="177" t="s">
        <v>30</v>
      </c>
      <c r="L114" s="128">
        <v>-3.5451000000000001</v>
      </c>
      <c r="M114" s="129">
        <v>-80.394999999999996</v>
      </c>
    </row>
    <row r="115" spans="1:13" ht="102">
      <c r="A115" s="142">
        <v>31</v>
      </c>
      <c r="B115" s="212" t="s">
        <v>205</v>
      </c>
      <c r="C115" s="89">
        <v>45707</v>
      </c>
      <c r="D115" s="79" t="s">
        <v>197</v>
      </c>
      <c r="E115" s="80" t="s">
        <v>206</v>
      </c>
      <c r="F115" s="94" t="s">
        <v>12</v>
      </c>
      <c r="G115" s="91">
        <v>300</v>
      </c>
      <c r="H115" s="84" t="s">
        <v>825</v>
      </c>
      <c r="I115" s="92" t="s">
        <v>121</v>
      </c>
      <c r="J115" s="88" t="s">
        <v>174</v>
      </c>
      <c r="K115" s="178" t="s">
        <v>30</v>
      </c>
      <c r="L115" s="82">
        <v>-14.68004</v>
      </c>
      <c r="M115" s="66">
        <v>-75.139840000000007</v>
      </c>
    </row>
    <row r="116" spans="1:13" ht="267.75">
      <c r="A116" s="142">
        <v>30</v>
      </c>
      <c r="B116" s="212" t="s">
        <v>201</v>
      </c>
      <c r="C116" s="89">
        <v>45701</v>
      </c>
      <c r="D116" s="96" t="s">
        <v>198</v>
      </c>
      <c r="E116" s="130" t="s">
        <v>203</v>
      </c>
      <c r="F116" s="94" t="s">
        <v>12</v>
      </c>
      <c r="G116" s="91">
        <v>50</v>
      </c>
      <c r="H116" s="84" t="s">
        <v>826</v>
      </c>
      <c r="I116" s="85" t="s">
        <v>199</v>
      </c>
      <c r="J116" s="86" t="s">
        <v>200</v>
      </c>
      <c r="K116" s="178" t="s">
        <v>30</v>
      </c>
      <c r="L116" s="135">
        <v>-11.6073</v>
      </c>
      <c r="M116" s="136">
        <v>-77.239900000000006</v>
      </c>
    </row>
    <row r="117" spans="1:13" ht="76.5">
      <c r="A117" s="142">
        <v>29</v>
      </c>
      <c r="B117" s="212" t="s">
        <v>193</v>
      </c>
      <c r="C117" s="89">
        <v>45688</v>
      </c>
      <c r="D117" s="90" t="s">
        <v>191</v>
      </c>
      <c r="E117" s="80" t="s">
        <v>192</v>
      </c>
      <c r="F117" s="94" t="s">
        <v>12</v>
      </c>
      <c r="G117" s="91">
        <v>15</v>
      </c>
      <c r="H117" s="81" t="s">
        <v>827</v>
      </c>
      <c r="I117" s="85" t="s">
        <v>178</v>
      </c>
      <c r="J117" s="88" t="s">
        <v>169</v>
      </c>
      <c r="K117" s="177" t="s">
        <v>30</v>
      </c>
      <c r="L117" s="125">
        <v>-6.8551000000000002</v>
      </c>
      <c r="M117" s="126">
        <v>-78.066299999999998</v>
      </c>
    </row>
    <row r="118" spans="1:13" ht="102">
      <c r="A118" s="142">
        <v>28</v>
      </c>
      <c r="B118" s="212" t="s">
        <v>188</v>
      </c>
      <c r="C118" s="89">
        <v>45687</v>
      </c>
      <c r="D118" s="90" t="s">
        <v>116</v>
      </c>
      <c r="E118" s="80" t="s">
        <v>189</v>
      </c>
      <c r="F118" s="94" t="s">
        <v>12</v>
      </c>
      <c r="G118" s="91">
        <v>36</v>
      </c>
      <c r="H118" s="81" t="s">
        <v>828</v>
      </c>
      <c r="I118" s="87" t="s">
        <v>113</v>
      </c>
      <c r="J118" s="88" t="s">
        <v>114</v>
      </c>
      <c r="K118" s="177" t="s">
        <v>30</v>
      </c>
      <c r="L118" s="82">
        <v>-7.9260000000000002</v>
      </c>
      <c r="M118" s="66">
        <v>-78.575999999999993</v>
      </c>
    </row>
    <row r="119" spans="1:13" ht="102">
      <c r="A119" s="142">
        <v>27</v>
      </c>
      <c r="B119" s="212" t="s">
        <v>187</v>
      </c>
      <c r="C119" s="115">
        <v>45687</v>
      </c>
      <c r="D119" s="96" t="s">
        <v>186</v>
      </c>
      <c r="E119" s="130" t="s">
        <v>383</v>
      </c>
      <c r="F119" s="94" t="s">
        <v>12</v>
      </c>
      <c r="G119" s="127">
        <v>13</v>
      </c>
      <c r="H119" s="81" t="s">
        <v>829</v>
      </c>
      <c r="I119" s="85" t="s">
        <v>27</v>
      </c>
      <c r="J119" s="88" t="s">
        <v>156</v>
      </c>
      <c r="K119" s="177" t="s">
        <v>30</v>
      </c>
      <c r="L119" s="128">
        <v>-3.576508</v>
      </c>
      <c r="M119" s="129">
        <v>-80.465653000000003</v>
      </c>
    </row>
    <row r="120" spans="1:13" ht="114.75">
      <c r="A120" s="142">
        <v>26</v>
      </c>
      <c r="B120" s="212" t="s">
        <v>179</v>
      </c>
      <c r="C120" s="115">
        <v>45677</v>
      </c>
      <c r="D120" s="90" t="s">
        <v>177</v>
      </c>
      <c r="E120" s="80" t="s">
        <v>182</v>
      </c>
      <c r="F120" s="94" t="s">
        <v>12</v>
      </c>
      <c r="G120" s="91">
        <v>2</v>
      </c>
      <c r="H120" s="81" t="s">
        <v>830</v>
      </c>
      <c r="I120" s="85" t="s">
        <v>178</v>
      </c>
      <c r="J120" s="88" t="s">
        <v>169</v>
      </c>
      <c r="K120" s="177" t="s">
        <v>30</v>
      </c>
      <c r="L120" s="117">
        <v>-6.7638400000000001</v>
      </c>
      <c r="M120" s="118">
        <v>-78.533422999999999</v>
      </c>
    </row>
    <row r="121" spans="1:13" ht="114.75">
      <c r="A121" s="142">
        <v>25</v>
      </c>
      <c r="B121" s="212" t="s">
        <v>176</v>
      </c>
      <c r="C121" s="89">
        <v>45670</v>
      </c>
      <c r="D121" s="90" t="s">
        <v>175</v>
      </c>
      <c r="E121" s="80" t="s">
        <v>361</v>
      </c>
      <c r="F121" s="94" t="s">
        <v>12</v>
      </c>
      <c r="G121" s="119">
        <v>200</v>
      </c>
      <c r="H121" s="97" t="s">
        <v>831</v>
      </c>
      <c r="I121" s="87" t="s">
        <v>490</v>
      </c>
      <c r="J121" s="88" t="s">
        <v>212</v>
      </c>
      <c r="K121" s="177" t="s">
        <v>30</v>
      </c>
      <c r="L121" s="120">
        <v>-17.151049</v>
      </c>
      <c r="M121" s="121">
        <v>-71.785892000000004</v>
      </c>
    </row>
    <row r="122" spans="1:13" ht="140.25">
      <c r="A122" s="142">
        <v>24</v>
      </c>
      <c r="B122" s="275" t="s">
        <v>159</v>
      </c>
      <c r="C122" s="89">
        <v>45595</v>
      </c>
      <c r="D122" s="96" t="s">
        <v>160</v>
      </c>
      <c r="E122" s="80" t="s">
        <v>384</v>
      </c>
      <c r="F122" s="94" t="s">
        <v>12</v>
      </c>
      <c r="G122" s="91">
        <v>130</v>
      </c>
      <c r="H122" s="81" t="s">
        <v>725</v>
      </c>
      <c r="I122" s="92" t="s">
        <v>27</v>
      </c>
      <c r="J122" s="88" t="s">
        <v>156</v>
      </c>
      <c r="K122" s="177" t="s">
        <v>30</v>
      </c>
      <c r="L122" s="82">
        <v>-4.8320970000000001</v>
      </c>
      <c r="M122" s="66">
        <v>-80.901155000000003</v>
      </c>
    </row>
    <row r="123" spans="1:13" ht="127.5">
      <c r="A123" s="142">
        <v>23</v>
      </c>
      <c r="B123" s="275" t="s">
        <v>158</v>
      </c>
      <c r="C123" s="89">
        <v>45595</v>
      </c>
      <c r="D123" s="96" t="s">
        <v>157</v>
      </c>
      <c r="E123" s="80" t="s">
        <v>385</v>
      </c>
      <c r="F123" s="94" t="s">
        <v>12</v>
      </c>
      <c r="G123" s="91">
        <v>11</v>
      </c>
      <c r="H123" s="81" t="s">
        <v>832</v>
      </c>
      <c r="I123" s="92" t="s">
        <v>27</v>
      </c>
      <c r="J123" s="88" t="s">
        <v>156</v>
      </c>
      <c r="K123" s="177" t="s">
        <v>30</v>
      </c>
      <c r="L123" s="82">
        <v>-3.5291060000000001</v>
      </c>
      <c r="M123" s="66">
        <v>-80.363461000000001</v>
      </c>
    </row>
    <row r="124" spans="1:13" ht="89.25">
      <c r="A124" s="142">
        <v>22</v>
      </c>
      <c r="B124" s="275" t="s">
        <v>142</v>
      </c>
      <c r="C124" s="89">
        <v>45391</v>
      </c>
      <c r="D124" s="90" t="s">
        <v>31</v>
      </c>
      <c r="E124" s="80" t="s">
        <v>144</v>
      </c>
      <c r="F124" s="94" t="s">
        <v>12</v>
      </c>
      <c r="G124" s="91">
        <v>283</v>
      </c>
      <c r="H124" s="97" t="s">
        <v>833</v>
      </c>
      <c r="I124" s="87" t="s">
        <v>83</v>
      </c>
      <c r="J124" s="88" t="s">
        <v>421</v>
      </c>
      <c r="K124" s="177" t="s">
        <v>30</v>
      </c>
      <c r="L124" s="82">
        <v>-9.0373579999999993</v>
      </c>
      <c r="M124" s="66">
        <v>-75.505527999999998</v>
      </c>
    </row>
    <row r="125" spans="1:13" ht="76.5">
      <c r="A125" s="142">
        <v>21</v>
      </c>
      <c r="B125" s="275" t="s">
        <v>102</v>
      </c>
      <c r="C125" s="89">
        <v>45024</v>
      </c>
      <c r="D125" s="90" t="s">
        <v>103</v>
      </c>
      <c r="E125" s="80" t="s">
        <v>111</v>
      </c>
      <c r="F125" s="94" t="s">
        <v>12</v>
      </c>
      <c r="G125" s="91">
        <v>30</v>
      </c>
      <c r="H125" s="81" t="s">
        <v>834</v>
      </c>
      <c r="I125" s="87" t="s">
        <v>95</v>
      </c>
      <c r="J125" s="88" t="s">
        <v>302</v>
      </c>
      <c r="K125" s="286"/>
      <c r="L125" s="82">
        <v>-5.9253954853169102</v>
      </c>
      <c r="M125" s="66">
        <v>-79.551036357879596</v>
      </c>
    </row>
    <row r="126" spans="1:13" ht="63.75">
      <c r="A126" s="142">
        <v>20</v>
      </c>
      <c r="B126" s="275" t="s">
        <v>98</v>
      </c>
      <c r="C126" s="89">
        <v>45024</v>
      </c>
      <c r="D126" s="90" t="s">
        <v>134</v>
      </c>
      <c r="E126" s="80" t="s">
        <v>146</v>
      </c>
      <c r="F126" s="94" t="s">
        <v>12</v>
      </c>
      <c r="G126" s="91">
        <v>200</v>
      </c>
      <c r="H126" s="132" t="s">
        <v>835</v>
      </c>
      <c r="I126" s="87" t="s">
        <v>95</v>
      </c>
      <c r="J126" s="88" t="s">
        <v>302</v>
      </c>
      <c r="K126" s="286"/>
      <c r="L126" s="82">
        <v>-6.4113724456344103</v>
      </c>
      <c r="M126" s="66">
        <v>-76.619019806384998</v>
      </c>
    </row>
    <row r="127" spans="1:13" ht="63.75">
      <c r="A127" s="142">
        <v>19</v>
      </c>
      <c r="B127" s="275" t="s">
        <v>107</v>
      </c>
      <c r="C127" s="89">
        <v>45021</v>
      </c>
      <c r="D127" s="90" t="s">
        <v>108</v>
      </c>
      <c r="E127" s="95" t="s">
        <v>109</v>
      </c>
      <c r="F127" s="94" t="s">
        <v>12</v>
      </c>
      <c r="G127" s="91">
        <v>20</v>
      </c>
      <c r="H127" s="81" t="s">
        <v>836</v>
      </c>
      <c r="I127" s="87" t="s">
        <v>405</v>
      </c>
      <c r="J127" s="88" t="s">
        <v>302</v>
      </c>
      <c r="K127" s="286"/>
      <c r="L127" s="82">
        <v>-5.6072516903480301</v>
      </c>
      <c r="M127" s="66">
        <v>-79.897191524505601</v>
      </c>
    </row>
    <row r="128" spans="1:13" ht="63.75">
      <c r="A128" s="142">
        <v>18</v>
      </c>
      <c r="B128" s="275" t="s">
        <v>97</v>
      </c>
      <c r="C128" s="89">
        <v>45014</v>
      </c>
      <c r="D128" s="90" t="s">
        <v>119</v>
      </c>
      <c r="E128" s="95" t="s">
        <v>133</v>
      </c>
      <c r="F128" s="94" t="s">
        <v>12</v>
      </c>
      <c r="G128" s="91">
        <v>45</v>
      </c>
      <c r="H128" s="81" t="s">
        <v>837</v>
      </c>
      <c r="I128" s="87" t="s">
        <v>95</v>
      </c>
      <c r="J128" s="88" t="s">
        <v>302</v>
      </c>
      <c r="K128" s="286"/>
      <c r="L128" s="82">
        <v>-5.8556340786628898</v>
      </c>
      <c r="M128" s="66">
        <v>-77.985540926456395</v>
      </c>
    </row>
    <row r="129" spans="1:13" ht="63.75">
      <c r="A129" s="142">
        <v>17</v>
      </c>
      <c r="B129" s="275" t="s">
        <v>104</v>
      </c>
      <c r="C129" s="89">
        <v>45010</v>
      </c>
      <c r="D129" s="90" t="s">
        <v>105</v>
      </c>
      <c r="E129" s="80" t="s">
        <v>136</v>
      </c>
      <c r="F129" s="94" t="s">
        <v>12</v>
      </c>
      <c r="G129" s="91" t="s">
        <v>101</v>
      </c>
      <c r="H129" s="81" t="s">
        <v>838</v>
      </c>
      <c r="I129" s="87" t="s">
        <v>95</v>
      </c>
      <c r="J129" s="88" t="s">
        <v>302</v>
      </c>
      <c r="K129" s="286"/>
      <c r="L129" s="82">
        <v>-5.88631502237057</v>
      </c>
      <c r="M129" s="66">
        <v>-78.180116415023804</v>
      </c>
    </row>
    <row r="130" spans="1:13" ht="76.5">
      <c r="A130" s="142">
        <v>16</v>
      </c>
      <c r="B130" s="275" t="s">
        <v>106</v>
      </c>
      <c r="C130" s="89">
        <v>44999</v>
      </c>
      <c r="D130" s="90" t="s">
        <v>105</v>
      </c>
      <c r="E130" s="80" t="s">
        <v>135</v>
      </c>
      <c r="F130" s="94" t="s">
        <v>12</v>
      </c>
      <c r="G130" s="91">
        <v>15</v>
      </c>
      <c r="H130" s="81" t="s">
        <v>839</v>
      </c>
      <c r="I130" s="87" t="s">
        <v>95</v>
      </c>
      <c r="J130" s="88" t="s">
        <v>302</v>
      </c>
      <c r="K130" s="286"/>
      <c r="L130" s="82">
        <v>-5.8581101753540397</v>
      </c>
      <c r="M130" s="66">
        <v>-78.225035369396196</v>
      </c>
    </row>
    <row r="131" spans="1:13" ht="89.25">
      <c r="A131" s="142">
        <v>15</v>
      </c>
      <c r="B131" s="275" t="s">
        <v>100</v>
      </c>
      <c r="C131" s="89">
        <v>44963</v>
      </c>
      <c r="D131" s="79" t="s">
        <v>32</v>
      </c>
      <c r="E131" s="80" t="s">
        <v>130</v>
      </c>
      <c r="F131" s="94" t="s">
        <v>12</v>
      </c>
      <c r="G131" s="91">
        <v>141</v>
      </c>
      <c r="H131" s="81" t="s">
        <v>840</v>
      </c>
      <c r="I131" s="87" t="s">
        <v>83</v>
      </c>
      <c r="J131" s="88" t="s">
        <v>421</v>
      </c>
      <c r="K131" s="177" t="s">
        <v>30</v>
      </c>
      <c r="L131" s="82">
        <v>-8.827</v>
      </c>
      <c r="M131" s="66">
        <v>-75.227999999999994</v>
      </c>
    </row>
    <row r="132" spans="1:13" ht="89.25">
      <c r="A132" s="142">
        <v>14</v>
      </c>
      <c r="B132" s="275" t="s">
        <v>99</v>
      </c>
      <c r="C132" s="89">
        <v>44963</v>
      </c>
      <c r="D132" s="79" t="s">
        <v>31</v>
      </c>
      <c r="E132" s="80" t="s">
        <v>131</v>
      </c>
      <c r="F132" s="94" t="s">
        <v>12</v>
      </c>
      <c r="G132" s="91">
        <v>81</v>
      </c>
      <c r="H132" s="81" t="s">
        <v>841</v>
      </c>
      <c r="I132" s="87" t="s">
        <v>83</v>
      </c>
      <c r="J132" s="88" t="s">
        <v>412</v>
      </c>
      <c r="K132" s="177" t="s">
        <v>30</v>
      </c>
      <c r="L132" s="82">
        <v>-9.1059999999999999</v>
      </c>
      <c r="M132" s="66">
        <v>-75.745000000000005</v>
      </c>
    </row>
    <row r="133" spans="1:13" ht="102">
      <c r="A133" s="142">
        <v>13</v>
      </c>
      <c r="B133" s="275" t="s">
        <v>35</v>
      </c>
      <c r="C133" s="89">
        <v>44240</v>
      </c>
      <c r="D133" s="79" t="s">
        <v>34</v>
      </c>
      <c r="E133" s="80" t="s">
        <v>247</v>
      </c>
      <c r="F133" s="94" t="s">
        <v>12</v>
      </c>
      <c r="G133" s="91">
        <v>40</v>
      </c>
      <c r="H133" s="81" t="s">
        <v>809</v>
      </c>
      <c r="I133" s="87" t="s">
        <v>29</v>
      </c>
      <c r="J133" s="88" t="s">
        <v>147</v>
      </c>
      <c r="K133" s="177" t="s">
        <v>30</v>
      </c>
      <c r="L133" s="82">
        <v>-17.07</v>
      </c>
      <c r="M133" s="66">
        <v>-70.850999999999999</v>
      </c>
    </row>
    <row r="134" spans="1:13" ht="153">
      <c r="A134" s="142">
        <v>12</v>
      </c>
      <c r="B134" s="275" t="s">
        <v>33</v>
      </c>
      <c r="C134" s="89">
        <v>43889</v>
      </c>
      <c r="D134" s="79" t="s">
        <v>34</v>
      </c>
      <c r="E134" s="80" t="s">
        <v>248</v>
      </c>
      <c r="F134" s="94" t="s">
        <v>12</v>
      </c>
      <c r="G134" s="91">
        <v>63</v>
      </c>
      <c r="H134" s="81" t="s">
        <v>842</v>
      </c>
      <c r="I134" s="87" t="s">
        <v>29</v>
      </c>
      <c r="J134" s="88" t="s">
        <v>147</v>
      </c>
      <c r="K134" s="177" t="s">
        <v>30</v>
      </c>
      <c r="L134" s="82">
        <v>-17.068999999999999</v>
      </c>
      <c r="M134" s="66">
        <v>-70.849999999999994</v>
      </c>
    </row>
    <row r="135" spans="1:13" ht="127.5">
      <c r="A135" s="142">
        <v>11</v>
      </c>
      <c r="B135" s="275" t="s">
        <v>115</v>
      </c>
      <c r="C135" s="89">
        <v>43539</v>
      </c>
      <c r="D135" s="79" t="s">
        <v>116</v>
      </c>
      <c r="E135" s="80" t="s">
        <v>117</v>
      </c>
      <c r="F135" s="94" t="s">
        <v>12</v>
      </c>
      <c r="G135" s="93" t="s">
        <v>101</v>
      </c>
      <c r="H135" s="81" t="s">
        <v>843</v>
      </c>
      <c r="I135" s="87" t="s">
        <v>113</v>
      </c>
      <c r="J135" s="88" t="s">
        <v>114</v>
      </c>
      <c r="K135" s="177" t="s">
        <v>30</v>
      </c>
      <c r="L135" s="82">
        <v>-7.9779999999999998</v>
      </c>
      <c r="M135" s="66">
        <v>-78.646000000000001</v>
      </c>
    </row>
    <row r="136" spans="1:13" ht="114.75">
      <c r="A136" s="142">
        <v>10</v>
      </c>
      <c r="B136" s="275" t="s">
        <v>36</v>
      </c>
      <c r="C136" s="89">
        <v>43531</v>
      </c>
      <c r="D136" s="79" t="s">
        <v>37</v>
      </c>
      <c r="E136" s="80" t="s">
        <v>249</v>
      </c>
      <c r="F136" s="94" t="s">
        <v>12</v>
      </c>
      <c r="G136" s="93">
        <v>60</v>
      </c>
      <c r="H136" s="81" t="s">
        <v>844</v>
      </c>
      <c r="I136" s="81" t="s">
        <v>18</v>
      </c>
      <c r="J136" s="87" t="s">
        <v>96</v>
      </c>
      <c r="K136" s="286"/>
      <c r="L136" s="82">
        <v>-13.802</v>
      </c>
      <c r="M136" s="66">
        <v>-70.474999999999994</v>
      </c>
    </row>
    <row r="137" spans="1:13" ht="113.25" customHeight="1">
      <c r="A137" s="142">
        <v>9</v>
      </c>
      <c r="B137" s="285" t="s">
        <v>668</v>
      </c>
      <c r="C137" s="89">
        <v>45820</v>
      </c>
      <c r="D137" s="96" t="s">
        <v>527</v>
      </c>
      <c r="E137" s="130" t="s">
        <v>666</v>
      </c>
      <c r="F137" s="305" t="s">
        <v>858</v>
      </c>
      <c r="G137" s="91">
        <v>70</v>
      </c>
      <c r="H137" s="84" t="s">
        <v>859</v>
      </c>
      <c r="I137" s="137" t="s">
        <v>667</v>
      </c>
      <c r="J137" s="88" t="s">
        <v>227</v>
      </c>
      <c r="K137" s="164" t="s">
        <v>30</v>
      </c>
      <c r="L137" s="82">
        <v>-6.0254589999999997</v>
      </c>
      <c r="M137" s="66">
        <v>-78.836878999999996</v>
      </c>
    </row>
    <row r="138" spans="1:13" ht="76.5">
      <c r="A138" s="142">
        <v>8</v>
      </c>
      <c r="B138" s="285" t="s">
        <v>639</v>
      </c>
      <c r="C138" s="89">
        <v>45819</v>
      </c>
      <c r="D138" s="96" t="s">
        <v>640</v>
      </c>
      <c r="E138" s="130" t="s">
        <v>871</v>
      </c>
      <c r="F138" s="305" t="s">
        <v>858</v>
      </c>
      <c r="G138" s="91">
        <v>100</v>
      </c>
      <c r="H138" s="84" t="s">
        <v>872</v>
      </c>
      <c r="I138" s="137" t="s">
        <v>673</v>
      </c>
      <c r="J138" s="88" t="s">
        <v>227</v>
      </c>
      <c r="K138" s="164" t="s">
        <v>30</v>
      </c>
      <c r="L138" s="82">
        <v>-5.0685409999999997</v>
      </c>
      <c r="M138" s="66">
        <v>-79.082935000000006</v>
      </c>
    </row>
    <row r="139" spans="1:13" ht="89.25">
      <c r="A139" s="142">
        <v>7</v>
      </c>
      <c r="B139" s="212" t="s">
        <v>595</v>
      </c>
      <c r="C139" s="89">
        <v>45817</v>
      </c>
      <c r="D139" s="83" t="s">
        <v>550</v>
      </c>
      <c r="E139" s="168" t="s">
        <v>594</v>
      </c>
      <c r="F139" s="305" t="s">
        <v>858</v>
      </c>
      <c r="G139" s="36">
        <v>30</v>
      </c>
      <c r="H139" s="31" t="s">
        <v>860</v>
      </c>
      <c r="I139" s="87" t="s">
        <v>525</v>
      </c>
      <c r="J139" s="88" t="s">
        <v>194</v>
      </c>
      <c r="K139" s="206" t="s">
        <v>30</v>
      </c>
      <c r="L139" s="272">
        <v>-14.787668999999999</v>
      </c>
      <c r="M139" s="273">
        <v>-74.000133000000005</v>
      </c>
    </row>
    <row r="140" spans="1:13" ht="89.25">
      <c r="A140" s="142">
        <v>6</v>
      </c>
      <c r="B140" s="285" t="s">
        <v>588</v>
      </c>
      <c r="C140" s="89">
        <v>45817</v>
      </c>
      <c r="D140" s="90" t="s">
        <v>555</v>
      </c>
      <c r="E140" s="80" t="s">
        <v>591</v>
      </c>
      <c r="F140" s="305" t="s">
        <v>858</v>
      </c>
      <c r="G140" s="91">
        <v>5</v>
      </c>
      <c r="H140" s="97" t="s">
        <v>870</v>
      </c>
      <c r="I140" s="87" t="s">
        <v>587</v>
      </c>
      <c r="J140" s="88" t="s">
        <v>421</v>
      </c>
      <c r="K140" s="206" t="s">
        <v>30</v>
      </c>
      <c r="L140" s="272">
        <v>-8.4027659999999997</v>
      </c>
      <c r="M140" s="273">
        <v>-74.622636999999997</v>
      </c>
    </row>
    <row r="141" spans="1:13" ht="89.25">
      <c r="A141" s="142">
        <v>5</v>
      </c>
      <c r="B141" s="212" t="s">
        <v>541</v>
      </c>
      <c r="C141" s="89">
        <v>45812</v>
      </c>
      <c r="D141" s="96" t="s">
        <v>437</v>
      </c>
      <c r="E141" s="80" t="s">
        <v>540</v>
      </c>
      <c r="F141" s="305" t="s">
        <v>858</v>
      </c>
      <c r="G141" s="91">
        <v>970</v>
      </c>
      <c r="H141" s="81" t="s">
        <v>865</v>
      </c>
      <c r="I141" s="87" t="s">
        <v>386</v>
      </c>
      <c r="J141" s="88" t="s">
        <v>171</v>
      </c>
      <c r="K141" s="206" t="s">
        <v>30</v>
      </c>
      <c r="L141" s="241">
        <v>-4</v>
      </c>
      <c r="M141" s="242">
        <v>-79.613394999999997</v>
      </c>
    </row>
    <row r="142" spans="1:13" ht="76.5">
      <c r="A142" s="142">
        <v>4</v>
      </c>
      <c r="B142" s="212" t="s">
        <v>536</v>
      </c>
      <c r="C142" s="89">
        <v>45811</v>
      </c>
      <c r="D142" s="96" t="s">
        <v>449</v>
      </c>
      <c r="E142" s="80" t="s">
        <v>581</v>
      </c>
      <c r="F142" s="305" t="s">
        <v>858</v>
      </c>
      <c r="G142" s="91">
        <v>230</v>
      </c>
      <c r="H142" s="81" t="s">
        <v>863</v>
      </c>
      <c r="I142" s="87" t="s">
        <v>566</v>
      </c>
      <c r="J142" s="88" t="s">
        <v>220</v>
      </c>
      <c r="K142" s="206" t="s">
        <v>30</v>
      </c>
      <c r="L142" s="82">
        <v>-14.367813999999999</v>
      </c>
      <c r="M142" s="66">
        <v>-69.479938000000004</v>
      </c>
    </row>
    <row r="143" spans="1:13" ht="76.5">
      <c r="A143" s="142">
        <v>3</v>
      </c>
      <c r="B143" s="212" t="s">
        <v>531</v>
      </c>
      <c r="C143" s="89">
        <v>45811</v>
      </c>
      <c r="D143" s="96" t="s">
        <v>437</v>
      </c>
      <c r="E143" s="80" t="s">
        <v>530</v>
      </c>
      <c r="F143" s="305" t="s">
        <v>858</v>
      </c>
      <c r="G143" s="91">
        <v>27</v>
      </c>
      <c r="H143" s="81" t="s">
        <v>862</v>
      </c>
      <c r="I143" s="87" t="s">
        <v>533</v>
      </c>
      <c r="J143" s="88" t="s">
        <v>171</v>
      </c>
      <c r="K143" s="206" t="s">
        <v>30</v>
      </c>
      <c r="L143" s="82">
        <v>-4.62486</v>
      </c>
      <c r="M143" s="66">
        <v>-79.628720000000001</v>
      </c>
    </row>
    <row r="144" spans="1:13" ht="89.25">
      <c r="A144" s="142">
        <v>2</v>
      </c>
      <c r="B144" s="212" t="s">
        <v>502</v>
      </c>
      <c r="C144" s="89">
        <v>45808</v>
      </c>
      <c r="D144" s="96" t="s">
        <v>437</v>
      </c>
      <c r="E144" s="80" t="s">
        <v>501</v>
      </c>
      <c r="F144" s="305" t="s">
        <v>858</v>
      </c>
      <c r="G144" s="91">
        <v>10</v>
      </c>
      <c r="H144" s="81" t="s">
        <v>861</v>
      </c>
      <c r="I144" s="87" t="s">
        <v>386</v>
      </c>
      <c r="J144" s="88" t="s">
        <v>171</v>
      </c>
      <c r="K144" s="206" t="s">
        <v>30</v>
      </c>
      <c r="L144" s="82">
        <v>-4.7479240000000003</v>
      </c>
      <c r="M144" s="66">
        <v>-79.613263000000003</v>
      </c>
    </row>
    <row r="145" spans="1:13" ht="114.75">
      <c r="A145" s="142">
        <v>1</v>
      </c>
      <c r="B145" s="212" t="s">
        <v>460</v>
      </c>
      <c r="C145" s="89">
        <v>45799</v>
      </c>
      <c r="D145" s="83" t="s">
        <v>463</v>
      </c>
      <c r="E145" s="80" t="s">
        <v>461</v>
      </c>
      <c r="F145" s="305" t="s">
        <v>858</v>
      </c>
      <c r="G145" s="91">
        <v>20</v>
      </c>
      <c r="H145" s="81" t="s">
        <v>864</v>
      </c>
      <c r="I145" s="34" t="s">
        <v>476</v>
      </c>
      <c r="J145" s="88" t="s">
        <v>462</v>
      </c>
      <c r="K145" s="164" t="s">
        <v>30</v>
      </c>
      <c r="L145" s="82">
        <v>-10.651515</v>
      </c>
      <c r="M145" s="66">
        <v>-75.114142000000001</v>
      </c>
    </row>
    <row r="146" spans="1:13">
      <c r="A146" s="331" t="s">
        <v>132</v>
      </c>
      <c r="B146" s="332"/>
      <c r="C146" s="332"/>
      <c r="D146" s="332"/>
      <c r="E146" s="332"/>
      <c r="F146" s="46"/>
      <c r="L146"/>
      <c r="M146"/>
    </row>
  </sheetData>
  <mergeCells count="3">
    <mergeCell ref="D1:K1"/>
    <mergeCell ref="D2:K2"/>
    <mergeCell ref="A146:E146"/>
  </mergeCells>
  <phoneticPr fontId="135" type="noConversion"/>
  <hyperlinks>
    <hyperlink ref="K131" r:id="rId1" xr:uid="{00000000-0004-0000-0100-000000000000}"/>
    <hyperlink ref="K134" r:id="rId2" xr:uid="{00000000-0004-0000-0100-000001000000}"/>
    <hyperlink ref="K133" r:id="rId3" xr:uid="{00000000-0004-0000-0100-000002000000}"/>
    <hyperlink ref="K132" r:id="rId4" xr:uid="{00000000-0004-0000-0100-000003000000}"/>
    <hyperlink ref="K123" r:id="rId5" xr:uid="{00000000-0004-0000-0100-000004000000}"/>
    <hyperlink ref="K135" r:id="rId6" xr:uid="{00000000-0004-0000-0100-000005000000}"/>
    <hyperlink ref="B121" r:id="rId7" xr:uid="{00000000-0004-0000-0100-000006000000}"/>
    <hyperlink ref="K121" r:id="rId8" xr:uid="{00000000-0004-0000-0100-000007000000}"/>
    <hyperlink ref="K120" r:id="rId9" xr:uid="{00000000-0004-0000-0100-000008000000}"/>
    <hyperlink ref="K119" r:id="rId10" xr:uid="{00000000-0004-0000-0100-000009000000}"/>
    <hyperlink ref="K118" r:id="rId11" xr:uid="{00000000-0004-0000-0100-00000A000000}"/>
    <hyperlink ref="K117" r:id="rId12" xr:uid="{00000000-0004-0000-0100-00000B000000}"/>
    <hyperlink ref="A146" r:id="rId13" xr:uid="{00000000-0004-0000-0100-00000C000000}"/>
    <hyperlink ref="K124" r:id="rId14" xr:uid="{00000000-0004-0000-0100-00000D000000}"/>
    <hyperlink ref="K116" r:id="rId15" xr:uid="{00000000-0004-0000-0100-00000E000000}"/>
    <hyperlink ref="K115" r:id="rId16" xr:uid="{00000000-0004-0000-0100-00000F000000}"/>
    <hyperlink ref="K113" r:id="rId17" xr:uid="{00000000-0004-0000-0100-000010000000}"/>
    <hyperlink ref="K114" r:id="rId18" xr:uid="{00000000-0004-0000-0100-000011000000}"/>
    <hyperlink ref="B8" r:id="rId19" xr:uid="{00000000-0004-0000-0100-000012000000}"/>
    <hyperlink ref="K108" r:id="rId20" xr:uid="{00000000-0004-0000-0100-000014000000}"/>
    <hyperlink ref="K109" r:id="rId21" xr:uid="{00000000-0004-0000-0100-000015000000}"/>
    <hyperlink ref="K110" r:id="rId22" xr:uid="{00000000-0004-0000-0100-000016000000}"/>
    <hyperlink ref="K112" r:id="rId23" xr:uid="{00000000-0004-0000-0100-000017000000}"/>
    <hyperlink ref="B106" r:id="rId24" xr:uid="{00000000-0004-0000-0100-000018000000}"/>
    <hyperlink ref="K106" r:id="rId25" xr:uid="{00000000-0004-0000-0100-000019000000}"/>
    <hyperlink ref="K107" r:id="rId26" xr:uid="{00000000-0004-0000-0100-00001A000000}"/>
    <hyperlink ref="B105" r:id="rId27" xr:uid="{00000000-0004-0000-0100-00001B000000}"/>
    <hyperlink ref="K105" r:id="rId28" xr:uid="{00000000-0004-0000-0100-00001C000000}"/>
    <hyperlink ref="B104" r:id="rId29" xr:uid="{00000000-0004-0000-0100-00001F000000}"/>
    <hyperlink ref="K104" r:id="rId30" xr:uid="{00000000-0004-0000-0100-000020000000}"/>
    <hyperlink ref="B99" r:id="rId31" xr:uid="{00000000-0004-0000-0100-000021000000}"/>
    <hyperlink ref="B103" r:id="rId32" xr:uid="{00000000-0004-0000-0100-000022000000}"/>
    <hyperlink ref="B102" r:id="rId33" xr:uid="{00000000-0004-0000-0100-000023000000}"/>
    <hyperlink ref="B101" r:id="rId34" xr:uid="{00000000-0004-0000-0100-000024000000}"/>
    <hyperlink ref="K103" r:id="rId35" xr:uid="{00000000-0004-0000-0100-000025000000}"/>
    <hyperlink ref="K102" r:id="rId36" xr:uid="{00000000-0004-0000-0100-000026000000}"/>
    <hyperlink ref="K101" r:id="rId37" xr:uid="{00000000-0004-0000-0100-000027000000}"/>
    <hyperlink ref="K100" r:id="rId38" xr:uid="{00000000-0004-0000-0100-000028000000}"/>
    <hyperlink ref="B98" r:id="rId39" xr:uid="{00000000-0004-0000-0100-000029000000}"/>
    <hyperlink ref="K98" r:id="rId40" xr:uid="{00000000-0004-0000-0100-00002A000000}"/>
    <hyperlink ref="K99" r:id="rId41" xr:uid="{00000000-0004-0000-0100-00002B000000}"/>
    <hyperlink ref="K8" r:id="rId42" xr:uid="{00000000-0004-0000-0100-00002C000000}"/>
    <hyperlink ref="B97" r:id="rId43" xr:uid="{00000000-0004-0000-0100-00002F000000}"/>
    <hyperlink ref="B96" r:id="rId44" xr:uid="{00000000-0004-0000-0100-000030000000}"/>
    <hyperlink ref="K96" r:id="rId45" xr:uid="{00000000-0004-0000-0100-000031000000}"/>
    <hyperlink ref="K97" r:id="rId46" xr:uid="{00000000-0004-0000-0100-000032000000}"/>
    <hyperlink ref="B89" r:id="rId47" xr:uid="{00000000-0004-0000-0100-000039000000}"/>
    <hyperlink ref="K89" r:id="rId48" xr:uid="{00000000-0004-0000-0100-00003A000000}"/>
    <hyperlink ref="B93" r:id="rId49" display="VIALES-003560" xr:uid="{00000000-0004-0000-0100-00003B000000}"/>
    <hyperlink ref="K93" r:id="rId50" xr:uid="{00000000-0004-0000-0100-00003C000000}"/>
    <hyperlink ref="B88" r:id="rId51" xr:uid="{00000000-0004-0000-0100-00003D000000}"/>
    <hyperlink ref="K88" r:id="rId52" xr:uid="{00000000-0004-0000-0100-000040000000}"/>
    <hyperlink ref="B92" r:id="rId53" xr:uid="{00000000-0004-0000-0100-000043000000}"/>
    <hyperlink ref="K92" r:id="rId54" xr:uid="{00000000-0004-0000-0100-000044000000}"/>
    <hyperlink ref="B90" r:id="rId55" xr:uid="{00000000-0004-0000-0100-000045000000}"/>
    <hyperlink ref="K90" r:id="rId56" xr:uid="{00000000-0004-0000-0100-000046000000}"/>
    <hyperlink ref="B87" r:id="rId57" xr:uid="{00000000-0004-0000-0100-000047000000}"/>
    <hyperlink ref="K87" r:id="rId58" xr:uid="{00000000-0004-0000-0100-000048000000}"/>
    <hyperlink ref="B86" r:id="rId59" xr:uid="{00000000-0004-0000-0100-00004B000000}"/>
    <hyperlink ref="K86" r:id="rId60" xr:uid="{00000000-0004-0000-0100-00004C000000}"/>
    <hyperlink ref="B94" r:id="rId61" xr:uid="{00000000-0004-0000-0100-00004D000000}"/>
    <hyperlink ref="K94" r:id="rId62" xr:uid="{00000000-0004-0000-0100-00004E000000}"/>
    <hyperlink ref="B127" r:id="rId63" xr:uid="{00000000-0004-0000-0100-000050000000}"/>
    <hyperlink ref="B129" r:id="rId64" xr:uid="{00000000-0004-0000-0100-000051000000}"/>
    <hyperlink ref="B130" r:id="rId65" xr:uid="{00000000-0004-0000-0100-000052000000}"/>
    <hyperlink ref="B126" r:id="rId66" xr:uid="{00000000-0004-0000-0100-000053000000}"/>
    <hyperlink ref="B132" r:id="rId67" xr:uid="{00000000-0004-0000-0100-000054000000}"/>
    <hyperlink ref="B131" r:id="rId68" xr:uid="{00000000-0004-0000-0100-000055000000}"/>
    <hyperlink ref="B134" r:id="rId69" xr:uid="{00000000-0004-0000-0100-000056000000}"/>
    <hyperlink ref="B133" r:id="rId70" xr:uid="{00000000-0004-0000-0100-000057000000}"/>
    <hyperlink ref="B128" r:id="rId71" xr:uid="{00000000-0004-0000-0100-000058000000}"/>
    <hyperlink ref="B135" r:id="rId72" xr:uid="{00000000-0004-0000-0100-000059000000}"/>
    <hyperlink ref="B136" r:id="rId73" xr:uid="{00000000-0004-0000-0100-00005A000000}"/>
    <hyperlink ref="B125" r:id="rId74" xr:uid="{00000000-0004-0000-0100-00005B000000}"/>
    <hyperlink ref="B124" r:id="rId75" xr:uid="{00000000-0004-0000-0100-00005C000000}"/>
    <hyperlink ref="B123" r:id="rId76" xr:uid="{00000000-0004-0000-0100-00005D000000}"/>
    <hyperlink ref="B122" r:id="rId77" xr:uid="{00000000-0004-0000-0100-00005E000000}"/>
    <hyperlink ref="B120" r:id="rId78" xr:uid="{00000000-0004-0000-0100-00005F000000}"/>
    <hyperlink ref="B119" r:id="rId79" xr:uid="{00000000-0004-0000-0100-000060000000}"/>
    <hyperlink ref="B118" r:id="rId80" xr:uid="{00000000-0004-0000-0100-000061000000}"/>
    <hyperlink ref="B117" r:id="rId81" xr:uid="{00000000-0004-0000-0100-000062000000}"/>
    <hyperlink ref="B116" r:id="rId82" xr:uid="{00000000-0004-0000-0100-000063000000}"/>
    <hyperlink ref="B115" r:id="rId83" xr:uid="{00000000-0004-0000-0100-000064000000}"/>
    <hyperlink ref="B113" r:id="rId84" xr:uid="{00000000-0004-0000-0100-000065000000}"/>
    <hyperlink ref="B114" r:id="rId85" xr:uid="{00000000-0004-0000-0100-000066000000}"/>
    <hyperlink ref="B112" r:id="rId86" xr:uid="{00000000-0004-0000-0100-000067000000}"/>
    <hyperlink ref="B110" r:id="rId87" xr:uid="{00000000-0004-0000-0100-00006A000000}"/>
    <hyperlink ref="B111" r:id="rId88" xr:uid="{00000000-0004-0000-0100-00006B000000}"/>
    <hyperlink ref="B109" r:id="rId89" xr:uid="{00000000-0004-0000-0100-00006C000000}"/>
    <hyperlink ref="B108" r:id="rId90" xr:uid="{00000000-0004-0000-0100-00006D000000}"/>
    <hyperlink ref="B107" r:id="rId91" xr:uid="{00000000-0004-0000-0100-00006F000000}"/>
    <hyperlink ref="B85" r:id="rId92" xr:uid="{00000000-0004-0000-0100-000070000000}"/>
    <hyperlink ref="B84" r:id="rId93" xr:uid="{00000000-0004-0000-0100-000071000000}"/>
    <hyperlink ref="B83" r:id="rId94" xr:uid="{00000000-0004-0000-0100-000072000000}"/>
    <hyperlink ref="K85" r:id="rId95" xr:uid="{00000000-0004-0000-0100-000075000000}"/>
    <hyperlink ref="K84" r:id="rId96" xr:uid="{00000000-0004-0000-0100-000076000000}"/>
    <hyperlink ref="K83" r:id="rId97" xr:uid="{00000000-0004-0000-0100-000077000000}"/>
    <hyperlink ref="K82" r:id="rId98" xr:uid="{00000000-0004-0000-0100-000078000000}"/>
    <hyperlink ref="B82" r:id="rId99" xr:uid="{00000000-0004-0000-0100-000079000000}"/>
    <hyperlink ref="B80" r:id="rId100" xr:uid="{00000000-0004-0000-0100-00007E000000}"/>
    <hyperlink ref="K80" r:id="rId101" xr:uid="{00000000-0004-0000-0100-00007F000000}"/>
    <hyperlink ref="B79" r:id="rId102" xr:uid="{00000000-0004-0000-0100-000080000000}"/>
    <hyperlink ref="B91" r:id="rId103" xr:uid="{00000000-0004-0000-0100-000083000000}"/>
    <hyperlink ref="K91" r:id="rId104" xr:uid="{00000000-0004-0000-0100-000084000000}"/>
    <hyperlink ref="K79" r:id="rId105" xr:uid="{00000000-0004-0000-0100-000085000000}"/>
    <hyperlink ref="K111" r:id="rId106" xr:uid="{00000000-0004-0000-0100-000087000000}"/>
    <hyperlink ref="B100" r:id="rId107" xr:uid="{00000000-0004-0000-0100-00008B000000}"/>
    <hyperlink ref="B77" r:id="rId108" xr:uid="{00000000-0004-0000-0100-00008C000000}"/>
    <hyperlink ref="B78" r:id="rId109" xr:uid="{00000000-0004-0000-0100-00008D000000}"/>
    <hyperlink ref="K78" r:id="rId110" xr:uid="{00000000-0004-0000-0100-00008E000000}"/>
    <hyperlink ref="K77" r:id="rId111" xr:uid="{00000000-0004-0000-0100-00008F000000}"/>
    <hyperlink ref="B75" r:id="rId112" xr:uid="{00000000-0004-0000-0100-000090000000}"/>
    <hyperlink ref="B76" r:id="rId113" xr:uid="{00000000-0004-0000-0100-000091000000}"/>
    <hyperlink ref="B70" r:id="rId114" xr:uid="{00000000-0004-0000-0100-000092000000}"/>
    <hyperlink ref="B74" r:id="rId115" xr:uid="{00000000-0004-0000-0100-000093000000}"/>
    <hyperlink ref="B73" r:id="rId116" xr:uid="{00000000-0004-0000-0100-000094000000}"/>
    <hyperlink ref="B72" r:id="rId117" xr:uid="{00000000-0004-0000-0100-000095000000}"/>
    <hyperlink ref="K70" r:id="rId118" xr:uid="{00000000-0004-0000-0100-000096000000}"/>
    <hyperlink ref="K72" r:id="rId119" xr:uid="{00000000-0004-0000-0100-000097000000}"/>
    <hyperlink ref="K73" r:id="rId120" xr:uid="{00000000-0004-0000-0100-000098000000}"/>
    <hyperlink ref="K74" r:id="rId121" xr:uid="{00000000-0004-0000-0100-000099000000}"/>
    <hyperlink ref="K76" r:id="rId122" xr:uid="{00000000-0004-0000-0100-00009A000000}"/>
    <hyperlink ref="K75" r:id="rId123" xr:uid="{00000000-0004-0000-0100-00009B000000}"/>
    <hyperlink ref="B69" r:id="rId124" xr:uid="{00000000-0004-0000-0100-00009E000000}"/>
    <hyperlink ref="B68" r:id="rId125" xr:uid="{00000000-0004-0000-0100-00009F000000}"/>
    <hyperlink ref="K68" r:id="rId126" xr:uid="{00000000-0004-0000-0100-0000A0000000}"/>
    <hyperlink ref="K69" r:id="rId127" xr:uid="{00000000-0004-0000-0100-0000A1000000}"/>
    <hyperlink ref="B71" r:id="rId128" xr:uid="{00000000-0004-0000-0100-0000A8000000}"/>
    <hyperlink ref="B66" r:id="rId129" xr:uid="{00000000-0004-0000-0100-0000AD000000}"/>
    <hyperlink ref="K66" r:id="rId130" xr:uid="{00000000-0004-0000-0100-0000AE000000}"/>
    <hyperlink ref="K71" r:id="rId131" xr:uid="{00000000-0004-0000-0100-0000AF000000}"/>
    <hyperlink ref="B65" r:id="rId132" xr:uid="{00000000-0004-0000-0100-0000B1000000}"/>
    <hyperlink ref="K65" r:id="rId133" xr:uid="{00000000-0004-0000-0100-0000B7000000}"/>
    <hyperlink ref="B64" r:id="rId134" xr:uid="{00000000-0004-0000-0100-0000BB000000}"/>
    <hyperlink ref="K64" r:id="rId135" xr:uid="{00000000-0004-0000-0100-0000BC000000}"/>
    <hyperlink ref="K63" r:id="rId136" xr:uid="{00000000-0004-0000-0100-0000BF000000}"/>
    <hyperlink ref="B63" r:id="rId137" xr:uid="{00000000-0004-0000-0100-0000C0000000}"/>
    <hyperlink ref="K122" r:id="rId138" xr:uid="{00000000-0004-0000-0100-0000C3000000}"/>
    <hyperlink ref="B7" r:id="rId139" xr:uid="{00000000-0004-0000-0100-0000CA000000}"/>
    <hyperlink ref="B62" r:id="rId140" xr:uid="{00000000-0004-0000-0100-0000CC000000}"/>
    <hyperlink ref="K62" r:id="rId141" xr:uid="{00000000-0004-0000-0100-0000CD000000}"/>
    <hyperlink ref="K61" r:id="rId142" xr:uid="{00000000-0004-0000-0100-0000CE000000}"/>
    <hyperlink ref="B61" r:id="rId143" xr:uid="{00000000-0004-0000-0100-0000CF000000}"/>
    <hyperlink ref="K7" r:id="rId144" xr:uid="{00000000-0004-0000-0100-0000D0000000}"/>
    <hyperlink ref="B6" r:id="rId145" xr:uid="{00000000-0004-0000-0100-0000D6000000}"/>
    <hyperlink ref="K6" r:id="rId146" xr:uid="{00000000-0004-0000-0100-0000D7000000}"/>
    <hyperlink ref="B59" r:id="rId147" xr:uid="{00000000-0004-0000-0100-0000DB000000}"/>
    <hyperlink ref="B60" r:id="rId148" xr:uid="{00000000-0004-0000-0100-0000DC000000}"/>
    <hyperlink ref="K59" r:id="rId149" xr:uid="{00000000-0004-0000-0100-0000DD000000}"/>
    <hyperlink ref="K60" r:id="rId150" xr:uid="{00000000-0004-0000-0100-0000DE000000}"/>
    <hyperlink ref="B57" r:id="rId151" xr:uid="{00000000-0004-0000-0100-0000E8000000}"/>
    <hyperlink ref="K57" r:id="rId152" xr:uid="{00000000-0004-0000-0100-0000EB000000}"/>
    <hyperlink ref="B56" r:id="rId153" xr:uid="{00000000-0004-0000-0100-0000EC000000}"/>
    <hyperlink ref="K56" r:id="rId154" xr:uid="{00000000-0004-0000-0100-0000ED000000}"/>
    <hyperlink ref="B55" r:id="rId155" xr:uid="{00000000-0004-0000-0100-0000EE000000}"/>
    <hyperlink ref="K55" r:id="rId156" xr:uid="{00000000-0004-0000-0100-0000EF000000}"/>
    <hyperlink ref="B54" r:id="rId157" xr:uid="{00000000-0004-0000-0100-0000F1000000}"/>
    <hyperlink ref="K54" r:id="rId158" xr:uid="{00000000-0004-0000-0100-0000F2000000}"/>
    <hyperlink ref="B145" r:id="rId159" xr:uid="{00000000-0004-0000-0100-0000F5000000}"/>
    <hyperlink ref="B58" r:id="rId160" xr:uid="{00000000-0004-0000-0100-0000F6000000}"/>
    <hyperlink ref="K58" r:id="rId161" xr:uid="{00000000-0004-0000-0100-0000F7000000}"/>
    <hyperlink ref="B67" r:id="rId162" xr:uid="{00000000-0004-0000-0100-0000F8000000}"/>
    <hyperlink ref="K67" r:id="rId163" xr:uid="{00000000-0004-0000-0100-0000F9000000}"/>
    <hyperlink ref="B81" r:id="rId164" xr:uid="{00000000-0004-0000-0100-0000FE000000}"/>
    <hyperlink ref="K81" r:id="rId165" xr:uid="{00000000-0004-0000-0100-0000FF000000}"/>
    <hyperlink ref="K145" r:id="rId166" xr:uid="{00000000-0004-0000-0100-000004010000}"/>
    <hyperlink ref="B51" r:id="rId167" xr:uid="{00000000-0004-0000-0100-000008010000}"/>
    <hyperlink ref="K51" r:id="rId168" xr:uid="{00000000-0004-0000-0100-00000A010000}"/>
    <hyperlink ref="B52" r:id="rId169" xr:uid="{00000000-0004-0000-0100-00000B010000}"/>
    <hyperlink ref="K52" r:id="rId170" xr:uid="{00000000-0004-0000-0100-00000C010000}"/>
    <hyperlink ref="B53" r:id="rId171" xr:uid="{00000000-0004-0000-0100-00000F010000}"/>
    <hyperlink ref="K53" r:id="rId172" xr:uid="{00000000-0004-0000-0100-000010010000}"/>
    <hyperlink ref="B49" r:id="rId173" xr:uid="{0653E533-1BFE-4E46-A535-DFEA7981D512}"/>
    <hyperlink ref="K49" r:id="rId174" xr:uid="{CAFEDEBC-553E-4388-B25E-016669465942}"/>
    <hyperlink ref="B47" r:id="rId175" xr:uid="{7D9BE4B2-E825-4DB1-B60E-C781FF24CEA9}"/>
    <hyperlink ref="K47" r:id="rId176" xr:uid="{CBCD47E8-CB5A-4A55-87C4-65601A42778D}"/>
    <hyperlink ref="B144" r:id="rId177" xr:uid="{3BA02221-EF7F-41A2-A328-048AB881726B}"/>
    <hyperlink ref="B46" r:id="rId178" xr:uid="{2118CB60-41B0-4268-9EC7-07ABAFC6DA7B}"/>
    <hyperlink ref="K46" r:id="rId179" xr:uid="{F65B133D-6B2F-48A4-9462-1FCC1F6C349F}"/>
    <hyperlink ref="B45" r:id="rId180" xr:uid="{EDF56B4D-C324-424C-8EBA-086A822BFB43}"/>
    <hyperlink ref="B44" r:id="rId181" xr:uid="{C807B785-C0EA-4A5B-A0F7-93F47D80DAD4}"/>
    <hyperlink ref="B43" r:id="rId182" xr:uid="{A0F946EC-143F-41F1-B02A-834E63A7E2D6}"/>
    <hyperlink ref="K45" r:id="rId183" xr:uid="{76FD7601-1E38-4CCD-AC8D-5400516270A8}"/>
    <hyperlink ref="K144" r:id="rId184" xr:uid="{9E3DF545-AF9C-48E6-BF36-18D3BD52F0EB}"/>
    <hyperlink ref="B42" r:id="rId185" xr:uid="{433C40E4-CD78-42A7-B640-B21B1F11E2F4}"/>
    <hyperlink ref="B143" r:id="rId186" xr:uid="{5457274F-F8C9-4A41-8F13-FF740BBEEDE4}"/>
    <hyperlink ref="K42" r:id="rId187" xr:uid="{70C038C6-A7FC-4534-8D47-D9DCA521AE45}"/>
    <hyperlink ref="K143" r:id="rId188" xr:uid="{23A25313-4807-4A84-AF04-CB926FCA37EA}"/>
    <hyperlink ref="B142" r:id="rId189" xr:uid="{7D8CC9F4-6DCB-42FE-BCCA-633F2F7659EA}"/>
    <hyperlink ref="B41" r:id="rId190" xr:uid="{CFA21A13-2647-4EDE-AC32-796205919B65}"/>
    <hyperlink ref="K41" r:id="rId191" xr:uid="{6F77C558-F3B9-461F-BBC6-1D80782A8BDA}"/>
    <hyperlink ref="K142" r:id="rId192" xr:uid="{8DD34EAA-86FC-4D18-889C-5A58B37327F7}"/>
    <hyperlink ref="K43" r:id="rId193" xr:uid="{AA357E73-5177-4F9F-86AA-A3959F1EFA10}"/>
    <hyperlink ref="K44" r:id="rId194" xr:uid="{342789CA-406A-469E-8755-3B78AB84CA20}"/>
    <hyperlink ref="B141" r:id="rId195" xr:uid="{EC5776A7-A6BB-4F8C-856A-116022F97025}"/>
    <hyperlink ref="K38" r:id="rId196" xr:uid="{DFB827EA-B1A1-4F22-A13E-DB9EE7FAC415}"/>
    <hyperlink ref="B40" r:id="rId197" xr:uid="{D43D8699-98DC-42BB-9B46-5B94066DDE9B}"/>
    <hyperlink ref="B39" r:id="rId198" xr:uid="{92FB48CA-BB35-45EC-AEC5-0F444842DAD2}"/>
    <hyperlink ref="B38" r:id="rId199" xr:uid="{7E4DF86E-C1B3-4CD8-B0AD-E9D6AFB99A52}"/>
    <hyperlink ref="K39" r:id="rId200" xr:uid="{B6CCF948-B15A-4256-9161-31A067D02229}"/>
    <hyperlink ref="K40" r:id="rId201" xr:uid="{DD8781E3-EA63-47E7-AA8E-2517C592B694}"/>
    <hyperlink ref="B37" r:id="rId202" xr:uid="{029B9427-0CAD-4154-94FA-F1A63507A170}"/>
    <hyperlink ref="K141" r:id="rId203" xr:uid="{EF63A630-430C-456C-9B44-8B45EF98218E}"/>
    <hyperlink ref="K48" r:id="rId204" xr:uid="{A0EFAF70-5ABC-4E16-AC8C-A46573395ADC}"/>
    <hyperlink ref="B50" r:id="rId205" xr:uid="{30601339-E97C-4DA3-8332-9BC1986C50D9}"/>
    <hyperlink ref="K50" r:id="rId206" xr:uid="{B202A033-0E68-4A99-9A66-9E8D36C38F76}"/>
    <hyperlink ref="B36" r:id="rId207" xr:uid="{172DECE5-06C7-49DD-98D8-D2B8B0C0B4FE}"/>
    <hyperlink ref="K37" r:id="rId208" xr:uid="{77E0AD71-68AC-4E9E-B1A3-0C535CA43475}"/>
    <hyperlink ref="K36" r:id="rId209" xr:uid="{B429C8E6-80CD-4F13-A07B-5E02D4A0967F}"/>
    <hyperlink ref="B5" r:id="rId210" xr:uid="{493614C1-1581-416F-BD60-CD355B5CF003}"/>
    <hyperlink ref="K5" r:id="rId211" xr:uid="{CB6028AC-B949-4268-AA09-5C296042FF58}"/>
    <hyperlink ref="B35" r:id="rId212" xr:uid="{9923B1A6-3EBB-4ABC-9EAB-3A1372D55D76}"/>
    <hyperlink ref="K35" r:id="rId213" xr:uid="{1DBE1FF1-CE65-448C-ACD5-B3268EBB3768}"/>
    <hyperlink ref="B34" r:id="rId214" xr:uid="{F50DEAE1-893C-4DF4-8791-A2202E50FA42}"/>
    <hyperlink ref="K34" r:id="rId215" xr:uid="{30D80C84-A210-46DB-AA9C-F880C47ED942}"/>
    <hyperlink ref="B32" r:id="rId216" xr:uid="{7041A436-893E-487B-952F-6C00B357107B}"/>
    <hyperlink ref="B31" r:id="rId217" xr:uid="{E9A1D207-FF88-4EE7-ABB6-C0D8FA2050EF}"/>
    <hyperlink ref="B30" r:id="rId218" xr:uid="{21CE7923-9781-4D79-A3DA-9A2CEE804109}"/>
    <hyperlink ref="B139" r:id="rId219" xr:uid="{3CC1C4BB-E866-4D70-98E4-8A24B459397F}"/>
    <hyperlink ref="B29" r:id="rId220" xr:uid="{847358D5-FEC2-40D3-BD0C-C6DC52AFF7D2}"/>
    <hyperlink ref="K32" r:id="rId221" xr:uid="{C793E27E-A084-414F-AEC7-9F1E1E4F3EAC}"/>
    <hyperlink ref="K139" r:id="rId222" xr:uid="{D6F7F6A1-987F-46EA-8D32-A9A7D0D769E6}"/>
    <hyperlink ref="B33" r:id="rId223" xr:uid="{311E90E0-ABB6-489A-950B-40E927BEE78A}"/>
    <hyperlink ref="B95" r:id="rId224" xr:uid="{F8A4F53A-B2C3-46D2-8F47-139063C9FA15}"/>
    <hyperlink ref="K95" r:id="rId225" xr:uid="{EB7C7AA9-D4E2-419B-A51A-D90A4A33D709}"/>
    <hyperlink ref="B28" r:id="rId226" xr:uid="{3D5716DF-2E8B-48AC-BC9D-43DCD4086F1E}"/>
    <hyperlink ref="B27" r:id="rId227" xr:uid="{D8499250-52DB-4086-B6AB-A7A68910B67C}"/>
    <hyperlink ref="K28" r:id="rId228" xr:uid="{86EF7892-BB9F-4DAC-A6BE-61C0DD829E57}"/>
    <hyperlink ref="K27" r:id="rId229" xr:uid="{FECD7098-9995-44B4-AB98-E36F4424CB99}"/>
    <hyperlink ref="B26" r:id="rId230" xr:uid="{904BE40A-C1A7-49CC-95B1-446CFE3F23C5}"/>
    <hyperlink ref="K26" r:id="rId231" xr:uid="{8716011A-D390-484E-91BE-A8D268CD71F0}"/>
    <hyperlink ref="B25" r:id="rId232" xr:uid="{38BBB7B2-2126-4619-9FCC-D03B516537F8}"/>
    <hyperlink ref="K25" r:id="rId233" xr:uid="{AB5F2487-DDD1-49E2-8683-EC61604550B1}"/>
    <hyperlink ref="K29" r:id="rId234" xr:uid="{EE0182C5-E80A-43E6-8D31-3450D434D9CC}"/>
    <hyperlink ref="K30" r:id="rId235" xr:uid="{D655E546-AE10-4C0B-A874-C59B32BE16A0}"/>
    <hyperlink ref="K140" r:id="rId236" xr:uid="{EA896AB4-7E01-44E2-BA6E-36B5CC6AF81D}"/>
    <hyperlink ref="K33" r:id="rId237" xr:uid="{D33E6A6E-FA88-4DF7-9BDB-47E77DB925DE}"/>
    <hyperlink ref="K31" r:id="rId238" xr:uid="{E18025E3-01F7-4D86-B18C-02FCFB7E9688}"/>
    <hyperlink ref="B23" r:id="rId239" xr:uid="{9A0332B8-BC55-4BD4-B0F0-D7C8C3BCDB8C}"/>
    <hyperlink ref="B22" r:id="rId240" xr:uid="{45D20A8C-CA4E-44EB-AD5F-170D6F9CFC12}"/>
    <hyperlink ref="B21" r:id="rId241" xr:uid="{B2B7F3AC-0AD2-43AC-895D-C15EF61741CD}"/>
    <hyperlink ref="B24" r:id="rId242" xr:uid="{4B672065-F297-41D4-8152-378BDCCD5506}"/>
    <hyperlink ref="K24" r:id="rId243" xr:uid="{406C6FCC-DB73-4778-9817-B6D564B37D6B}"/>
    <hyperlink ref="K23" r:id="rId244" xr:uid="{DE613EEE-1DE0-477B-B1BD-8EF9FFF562E9}"/>
    <hyperlink ref="K22" r:id="rId245" xr:uid="{72F62D4B-65A7-41D6-8D14-0DEFE70D4DA0}"/>
    <hyperlink ref="B140" r:id="rId246" xr:uid="{603DF232-A452-47D2-AD4A-E9C411EB94A3}"/>
    <hyperlink ref="B48" r:id="rId247" xr:uid="{6CDCCBBB-A97B-4D43-B6CD-2F09069E8610}"/>
    <hyperlink ref="B138" r:id="rId248" xr:uid="{C6B10561-0AC8-4B17-93C6-1803638C8453}"/>
    <hyperlink ref="B20" r:id="rId249" xr:uid="{B0B8B38D-4F28-4F37-AF0D-5046484AF864}"/>
    <hyperlink ref="B18" r:id="rId250" xr:uid="{2DDC2418-51E3-4ACB-945E-686B0B173A9F}"/>
    <hyperlink ref="B17" r:id="rId251" xr:uid="{DF4987CB-C40D-4E03-878C-DC9D50F1DF82}"/>
    <hyperlink ref="B137" r:id="rId252" xr:uid="{20446FE3-23C1-4658-88B3-A5A11A00A91B}"/>
    <hyperlink ref="B16" r:id="rId253" xr:uid="{32C6394B-5AE4-474C-808E-351BC8E80E8B}"/>
    <hyperlink ref="K16" r:id="rId254" xr:uid="{DEB69271-1DC9-4B3F-9745-3A22B244130D}"/>
    <hyperlink ref="K17" r:id="rId255" xr:uid="{C359D027-98F4-4AA5-8C72-06D075DE9BBA}"/>
    <hyperlink ref="K18" r:id="rId256" xr:uid="{60609409-E0E3-4F2B-90FF-15ADFE750D80}"/>
    <hyperlink ref="K20" r:id="rId257" xr:uid="{4CBE7034-A4FC-4DBB-93FA-2E4DD31410E4}"/>
    <hyperlink ref="K138" r:id="rId258" xr:uid="{37EF2300-6FB9-4BC4-ADD3-DD646589B61F}"/>
    <hyperlink ref="K21" r:id="rId259" xr:uid="{63F2F303-3863-402A-9267-C4B62B16D992}"/>
    <hyperlink ref="K137" r:id="rId260" xr:uid="{7A81DE36-D4F5-4BD4-AC53-633A4A5D3D3A}"/>
    <hyperlink ref="B19" r:id="rId261" xr:uid="{3EE4B222-1BE8-4CBC-A644-12E67BC5EBEB}"/>
    <hyperlink ref="K19" r:id="rId262" xr:uid="{D591ADBB-9802-4500-A262-3779B9625197}"/>
    <hyperlink ref="B14" r:id="rId263" xr:uid="{4415D96E-DF1C-448F-B3B3-C8E7AA59328C}"/>
    <hyperlink ref="B13" r:id="rId264" xr:uid="{C971AA9C-22DC-4B3E-9F26-44D5A10F46F3}"/>
    <hyperlink ref="B15" r:id="rId265" xr:uid="{30B87899-A2EF-4C24-9356-60183BF3751C}"/>
    <hyperlink ref="K13" r:id="rId266" xr:uid="{68FE5CE5-EB09-4EB7-8552-E6AA65F79615}"/>
    <hyperlink ref="K14" r:id="rId267" xr:uid="{575EF527-97A8-454E-9E81-42A3B9FEF7C1}"/>
    <hyperlink ref="K15" r:id="rId268" xr:uid="{14C5B683-853C-4C90-841D-148AECBD1957}"/>
    <hyperlink ref="B12" r:id="rId269" xr:uid="{67366520-5E0E-4061-AE2D-DAC4A8A67595}"/>
    <hyperlink ref="B11" r:id="rId270" xr:uid="{1E39A48D-3F7D-46D4-91D6-714408621628}"/>
    <hyperlink ref="B9" r:id="rId271" xr:uid="{5B04ECF9-8364-493B-B813-AB759A23A8D8}"/>
    <hyperlink ref="K9" r:id="rId272" xr:uid="{59195057-A01D-421A-8041-E3BB42CC25F0}"/>
    <hyperlink ref="B10" r:id="rId273" xr:uid="{6FC203C0-E196-4D7B-B7C7-9F2ED525A109}"/>
  </hyperlinks>
  <pageMargins left="0.7" right="0.7" top="0.75" bottom="0.75" header="0.3" footer="0.3"/>
  <pageSetup paperSize="9" scale="43" fitToHeight="0" orientation="landscape" horizontalDpi="300" verticalDpi="300" r:id="rId274"/>
  <drawing r:id="rId275"/>
  <tableParts count="1">
    <tablePart r:id="rId27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326"/>
  <sheetViews>
    <sheetView zoomScale="96" zoomScaleNormal="96" workbookViewId="0">
      <selection activeCell="I8" sqref="I8"/>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333" t="s">
        <v>19</v>
      </c>
      <c r="B2" s="334"/>
      <c r="C2" s="334"/>
      <c r="D2" s="334"/>
      <c r="E2" s="334"/>
      <c r="F2" s="334"/>
      <c r="EZ2" s="44"/>
      <c r="FA2" s="44"/>
      <c r="FB2" s="44"/>
      <c r="FC2" s="44"/>
      <c r="FD2" s="44"/>
      <c r="FE2" s="44"/>
      <c r="FF2" s="44"/>
      <c r="FG2" s="44"/>
      <c r="FH2" s="44"/>
      <c r="FI2" s="44"/>
      <c r="FJ2" s="44"/>
    </row>
    <row r="3" spans="1:166" s="38" customFormat="1" ht="21">
      <c r="A3" s="335" t="s">
        <v>13</v>
      </c>
      <c r="B3" s="336"/>
      <c r="C3" s="336"/>
      <c r="D3" s="336"/>
      <c r="E3" s="336"/>
      <c r="F3" s="336"/>
      <c r="EZ3" s="44"/>
      <c r="FA3" s="44"/>
      <c r="FB3" s="44"/>
      <c r="FC3" s="44"/>
      <c r="FD3" s="44"/>
      <c r="FE3" s="44"/>
      <c r="FF3" s="44"/>
      <c r="FG3" s="44"/>
      <c r="FH3" s="44"/>
      <c r="FI3" s="44"/>
      <c r="FJ3" s="44"/>
    </row>
    <row r="4" spans="1:166" s="38" customFormat="1">
      <c r="A4" s="40"/>
      <c r="B4" s="41" t="s">
        <v>14</v>
      </c>
      <c r="C4" s="47" t="s">
        <v>724</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34" customHeight="1">
      <c r="A6" s="243">
        <v>4</v>
      </c>
      <c r="B6" s="244" t="s">
        <v>876</v>
      </c>
      <c r="C6" s="245" t="s">
        <v>148</v>
      </c>
      <c r="D6" s="246" t="s">
        <v>879</v>
      </c>
      <c r="E6" s="247" t="s">
        <v>173</v>
      </c>
      <c r="F6" s="248" t="s">
        <v>167</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74.75" customHeight="1">
      <c r="A7" s="249">
        <v>3</v>
      </c>
      <c r="B7" s="244" t="s">
        <v>877</v>
      </c>
      <c r="C7" s="250" t="s">
        <v>149</v>
      </c>
      <c r="D7" s="246" t="s">
        <v>880</v>
      </c>
      <c r="E7" s="247" t="s">
        <v>173</v>
      </c>
      <c r="F7" s="251" t="s">
        <v>163</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71" customHeight="1">
      <c r="A8" s="243">
        <v>2</v>
      </c>
      <c r="B8" s="244" t="s">
        <v>878</v>
      </c>
      <c r="C8" s="253" t="s">
        <v>150</v>
      </c>
      <c r="D8" s="246" t="s">
        <v>881</v>
      </c>
      <c r="E8" s="247" t="s">
        <v>173</v>
      </c>
      <c r="F8" s="251" t="s">
        <v>448</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55.25" customHeight="1">
      <c r="A9" s="249">
        <v>1</v>
      </c>
      <c r="B9" s="244" t="s">
        <v>885</v>
      </c>
      <c r="C9" s="250" t="s">
        <v>329</v>
      </c>
      <c r="D9" s="246" t="s">
        <v>882</v>
      </c>
      <c r="E9" s="247" t="s">
        <v>173</v>
      </c>
      <c r="F9" s="252" t="s">
        <v>354</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5"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3"/>
  <sheetViews>
    <sheetView topLeftCell="A19" zoomScaleNormal="100" workbookViewId="0">
      <selection activeCell="F52" sqref="F52"/>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37"/>
      <c r="D1" s="337"/>
      <c r="E1" s="337"/>
      <c r="F1" s="337"/>
      <c r="G1" s="337"/>
      <c r="H1" s="337"/>
    </row>
    <row r="2" spans="1:9" ht="48" customHeight="1">
      <c r="C2" s="30" t="s">
        <v>84</v>
      </c>
      <c r="D2" s="339" t="s">
        <v>85</v>
      </c>
      <c r="E2" s="339"/>
      <c r="F2" s="339"/>
      <c r="G2" s="339"/>
      <c r="H2" s="339"/>
    </row>
    <row r="3" spans="1:9" ht="29.25" customHeight="1">
      <c r="A3" s="11"/>
      <c r="B3" s="11"/>
      <c r="C3" s="338" t="s">
        <v>15</v>
      </c>
      <c r="D3" s="338"/>
      <c r="E3" s="338"/>
      <c r="F3" s="338"/>
      <c r="G3" s="338"/>
      <c r="H3" s="338"/>
    </row>
    <row r="4" spans="1:9" ht="21" customHeight="1">
      <c r="A4" s="10"/>
      <c r="B4" s="9" t="s">
        <v>14</v>
      </c>
      <c r="C4" s="2" t="s">
        <v>703</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204</v>
      </c>
      <c r="C50" s="26" t="s">
        <v>151</v>
      </c>
      <c r="D50" s="26" t="s">
        <v>14</v>
      </c>
      <c r="E50" s="26" t="s">
        <v>5</v>
      </c>
      <c r="F50" s="26" t="s">
        <v>6</v>
      </c>
      <c r="G50" s="26" t="s">
        <v>7</v>
      </c>
      <c r="H50" s="157" t="s">
        <v>8</v>
      </c>
    </row>
    <row r="51" spans="1:8" ht="102">
      <c r="A51" s="143">
        <v>3</v>
      </c>
      <c r="B51" s="144" t="s">
        <v>298</v>
      </c>
      <c r="C51" s="138" t="s">
        <v>310</v>
      </c>
      <c r="D51" s="139">
        <v>45749</v>
      </c>
      <c r="E51" s="140" t="s">
        <v>154</v>
      </c>
      <c r="F51" s="145" t="s">
        <v>723</v>
      </c>
      <c r="G51" s="141" t="s">
        <v>168</v>
      </c>
      <c r="H51" s="86" t="s">
        <v>484</v>
      </c>
    </row>
    <row r="52" spans="1:8" ht="121.5" customHeight="1">
      <c r="A52" s="143">
        <v>2</v>
      </c>
      <c r="B52" s="144" t="s">
        <v>196</v>
      </c>
      <c r="C52" s="138" t="s">
        <v>153</v>
      </c>
      <c r="D52" s="139">
        <v>45542</v>
      </c>
      <c r="E52" s="140" t="s">
        <v>154</v>
      </c>
      <c r="F52" s="145" t="s">
        <v>722</v>
      </c>
      <c r="G52" s="141" t="s">
        <v>168</v>
      </c>
      <c r="H52" s="86" t="s">
        <v>483</v>
      </c>
    </row>
    <row r="53" spans="1:8" ht="111" customHeight="1">
      <c r="A53" s="143">
        <v>1</v>
      </c>
      <c r="B53" s="144" t="s">
        <v>505</v>
      </c>
      <c r="C53" s="138" t="s">
        <v>504</v>
      </c>
      <c r="D53" s="139">
        <v>45809</v>
      </c>
      <c r="E53" s="140" t="s">
        <v>154</v>
      </c>
      <c r="F53" s="145" t="s">
        <v>721</v>
      </c>
      <c r="G53" s="254" t="s">
        <v>542</v>
      </c>
      <c r="H53" s="86" t="s">
        <v>484</v>
      </c>
    </row>
  </sheetData>
  <mergeCells count="3">
    <mergeCell ref="C1:H1"/>
    <mergeCell ref="C3:H3"/>
    <mergeCell ref="D2:H2"/>
  </mergeCells>
  <phoneticPr fontId="135"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74"/>
  <sheetViews>
    <sheetView showGridLines="0" topLeftCell="A67" zoomScaleNormal="100" workbookViewId="0">
      <selection activeCell="E58" sqref="E58"/>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01"/>
      <c r="B1" s="201"/>
      <c r="C1" s="201"/>
      <c r="E1" s="201"/>
      <c r="F1" s="201"/>
      <c r="G1" s="201"/>
      <c r="H1" s="201"/>
      <c r="J1" s="3"/>
      <c r="K1" s="3"/>
      <c r="L1" s="3"/>
      <c r="M1" s="3"/>
      <c r="N1" s="3"/>
      <c r="O1" s="3"/>
      <c r="P1" s="3"/>
      <c r="Q1" s="3"/>
      <c r="R1" s="3"/>
      <c r="S1" s="3"/>
      <c r="T1" s="3"/>
      <c r="U1" s="3"/>
      <c r="V1" s="3"/>
      <c r="W1" s="3"/>
    </row>
    <row r="2" spans="1:23" ht="54" customHeight="1">
      <c r="A2" s="340" t="s">
        <v>38</v>
      </c>
      <c r="B2" s="341"/>
      <c r="C2" s="341"/>
      <c r="D2" s="341"/>
      <c r="E2" s="341"/>
      <c r="F2" s="341"/>
      <c r="G2" s="341"/>
      <c r="H2" s="341"/>
      <c r="J2" s="3"/>
      <c r="K2" s="3"/>
      <c r="L2" s="3"/>
      <c r="M2" s="3"/>
      <c r="N2" s="3"/>
      <c r="O2" s="3"/>
      <c r="P2" s="3"/>
      <c r="Q2" s="3"/>
      <c r="R2" s="3"/>
      <c r="S2" s="3"/>
      <c r="T2" s="3"/>
      <c r="U2" s="3"/>
      <c r="V2" s="3"/>
      <c r="W2" s="3"/>
    </row>
    <row r="3" spans="1:23" ht="21">
      <c r="A3" s="342" t="s">
        <v>39</v>
      </c>
      <c r="B3" s="342"/>
      <c r="C3" s="342"/>
      <c r="D3" s="342"/>
      <c r="E3" s="342"/>
      <c r="F3" s="342"/>
      <c r="G3" s="342"/>
      <c r="H3" s="342"/>
      <c r="J3" s="3"/>
      <c r="K3" s="3"/>
      <c r="L3" s="3"/>
      <c r="M3" s="3"/>
      <c r="N3" s="3"/>
      <c r="O3" s="3"/>
      <c r="P3" s="3"/>
      <c r="Q3" s="3"/>
      <c r="R3" s="3"/>
      <c r="S3" s="3"/>
      <c r="T3" s="3"/>
      <c r="U3" s="3"/>
      <c r="V3" s="3"/>
      <c r="W3" s="3"/>
    </row>
    <row r="4" spans="1:23" ht="18.75" customHeight="1">
      <c r="B4" s="54" t="s">
        <v>14</v>
      </c>
      <c r="C4" s="47" t="s">
        <v>703</v>
      </c>
      <c r="D4" s="202"/>
      <c r="E4" s="201"/>
      <c r="F4" s="201"/>
      <c r="G4" s="201"/>
      <c r="H4" s="201"/>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03"/>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343"/>
      <c r="B50" s="343"/>
      <c r="C50" s="343"/>
      <c r="D50" s="343"/>
      <c r="E50" s="343"/>
      <c r="F50" s="343"/>
    </row>
    <row r="56" spans="1:9" ht="25.5">
      <c r="A56" s="279" t="s">
        <v>619</v>
      </c>
      <c r="B56" s="26" t="s">
        <v>204</v>
      </c>
      <c r="C56" s="26" t="s">
        <v>17</v>
      </c>
      <c r="D56" s="26" t="s">
        <v>151</v>
      </c>
      <c r="E56" s="26" t="s">
        <v>5</v>
      </c>
      <c r="F56" s="26" t="s">
        <v>6</v>
      </c>
      <c r="G56" s="26" t="s">
        <v>7</v>
      </c>
      <c r="H56" s="26" t="s">
        <v>620</v>
      </c>
      <c r="I56" s="27" t="s">
        <v>8</v>
      </c>
    </row>
    <row r="57" spans="1:9" ht="76.5">
      <c r="A57" s="290">
        <v>18</v>
      </c>
      <c r="B57" s="287" t="s">
        <v>689</v>
      </c>
      <c r="C57" s="294">
        <v>45820</v>
      </c>
      <c r="D57" s="282" t="s">
        <v>71</v>
      </c>
      <c r="E57" s="283" t="s">
        <v>684</v>
      </c>
      <c r="F57" s="292" t="s">
        <v>705</v>
      </c>
      <c r="G57" s="141" t="s">
        <v>168</v>
      </c>
      <c r="H57" s="26"/>
      <c r="I57" s="288" t="s">
        <v>622</v>
      </c>
    </row>
    <row r="58" spans="1:9" ht="66">
      <c r="A58" s="290">
        <v>17</v>
      </c>
      <c r="B58" s="287" t="s">
        <v>677</v>
      </c>
      <c r="C58" s="294">
        <v>45820</v>
      </c>
      <c r="D58" s="282" t="s">
        <v>288</v>
      </c>
      <c r="E58" s="283" t="s">
        <v>675</v>
      </c>
      <c r="F58" s="292" t="s">
        <v>706</v>
      </c>
      <c r="G58" s="141" t="s">
        <v>168</v>
      </c>
      <c r="H58" s="26"/>
      <c r="I58" s="288" t="s">
        <v>622</v>
      </c>
    </row>
    <row r="59" spans="1:9" ht="89.25">
      <c r="A59" s="290">
        <v>16</v>
      </c>
      <c r="B59" s="287" t="s">
        <v>676</v>
      </c>
      <c r="C59" s="294">
        <v>45820</v>
      </c>
      <c r="D59" s="282" t="s">
        <v>40</v>
      </c>
      <c r="E59" s="283" t="s">
        <v>674</v>
      </c>
      <c r="F59" s="292" t="s">
        <v>707</v>
      </c>
      <c r="G59" s="141" t="s">
        <v>168</v>
      </c>
      <c r="H59" s="26"/>
      <c r="I59" s="288" t="s">
        <v>622</v>
      </c>
    </row>
    <row r="60" spans="1:9" ht="76.5">
      <c r="A60" s="290">
        <v>15</v>
      </c>
      <c r="B60" s="303" t="s">
        <v>670</v>
      </c>
      <c r="C60" s="294">
        <v>45820</v>
      </c>
      <c r="D60" s="295" t="s">
        <v>42</v>
      </c>
      <c r="E60" s="283" t="s">
        <v>671</v>
      </c>
      <c r="F60" s="292" t="s">
        <v>708</v>
      </c>
      <c r="G60" s="300" t="s">
        <v>168</v>
      </c>
      <c r="H60" s="157"/>
      <c r="I60" s="288" t="s">
        <v>622</v>
      </c>
    </row>
    <row r="61" spans="1:9" ht="76.5">
      <c r="A61" s="290">
        <v>14</v>
      </c>
      <c r="B61" s="280" t="s">
        <v>654</v>
      </c>
      <c r="C61" s="294">
        <v>45820</v>
      </c>
      <c r="D61" s="282" t="s">
        <v>70</v>
      </c>
      <c r="E61" s="291" t="s">
        <v>655</v>
      </c>
      <c r="F61" s="296" t="s">
        <v>709</v>
      </c>
      <c r="G61" s="300" t="s">
        <v>168</v>
      </c>
      <c r="H61" s="301"/>
      <c r="I61" s="302" t="s">
        <v>622</v>
      </c>
    </row>
    <row r="62" spans="1:9" ht="76.5">
      <c r="A62" s="290">
        <v>13</v>
      </c>
      <c r="B62" s="287" t="s">
        <v>657</v>
      </c>
      <c r="C62" s="281">
        <v>45820</v>
      </c>
      <c r="D62" s="282" t="s">
        <v>43</v>
      </c>
      <c r="E62" s="283" t="s">
        <v>646</v>
      </c>
      <c r="F62" s="292" t="s">
        <v>710</v>
      </c>
      <c r="G62" s="141" t="s">
        <v>168</v>
      </c>
      <c r="H62" s="26"/>
      <c r="I62" s="288" t="s">
        <v>622</v>
      </c>
    </row>
    <row r="63" spans="1:9" ht="66">
      <c r="A63" s="290">
        <v>12</v>
      </c>
      <c r="B63" s="287" t="s">
        <v>658</v>
      </c>
      <c r="C63" s="281">
        <v>45820</v>
      </c>
      <c r="D63" s="282" t="s">
        <v>43</v>
      </c>
      <c r="E63" s="283" t="s">
        <v>647</v>
      </c>
      <c r="F63" s="292" t="s">
        <v>711</v>
      </c>
      <c r="G63" s="141" t="s">
        <v>168</v>
      </c>
      <c r="H63" s="26"/>
      <c r="I63" s="288" t="s">
        <v>622</v>
      </c>
    </row>
    <row r="64" spans="1:9" ht="102">
      <c r="A64" s="290">
        <v>11</v>
      </c>
      <c r="B64" s="289" t="s">
        <v>659</v>
      </c>
      <c r="C64" s="281">
        <v>45820</v>
      </c>
      <c r="D64" s="282" t="s">
        <v>43</v>
      </c>
      <c r="E64" s="291" t="s">
        <v>648</v>
      </c>
      <c r="F64" s="292" t="s">
        <v>712</v>
      </c>
      <c r="G64" s="141" t="s">
        <v>168</v>
      </c>
      <c r="H64" s="157"/>
      <c r="I64" s="288" t="s">
        <v>622</v>
      </c>
    </row>
    <row r="65" spans="1:9" ht="76.5">
      <c r="A65" s="290">
        <v>10</v>
      </c>
      <c r="B65" s="164" t="s">
        <v>660</v>
      </c>
      <c r="C65" s="281">
        <v>45820</v>
      </c>
      <c r="D65" s="282" t="s">
        <v>288</v>
      </c>
      <c r="E65" s="283" t="s">
        <v>649</v>
      </c>
      <c r="F65" s="292" t="s">
        <v>713</v>
      </c>
      <c r="G65" s="141" t="s">
        <v>168</v>
      </c>
      <c r="H65" s="157"/>
      <c r="I65" s="288" t="s">
        <v>622</v>
      </c>
    </row>
    <row r="66" spans="1:9" ht="114.75">
      <c r="A66" s="290">
        <v>9</v>
      </c>
      <c r="B66" s="164" t="s">
        <v>663</v>
      </c>
      <c r="C66" s="281">
        <v>45820</v>
      </c>
      <c r="D66" s="282" t="s">
        <v>44</v>
      </c>
      <c r="E66" s="283" t="s">
        <v>650</v>
      </c>
      <c r="F66" s="292" t="s">
        <v>714</v>
      </c>
      <c r="G66" s="141" t="s">
        <v>168</v>
      </c>
      <c r="H66" s="157"/>
      <c r="I66" s="288" t="s">
        <v>622</v>
      </c>
    </row>
    <row r="67" spans="1:9" ht="66">
      <c r="A67" s="290">
        <v>8</v>
      </c>
      <c r="B67" s="287" t="s">
        <v>687</v>
      </c>
      <c r="C67" s="294">
        <v>45819</v>
      </c>
      <c r="D67" s="282" t="s">
        <v>41</v>
      </c>
      <c r="E67" s="283" t="s">
        <v>688</v>
      </c>
      <c r="F67" s="292" t="s">
        <v>715</v>
      </c>
      <c r="G67" s="141" t="s">
        <v>168</v>
      </c>
      <c r="H67" s="26"/>
      <c r="I67" s="288" t="s">
        <v>622</v>
      </c>
    </row>
    <row r="68" spans="1:9" ht="66">
      <c r="A68" s="290">
        <v>7</v>
      </c>
      <c r="B68" s="287" t="s">
        <v>685</v>
      </c>
      <c r="C68" s="294">
        <v>45819</v>
      </c>
      <c r="D68" s="282" t="s">
        <v>41</v>
      </c>
      <c r="E68" s="283" t="s">
        <v>686</v>
      </c>
      <c r="F68" s="292" t="s">
        <v>716</v>
      </c>
      <c r="G68" s="141" t="s">
        <v>168</v>
      </c>
      <c r="H68" s="26"/>
      <c r="I68" s="288" t="s">
        <v>622</v>
      </c>
    </row>
    <row r="69" spans="1:9" ht="94.5" customHeight="1">
      <c r="A69" s="290">
        <v>6</v>
      </c>
      <c r="B69" s="164" t="s">
        <v>847</v>
      </c>
      <c r="C69" s="281">
        <v>45820</v>
      </c>
      <c r="D69" s="282" t="s">
        <v>71</v>
      </c>
      <c r="E69" s="283" t="s">
        <v>845</v>
      </c>
      <c r="F69" s="292" t="s">
        <v>846</v>
      </c>
      <c r="G69" s="284" t="s">
        <v>624</v>
      </c>
      <c r="H69" s="157"/>
      <c r="I69" s="288" t="s">
        <v>622</v>
      </c>
    </row>
    <row r="70" spans="1:9" ht="102">
      <c r="A70" s="290">
        <v>5</v>
      </c>
      <c r="B70" s="164" t="s">
        <v>672</v>
      </c>
      <c r="C70" s="281">
        <v>45820</v>
      </c>
      <c r="D70" s="282" t="s">
        <v>42</v>
      </c>
      <c r="E70" s="283" t="s">
        <v>669</v>
      </c>
      <c r="F70" s="292" t="s">
        <v>717</v>
      </c>
      <c r="G70" s="284" t="s">
        <v>624</v>
      </c>
      <c r="H70" s="157"/>
      <c r="I70" s="288" t="s">
        <v>622</v>
      </c>
    </row>
    <row r="71" spans="1:9" ht="76.5">
      <c r="A71" s="290">
        <v>4</v>
      </c>
      <c r="B71" s="164" t="s">
        <v>656</v>
      </c>
      <c r="C71" s="281">
        <v>45820</v>
      </c>
      <c r="D71" s="282" t="s">
        <v>71</v>
      </c>
      <c r="E71" s="283" t="s">
        <v>651</v>
      </c>
      <c r="F71" s="292" t="s">
        <v>718</v>
      </c>
      <c r="G71" s="284" t="s">
        <v>624</v>
      </c>
      <c r="H71" s="157"/>
      <c r="I71" s="293" t="s">
        <v>622</v>
      </c>
    </row>
    <row r="72" spans="1:9" ht="89.25">
      <c r="A72" s="290">
        <v>3</v>
      </c>
      <c r="B72" s="164" t="s">
        <v>661</v>
      </c>
      <c r="C72" s="281">
        <v>45820</v>
      </c>
      <c r="D72" s="282" t="s">
        <v>71</v>
      </c>
      <c r="E72" s="283" t="s">
        <v>652</v>
      </c>
      <c r="F72" s="292" t="s">
        <v>719</v>
      </c>
      <c r="G72" s="284" t="s">
        <v>624</v>
      </c>
      <c r="H72" s="157"/>
      <c r="I72" s="293" t="s">
        <v>622</v>
      </c>
    </row>
    <row r="73" spans="1:9" ht="76.5">
      <c r="A73" s="290">
        <v>2</v>
      </c>
      <c r="B73" s="289" t="s">
        <v>662</v>
      </c>
      <c r="C73" s="281">
        <v>45820</v>
      </c>
      <c r="D73" s="295" t="s">
        <v>71</v>
      </c>
      <c r="E73" s="291" t="s">
        <v>653</v>
      </c>
      <c r="F73" s="296" t="s">
        <v>720</v>
      </c>
      <c r="G73" s="297" t="s">
        <v>624</v>
      </c>
      <c r="H73" s="298"/>
      <c r="I73" s="299" t="s">
        <v>622</v>
      </c>
    </row>
    <row r="74" spans="1:9" ht="76.5">
      <c r="A74" s="290">
        <v>1</v>
      </c>
      <c r="B74" s="280" t="s">
        <v>623</v>
      </c>
      <c r="C74" s="281">
        <v>45818</v>
      </c>
      <c r="D74" s="282" t="s">
        <v>41</v>
      </c>
      <c r="E74" s="283" t="s">
        <v>621</v>
      </c>
      <c r="F74" s="292" t="s">
        <v>704</v>
      </c>
      <c r="G74" s="284" t="s">
        <v>624</v>
      </c>
      <c r="H74" s="26"/>
      <c r="I74" s="293" t="s">
        <v>622</v>
      </c>
    </row>
  </sheetData>
  <mergeCells count="3">
    <mergeCell ref="A2:H2"/>
    <mergeCell ref="A3:H3"/>
    <mergeCell ref="A50:F50"/>
  </mergeCells>
  <phoneticPr fontId="135"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7"/>
  <sheetViews>
    <sheetView topLeftCell="A16" zoomScaleNormal="100" workbookViewId="0">
      <selection activeCell="H40" sqref="H40"/>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44" t="s">
        <v>22</v>
      </c>
      <c r="D2" s="344"/>
      <c r="E2" s="344"/>
      <c r="F2" s="344"/>
      <c r="G2" s="344"/>
      <c r="H2" s="344"/>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45" t="s">
        <v>20</v>
      </c>
      <c r="F3" s="345"/>
      <c r="G3" s="345"/>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703</v>
      </c>
      <c r="E4" s="345"/>
      <c r="F4" s="345"/>
      <c r="G4" s="345"/>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702</v>
      </c>
      <c r="H56" s="76" t="s">
        <v>25</v>
      </c>
      <c r="I56" s="76"/>
      <c r="J56" s="77" t="s">
        <v>137</v>
      </c>
      <c r="K56" s="78" t="s">
        <v>138</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5" type="noConversion"/>
  <hyperlinks>
    <hyperlink ref="B56" r:id="rId1" xr:uid="{00000000-0004-0000-05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S h o w H i d d e n " > < C u s t o m C o n t e n t > < ! [ C D A T A [ T r u e ] ] > < / 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6.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7.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C o u n t I n S a n d b o x " > < C u s t o m C o n t e n t > < ! [ C D A T A [ 4 ] ] > < / C u s t o m C o n t e n t > < / G e m i n i > 
</file>

<file path=customXml/item19.xml>��< ? x m l   v e r s i o n = " 1 . 0 "   e n c o d i n g = " U T F - 1 6 " ? > < G e m i n i   x m l n s = " h t t p : / / g e m i n i / p i v o t c u s t o m i z a t i o n / C l i e n t W i n d o w X M L " > < C u s t o m C o n t e n t > < ! [ C D A T A [ T a b l a 4 4 - 0 0 3 3 c 9 b 4 - f b c 5 - 4 2 a 9 - 8 f 4 e - 9 2 b 0 2 f a b 1 6 b 5 ] ] > < / C u s t o m C o n t e n t > < / G e m i n i > 
</file>

<file path=customXml/item2.xml>��< ? x m l   v e r s i o n = " 1 . 0 "   e n c o d i n g = " U T F - 1 6 " ? > < G e m i n i   x m l n s = " h t t p : / / g e m i n i / p i v o t c u s t o m i z a t i o n / I s S a n d b o x E m b e d d e d " > < C u s t o m C o n t e n t > < ! [ C D A T A [ y e s ] ] > < / C u s t o m C o n t e n t > < / G e m i n i > 
</file>

<file path=customXml/item3.xml>��< ? x m l   v e r s i o n = " 1 . 0 "   e n c o d i n g = " U T F - 1 6 " ? > < G e m i n i   x m l n s = " h t t p : / / g e m i n i / p i v o t c u s t o m i z a t i o n / M a n u a l C a l c M o d e " > < C u s t o m C o n t e n t > < ! [ C D A T A [ F a l s e ] ] > < / C u s t o m C o n t e n t > < / G e m i n i > 
</file>

<file path=customXml/item4.xml>��< ? x m l   v e r s i o n = " 1 . 0 "   e n c o d i n g = " U T F - 1 6 " ? > < G e m i n i   x m l n s = " h t t p : / / g e m i n i / p i v o t c u s t o m i z a t i o n / P o w e r P i v o t V e r s i o n " > < C u s t o m C o n t e n t > < ! [ C D A T A [ 2 0 1 1 . 1 1 0 . 2 8 3 0 . 7 7 ] ] > < / C u s t o m C o n t e n t > < / G e m i n i > 
</file>

<file path=customXml/item5.xml>��< ? x m l   v e r s i o n = " 1 . 0 "   e n c o d i n g = " U T F - 1 6 " ? > < G e m i n i   x m l n s = " h t t p : / / g e m i n i / p i v o t c u s t o m i z a t i o n / S a n d b o x N o n E m p t y " > < C u s t o m C o n t e n t > < ! [ C D A T A [ 1 ] ] > < / 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7.xml>��< ? x m l   v e r s i o n = " 1 . 0 "   e n c o d i n g = " U T F - 1 6 " ? > < G e m i n i   x m l n s = " h t t p : / / g e m i n i / p i v o t c u s t o m i z a t i o n / S h o w I m p l i c i t M e a s u r e s " > < C u s t o m C o n t e n t > < ! [ C D A T A [ F a l s e ] ] > < / C u s t o m C o n t e n t > < / G e m i n i > 
</file>

<file path=customXml/item8.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B4C28FA2-4938-485F-9D52-B1FFCAD550E2}">
  <ds:schemaRefs/>
</ds:datastoreItem>
</file>

<file path=customXml/itemProps10.xml><?xml version="1.0" encoding="utf-8"?>
<ds:datastoreItem xmlns:ds="http://schemas.openxmlformats.org/officeDocument/2006/customXml" ds:itemID="{DAFFD2B6-02E4-4138-B091-F8A8464F1E0C}">
  <ds:schemaRefs/>
</ds:datastoreItem>
</file>

<file path=customXml/itemProps11.xml><?xml version="1.0" encoding="utf-8"?>
<ds:datastoreItem xmlns:ds="http://schemas.openxmlformats.org/officeDocument/2006/customXml" ds:itemID="{89A2FFA1-8A53-4480-8F71-57C7875DFE23}">
  <ds:schemaRefs/>
</ds:datastoreItem>
</file>

<file path=customXml/itemProps12.xml><?xml version="1.0" encoding="utf-8"?>
<ds:datastoreItem xmlns:ds="http://schemas.openxmlformats.org/officeDocument/2006/customXml" ds:itemID="{B1D91E2A-9BF8-4484-8D97-AF9F15BA4DCF}">
  <ds:schemaRefs/>
</ds:datastoreItem>
</file>

<file path=customXml/itemProps13.xml><?xml version="1.0" encoding="utf-8"?>
<ds:datastoreItem xmlns:ds="http://schemas.openxmlformats.org/officeDocument/2006/customXml" ds:itemID="{28249FC2-C963-4A7F-B9FA-C5FD6B63336D}">
  <ds:schemaRefs/>
</ds:datastoreItem>
</file>

<file path=customXml/itemProps14.xml><?xml version="1.0" encoding="utf-8"?>
<ds:datastoreItem xmlns:ds="http://schemas.openxmlformats.org/officeDocument/2006/customXml" ds:itemID="{01826096-6DAC-4512-946B-92569085B7AC}">
  <ds:schemaRefs/>
</ds:datastoreItem>
</file>

<file path=customXml/itemProps15.xml><?xml version="1.0" encoding="utf-8"?>
<ds:datastoreItem xmlns:ds="http://schemas.openxmlformats.org/officeDocument/2006/customXml" ds:itemID="{F6D7CB4A-0242-4934-8079-EA0FFD4F9AEC}">
  <ds:schemaRefs/>
</ds:datastoreItem>
</file>

<file path=customXml/itemProps16.xml><?xml version="1.0" encoding="utf-8"?>
<ds:datastoreItem xmlns:ds="http://schemas.openxmlformats.org/officeDocument/2006/customXml" ds:itemID="{4EF338B6-8AB7-45AA-8780-DD415674FA39}">
  <ds:schemaRefs/>
</ds:datastoreItem>
</file>

<file path=customXml/itemProps17.xml><?xml version="1.0" encoding="utf-8"?>
<ds:datastoreItem xmlns:ds="http://schemas.openxmlformats.org/officeDocument/2006/customXml" ds:itemID="{A6C4CC20-07D0-4FAB-90BA-AA3AF71D0C83}">
  <ds:schemaRefs/>
</ds:datastoreItem>
</file>

<file path=customXml/itemProps18.xml><?xml version="1.0" encoding="utf-8"?>
<ds:datastoreItem xmlns:ds="http://schemas.openxmlformats.org/officeDocument/2006/customXml" ds:itemID="{FA6A0B5C-5758-43AB-A084-60139027D6CB}">
  <ds:schemaRefs/>
</ds:datastoreItem>
</file>

<file path=customXml/itemProps19.xml><?xml version="1.0" encoding="utf-8"?>
<ds:datastoreItem xmlns:ds="http://schemas.openxmlformats.org/officeDocument/2006/customXml" ds:itemID="{AFCC17EF-CF5E-4D30-B67D-6235BF54EF22}">
  <ds:schemaRefs/>
</ds:datastoreItem>
</file>

<file path=customXml/itemProps2.xml><?xml version="1.0" encoding="utf-8"?>
<ds:datastoreItem xmlns:ds="http://schemas.openxmlformats.org/officeDocument/2006/customXml" ds:itemID="{897101B1-B533-42A6-9CF8-E0A2774842EC}">
  <ds:schemaRefs/>
</ds:datastoreItem>
</file>

<file path=customXml/itemProps3.xml><?xml version="1.0" encoding="utf-8"?>
<ds:datastoreItem xmlns:ds="http://schemas.openxmlformats.org/officeDocument/2006/customXml" ds:itemID="{AE82DAE6-89F1-4EC4-8445-2E73E9F21F79}">
  <ds:schemaRefs/>
</ds:datastoreItem>
</file>

<file path=customXml/itemProps4.xml><?xml version="1.0" encoding="utf-8"?>
<ds:datastoreItem xmlns:ds="http://schemas.openxmlformats.org/officeDocument/2006/customXml" ds:itemID="{218715B1-4521-4E8A-BF8B-0FBD9ED46596}">
  <ds:schemaRefs/>
</ds:datastoreItem>
</file>

<file path=customXml/itemProps5.xml><?xml version="1.0" encoding="utf-8"?>
<ds:datastoreItem xmlns:ds="http://schemas.openxmlformats.org/officeDocument/2006/customXml" ds:itemID="{565FAF2F-CDF8-4D9B-9DB1-723A5202FCD9}">
  <ds:schemaRefs/>
</ds:datastoreItem>
</file>

<file path=customXml/itemProps6.xml><?xml version="1.0" encoding="utf-8"?>
<ds:datastoreItem xmlns:ds="http://schemas.openxmlformats.org/officeDocument/2006/customXml" ds:itemID="{47806E59-B666-4E4F-A9EF-515835BDA5CC}">
  <ds:schemaRefs/>
</ds:datastoreItem>
</file>

<file path=customXml/itemProps7.xml><?xml version="1.0" encoding="utf-8"?>
<ds:datastoreItem xmlns:ds="http://schemas.openxmlformats.org/officeDocument/2006/customXml" ds:itemID="{69873A09-A0B6-469D-A8AD-6D3DDFCE584C}">
  <ds:schemaRefs/>
</ds:datastoreItem>
</file>

<file path=customXml/itemProps8.xml><?xml version="1.0" encoding="utf-8"?>
<ds:datastoreItem xmlns:ds="http://schemas.openxmlformats.org/officeDocument/2006/customXml" ds:itemID="{4B388139-D34D-4941-981B-5D321C889B8A}">
  <ds:schemaRefs/>
</ds:datastoreItem>
</file>

<file path=customXml/itemProps9.xml><?xml version="1.0" encoding="utf-8"?>
<ds:datastoreItem xmlns:ds="http://schemas.openxmlformats.org/officeDocument/2006/customXml" ds:itemID="{BF961A73-91DE-46DF-A08D-6F6FEAED21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2025-06-14T23:18:05Z</dcterms:modified>
</cp:coreProperties>
</file>