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GOBIERNO REGIONAL DE LAMBAYEQUE-2025\PROCESOS DE SELECCION 2025-LEY N°32069\SUPERV OBRA-INST. SUPER ARTISTICA MINDREAU\INTERACCION CON EL MERCADO\"/>
    </mc:Choice>
  </mc:AlternateContent>
  <xr:revisionPtr revIDLastSave="0" documentId="13_ncr:1_{9123E7F7-AA13-4B5D-9F4B-2FD77FBF366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sumen" sheetId="6" r:id="rId1"/>
    <sheet name="GS PRINCIPAL " sheetId="1" r:id="rId2"/>
    <sheet name="Seguros " sheetId="5" r:id="rId3"/>
    <sheet name="Comparativo" sheetId="7" state="hidden" r:id="rId4"/>
    <sheet name="GS - BASE" sheetId="4" state="hidden" r:id="rId5"/>
  </sheets>
  <externalReferences>
    <externalReference r:id="rId6"/>
    <externalReference r:id="rId7"/>
  </externalReferences>
  <definedNames>
    <definedName name="_xlnm.Print_Area" localSheetId="3">Comparativo!$A$1:$D$21</definedName>
    <definedName name="_xlnm.Print_Area" localSheetId="4">'GS - BASE'!$A$1:$J$77</definedName>
    <definedName name="_xlnm.Print_Area" localSheetId="1">'GS PRINCIPAL '!$A$1:$J$96</definedName>
    <definedName name="_xlnm.Print_Area" localSheetId="0">Resumen!$A$1:$D$21</definedName>
    <definedName name="_xlnm.Print_Area" localSheetId="2">'Seguros '!$A$8:$M$42</definedName>
    <definedName name="_xlnm.Print_Titles" localSheetId="4">'GS - BASE'!$2:$14</definedName>
    <definedName name="_xlnm.Print_Titles" localSheetId="1">'GS PRINCIPAL '!$2:$12</definedName>
    <definedName name="_xlnm.Print_Titles" localSheetId="2">'Seguros 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1" l="1"/>
  <c r="G15" i="1" l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7" i="1" s="1"/>
  <c r="G28" i="1" s="1"/>
  <c r="E13" i="7" l="1"/>
  <c r="E12" i="7"/>
  <c r="E11" i="7" s="1"/>
  <c r="E9" i="7"/>
  <c r="E8" i="7"/>
  <c r="G30" i="1" l="1"/>
  <c r="G31" i="1" s="1"/>
  <c r="G32" i="1" s="1"/>
  <c r="G34" i="1" s="1"/>
  <c r="E20" i="7"/>
  <c r="E19" i="7"/>
  <c r="E7" i="7"/>
  <c r="E15" i="7" l="1"/>
  <c r="E21" i="7"/>
  <c r="C5" i="7"/>
  <c r="E5" i="7" s="1"/>
  <c r="E16" i="7" l="1"/>
  <c r="F19" i="7"/>
  <c r="F11" i="7"/>
  <c r="F20" i="7"/>
  <c r="F7" i="7"/>
  <c r="F21" i="7"/>
  <c r="E17" i="7" l="1"/>
  <c r="F17" i="7" l="1"/>
  <c r="A1" i="6"/>
  <c r="E16" i="6" l="1"/>
  <c r="I25" i="1" l="1"/>
  <c r="G23" i="5"/>
  <c r="I51" i="1"/>
  <c r="I45" i="1"/>
  <c r="K16" i="1"/>
  <c r="K17" i="1"/>
  <c r="K18" i="1"/>
  <c r="K19" i="1"/>
  <c r="K20" i="1"/>
  <c r="K21" i="1"/>
  <c r="K22" i="1"/>
  <c r="K23" i="1"/>
  <c r="K24" i="1"/>
  <c r="K27" i="1"/>
  <c r="K28" i="1"/>
  <c r="K15" i="1"/>
  <c r="I17" i="1"/>
  <c r="I18" i="1"/>
  <c r="I19" i="1"/>
  <c r="I20" i="1"/>
  <c r="I21" i="1"/>
  <c r="I22" i="1"/>
  <c r="I23" i="1"/>
  <c r="I24" i="1"/>
  <c r="I16" i="1"/>
  <c r="I37" i="1"/>
  <c r="I57" i="1"/>
  <c r="I59" i="1"/>
  <c r="I58" i="1"/>
  <c r="I46" i="1"/>
  <c r="E47" i="1"/>
  <c r="I53" i="1"/>
  <c r="I52" i="1"/>
  <c r="I39" i="1"/>
  <c r="I38" i="1"/>
  <c r="I36" i="1"/>
  <c r="E43" i="1"/>
  <c r="I43" i="1" s="1"/>
  <c r="I34" i="1"/>
  <c r="J33" i="1" s="1"/>
  <c r="K31" i="1"/>
  <c r="K32" i="1"/>
  <c r="K30" i="1"/>
  <c r="A8" i="5"/>
  <c r="M3" i="5"/>
  <c r="M2" i="5"/>
  <c r="I15" i="1"/>
  <c r="I32" i="1"/>
  <c r="I31" i="1"/>
  <c r="I30" i="1"/>
  <c r="I28" i="1"/>
  <c r="I27" i="1"/>
  <c r="K14" i="1"/>
  <c r="F72" i="4"/>
  <c r="J72" i="4" s="1"/>
  <c r="J71" i="4"/>
  <c r="J70" i="4"/>
  <c r="J69" i="4"/>
  <c r="J68" i="4"/>
  <c r="I59" i="4"/>
  <c r="J58" i="4" s="1"/>
  <c r="I55" i="4"/>
  <c r="J54" i="4" s="1"/>
  <c r="I52" i="4"/>
  <c r="J51" i="4" s="1"/>
  <c r="I48" i="4"/>
  <c r="J46" i="4" s="1"/>
  <c r="I44" i="4"/>
  <c r="J43" i="4" s="1"/>
  <c r="F41" i="4"/>
  <c r="I41" i="4" s="1"/>
  <c r="I40" i="4"/>
  <c r="I39" i="4"/>
  <c r="I38" i="4"/>
  <c r="I37" i="4"/>
  <c r="I36" i="4"/>
  <c r="I35" i="4"/>
  <c r="I32" i="4"/>
  <c r="I31" i="4"/>
  <c r="I28" i="4"/>
  <c r="I27" i="4"/>
  <c r="I26" i="4"/>
  <c r="I23" i="4"/>
  <c r="I22" i="4"/>
  <c r="I21" i="4"/>
  <c r="I20" i="4"/>
  <c r="I19" i="4"/>
  <c r="I18" i="4"/>
  <c r="I17" i="4"/>
  <c r="J84" i="1" l="1"/>
  <c r="J86" i="1" s="1"/>
  <c r="J87" i="1" s="1"/>
  <c r="J30" i="4"/>
  <c r="J25" i="4"/>
  <c r="J34" i="4"/>
  <c r="J16" i="4"/>
  <c r="L16" i="4" s="1"/>
  <c r="J73" i="4"/>
  <c r="I47" i="1"/>
  <c r="K33" i="1"/>
  <c r="E44" i="1" s="1"/>
  <c r="I44" i="1" s="1"/>
  <c r="J29" i="1"/>
  <c r="O30" i="5" s="1"/>
  <c r="J66" i="1"/>
  <c r="J14" i="1"/>
  <c r="J50" i="1"/>
  <c r="J55" i="1"/>
  <c r="I41" i="1"/>
  <c r="I42" i="1"/>
  <c r="O29" i="5" l="1"/>
  <c r="O31" i="5" s="1"/>
  <c r="G29" i="5" s="1"/>
  <c r="M29" i="5" s="1"/>
  <c r="O18" i="5"/>
  <c r="F18" i="5" s="1"/>
  <c r="O25" i="5"/>
  <c r="F25" i="5" s="1"/>
  <c r="M25" i="5" s="1"/>
  <c r="C9" i="7"/>
  <c r="C10" i="6"/>
  <c r="J61" i="4"/>
  <c r="N22" i="4"/>
  <c r="P22" i="4" s="1"/>
  <c r="R22" i="4" s="1"/>
  <c r="T22" i="4" s="1"/>
  <c r="T23" i="4" s="1"/>
  <c r="T24" i="4" s="1"/>
  <c r="J35" i="1"/>
  <c r="J62" i="4"/>
  <c r="J63" i="4" s="1"/>
  <c r="F33" i="5" l="1"/>
  <c r="M33" i="5" s="1"/>
  <c r="M35" i="5" s="1"/>
  <c r="M18" i="5"/>
  <c r="J88" i="1"/>
  <c r="J89" i="1" s="1"/>
  <c r="J90" i="1" s="1"/>
  <c r="C13" i="7"/>
  <c r="C20" i="7" s="1"/>
  <c r="C13" i="6"/>
  <c r="J64" i="4"/>
  <c r="J65" i="4"/>
  <c r="J75" i="4" s="1"/>
  <c r="J77" i="4" s="1"/>
  <c r="M38" i="5" l="1"/>
  <c r="M40" i="5" s="1"/>
  <c r="M42" i="5" s="1"/>
  <c r="I63" i="1" s="1"/>
  <c r="J62" i="1" s="1"/>
  <c r="J76" i="1" s="1"/>
  <c r="C20" i="6"/>
  <c r="D20" i="6" s="1"/>
  <c r="D20" i="7"/>
  <c r="G20" i="7"/>
  <c r="J77" i="1" l="1"/>
  <c r="J78" i="1" s="1"/>
  <c r="J79" i="1" s="1"/>
  <c r="J80" i="1" s="1"/>
  <c r="J92" i="1" s="1"/>
  <c r="A92" i="1" s="1"/>
  <c r="C9" i="6"/>
  <c r="C8" i="6" s="1"/>
  <c r="D8" i="6" s="1"/>
  <c r="C8" i="7"/>
  <c r="C7" i="7" s="1"/>
  <c r="C12" i="7" l="1"/>
  <c r="C11" i="7" s="1"/>
  <c r="C15" i="7" s="1"/>
  <c r="C12" i="6"/>
  <c r="C11" i="6" s="1"/>
  <c r="D11" i="6" s="1"/>
  <c r="G7" i="7"/>
  <c r="D7" i="7"/>
  <c r="K93" i="1"/>
  <c r="J95" i="1"/>
  <c r="C19" i="7" l="1"/>
  <c r="D19" i="7" s="1"/>
  <c r="D11" i="7"/>
  <c r="G11" i="7"/>
  <c r="C19" i="6"/>
  <c r="D19" i="6" s="1"/>
  <c r="C14" i="6"/>
  <c r="C15" i="6" s="1"/>
  <c r="D15" i="6" s="1"/>
  <c r="C16" i="7"/>
  <c r="G15" i="7"/>
  <c r="C21" i="7" l="1"/>
  <c r="D21" i="7" s="1"/>
  <c r="G19" i="7"/>
  <c r="C21" i="6"/>
  <c r="D21" i="6" s="1"/>
  <c r="C16" i="6"/>
  <c r="D16" i="6" s="1"/>
  <c r="G16" i="7"/>
  <c r="D16" i="7"/>
  <c r="C17" i="7"/>
  <c r="G21" i="7" l="1"/>
  <c r="D17" i="7"/>
  <c r="G17" i="7"/>
  <c r="C2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F5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JANCARLO HUAMAN:</t>
        </r>
        <r>
          <rPr>
            <sz val="9"/>
            <color indexed="81"/>
            <rFont val="Tahoma"/>
            <family val="2"/>
          </rPr>
          <t xml:space="preserve">
CALCULAR LA TASA </t>
        </r>
      </text>
    </comment>
    <comment ref="F5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JANCARLO HUAMAN:</t>
        </r>
        <r>
          <rPr>
            <sz val="9"/>
            <color indexed="81"/>
            <rFont val="Tahoma"/>
            <family val="2"/>
          </rPr>
          <t xml:space="preserve">
CRITERIO DE ACORDE A ESTUDIOS PREVISTOS EN OBRA
</t>
        </r>
      </text>
    </comment>
  </commentList>
</comments>
</file>

<file path=xl/sharedStrings.xml><?xml version="1.0" encoding="utf-8"?>
<sst xmlns="http://schemas.openxmlformats.org/spreadsheetml/2006/main" count="366" uniqueCount="199">
  <si>
    <t>ESTRUCTURA DE COSTOS</t>
  </si>
  <si>
    <t>SUPERVISION DEL PROYECTO</t>
  </si>
  <si>
    <t>DESCRIPCION EQUIPO TECNICO</t>
  </si>
  <si>
    <t>UND</t>
  </si>
  <si>
    <t>CANTIDAD</t>
  </si>
  <si>
    <t>COSTO MENSUAL</t>
  </si>
  <si>
    <t>MESES</t>
  </si>
  <si>
    <t>PARTICIPACION EN EL MES</t>
  </si>
  <si>
    <t>PARCIAL</t>
  </si>
  <si>
    <t>TOTAL PARCIAL</t>
  </si>
  <si>
    <t>MENSUAL</t>
  </si>
  <si>
    <t>PERSONAL PROFESIONAL</t>
  </si>
  <si>
    <t>INGENIERO CIVIL Y/O ARQUITECTO (JEFE SUPERVISION)</t>
  </si>
  <si>
    <t>Und</t>
  </si>
  <si>
    <t>INGENIERO CIVIL SUPERVISION DE OBRA</t>
  </si>
  <si>
    <t>INGENIERO Y/O ARQUITECTO ASISTENTE DE OBRA</t>
  </si>
  <si>
    <t>INGENIERO SANITARIO SUPERVISOR</t>
  </si>
  <si>
    <t>INGENIERO MECANICO ELECTRICO SUPERVISOR</t>
  </si>
  <si>
    <t>PLANILLA</t>
  </si>
  <si>
    <t>FACTOR</t>
  </si>
  <si>
    <t>C. PARCIAL</t>
  </si>
  <si>
    <t>F.COB PENSION</t>
  </si>
  <si>
    <t>SUB TOTAL</t>
  </si>
  <si>
    <t>C. TOTAL</t>
  </si>
  <si>
    <t>INGENIERO LIQUIDACIONES</t>
  </si>
  <si>
    <t>PENSION</t>
  </si>
  <si>
    <t>ARQUITECTO ESPECIALISTA EQUIPAMIENTO</t>
  </si>
  <si>
    <t>SALUD</t>
  </si>
  <si>
    <t>PERSONAL PROFESIONAL TECNICO</t>
  </si>
  <si>
    <t>TECNICO EN TOPOGRAFIA</t>
  </si>
  <si>
    <t>TECNICO EN SUELOS Y PAVIMENTOS</t>
  </si>
  <si>
    <t>TECNICO DIBUJO DE CONSTRUCCION CIVIL</t>
  </si>
  <si>
    <t>PERSONAL ADMINISTRATIVO Y APOYO:</t>
  </si>
  <si>
    <t>SECRETARIA</t>
  </si>
  <si>
    <t>CHOFER</t>
  </si>
  <si>
    <t>EQUIPOS REQUERIDOS PARA LOS TRABAJOS DE SUPERVISION</t>
  </si>
  <si>
    <t>EQUIPOS DE COMUNICACION</t>
  </si>
  <si>
    <t>EQUIPOS DE COMPUTO LAPTOP</t>
  </si>
  <si>
    <t>IMPLEMENTOS DE SEGURIDAD (CASCOS, LENTES, ZAPATOS,CHALECOS, OTROS)</t>
  </si>
  <si>
    <t>ALQUILER Y/O COMPRA</t>
  </si>
  <si>
    <t>ALQUILER LOCAL DE OFICINA Y/O VIVIENDA</t>
  </si>
  <si>
    <t>UTILES DE ESCRITORIO :</t>
  </si>
  <si>
    <t>, Ploteados de planos, Papel, otros)</t>
  </si>
  <si>
    <t xml:space="preserve">SEGURO LEY ACCIDENTE EN OBRA (SCTR) </t>
  </si>
  <si>
    <t xml:space="preserve">SEGURO COMPLEMENTARIO DE TRABAJO DE RIESGO (PERSONAL PROFESIONAL </t>
  </si>
  <si>
    <t xml:space="preserve">PERSONAL TECNICO), PARA SALUD Y PENSION </t>
  </si>
  <si>
    <t>Global</t>
  </si>
  <si>
    <t>PRUEBAS DE LABORATORIO:</t>
  </si>
  <si>
    <t>DISEÑO MEZCLA AGREGADOS, ROTURA DE TESTIGOS, PRUEBAS DE COMPACTACION,</t>
  </si>
  <si>
    <t>ALBAÑILERIA.OTROS</t>
  </si>
  <si>
    <t>PRUEBAS HIDRAULICAS</t>
  </si>
  <si>
    <t>PRUEBAS DE AGUA POTABLE, ALCANTARILLADO</t>
  </si>
  <si>
    <t>COSTO DIRECTO</t>
  </si>
  <si>
    <t>S/.</t>
  </si>
  <si>
    <t>UTILIDAD (10%) de C.D</t>
  </si>
  <si>
    <t>IGV (18%)</t>
  </si>
  <si>
    <t>PRESUPUESTO VALOR REFERENCIAL</t>
  </si>
  <si>
    <t>GASTOS ADMINISTRATIVOS / SEDE REGIONAL</t>
  </si>
  <si>
    <t>COORDINADOR EN MONITOREO Y INSPECCION</t>
  </si>
  <si>
    <t>CAMIONETA 4 X 4 PICK UP</t>
  </si>
  <si>
    <t>IMPRESORA MULTIFUNCIONALES  LASER BLANCO / NEGRO FORMATO A3</t>
  </si>
  <si>
    <t>EQUIPAMIENTO DE COMPUTADORAS, ÚTILES DE OFICINA, MUEBLES DE OFICINA
CAMARA FOTOGRAFICA, VESTIMENTA (ZAPATOS, CHALECOS, GORRAS)</t>
  </si>
  <si>
    <t>CURSOS, CAPACITACIONES, ACTUALIZACIONES, REVISIONES DEL PROYECTO</t>
  </si>
  <si>
    <t>PRESUPUESTO SUB TOTAL G. ADMINISTRATIVOS</t>
  </si>
  <si>
    <t>PRESUPUESTO TOTAL</t>
  </si>
  <si>
    <t>ALQUILER CAMIONETA 4X4 PICK – UP CON COMBUSTIBLE</t>
  </si>
  <si>
    <t>Mes</t>
  </si>
  <si>
    <t>SERVICIOS DE COMUNICACIÓN</t>
  </si>
  <si>
    <t>EQUIPO DE TOPOGRAFIA ALQUILER  (ESTACION TOTAL, PRISMAS, GPS, OTROS)</t>
  </si>
  <si>
    <t>EQUIPOS DE COMPUTO DESKTOP E I MPRESORA</t>
  </si>
  <si>
    <t xml:space="preserve">MATERIAL DE OFICINA (Tinta para impresora, Copias, Fotografias, Scaneos </t>
  </si>
  <si>
    <t>VALOR REFERENCIAL :</t>
  </si>
  <si>
    <t>PORCENTAJE (V.R.)</t>
  </si>
  <si>
    <t xml:space="preserve"> : </t>
  </si>
  <si>
    <t xml:space="preserve">MODALIDAD EJECUCION    :    </t>
  </si>
  <si>
    <t>CONTRATA A SUMA ALZADA</t>
  </si>
  <si>
    <t xml:space="preserve">PLAZO DE EJECUCION        </t>
  </si>
  <si>
    <t xml:space="preserve"> :    </t>
  </si>
  <si>
    <t xml:space="preserve">:  </t>
  </si>
  <si>
    <t xml:space="preserve">SUPERVISION                           </t>
  </si>
  <si>
    <t>EXTERNA POR PROCESO CONVOCATORIA (DEPENDE DE MONTO DEL POYECTO)</t>
  </si>
  <si>
    <t>“ANALISIS  DE  GASTOS  GENERALES  DE  LA  OBRA: "MEJORAMIENTO DEL SERVICIO EDUCATIVO  EN 07 II.EE DEL NIVEL  INICIAL DE LA REGION LAMBAYEQUE”</t>
  </si>
  <si>
    <t>SNIP Nº 171456</t>
  </si>
  <si>
    <t>CONTADOR</t>
  </si>
  <si>
    <t>SILLA GIRATORIA</t>
  </si>
  <si>
    <t>Glb</t>
  </si>
  <si>
    <t>CHALECO DE INGENIERO</t>
  </si>
  <si>
    <t>CASCO DE INGENIERO</t>
  </si>
  <si>
    <t>und</t>
  </si>
  <si>
    <t>EQUIPO DE PROTECCION PERSONAL (EPP)</t>
  </si>
  <si>
    <t xml:space="preserve">LAPTOP CORE I5 O SUPERIOR, 2.50GHz, 8GB DDR4, 1TB SATA. Video </t>
  </si>
  <si>
    <t>TOPOGRAFO</t>
  </si>
  <si>
    <t>PERSONAL DE OBRA</t>
  </si>
  <si>
    <t>SE CALCULA LA TASA</t>
  </si>
  <si>
    <t>SERVICIOS VARIOS</t>
  </si>
  <si>
    <t>PAGO DE SERVICIOS (energia electrica, agua, desagüe, etc).</t>
  </si>
  <si>
    <t>COMUNICACIONES (Telefonia e internet)</t>
  </si>
  <si>
    <t>ADMINISTRACION</t>
  </si>
  <si>
    <t>VEHICULOS (incluye combustible)</t>
  </si>
  <si>
    <t>EQUIPAMIENTO</t>
  </si>
  <si>
    <t>IMPRESORA MULTIFUNCIONAL LASER B/N</t>
  </si>
  <si>
    <t>VALOR UNITARIO</t>
  </si>
  <si>
    <t>Fotocopias, Ploteados de planos, Papel A4-A3, otros)</t>
  </si>
  <si>
    <t>PRUEBAS DE RESISTENCIA DE CONCRETO</t>
  </si>
  <si>
    <t>ROTURA DE TESTIGOS DE CONCRETO</t>
  </si>
  <si>
    <t>DISEÑO DE MEZCLA</t>
  </si>
  <si>
    <t>ANALISIS GRANULOMETRICO</t>
  </si>
  <si>
    <t>C.B.R.</t>
  </si>
  <si>
    <t>DENSIDAD DE CAMPO</t>
  </si>
  <si>
    <t>UNIDADES Y MUROS DE ALBAÑILERIA</t>
  </si>
  <si>
    <t>MATERIAL Y UTILES DE OFICINA (Lapiceros, Archivadores, Tinta para impresora,</t>
  </si>
  <si>
    <t>ASISTENTE DE SUPERVISION (Ing. Civil / Arquitecto)</t>
  </si>
  <si>
    <t>GASTOS FINANCIEROS POR SEGUROS</t>
  </si>
  <si>
    <t>A.- SEGUROS DE ACCIDENTES PERSONALES</t>
  </si>
  <si>
    <t>Tasa:</t>
  </si>
  <si>
    <t>Período (Meses)   :</t>
  </si>
  <si>
    <t>COBERTURA</t>
  </si>
  <si>
    <t>COSTO FINANCIERO (S/.)</t>
  </si>
  <si>
    <t>Gastos administrativos</t>
  </si>
  <si>
    <t>B.- SEGURO COMPLEMENTARIO DE TRABAJO DE RIESGO</t>
  </si>
  <si>
    <t>Monto Aplicable:</t>
  </si>
  <si>
    <t>mano de obra</t>
  </si>
  <si>
    <t>D.- SEGUROS CONTRA TODO RIESGO</t>
  </si>
  <si>
    <t>MONTO DE CONTRATO                                :</t>
  </si>
  <si>
    <t>Costo directo</t>
  </si>
  <si>
    <t>Tasa Básica:</t>
  </si>
  <si>
    <t>‰</t>
  </si>
  <si>
    <t>Porcentaje Aplicable del C.T.                        :</t>
  </si>
  <si>
    <t>Período (Meses) de la Ejecucion de Obra  :</t>
  </si>
  <si>
    <t>SUBTOTAL (S/.)</t>
  </si>
  <si>
    <t xml:space="preserve">  Costo por emisión de Póliza </t>
  </si>
  <si>
    <t xml:space="preserve">Del Sub-Total </t>
  </si>
  <si>
    <t>TOTAL DE GASTOS FINANCIEROS POR SEGUROS (Mes) (S/.)</t>
  </si>
  <si>
    <t>PROTECTOR FACIAL</t>
  </si>
  <si>
    <t>MASCARILLAS</t>
  </si>
  <si>
    <t>OVEROL</t>
  </si>
  <si>
    <t>MATERIALES Y GASTOS VARIOS</t>
  </si>
  <si>
    <t>ARTICULOS DE LIMPIEZA</t>
  </si>
  <si>
    <t>ARTICULOS DE HIGIENE PERSONAL</t>
  </si>
  <si>
    <t>mes</t>
  </si>
  <si>
    <t xml:space="preserve">ESCRITORIO </t>
  </si>
  <si>
    <t>MASCARILLA N95 (PERSONAL DE SALUD)</t>
  </si>
  <si>
    <t>GUANTES (PERSONAL DE SALUD)</t>
  </si>
  <si>
    <t>PERSONAL DE APOYO</t>
  </si>
  <si>
    <t>INGENIERO ESPECIALISTA EN ESTRUCTURAS (Ing. Civil)</t>
  </si>
  <si>
    <t>INGENIERO ESPECIALISTA EN INSTALACIONES SANITARIAS (Ing. Sanitario)</t>
  </si>
  <si>
    <t>INGENIERO ESPECIALISTA EN INSTALACIONES ELECTRICAS (Ing. Electricista, Ing. Mecánico Electrico)</t>
  </si>
  <si>
    <t>INGENIERO ESPECIALISTA EN INSTALACIONES DE VOZ Y DATA (Ing. De Sistemas, Ing. Informatico)</t>
  </si>
  <si>
    <t>INGENIERO ESPECIALISTA EN INSTALACIONES MECANICAS (Ing. Mecanico Electrico)</t>
  </si>
  <si>
    <t>INGENIERO ESPECIALISTA EN MECANICA DE SUELOS (Ing. Civil, Ing. Geologo)</t>
  </si>
  <si>
    <t>INGENIERO ESPECIALISTA EN MEDIO AMBIENTE (Ing. De distintas especialidades)</t>
  </si>
  <si>
    <t>INGENIERO ESPECIALISTA EN CALIDAD (Ing. De distintas especialidades)</t>
  </si>
  <si>
    <t>SUPERVISION DE OBRA</t>
  </si>
  <si>
    <t>PRESUPUESTO SUPERVISION DE OBRA</t>
  </si>
  <si>
    <t>LIQUIDACION DE OBRA</t>
  </si>
  <si>
    <t>PRESUPUESTO LIQUIDACION DE OBRA</t>
  </si>
  <si>
    <t>estructuras</t>
  </si>
  <si>
    <t>arquitectura</t>
  </si>
  <si>
    <t>electricas</t>
  </si>
  <si>
    <t xml:space="preserve">sanitarias </t>
  </si>
  <si>
    <t>redes y comunicaiones</t>
  </si>
  <si>
    <t>mecanica</t>
  </si>
  <si>
    <t>mobiliario</t>
  </si>
  <si>
    <t>EQUIPO DE TOPOGRAFIA ALQUILER  (ESTACION TOTAL, PRISMAS, GPS DIFERENCIAL, OTROS)</t>
  </si>
  <si>
    <t>CAMIONETA PICK UP DOBLE CABINA 4X2 (Alquiler)- Infraestructura Principal</t>
  </si>
  <si>
    <t xml:space="preserve">COMPONENTE DE LOS GASTOS DE SUPERVISION </t>
  </si>
  <si>
    <t>MONEDA NUEVOS SOLES</t>
  </si>
  <si>
    <t>%</t>
  </si>
  <si>
    <t>VALOR DE OBRA REFERENCIAL</t>
  </si>
  <si>
    <t>1.-</t>
  </si>
  <si>
    <t>GASTOS DE SUPERVISION</t>
  </si>
  <si>
    <t xml:space="preserve">A.- COSTO DIRECTO </t>
  </si>
  <si>
    <t xml:space="preserve">B.- UTILIDAD </t>
  </si>
  <si>
    <t xml:space="preserve">LIQUIDACION SUPERVISION </t>
  </si>
  <si>
    <t xml:space="preserve">SUB TOTAL DE SUPERVISION </t>
  </si>
  <si>
    <t>IMPUESTO IGV(18%)</t>
  </si>
  <si>
    <t xml:space="preserve">TOTAL DE SUPERVISION </t>
  </si>
  <si>
    <t xml:space="preserve">RESUMEN </t>
  </si>
  <si>
    <t>SUPERVISION EN EJECUCION DE OBRA</t>
  </si>
  <si>
    <t>LIQUIDACION SUPERVISION</t>
  </si>
  <si>
    <t>TOTAL DE SUPERVISION</t>
  </si>
  <si>
    <t xml:space="preserve">CUADRO COMPARATIVO DE GASTOS DE SUPERVISION </t>
  </si>
  <si>
    <t>DIFERENCIA</t>
  </si>
  <si>
    <t>SOLES S/.</t>
  </si>
  <si>
    <t>A.-INFRAESTRUCTURA PRINCIPAL</t>
  </si>
  <si>
    <t xml:space="preserve">VALOR DE OBRA REFERENCIAL PRINCIPAL </t>
  </si>
  <si>
    <t xml:space="preserve">A. INFRAESTRUCTURA PRINCIPAL </t>
  </si>
  <si>
    <t xml:space="preserve">1.1.- COSTO DIRECTO </t>
  </si>
  <si>
    <t xml:space="preserve">1.2.- UTILIDAD </t>
  </si>
  <si>
    <t xml:space="preserve">GASTOS DE SUPERVISION Y LIQUIDACION DE OBRA PRINCIPAL </t>
  </si>
  <si>
    <t xml:space="preserve">RESUMEN SUPERVISION </t>
  </si>
  <si>
    <t>TOTAL DE SUPERVISION I. PRINCIPAL</t>
  </si>
  <si>
    <t xml:space="preserve">B. INFRAESTRUCRTURA PRINCIPAL </t>
  </si>
  <si>
    <t>ANALISIS  DE  GASTOS  DE SUPERVISION  DE  LA  OBRA: “MEJORAMIENTO DEL SERVICIO DE EDUCACIÓN SUPERIOR ARTÍSTICA EN ERNESTO LÓPEZ MINDREAU"</t>
  </si>
  <si>
    <t>ESPECIALISTA EN ARQUITECTURA (Arquitecto)</t>
  </si>
  <si>
    <t>SUPERVISOR DE OBRA</t>
  </si>
  <si>
    <t>Serv.</t>
  </si>
  <si>
    <t>UTILIDAD (7%) de C.D</t>
  </si>
  <si>
    <t>INGENIERO ESPECIALISTA EN SEGURIDAD (Profesional de distintas especialidades)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</si>
</sst>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 * #,##0.00_ ;_ * \-#,##0.00_ ;_ * &quot;-&quot;??_ ;_ @_ "/>
    <numFmt numFmtId="165" formatCode="0,000.00"/>
    <numFmt numFmtId="166" formatCode="0.0"/>
    <numFmt numFmtId="167" formatCode="0.000"/>
    <numFmt numFmtId="168" formatCode="0.00\ &quot;Meses&quot;"/>
    <numFmt numFmtId="169" formatCode="[$S/.-280A]\ #,##0.00;[$S/.-280A]\ \-#,##0.00"/>
    <numFmt numFmtId="170" formatCode="0.0000000000"/>
    <numFmt numFmtId="171" formatCode="_(* #,##0_);_(* \(#,##0\);_(* &quot;-&quot;_);_(@_)"/>
    <numFmt numFmtId="172" formatCode="_(* #,##0.00_);_(* \(#,##0.00\);_(* &quot;-&quot;_);_(@_)"/>
    <numFmt numFmtId="173" formatCode="_(* #,##0.0_);_(* \(#,##0.0\);_(* &quot;-&quot;_);_(@_)"/>
    <numFmt numFmtId="174" formatCode="_(* #,##0.00_);_(* \(#,##0.00\);_(* &quot;-&quot;??_);_(@_)"/>
    <numFmt numFmtId="175" formatCode="&quot;S/. &quot;#,##0.00;[Red]&quot;S/. &quot;#,##0.00"/>
    <numFmt numFmtId="176" formatCode="_ * #,##0.00000000_ ;_ * \-#,##0.00000000_ ;_ * &quot;-&quot;??_ ;_ @_ "/>
    <numFmt numFmtId="177" formatCode="0.00000000000"/>
    <numFmt numFmtId="178" formatCode="0.000000000%"/>
    <numFmt numFmtId="179" formatCode="&quot;S/&quot;\ #,##0.00"/>
    <numFmt numFmtId="180" formatCode="0.000000%"/>
    <numFmt numFmtId="181" formatCode="0.0000000%"/>
    <numFmt numFmtId="182" formatCode="&quot;S/&quot;\ #,##0.000000000"/>
    <numFmt numFmtId="183" formatCode="0.00000000%"/>
    <numFmt numFmtId="184" formatCode="#,##0.00_ ;[Red]\-#,##0.00\ "/>
    <numFmt numFmtId="185" formatCode="&quot;VALOR REFERENCIAL DE SUPERVISION Y LIQUIDACION DE OBRA (&quot;0.00000000%&quot; VR)&quot;"/>
  </numFmts>
  <fonts count="46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0"/>
      <color indexed="13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9"/>
      <color indexed="10"/>
      <name val="Geneva"/>
      <family val="2"/>
    </font>
    <font>
      <sz val="9"/>
      <color indexed="19"/>
      <name val="Arial"/>
      <family val="2"/>
    </font>
    <font>
      <sz val="12"/>
      <color indexed="19"/>
      <name val="Arial Black"/>
      <family val="2"/>
    </font>
    <font>
      <b/>
      <sz val="18"/>
      <color indexed="8"/>
      <name val="Arial Narrow"/>
      <family val="2"/>
    </font>
    <font>
      <b/>
      <sz val="20"/>
      <color indexed="8"/>
      <name val="Arial Narrow"/>
      <family val="2"/>
    </font>
    <font>
      <b/>
      <sz val="12"/>
      <name val="Arial Narrow"/>
      <family val="2"/>
    </font>
    <font>
      <sz val="12"/>
      <color indexed="10"/>
      <name val="Arial Narrow"/>
      <family val="2"/>
    </font>
    <font>
      <sz val="14"/>
      <name val="Arial"/>
      <family val="2"/>
    </font>
    <font>
      <sz val="10"/>
      <color indexed="10"/>
      <name val="Geneva"/>
      <family val="2"/>
    </font>
    <font>
      <sz val="9"/>
      <name val="Arial"/>
      <family val="2"/>
    </font>
    <font>
      <b/>
      <sz val="11"/>
      <name val="Arial Narrow"/>
      <family val="2"/>
    </font>
    <font>
      <b/>
      <sz val="12"/>
      <color theme="5" tint="-0.249977111117893"/>
      <name val="Arial"/>
      <family val="2"/>
    </font>
    <font>
      <b/>
      <sz val="7"/>
      <color rgb="FF000000"/>
      <name val="Arial Narrow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i/>
      <sz val="11"/>
      <color theme="0"/>
      <name val="Arial"/>
      <family val="2"/>
    </font>
    <font>
      <b/>
      <sz val="12"/>
      <color rgb="FFC00000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sz val="12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b/>
      <u/>
      <sz val="10"/>
      <name val="Cambria"/>
      <family val="1"/>
    </font>
    <font>
      <sz val="10"/>
      <name val="Arial"/>
      <family val="2"/>
    </font>
    <font>
      <sz val="8.5"/>
      <name val="Cambria"/>
      <family val="1"/>
    </font>
    <font>
      <sz val="8.5"/>
      <name val="Arial"/>
      <family val="2"/>
    </font>
    <font>
      <b/>
      <sz val="8.5"/>
      <name val="Cambria"/>
      <family val="1"/>
    </font>
    <font>
      <b/>
      <u/>
      <sz val="8.5"/>
      <name val="Cambria"/>
      <family val="1"/>
    </font>
    <font>
      <sz val="11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22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4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</borders>
  <cellStyleXfs count="9">
    <xf numFmtId="0" fontId="0" fillId="0" borderId="0"/>
    <xf numFmtId="0" fontId="13" fillId="0" borderId="0"/>
    <xf numFmtId="164" fontId="1" fillId="0" borderId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3" fillId="0" borderId="0"/>
    <xf numFmtId="9" fontId="1" fillId="0" borderId="0" applyFill="0" applyBorder="0" applyAlignment="0" applyProtection="0"/>
    <xf numFmtId="9" fontId="13" fillId="0" borderId="0" applyFont="0" applyFill="0" applyBorder="0" applyAlignment="0" applyProtection="0"/>
    <xf numFmtId="9" fontId="40" fillId="0" borderId="0" applyFill="0" applyBorder="0" applyAlignment="0" applyProtection="0"/>
  </cellStyleXfs>
  <cellXfs count="408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8" fillId="0" borderId="5" xfId="0" applyFont="1" applyBorder="1"/>
    <xf numFmtId="0" fontId="9" fillId="0" borderId="0" xfId="0" applyFont="1"/>
    <xf numFmtId="0" fontId="9" fillId="0" borderId="6" xfId="0" applyFont="1" applyBorder="1"/>
    <xf numFmtId="0" fontId="9" fillId="0" borderId="7" xfId="0" applyFont="1" applyBorder="1"/>
    <xf numFmtId="165" fontId="6" fillId="0" borderId="7" xfId="0" applyNumberFormat="1" applyFont="1" applyBorder="1"/>
    <xf numFmtId="165" fontId="5" fillId="0" borderId="7" xfId="0" applyNumberFormat="1" applyFont="1" applyBorder="1"/>
    <xf numFmtId="165" fontId="0" fillId="0" borderId="7" xfId="0" applyNumberFormat="1" applyBorder="1"/>
    <xf numFmtId="0" fontId="9" fillId="0" borderId="5" xfId="0" applyFont="1" applyBorder="1"/>
    <xf numFmtId="0" fontId="9" fillId="0" borderId="6" xfId="0" applyFont="1" applyBorder="1" applyAlignment="1">
      <alignment horizontal="center"/>
    </xf>
    <xf numFmtId="166" fontId="9" fillId="0" borderId="7" xfId="0" applyNumberFormat="1" applyFont="1" applyBorder="1" applyAlignment="1">
      <alignment horizontal="center"/>
    </xf>
    <xf numFmtId="40" fontId="9" fillId="0" borderId="7" xfId="0" applyNumberFormat="1" applyFont="1" applyBorder="1"/>
    <xf numFmtId="166" fontId="9" fillId="2" borderId="7" xfId="0" applyNumberFormat="1" applyFont="1" applyFill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165" fontId="9" fillId="0" borderId="7" xfId="0" applyNumberFormat="1" applyFont="1" applyBorder="1"/>
    <xf numFmtId="166" fontId="0" fillId="0" borderId="7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9" xfId="0" applyBorder="1"/>
    <xf numFmtId="0" fontId="5" fillId="0" borderId="0" xfId="0" applyFont="1" applyAlignment="1">
      <alignment horizontal="right"/>
    </xf>
    <xf numFmtId="165" fontId="5" fillId="0" borderId="8" xfId="0" applyNumberFormat="1" applyFont="1" applyBorder="1"/>
    <xf numFmtId="0" fontId="5" fillId="0" borderId="8" xfId="0" applyFont="1" applyBorder="1"/>
    <xf numFmtId="2" fontId="5" fillId="0" borderId="8" xfId="0" applyNumberFormat="1" applyFont="1" applyBorder="1"/>
    <xf numFmtId="165" fontId="5" fillId="0" borderId="0" xfId="0" applyNumberFormat="1" applyFont="1"/>
    <xf numFmtId="165" fontId="10" fillId="3" borderId="0" xfId="0" applyNumberFormat="1" applyFont="1" applyFill="1"/>
    <xf numFmtId="4" fontId="9" fillId="0" borderId="7" xfId="0" applyNumberFormat="1" applyFont="1" applyBorder="1"/>
    <xf numFmtId="0" fontId="9" fillId="0" borderId="7" xfId="0" applyFont="1" applyBorder="1" applyAlignment="1">
      <alignment horizontal="center"/>
    </xf>
    <xf numFmtId="166" fontId="9" fillId="2" borderId="7" xfId="0" applyNumberFormat="1" applyFont="1" applyFill="1" applyBorder="1"/>
    <xf numFmtId="166" fontId="9" fillId="0" borderId="7" xfId="0" applyNumberFormat="1" applyFont="1" applyBorder="1"/>
    <xf numFmtId="40" fontId="6" fillId="0" borderId="7" xfId="0" applyNumberFormat="1" applyFont="1" applyBorder="1"/>
    <xf numFmtId="2" fontId="9" fillId="0" borderId="7" xfId="0" applyNumberFormat="1" applyFont="1" applyBorder="1"/>
    <xf numFmtId="2" fontId="9" fillId="2" borderId="7" xfId="0" applyNumberFormat="1" applyFont="1" applyFill="1" applyBorder="1" applyAlignment="1">
      <alignment horizontal="center"/>
    </xf>
    <xf numFmtId="2" fontId="9" fillId="2" borderId="7" xfId="0" applyNumberFormat="1" applyFont="1" applyFill="1" applyBorder="1"/>
    <xf numFmtId="2" fontId="9" fillId="0" borderId="0" xfId="0" applyNumberFormat="1" applyFont="1" applyAlignment="1">
      <alignment horizontal="center"/>
    </xf>
    <xf numFmtId="167" fontId="9" fillId="0" borderId="7" xfId="0" applyNumberFormat="1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2" xfId="0" applyFont="1" applyBorder="1" applyAlignment="1">
      <alignment horizontal="center"/>
    </xf>
    <xf numFmtId="165" fontId="6" fillId="0" borderId="12" xfId="0" applyNumberFormat="1" applyFont="1" applyBorder="1" applyAlignment="1">
      <alignment horizontal="left"/>
    </xf>
    <xf numFmtId="166" fontId="6" fillId="0" borderId="12" xfId="0" applyNumberFormat="1" applyFont="1" applyBorder="1" applyAlignment="1">
      <alignment horizontal="left"/>
    </xf>
    <xf numFmtId="166" fontId="9" fillId="0" borderId="12" xfId="0" applyNumberFormat="1" applyFont="1" applyBorder="1"/>
    <xf numFmtId="165" fontId="11" fillId="0" borderId="12" xfId="0" applyNumberFormat="1" applyFont="1" applyBorder="1" applyAlignment="1">
      <alignment horizontal="right"/>
    </xf>
    <xf numFmtId="165" fontId="9" fillId="0" borderId="13" xfId="0" applyNumberFormat="1" applyFont="1" applyBorder="1"/>
    <xf numFmtId="0" fontId="9" fillId="0" borderId="0" xfId="0" applyFont="1" applyAlignment="1">
      <alignment horizontal="center"/>
    </xf>
    <xf numFmtId="165" fontId="6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left"/>
    </xf>
    <xf numFmtId="166" fontId="9" fillId="0" borderId="0" xfId="0" applyNumberFormat="1" applyFont="1"/>
    <xf numFmtId="165" fontId="11" fillId="0" borderId="0" xfId="0" applyNumberFormat="1" applyFont="1" applyAlignment="1">
      <alignment horizontal="right"/>
    </xf>
    <xf numFmtId="165" fontId="9" fillId="0" borderId="14" xfId="0" applyNumberFormat="1" applyFont="1" applyBorder="1"/>
    <xf numFmtId="165" fontId="9" fillId="0" borderId="6" xfId="0" applyNumberFormat="1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16" xfId="0" applyFont="1" applyBorder="1" applyAlignment="1">
      <alignment horizontal="center"/>
    </xf>
    <xf numFmtId="165" fontId="6" fillId="4" borderId="16" xfId="0" applyNumberFormat="1" applyFont="1" applyFill="1" applyBorder="1" applyAlignment="1">
      <alignment horizontal="left"/>
    </xf>
    <xf numFmtId="166" fontId="6" fillId="4" borderId="16" xfId="0" applyNumberFormat="1" applyFont="1" applyFill="1" applyBorder="1" applyAlignment="1">
      <alignment horizontal="left"/>
    </xf>
    <xf numFmtId="166" fontId="9" fillId="4" borderId="16" xfId="0" applyNumberFormat="1" applyFont="1" applyFill="1" applyBorder="1"/>
    <xf numFmtId="165" fontId="12" fillId="4" borderId="16" xfId="0" applyNumberFormat="1" applyFont="1" applyFill="1" applyBorder="1" applyAlignment="1">
      <alignment horizontal="right"/>
    </xf>
    <xf numFmtId="165" fontId="6" fillId="4" borderId="14" xfId="0" applyNumberFormat="1" applyFont="1" applyFill="1" applyBorder="1"/>
    <xf numFmtId="165" fontId="12" fillId="0" borderId="0" xfId="0" applyNumberFormat="1" applyFont="1" applyAlignment="1">
      <alignment horizontal="right"/>
    </xf>
    <xf numFmtId="165" fontId="6" fillId="0" borderId="0" xfId="0" applyNumberFormat="1" applyFont="1"/>
    <xf numFmtId="0" fontId="6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4" fontId="0" fillId="0" borderId="0" xfId="0" applyNumberFormat="1"/>
    <xf numFmtId="0" fontId="9" fillId="0" borderId="9" xfId="0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4" fontId="9" fillId="0" borderId="9" xfId="0" applyNumberFormat="1" applyFont="1" applyBorder="1"/>
    <xf numFmtId="165" fontId="11" fillId="0" borderId="9" xfId="0" applyNumberFormat="1" applyFont="1" applyBorder="1" applyAlignment="1">
      <alignment horizontal="right"/>
    </xf>
    <xf numFmtId="4" fontId="6" fillId="0" borderId="9" xfId="0" applyNumberFormat="1" applyFont="1" applyBorder="1"/>
    <xf numFmtId="4" fontId="5" fillId="0" borderId="5" xfId="0" applyNumberFormat="1" applyFont="1" applyBorder="1"/>
    <xf numFmtId="0" fontId="9" fillId="0" borderId="20" xfId="0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4" fontId="9" fillId="0" borderId="21" xfId="0" applyNumberFormat="1" applyFont="1" applyBorder="1"/>
    <xf numFmtId="2" fontId="9" fillId="0" borderId="22" xfId="0" applyNumberFormat="1" applyFont="1" applyBorder="1" applyAlignment="1">
      <alignment horizontal="center"/>
    </xf>
    <xf numFmtId="165" fontId="11" fillId="0" borderId="21" xfId="0" applyNumberFormat="1" applyFont="1" applyBorder="1" applyAlignment="1">
      <alignment horizontal="right"/>
    </xf>
    <xf numFmtId="4" fontId="6" fillId="0" borderId="23" xfId="0" applyNumberFormat="1" applyFont="1" applyBorder="1"/>
    <xf numFmtId="0" fontId="9" fillId="0" borderId="24" xfId="0" applyFont="1" applyBorder="1"/>
    <xf numFmtId="165" fontId="11" fillId="0" borderId="8" xfId="0" applyNumberFormat="1" applyFont="1" applyBorder="1" applyAlignment="1">
      <alignment horizontal="right"/>
    </xf>
    <xf numFmtId="4" fontId="6" fillId="0" borderId="24" xfId="0" applyNumberFormat="1" applyFont="1" applyBorder="1"/>
    <xf numFmtId="165" fontId="6" fillId="5" borderId="25" xfId="0" applyNumberFormat="1" applyFont="1" applyFill="1" applyBorder="1" applyAlignment="1">
      <alignment horizontal="left"/>
    </xf>
    <xf numFmtId="166" fontId="6" fillId="5" borderId="24" xfId="0" applyNumberFormat="1" applyFont="1" applyFill="1" applyBorder="1" applyAlignment="1">
      <alignment horizontal="left"/>
    </xf>
    <xf numFmtId="166" fontId="9" fillId="5" borderId="24" xfId="0" applyNumberFormat="1" applyFont="1" applyFill="1" applyBorder="1"/>
    <xf numFmtId="165" fontId="12" fillId="5" borderId="24" xfId="0" applyNumberFormat="1" applyFont="1" applyFill="1" applyBorder="1" applyAlignment="1">
      <alignment horizontal="right"/>
    </xf>
    <xf numFmtId="4" fontId="6" fillId="5" borderId="26" xfId="0" applyNumberFormat="1" applyFont="1" applyFill="1" applyBorder="1"/>
    <xf numFmtId="165" fontId="5" fillId="0" borderId="14" xfId="0" applyNumberFormat="1" applyFont="1" applyBorder="1"/>
    <xf numFmtId="0" fontId="6" fillId="0" borderId="0" xfId="0" applyFont="1" applyAlignment="1">
      <alignment vertical="center"/>
    </xf>
    <xf numFmtId="4" fontId="6" fillId="0" borderId="0" xfId="0" applyNumberFormat="1" applyFont="1"/>
    <xf numFmtId="10" fontId="4" fillId="5" borderId="26" xfId="6" applyNumberFormat="1" applyFont="1" applyFill="1" applyBorder="1"/>
    <xf numFmtId="40" fontId="9" fillId="8" borderId="7" xfId="0" applyNumberFormat="1" applyFont="1" applyFill="1" applyBorder="1"/>
    <xf numFmtId="168" fontId="4" fillId="0" borderId="0" xfId="0" applyNumberFormat="1" applyFont="1" applyAlignment="1">
      <alignment horizontal="left"/>
    </xf>
    <xf numFmtId="0" fontId="4" fillId="0" borderId="0" xfId="0" applyFont="1"/>
    <xf numFmtId="0" fontId="28" fillId="0" borderId="0" xfId="0" applyFont="1"/>
    <xf numFmtId="0" fontId="16" fillId="0" borderId="0" xfId="0" applyFont="1"/>
    <xf numFmtId="169" fontId="4" fillId="0" borderId="0" xfId="2" applyNumberFormat="1" applyFont="1" applyBorder="1" applyAlignment="1">
      <alignment horizontal="left"/>
    </xf>
    <xf numFmtId="2" fontId="9" fillId="0" borderId="12" xfId="0" applyNumberFormat="1" applyFont="1" applyBorder="1" applyAlignment="1">
      <alignment horizontal="center"/>
    </xf>
    <xf numFmtId="164" fontId="1" fillId="0" borderId="0" xfId="2"/>
    <xf numFmtId="10" fontId="4" fillId="5" borderId="14" xfId="6" applyNumberFormat="1" applyFon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6" fillId="0" borderId="30" xfId="0" applyFont="1" applyBorder="1"/>
    <xf numFmtId="0" fontId="5" fillId="0" borderId="31" xfId="0" applyFont="1" applyBorder="1" applyAlignment="1">
      <alignment horizontal="center"/>
    </xf>
    <xf numFmtId="0" fontId="7" fillId="0" borderId="31" xfId="0" applyFont="1" applyBorder="1"/>
    <xf numFmtId="0" fontId="6" fillId="0" borderId="0" xfId="0" applyFont="1" applyAlignment="1">
      <alignment horizontal="center" vertical="center" wrapText="1"/>
    </xf>
    <xf numFmtId="0" fontId="6" fillId="0" borderId="30" xfId="0" applyFont="1" applyBorder="1" applyAlignment="1">
      <alignment vertical="center"/>
    </xf>
    <xf numFmtId="4" fontId="29" fillId="0" borderId="0" xfId="0" applyNumberFormat="1" applyFont="1"/>
    <xf numFmtId="165" fontId="6" fillId="0" borderId="31" xfId="0" applyNumberFormat="1" applyFont="1" applyBorder="1"/>
    <xf numFmtId="0" fontId="9" fillId="0" borderId="30" xfId="0" applyFont="1" applyBorder="1"/>
    <xf numFmtId="165" fontId="9" fillId="0" borderId="33" xfId="0" applyNumberFormat="1" applyFont="1" applyBorder="1"/>
    <xf numFmtId="0" fontId="9" fillId="0" borderId="33" xfId="0" applyFont="1" applyBorder="1"/>
    <xf numFmtId="40" fontId="6" fillId="0" borderId="33" xfId="0" applyNumberFormat="1" applyFont="1" applyBorder="1"/>
    <xf numFmtId="0" fontId="9" fillId="0" borderId="34" xfId="0" applyFont="1" applyBorder="1"/>
    <xf numFmtId="0" fontId="9" fillId="0" borderId="35" xfId="0" applyFont="1" applyBorder="1"/>
    <xf numFmtId="165" fontId="9" fillId="0" borderId="36" xfId="0" applyNumberFormat="1" applyFont="1" applyBorder="1"/>
    <xf numFmtId="165" fontId="9" fillId="0" borderId="37" xfId="0" applyNumberFormat="1" applyFont="1" applyBorder="1"/>
    <xf numFmtId="165" fontId="9" fillId="0" borderId="31" xfId="0" applyNumberFormat="1" applyFont="1" applyBorder="1"/>
    <xf numFmtId="0" fontId="9" fillId="0" borderId="38" xfId="0" applyFont="1" applyBorder="1"/>
    <xf numFmtId="170" fontId="0" fillId="0" borderId="0" xfId="0" applyNumberFormat="1"/>
    <xf numFmtId="165" fontId="32" fillId="9" borderId="16" xfId="0" applyNumberFormat="1" applyFont="1" applyFill="1" applyBorder="1" applyAlignment="1">
      <alignment horizontal="right" vertical="center"/>
    </xf>
    <xf numFmtId="165" fontId="30" fillId="9" borderId="37" xfId="0" applyNumberFormat="1" applyFont="1" applyFill="1" applyBorder="1" applyAlignment="1">
      <alignment vertical="center"/>
    </xf>
    <xf numFmtId="165" fontId="30" fillId="0" borderId="0" xfId="0" applyNumberFormat="1" applyFont="1" applyAlignment="1">
      <alignment horizontal="left" vertical="center"/>
    </xf>
    <xf numFmtId="166" fontId="30" fillId="0" borderId="0" xfId="0" applyNumberFormat="1" applyFont="1" applyAlignment="1">
      <alignment horizontal="left" vertical="center"/>
    </xf>
    <xf numFmtId="166" fontId="31" fillId="0" borderId="0" xfId="0" applyNumberFormat="1" applyFont="1" applyAlignment="1">
      <alignment vertical="center"/>
    </xf>
    <xf numFmtId="165" fontId="32" fillId="0" borderId="0" xfId="0" applyNumberFormat="1" applyFont="1" applyAlignment="1">
      <alignment horizontal="right" vertical="center"/>
    </xf>
    <xf numFmtId="165" fontId="30" fillId="0" borderId="31" xfId="0" applyNumberFormat="1" applyFont="1" applyBorder="1" applyAlignment="1">
      <alignment vertical="center"/>
    </xf>
    <xf numFmtId="0" fontId="33" fillId="0" borderId="0" xfId="0" applyFont="1"/>
    <xf numFmtId="0" fontId="31" fillId="10" borderId="6" xfId="0" applyFont="1" applyFill="1" applyBorder="1" applyAlignment="1">
      <alignment vertical="center"/>
    </xf>
    <xf numFmtId="2" fontId="31" fillId="10" borderId="7" xfId="0" applyNumberFormat="1" applyFont="1" applyFill="1" applyBorder="1" applyAlignment="1">
      <alignment horizontal="center" vertical="center"/>
    </xf>
    <xf numFmtId="40" fontId="31" fillId="10" borderId="7" xfId="0" applyNumberFormat="1" applyFont="1" applyFill="1" applyBorder="1" applyAlignment="1">
      <alignment vertical="center"/>
    </xf>
    <xf numFmtId="166" fontId="31" fillId="10" borderId="7" xfId="0" applyNumberFormat="1" applyFont="1" applyFill="1" applyBorder="1" applyAlignment="1">
      <alignment horizontal="center" vertical="center"/>
    </xf>
    <xf numFmtId="165" fontId="30" fillId="10" borderId="33" xfId="0" applyNumberFormat="1" applyFont="1" applyFill="1" applyBorder="1" applyAlignment="1">
      <alignment vertical="center"/>
    </xf>
    <xf numFmtId="164" fontId="1" fillId="10" borderId="0" xfId="2" applyFill="1" applyAlignment="1">
      <alignment vertical="center"/>
    </xf>
    <xf numFmtId="0" fontId="0" fillId="10" borderId="0" xfId="0" applyFill="1" applyAlignment="1">
      <alignment vertical="center"/>
    </xf>
    <xf numFmtId="0" fontId="9" fillId="0" borderId="39" xfId="0" applyFont="1" applyBorder="1"/>
    <xf numFmtId="2" fontId="30" fillId="10" borderId="33" xfId="0" applyNumberFormat="1" applyFont="1" applyFill="1" applyBorder="1" applyAlignment="1">
      <alignment vertical="center"/>
    </xf>
    <xf numFmtId="0" fontId="17" fillId="0" borderId="0" xfId="1" applyFont="1"/>
    <xf numFmtId="0" fontId="18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0" fontId="19" fillId="0" borderId="0" xfId="1" applyFont="1" applyAlignment="1">
      <alignment horizontal="right"/>
    </xf>
    <xf numFmtId="0" fontId="17" fillId="0" borderId="40" xfId="1" applyFont="1" applyBorder="1"/>
    <xf numFmtId="0" fontId="17" fillId="0" borderId="0" xfId="1" applyFont="1" applyAlignment="1">
      <alignment horizontal="center"/>
    </xf>
    <xf numFmtId="0" fontId="21" fillId="0" borderId="0" xfId="1" applyFont="1"/>
    <xf numFmtId="0" fontId="23" fillId="0" borderId="0" xfId="1" applyFont="1"/>
    <xf numFmtId="0" fontId="24" fillId="0" borderId="0" xfId="1" applyFont="1"/>
    <xf numFmtId="0" fontId="9" fillId="0" borderId="0" xfId="1" applyFont="1" applyAlignment="1">
      <alignment horizontal="left"/>
    </xf>
    <xf numFmtId="0" fontId="9" fillId="0" borderId="0" xfId="1" applyFont="1"/>
    <xf numFmtId="0" fontId="5" fillId="6" borderId="0" xfId="1" applyFont="1" applyFill="1"/>
    <xf numFmtId="0" fontId="25" fillId="6" borderId="0" xfId="1" applyFont="1" applyFill="1"/>
    <xf numFmtId="0" fontId="5" fillId="6" borderId="0" xfId="1" applyFont="1" applyFill="1" applyAlignment="1">
      <alignment horizontal="left"/>
    </xf>
    <xf numFmtId="0" fontId="13" fillId="0" borderId="0" xfId="1"/>
    <xf numFmtId="10" fontId="13" fillId="0" borderId="0" xfId="7" applyNumberFormat="1" applyFont="1" applyProtection="1"/>
    <xf numFmtId="4" fontId="13" fillId="0" borderId="0" xfId="1" applyNumberFormat="1"/>
    <xf numFmtId="171" fontId="13" fillId="0" borderId="0" xfId="3" applyFont="1" applyProtection="1"/>
    <xf numFmtId="39" fontId="13" fillId="0" borderId="0" xfId="1" applyNumberFormat="1"/>
    <xf numFmtId="172" fontId="13" fillId="0" borderId="0" xfId="3" applyNumberFormat="1" applyFont="1"/>
    <xf numFmtId="0" fontId="13" fillId="0" borderId="0" xfId="1" applyAlignment="1">
      <alignment horizontal="right"/>
    </xf>
    <xf numFmtId="2" fontId="26" fillId="7" borderId="0" xfId="0" applyNumberFormat="1" applyFont="1" applyFill="1"/>
    <xf numFmtId="0" fontId="27" fillId="0" borderId="41" xfId="1" applyFont="1" applyBorder="1"/>
    <xf numFmtId="0" fontId="27" fillId="0" borderId="42" xfId="1" applyFont="1" applyBorder="1"/>
    <xf numFmtId="39" fontId="27" fillId="0" borderId="43" xfId="1" applyNumberFormat="1" applyFont="1" applyBorder="1"/>
    <xf numFmtId="0" fontId="0" fillId="0" borderId="0" xfId="1" applyFont="1"/>
    <xf numFmtId="4" fontId="13" fillId="11" borderId="0" xfId="1" applyNumberFormat="1" applyFill="1"/>
    <xf numFmtId="4" fontId="13" fillId="11" borderId="31" xfId="1" applyNumberFormat="1" applyFill="1" applyBorder="1"/>
    <xf numFmtId="174" fontId="13" fillId="0" borderId="0" xfId="4" applyFont="1" applyProtection="1"/>
    <xf numFmtId="10" fontId="13" fillId="0" borderId="0" xfId="1" applyNumberFormat="1"/>
    <xf numFmtId="0" fontId="13" fillId="0" borderId="0" xfId="5"/>
    <xf numFmtId="39" fontId="13" fillId="11" borderId="31" xfId="1" applyNumberFormat="1" applyFill="1" applyBorder="1"/>
    <xf numFmtId="0" fontId="16" fillId="0" borderId="44" xfId="1" applyFont="1" applyBorder="1" applyAlignment="1">
      <alignment vertical="center"/>
    </xf>
    <xf numFmtId="0" fontId="4" fillId="0" borderId="44" xfId="1" applyFont="1" applyBorder="1" applyAlignment="1">
      <alignment vertical="center"/>
    </xf>
    <xf numFmtId="0" fontId="6" fillId="0" borderId="44" xfId="1" applyFont="1" applyBorder="1" applyAlignment="1">
      <alignment horizontal="right" vertical="center" indent="1"/>
    </xf>
    <xf numFmtId="39" fontId="6" fillId="0" borderId="44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39" fontId="16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9" fontId="9" fillId="0" borderId="0" xfId="7" applyFont="1"/>
    <xf numFmtId="174" fontId="9" fillId="0" borderId="0" xfId="4" applyFont="1"/>
    <xf numFmtId="0" fontId="16" fillId="0" borderId="0" xfId="1" applyFont="1" applyAlignment="1">
      <alignment horizontal="left"/>
    </xf>
    <xf numFmtId="0" fontId="16" fillId="0" borderId="0" xfId="1" applyFont="1"/>
    <xf numFmtId="0" fontId="4" fillId="0" borderId="44" xfId="1" applyFont="1" applyBorder="1" applyAlignment="1">
      <alignment horizontal="right" vertical="center" indent="1"/>
    </xf>
    <xf numFmtId="39" fontId="4" fillId="0" borderId="44" xfId="1" applyNumberFormat="1" applyFont="1" applyBorder="1" applyAlignment="1">
      <alignment vertical="center"/>
    </xf>
    <xf numFmtId="4" fontId="0" fillId="10" borderId="0" xfId="0" applyNumberFormat="1" applyFill="1" applyAlignment="1">
      <alignment vertical="center"/>
    </xf>
    <xf numFmtId="4" fontId="0" fillId="0" borderId="39" xfId="0" applyNumberFormat="1" applyBorder="1" applyAlignment="1">
      <alignment vertical="center"/>
    </xf>
    <xf numFmtId="175" fontId="7" fillId="0" borderId="0" xfId="0" applyNumberFormat="1" applyFont="1" applyAlignment="1">
      <alignment vertical="center"/>
    </xf>
    <xf numFmtId="175" fontId="6" fillId="0" borderId="0" xfId="0" applyNumberFormat="1" applyFont="1" applyAlignment="1">
      <alignment horizontal="left" vertical="center"/>
    </xf>
    <xf numFmtId="0" fontId="30" fillId="10" borderId="62" xfId="0" applyFont="1" applyFill="1" applyBorder="1" applyAlignment="1">
      <alignment vertical="center"/>
    </xf>
    <xf numFmtId="0" fontId="31" fillId="10" borderId="28" xfId="0" applyFont="1" applyFill="1" applyBorder="1" applyAlignment="1">
      <alignment vertical="center"/>
    </xf>
    <xf numFmtId="0" fontId="31" fillId="10" borderId="63" xfId="0" applyFont="1" applyFill="1" applyBorder="1" applyAlignment="1">
      <alignment vertical="center"/>
    </xf>
    <xf numFmtId="2" fontId="31" fillId="10" borderId="64" xfId="0" applyNumberFormat="1" applyFont="1" applyFill="1" applyBorder="1" applyAlignment="1">
      <alignment horizontal="center" vertical="center"/>
    </xf>
    <xf numFmtId="40" fontId="31" fillId="10" borderId="64" xfId="0" applyNumberFormat="1" applyFont="1" applyFill="1" applyBorder="1" applyAlignment="1">
      <alignment vertical="center"/>
    </xf>
    <xf numFmtId="166" fontId="31" fillId="10" borderId="64" xfId="0" applyNumberFormat="1" applyFont="1" applyFill="1" applyBorder="1" applyAlignment="1">
      <alignment horizontal="center" vertical="center"/>
    </xf>
    <xf numFmtId="0" fontId="9" fillId="0" borderId="66" xfId="0" applyFont="1" applyBorder="1"/>
    <xf numFmtId="4" fontId="9" fillId="0" borderId="67" xfId="0" applyNumberFormat="1" applyFont="1" applyBorder="1"/>
    <xf numFmtId="0" fontId="9" fillId="0" borderId="65" xfId="0" applyFont="1" applyBorder="1"/>
    <xf numFmtId="4" fontId="9" fillId="0" borderId="68" xfId="0" applyNumberFormat="1" applyFont="1" applyBorder="1"/>
    <xf numFmtId="4" fontId="9" fillId="0" borderId="69" xfId="0" applyNumberFormat="1" applyFont="1" applyBorder="1"/>
    <xf numFmtId="0" fontId="9" fillId="0" borderId="70" xfId="0" applyFont="1" applyBorder="1"/>
    <xf numFmtId="0" fontId="9" fillId="0" borderId="40" xfId="0" applyFont="1" applyBorder="1"/>
    <xf numFmtId="165" fontId="32" fillId="9" borderId="40" xfId="0" applyNumberFormat="1" applyFont="1" applyFill="1" applyBorder="1" applyAlignment="1">
      <alignment horizontal="right" vertical="center"/>
    </xf>
    <xf numFmtId="4" fontId="30" fillId="9" borderId="71" xfId="0" applyNumberFormat="1" applyFont="1" applyFill="1" applyBorder="1" applyAlignment="1">
      <alignment vertical="center"/>
    </xf>
    <xf numFmtId="176" fontId="1" fillId="0" borderId="0" xfId="2" applyNumberFormat="1"/>
    <xf numFmtId="165" fontId="6" fillId="5" borderId="75" xfId="0" applyNumberFormat="1" applyFont="1" applyFill="1" applyBorder="1" applyAlignment="1">
      <alignment horizontal="left"/>
    </xf>
    <xf numFmtId="166" fontId="6" fillId="5" borderId="40" xfId="0" applyNumberFormat="1" applyFont="1" applyFill="1" applyBorder="1" applyAlignment="1">
      <alignment horizontal="left"/>
    </xf>
    <xf numFmtId="166" fontId="9" fillId="5" borderId="40" xfId="0" applyNumberFormat="1" applyFont="1" applyFill="1" applyBorder="1"/>
    <xf numFmtId="165" fontId="12" fillId="5" borderId="40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/>
    <xf numFmtId="164" fontId="13" fillId="7" borderId="0" xfId="2" applyFont="1" applyFill="1"/>
    <xf numFmtId="177" fontId="0" fillId="0" borderId="0" xfId="0" applyNumberFormat="1"/>
    <xf numFmtId="178" fontId="4" fillId="5" borderId="71" xfId="6" applyNumberFormat="1" applyFont="1" applyFill="1" applyBorder="1"/>
    <xf numFmtId="0" fontId="38" fillId="14" borderId="76" xfId="0" applyFont="1" applyFill="1" applyBorder="1" applyAlignment="1">
      <alignment horizontal="center"/>
    </xf>
    <xf numFmtId="0" fontId="37" fillId="11" borderId="30" xfId="0" applyFont="1" applyFill="1" applyBorder="1"/>
    <xf numFmtId="0" fontId="37" fillId="11" borderId="31" xfId="0" applyFont="1" applyFill="1" applyBorder="1"/>
    <xf numFmtId="180" fontId="37" fillId="11" borderId="31" xfId="8" applyNumberFormat="1" applyFont="1" applyFill="1" applyBorder="1"/>
    <xf numFmtId="9" fontId="37" fillId="11" borderId="31" xfId="8" applyFont="1" applyFill="1" applyBorder="1"/>
    <xf numFmtId="0" fontId="37" fillId="11" borderId="27" xfId="0" applyFont="1" applyFill="1" applyBorder="1"/>
    <xf numFmtId="0" fontId="37" fillId="11" borderId="28" xfId="0" applyFont="1" applyFill="1" applyBorder="1" applyAlignment="1">
      <alignment horizontal="left" indent="1"/>
    </xf>
    <xf numFmtId="179" fontId="38" fillId="11" borderId="28" xfId="0" applyNumberFormat="1" applyFont="1" applyFill="1" applyBorder="1" applyAlignment="1">
      <alignment horizontal="left"/>
    </xf>
    <xf numFmtId="0" fontId="37" fillId="11" borderId="29" xfId="0" applyFont="1" applyFill="1" applyBorder="1"/>
    <xf numFmtId="0" fontId="37" fillId="14" borderId="77" xfId="0" applyFont="1" applyFill="1" applyBorder="1"/>
    <xf numFmtId="0" fontId="37" fillId="14" borderId="44" xfId="0" applyFont="1" applyFill="1" applyBorder="1" applyAlignment="1">
      <alignment horizontal="left" indent="1"/>
    </xf>
    <xf numFmtId="179" fontId="37" fillId="14" borderId="44" xfId="0" applyNumberFormat="1" applyFont="1" applyFill="1" applyBorder="1" applyAlignment="1">
      <alignment horizontal="left"/>
    </xf>
    <xf numFmtId="179" fontId="37" fillId="0" borderId="76" xfId="0" applyNumberFormat="1" applyFont="1" applyBorder="1"/>
    <xf numFmtId="181" fontId="37" fillId="0" borderId="76" xfId="8" applyNumberFormat="1" applyFont="1" applyBorder="1"/>
    <xf numFmtId="179" fontId="37" fillId="14" borderId="76" xfId="0" applyNumberFormat="1" applyFont="1" applyFill="1" applyBorder="1"/>
    <xf numFmtId="178" fontId="37" fillId="14" borderId="78" xfId="8" applyNumberFormat="1" applyFont="1" applyFill="1" applyBorder="1"/>
    <xf numFmtId="178" fontId="37" fillId="14" borderId="76" xfId="8" applyNumberFormat="1" applyFont="1" applyFill="1" applyBorder="1"/>
    <xf numFmtId="0" fontId="37" fillId="11" borderId="0" xfId="0" applyFont="1" applyFill="1"/>
    <xf numFmtId="179" fontId="38" fillId="11" borderId="0" xfId="0" applyNumberFormat="1" applyFont="1" applyFill="1"/>
    <xf numFmtId="179" fontId="38" fillId="11" borderId="0" xfId="0" applyNumberFormat="1" applyFont="1" applyFill="1" applyAlignment="1">
      <alignment horizontal="left"/>
    </xf>
    <xf numFmtId="0" fontId="37" fillId="11" borderId="0" xfId="0" applyFont="1" applyFill="1" applyAlignment="1">
      <alignment horizontal="left" indent="1"/>
    </xf>
    <xf numFmtId="179" fontId="37" fillId="11" borderId="0" xfId="0" applyNumberFormat="1" applyFont="1" applyFill="1" applyAlignment="1">
      <alignment horizontal="left"/>
    </xf>
    <xf numFmtId="4" fontId="37" fillId="11" borderId="0" xfId="0" applyNumberFormat="1" applyFont="1" applyFill="1"/>
    <xf numFmtId="180" fontId="37" fillId="11" borderId="80" xfId="8" applyNumberFormat="1" applyFont="1" applyFill="1" applyBorder="1"/>
    <xf numFmtId="0" fontId="39" fillId="11" borderId="31" xfId="0" applyFont="1" applyFill="1" applyBorder="1"/>
    <xf numFmtId="0" fontId="38" fillId="11" borderId="31" xfId="0" applyFont="1" applyFill="1" applyBorder="1"/>
    <xf numFmtId="0" fontId="37" fillId="11" borderId="31" xfId="0" applyFont="1" applyFill="1" applyBorder="1" applyAlignment="1">
      <alignment horizontal="left" indent="1"/>
    </xf>
    <xf numFmtId="0" fontId="37" fillId="11" borderId="80" xfId="0" applyFont="1" applyFill="1" applyBorder="1" applyAlignment="1">
      <alignment horizontal="left" indent="1"/>
    </xf>
    <xf numFmtId="0" fontId="0" fillId="0" borderId="39" xfId="0" applyBorder="1"/>
    <xf numFmtId="179" fontId="37" fillId="11" borderId="39" xfId="0" applyNumberFormat="1" applyFont="1" applyFill="1" applyBorder="1" applyAlignment="1">
      <alignment horizontal="left"/>
    </xf>
    <xf numFmtId="179" fontId="37" fillId="11" borderId="82" xfId="0" applyNumberFormat="1" applyFont="1" applyFill="1" applyBorder="1" applyAlignment="1">
      <alignment horizontal="left"/>
    </xf>
    <xf numFmtId="179" fontId="37" fillId="11" borderId="76" xfId="0" applyNumberFormat="1" applyFont="1" applyFill="1" applyBorder="1" applyAlignment="1">
      <alignment horizontal="left"/>
    </xf>
    <xf numFmtId="179" fontId="37" fillId="14" borderId="76" xfId="0" applyNumberFormat="1" applyFont="1" applyFill="1" applyBorder="1" applyAlignment="1">
      <alignment horizontal="left"/>
    </xf>
    <xf numFmtId="179" fontId="38" fillId="14" borderId="76" xfId="0" applyNumberFormat="1" applyFont="1" applyFill="1" applyBorder="1" applyAlignment="1">
      <alignment horizontal="left"/>
    </xf>
    <xf numFmtId="0" fontId="38" fillId="14" borderId="8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30" xfId="0" applyFont="1" applyBorder="1" applyAlignment="1">
      <alignment horizontal="left" indent="1"/>
    </xf>
    <xf numFmtId="0" fontId="9" fillId="0" borderId="0" xfId="0" applyFont="1" applyAlignment="1">
      <alignment horizontal="left" indent="1"/>
    </xf>
    <xf numFmtId="0" fontId="9" fillId="0" borderId="6" xfId="0" applyFont="1" applyBorder="1" applyAlignment="1">
      <alignment horizontal="left" indent="1"/>
    </xf>
    <xf numFmtId="165" fontId="30" fillId="0" borderId="0" xfId="0" applyNumberFormat="1" applyFont="1" applyAlignment="1">
      <alignment vertical="center"/>
    </xf>
    <xf numFmtId="0" fontId="9" fillId="14" borderId="6" xfId="0" applyFont="1" applyFill="1" applyBorder="1" applyAlignment="1">
      <alignment vertical="center"/>
    </xf>
    <xf numFmtId="2" fontId="9" fillId="14" borderId="7" xfId="0" applyNumberFormat="1" applyFont="1" applyFill="1" applyBorder="1" applyAlignment="1">
      <alignment horizontal="center" vertical="center"/>
    </xf>
    <xf numFmtId="40" fontId="9" fillId="14" borderId="7" xfId="0" applyNumberFormat="1" applyFont="1" applyFill="1" applyBorder="1" applyAlignment="1">
      <alignment vertical="center"/>
    </xf>
    <xf numFmtId="166" fontId="9" fillId="14" borderId="7" xfId="0" applyNumberFormat="1" applyFont="1" applyFill="1" applyBorder="1" applyAlignment="1">
      <alignment horizontal="center" vertical="center"/>
    </xf>
    <xf numFmtId="165" fontId="6" fillId="14" borderId="33" xfId="0" applyNumberFormat="1" applyFont="1" applyFill="1" applyBorder="1" applyAlignment="1">
      <alignment vertical="center"/>
    </xf>
    <xf numFmtId="0" fontId="6" fillId="16" borderId="41" xfId="0" applyFont="1" applyFill="1" applyBorder="1"/>
    <xf numFmtId="0" fontId="6" fillId="16" borderId="42" xfId="0" applyFont="1" applyFill="1" applyBorder="1"/>
    <xf numFmtId="0" fontId="6" fillId="16" borderId="85" xfId="0" applyFont="1" applyFill="1" applyBorder="1"/>
    <xf numFmtId="0" fontId="6" fillId="16" borderId="86" xfId="0" applyFont="1" applyFill="1" applyBorder="1"/>
    <xf numFmtId="0" fontId="6" fillId="16" borderId="87" xfId="0" applyFont="1" applyFill="1" applyBorder="1" applyAlignment="1">
      <alignment horizontal="center"/>
    </xf>
    <xf numFmtId="0" fontId="6" fillId="14" borderId="30" xfId="0" applyFont="1" applyFill="1" applyBorder="1" applyAlignment="1">
      <alignment horizontal="left" vertical="center" indent="1"/>
    </xf>
    <xf numFmtId="0" fontId="9" fillId="14" borderId="0" xfId="0" applyFont="1" applyFill="1" applyAlignment="1">
      <alignment horizontal="left" vertical="center" indent="1"/>
    </xf>
    <xf numFmtId="0" fontId="9" fillId="14" borderId="6" xfId="0" applyFont="1" applyFill="1" applyBorder="1" applyAlignment="1">
      <alignment horizontal="left" vertical="center" indent="1"/>
    </xf>
    <xf numFmtId="0" fontId="9" fillId="0" borderId="30" xfId="0" applyFont="1" applyBorder="1" applyAlignment="1">
      <alignment horizontal="left" indent="2"/>
    </xf>
    <xf numFmtId="0" fontId="30" fillId="10" borderId="30" xfId="0" applyFont="1" applyFill="1" applyBorder="1" applyAlignment="1">
      <alignment horizontal="left" vertical="center" indent="1"/>
    </xf>
    <xf numFmtId="0" fontId="31" fillId="10" borderId="0" xfId="0" applyFont="1" applyFill="1" applyAlignment="1">
      <alignment horizontal="left" vertical="center" indent="1"/>
    </xf>
    <xf numFmtId="0" fontId="31" fillId="10" borderId="6" xfId="0" applyFont="1" applyFill="1" applyBorder="1" applyAlignment="1">
      <alignment horizontal="left" vertical="center" indent="1"/>
    </xf>
    <xf numFmtId="0" fontId="9" fillId="0" borderId="30" xfId="0" applyFont="1" applyBorder="1" applyAlignment="1">
      <alignment horizontal="left" indent="4"/>
    </xf>
    <xf numFmtId="0" fontId="0" fillId="0" borderId="0" xfId="0" applyAlignment="1">
      <alignment horizontal="left" indent="1"/>
    </xf>
    <xf numFmtId="0" fontId="42" fillId="0" borderId="0" xfId="0" applyFont="1"/>
    <xf numFmtId="0" fontId="43" fillId="14" borderId="76" xfId="0" applyFont="1" applyFill="1" applyBorder="1" applyAlignment="1">
      <alignment horizontal="center"/>
    </xf>
    <xf numFmtId="0" fontId="41" fillId="11" borderId="30" xfId="0" applyFont="1" applyFill="1" applyBorder="1"/>
    <xf numFmtId="0" fontId="41" fillId="11" borderId="0" xfId="0" applyFont="1" applyFill="1"/>
    <xf numFmtId="179" fontId="43" fillId="11" borderId="0" xfId="0" applyNumberFormat="1" applyFont="1" applyFill="1"/>
    <xf numFmtId="0" fontId="41" fillId="11" borderId="31" xfId="0" applyFont="1" applyFill="1" applyBorder="1"/>
    <xf numFmtId="0" fontId="44" fillId="11" borderId="0" xfId="0" applyFont="1" applyFill="1"/>
    <xf numFmtId="0" fontId="43" fillId="11" borderId="0" xfId="0" applyFont="1" applyFill="1"/>
    <xf numFmtId="179" fontId="43" fillId="11" borderId="0" xfId="0" applyNumberFormat="1" applyFont="1" applyFill="1" applyAlignment="1">
      <alignment horizontal="left"/>
    </xf>
    <xf numFmtId="0" fontId="41" fillId="11" borderId="0" xfId="0" applyFont="1" applyFill="1" applyAlignment="1">
      <alignment horizontal="left" indent="1"/>
    </xf>
    <xf numFmtId="179" fontId="41" fillId="11" borderId="0" xfId="0" applyNumberFormat="1" applyFont="1" applyFill="1" applyAlignment="1">
      <alignment horizontal="left"/>
    </xf>
    <xf numFmtId="9" fontId="41" fillId="11" borderId="31" xfId="8" applyFont="1" applyFill="1" applyBorder="1"/>
    <xf numFmtId="0" fontId="41" fillId="11" borderId="27" xfId="0" applyFont="1" applyFill="1" applyBorder="1"/>
    <xf numFmtId="0" fontId="43" fillId="11" borderId="28" xfId="0" applyFont="1" applyFill="1" applyBorder="1" applyAlignment="1">
      <alignment horizontal="left" indent="1"/>
    </xf>
    <xf numFmtId="179" fontId="43" fillId="11" borderId="28" xfId="0" applyNumberFormat="1" applyFont="1" applyFill="1" applyBorder="1" applyAlignment="1">
      <alignment horizontal="left"/>
    </xf>
    <xf numFmtId="0" fontId="41" fillId="11" borderId="29" xfId="0" applyFont="1" applyFill="1" applyBorder="1"/>
    <xf numFmtId="0" fontId="41" fillId="14" borderId="77" xfId="0" applyFont="1" applyFill="1" applyBorder="1"/>
    <xf numFmtId="0" fontId="41" fillId="14" borderId="44" xfId="0" applyFont="1" applyFill="1" applyBorder="1" applyAlignment="1">
      <alignment horizontal="left" indent="1"/>
    </xf>
    <xf numFmtId="179" fontId="41" fillId="14" borderId="44" xfId="0" applyNumberFormat="1" applyFont="1" applyFill="1" applyBorder="1" applyAlignment="1">
      <alignment horizontal="left"/>
    </xf>
    <xf numFmtId="0" fontId="43" fillId="0" borderId="76" xfId="0" applyFont="1" applyBorder="1" applyAlignment="1">
      <alignment horizontal="left"/>
    </xf>
    <xf numFmtId="0" fontId="43" fillId="0" borderId="76" xfId="0" applyFont="1" applyBorder="1" applyAlignment="1">
      <alignment horizontal="center"/>
    </xf>
    <xf numFmtId="179" fontId="41" fillId="0" borderId="76" xfId="0" applyNumberFormat="1" applyFont="1" applyBorder="1"/>
    <xf numFmtId="179" fontId="41" fillId="14" borderId="76" xfId="0" applyNumberFormat="1" applyFont="1" applyFill="1" applyBorder="1"/>
    <xf numFmtId="179" fontId="42" fillId="0" borderId="0" xfId="0" applyNumberFormat="1" applyFont="1"/>
    <xf numFmtId="182" fontId="42" fillId="0" borderId="0" xfId="0" applyNumberFormat="1" applyFont="1"/>
    <xf numFmtId="183" fontId="41" fillId="11" borderId="31" xfId="8" applyNumberFormat="1" applyFont="1" applyFill="1" applyBorder="1"/>
    <xf numFmtId="183" fontId="41" fillId="14" borderId="78" xfId="8" applyNumberFormat="1" applyFont="1" applyFill="1" applyBorder="1"/>
    <xf numFmtId="183" fontId="41" fillId="0" borderId="76" xfId="8" applyNumberFormat="1" applyFont="1" applyBorder="1"/>
    <xf numFmtId="183" fontId="41" fillId="14" borderId="76" xfId="8" applyNumberFormat="1" applyFont="1" applyFill="1" applyBorder="1"/>
    <xf numFmtId="40" fontId="31" fillId="10" borderId="88" xfId="0" applyNumberFormat="1" applyFont="1" applyFill="1" applyBorder="1" applyAlignment="1">
      <alignment vertical="center"/>
    </xf>
    <xf numFmtId="4" fontId="30" fillId="10" borderId="81" xfId="0" applyNumberFormat="1" applyFont="1" applyFill="1" applyBorder="1" applyAlignment="1">
      <alignment vertical="center"/>
    </xf>
    <xf numFmtId="0" fontId="9" fillId="0" borderId="65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40" fontId="9" fillId="0" borderId="7" xfId="0" applyNumberFormat="1" applyFont="1" applyBorder="1" applyAlignment="1">
      <alignment vertical="center"/>
    </xf>
    <xf numFmtId="166" fontId="9" fillId="0" borderId="7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vertical="center"/>
    </xf>
    <xf numFmtId="4" fontId="9" fillId="0" borderId="39" xfId="0" applyNumberFormat="1" applyFont="1" applyBorder="1" applyAlignment="1">
      <alignment vertical="center"/>
    </xf>
    <xf numFmtId="173" fontId="0" fillId="0" borderId="0" xfId="3" applyNumberFormat="1" applyFont="1" applyFill="1" applyProtection="1"/>
    <xf numFmtId="184" fontId="0" fillId="0" borderId="0" xfId="0" applyNumberFormat="1"/>
    <xf numFmtId="165" fontId="0" fillId="10" borderId="0" xfId="0" applyNumberFormat="1" applyFill="1" applyAlignment="1">
      <alignment vertical="center"/>
    </xf>
    <xf numFmtId="2" fontId="0" fillId="10" borderId="0" xfId="0" applyNumberFormat="1" applyFill="1" applyAlignment="1">
      <alignment vertical="center"/>
    </xf>
    <xf numFmtId="0" fontId="45" fillId="0" borderId="30" xfId="0" applyFont="1" applyBorder="1" applyAlignment="1">
      <alignment horizontal="left" indent="2"/>
    </xf>
    <xf numFmtId="0" fontId="41" fillId="0" borderId="76" xfId="0" applyFont="1" applyBorder="1" applyAlignment="1">
      <alignment horizontal="center"/>
    </xf>
    <xf numFmtId="0" fontId="41" fillId="14" borderId="76" xfId="0" applyFont="1" applyFill="1" applyBorder="1" applyAlignment="1">
      <alignment horizontal="center" wrapText="1"/>
    </xf>
    <xf numFmtId="0" fontId="43" fillId="14" borderId="76" xfId="0" applyFont="1" applyFill="1" applyBorder="1" applyAlignment="1">
      <alignment horizontal="center" vertical="center" wrapText="1"/>
    </xf>
    <xf numFmtId="0" fontId="43" fillId="14" borderId="76" xfId="0" applyFont="1" applyFill="1" applyBorder="1" applyAlignment="1">
      <alignment horizontal="center"/>
    </xf>
    <xf numFmtId="0" fontId="43" fillId="16" borderId="77" xfId="0" applyFont="1" applyFill="1" applyBorder="1" applyAlignment="1">
      <alignment horizontal="left" vertical="center" wrapText="1"/>
    </xf>
    <xf numFmtId="0" fontId="43" fillId="16" borderId="44" xfId="0" applyFont="1" applyFill="1" applyBorder="1" applyAlignment="1">
      <alignment horizontal="left" vertical="center" wrapText="1"/>
    </xf>
    <xf numFmtId="0" fontId="43" fillId="16" borderId="78" xfId="0" applyFont="1" applyFill="1" applyBorder="1" applyAlignment="1">
      <alignment horizontal="left" vertical="center" wrapText="1"/>
    </xf>
    <xf numFmtId="0" fontId="43" fillId="0" borderId="76" xfId="0" applyFont="1" applyBorder="1" applyAlignment="1">
      <alignment horizontal="center"/>
    </xf>
    <xf numFmtId="185" fontId="34" fillId="13" borderId="72" xfId="0" applyNumberFormat="1" applyFont="1" applyFill="1" applyBorder="1" applyAlignment="1">
      <alignment horizontal="center" vertical="center"/>
    </xf>
    <xf numFmtId="185" fontId="34" fillId="13" borderId="73" xfId="0" applyNumberFormat="1" applyFont="1" applyFill="1" applyBorder="1" applyAlignment="1">
      <alignment horizontal="center" vertical="center"/>
    </xf>
    <xf numFmtId="185" fontId="34" fillId="13" borderId="70" xfId="0" applyNumberFormat="1" applyFont="1" applyFill="1" applyBorder="1" applyAlignment="1">
      <alignment horizontal="center" vertical="center"/>
    </xf>
    <xf numFmtId="185" fontId="34" fillId="13" borderId="40" xfId="0" applyNumberFormat="1" applyFont="1" applyFill="1" applyBorder="1" applyAlignment="1">
      <alignment horizontal="center" vertical="center"/>
    </xf>
    <xf numFmtId="165" fontId="35" fillId="13" borderId="72" xfId="0" applyNumberFormat="1" applyFont="1" applyFill="1" applyBorder="1" applyAlignment="1">
      <alignment horizontal="center" vertical="center"/>
    </xf>
    <xf numFmtId="165" fontId="35" fillId="13" borderId="70" xfId="0" applyNumberFormat="1" applyFont="1" applyFill="1" applyBorder="1" applyAlignment="1">
      <alignment horizontal="center" vertical="center"/>
    </xf>
    <xf numFmtId="165" fontId="34" fillId="13" borderId="74" xfId="0" applyNumberFormat="1" applyFont="1" applyFill="1" applyBorder="1" applyAlignment="1">
      <alignment horizontal="center" vertical="center"/>
    </xf>
    <xf numFmtId="165" fontId="34" fillId="13" borderId="71" xfId="0" applyNumberFormat="1" applyFont="1" applyFill="1" applyBorder="1" applyAlignment="1">
      <alignment horizontal="center" vertical="center"/>
    </xf>
    <xf numFmtId="165" fontId="30" fillId="9" borderId="40" xfId="0" applyNumberFormat="1" applyFont="1" applyFill="1" applyBorder="1" applyAlignment="1">
      <alignment horizontal="center" vertical="center"/>
    </xf>
    <xf numFmtId="165" fontId="30" fillId="9" borderId="16" xfId="0" applyNumberFormat="1" applyFont="1" applyFill="1" applyBorder="1" applyAlignment="1">
      <alignment horizontal="center" vertical="center"/>
    </xf>
    <xf numFmtId="0" fontId="34" fillId="13" borderId="41" xfId="0" applyFont="1" applyFill="1" applyBorder="1" applyAlignment="1">
      <alignment horizontal="center"/>
    </xf>
    <xf numFmtId="0" fontId="34" fillId="13" borderId="42" xfId="0" applyFont="1" applyFill="1" applyBorder="1" applyAlignment="1">
      <alignment horizontal="center"/>
    </xf>
    <xf numFmtId="0" fontId="34" fillId="13" borderId="43" xfId="0" applyFont="1" applyFill="1" applyBorder="1" applyAlignment="1">
      <alignment horizontal="center"/>
    </xf>
    <xf numFmtId="0" fontId="30" fillId="12" borderId="57" xfId="0" applyFont="1" applyFill="1" applyBorder="1" applyAlignment="1">
      <alignment horizontal="center" vertical="center" wrapText="1"/>
    </xf>
    <xf numFmtId="0" fontId="30" fillId="12" borderId="58" xfId="0" applyFont="1" applyFill="1" applyBorder="1" applyAlignment="1">
      <alignment horizontal="center" vertical="center" wrapText="1"/>
    </xf>
    <xf numFmtId="0" fontId="30" fillId="12" borderId="61" xfId="0" applyFont="1" applyFill="1" applyBorder="1" applyAlignment="1">
      <alignment horizontal="center" vertical="center" wrapText="1"/>
    </xf>
    <xf numFmtId="0" fontId="30" fillId="12" borderId="51" xfId="0" applyFont="1" applyFill="1" applyBorder="1" applyAlignment="1">
      <alignment horizontal="center" vertical="center" wrapText="1"/>
    </xf>
    <xf numFmtId="0" fontId="30" fillId="12" borderId="59" xfId="0" applyFont="1" applyFill="1" applyBorder="1" applyAlignment="1">
      <alignment horizontal="center" vertical="center" wrapText="1"/>
    </xf>
    <xf numFmtId="0" fontId="30" fillId="12" borderId="46" xfId="0" applyFont="1" applyFill="1" applyBorder="1" applyAlignment="1">
      <alignment horizontal="center" vertical="center" wrapText="1"/>
    </xf>
    <xf numFmtId="0" fontId="30" fillId="12" borderId="60" xfId="0" applyFont="1" applyFill="1" applyBorder="1" applyAlignment="1">
      <alignment horizontal="center" vertical="center" wrapText="1"/>
    </xf>
    <xf numFmtId="0" fontId="30" fillId="12" borderId="89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left" indent="2"/>
    </xf>
    <xf numFmtId="0" fontId="9" fillId="0" borderId="0" xfId="0" applyFont="1" applyAlignment="1">
      <alignment horizontal="left" indent="2"/>
    </xf>
    <xf numFmtId="0" fontId="9" fillId="0" borderId="6" xfId="0" applyFont="1" applyBorder="1" applyAlignment="1">
      <alignment horizontal="left" indent="2"/>
    </xf>
    <xf numFmtId="0" fontId="6" fillId="15" borderId="46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5" fontId="7" fillId="0" borderId="0" xfId="0" applyNumberFormat="1" applyFont="1" applyAlignment="1">
      <alignment horizontal="center" vertical="center"/>
    </xf>
    <xf numFmtId="0" fontId="2" fillId="3" borderId="47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0" fontId="6" fillId="15" borderId="50" xfId="0" applyFont="1" applyFill="1" applyBorder="1" applyAlignment="1">
      <alignment horizontal="left" vertical="center" wrapText="1"/>
    </xf>
    <xf numFmtId="0" fontId="6" fillId="15" borderId="51" xfId="0" applyFont="1" applyFill="1" applyBorder="1" applyAlignment="1">
      <alignment horizontal="left" vertical="center" wrapText="1"/>
    </xf>
    <xf numFmtId="0" fontId="6" fillId="15" borderId="83" xfId="0" applyFont="1" applyFill="1" applyBorder="1" applyAlignment="1">
      <alignment horizontal="left" vertical="center" wrapText="1"/>
    </xf>
    <xf numFmtId="0" fontId="6" fillId="15" borderId="84" xfId="0" applyFont="1" applyFill="1" applyBorder="1" applyAlignment="1">
      <alignment horizontal="left" vertical="center" wrapText="1"/>
    </xf>
    <xf numFmtId="0" fontId="6" fillId="15" borderId="46" xfId="0" applyFont="1" applyFill="1" applyBorder="1" applyAlignment="1">
      <alignment horizontal="left" vertical="center" wrapText="1"/>
    </xf>
    <xf numFmtId="0" fontId="6" fillId="15" borderId="4" xfId="0" applyFont="1" applyFill="1" applyBorder="1" applyAlignment="1">
      <alignment horizontal="left" vertical="center" wrapText="1"/>
    </xf>
    <xf numFmtId="0" fontId="6" fillId="15" borderId="45" xfId="0" applyFont="1" applyFill="1" applyBorder="1" applyAlignment="1">
      <alignment horizontal="center" vertical="center" wrapText="1"/>
    </xf>
    <xf numFmtId="0" fontId="6" fillId="15" borderId="32" xfId="0" applyFont="1" applyFill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22" fillId="0" borderId="0" xfId="1" applyFont="1" applyAlignment="1">
      <alignment horizontal="center" vertical="center" wrapText="1"/>
    </xf>
    <xf numFmtId="0" fontId="2" fillId="3" borderId="25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4" fillId="0" borderId="44" xfId="1" applyFont="1" applyBorder="1" applyAlignment="1">
      <alignment horizontal="center" vertical="center"/>
    </xf>
    <xf numFmtId="0" fontId="38" fillId="14" borderId="76" xfId="0" applyFont="1" applyFill="1" applyBorder="1" applyAlignment="1">
      <alignment horizontal="center" vertical="center"/>
    </xf>
    <xf numFmtId="0" fontId="36" fillId="14" borderId="76" xfId="0" applyFont="1" applyFill="1" applyBorder="1" applyAlignment="1">
      <alignment horizontal="center" vertical="center" wrapText="1"/>
    </xf>
    <xf numFmtId="0" fontId="37" fillId="14" borderId="76" xfId="0" applyFont="1" applyFill="1" applyBorder="1" applyAlignment="1">
      <alignment horizontal="center"/>
    </xf>
    <xf numFmtId="0" fontId="38" fillId="14" borderId="30" xfId="0" applyFont="1" applyFill="1" applyBorder="1" applyAlignment="1">
      <alignment horizontal="center" vertical="center" wrapText="1"/>
    </xf>
    <xf numFmtId="0" fontId="38" fillId="14" borderId="31" xfId="0" applyFont="1" applyFill="1" applyBorder="1" applyAlignment="1">
      <alignment horizontal="center" vertical="center" wrapText="1"/>
    </xf>
    <xf numFmtId="0" fontId="38" fillId="14" borderId="79" xfId="0" applyFont="1" applyFill="1" applyBorder="1" applyAlignment="1">
      <alignment horizontal="center" vertical="center" wrapText="1"/>
    </xf>
    <xf numFmtId="0" fontId="38" fillId="14" borderId="80" xfId="0" applyFont="1" applyFill="1" applyBorder="1" applyAlignment="1">
      <alignment horizontal="center" vertical="center" wrapText="1"/>
    </xf>
    <xf numFmtId="17" fontId="38" fillId="14" borderId="79" xfId="0" applyNumberFormat="1" applyFont="1" applyFill="1" applyBorder="1" applyAlignment="1">
      <alignment horizontal="center" vertical="center" wrapText="1"/>
    </xf>
    <xf numFmtId="0" fontId="38" fillId="14" borderId="76" xfId="0" applyFont="1" applyFill="1" applyBorder="1" applyAlignment="1">
      <alignment horizontal="center"/>
    </xf>
    <xf numFmtId="0" fontId="38" fillId="0" borderId="77" xfId="0" applyFont="1" applyBorder="1" applyAlignment="1">
      <alignment horizontal="center"/>
    </xf>
    <xf numFmtId="0" fontId="38" fillId="0" borderId="44" xfId="0" applyFont="1" applyBorder="1" applyAlignment="1">
      <alignment horizontal="center"/>
    </xf>
    <xf numFmtId="0" fontId="38" fillId="0" borderId="78" xfId="0" applyFont="1" applyBorder="1" applyAlignment="1">
      <alignment horizontal="center"/>
    </xf>
    <xf numFmtId="0" fontId="37" fillId="0" borderId="76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5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3" borderId="46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9" fillId="0" borderId="55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 wrapText="1"/>
    </xf>
  </cellXfs>
  <cellStyles count="9">
    <cellStyle name="Cancel" xfId="1" xr:uid="{00000000-0005-0000-0000-000000000000}"/>
    <cellStyle name="Millares" xfId="2" builtinId="3"/>
    <cellStyle name="Millares [0] 2" xfId="3" xr:uid="{00000000-0005-0000-0000-000002000000}"/>
    <cellStyle name="Millares 2" xfId="4" xr:uid="{00000000-0005-0000-0000-000003000000}"/>
    <cellStyle name="Normal" xfId="0" builtinId="0"/>
    <cellStyle name="Normal 2" xfId="5" xr:uid="{00000000-0005-0000-0000-000005000000}"/>
    <cellStyle name="Porcentaje" xfId="6" builtinId="5"/>
    <cellStyle name="Porcentaje 2" xfId="8" xr:uid="{6DF38D75-A59E-4AC2-8787-610DB6E30C11}"/>
    <cellStyle name="Porcentaje 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LEV%20OBS%20ALFALFAR/PRESUPUESTO%20ALFALF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HICLAYO\GORE%20LAMBAYEQUE%202024\6.%20Junio%202024\4.%20Lopez%20Albujar\1.%20Actualizacion%202024\11.DESAGREGADO%20DE%20GASTO%20DE%20OBRA\GASTOS%20PARA%20SUPERVISION%20LOPEZ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Resumen"/>
      <sheetName val="FIJOS"/>
      <sheetName val="VARIABLES"/>
      <sheetName val="SUPERVISION"/>
      <sheetName val="GESTION"/>
      <sheetName val="financiera"/>
      <sheetName val="Seguros "/>
      <sheetName val="SEGUROS SUPERVISION"/>
    </sheetNames>
    <sheetDataSet>
      <sheetData sheetId="0"/>
      <sheetData sheetId="1">
        <row r="2">
          <cell r="G2" t="e">
            <v>#REF!</v>
          </cell>
        </row>
        <row r="3">
          <cell r="G3" t="e">
            <v>#REF!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"/>
      <sheetName val="Seguros "/>
      <sheetName val="GS - BASE"/>
    </sheetNames>
    <sheetDataSet>
      <sheetData sheetId="0">
        <row r="85">
          <cell r="J85">
            <v>2107626.44</v>
          </cell>
        </row>
        <row r="86">
          <cell r="J86">
            <v>168610.12</v>
          </cell>
        </row>
        <row r="101">
          <cell r="J101">
            <v>16462.46</v>
          </cell>
        </row>
        <row r="102">
          <cell r="J102">
            <v>1317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ACF44-C6EA-4D90-8602-5AE8813ADA08}">
  <dimension ref="A1:F23"/>
  <sheetViews>
    <sheetView view="pageBreakPreview" zoomScale="145" zoomScaleNormal="100" zoomScaleSheetLayoutView="145" workbookViewId="0">
      <selection activeCell="D24" sqref="D24"/>
    </sheetView>
  </sheetViews>
  <sheetFormatPr baseColWidth="10" defaultRowHeight="11.25"/>
  <cols>
    <col min="1" max="1" width="4.5703125" style="283" customWidth="1"/>
    <col min="2" max="2" width="41.42578125" style="283" customWidth="1"/>
    <col min="3" max="3" width="15.85546875" style="283" bestFit="1" customWidth="1"/>
    <col min="4" max="4" width="22.85546875" style="283" customWidth="1"/>
    <col min="5" max="5" width="12.85546875" style="283" bestFit="1" customWidth="1"/>
    <col min="6" max="255" width="11.5703125" style="283"/>
    <col min="256" max="256" width="4.5703125" style="283" customWidth="1"/>
    <col min="257" max="257" width="41.42578125" style="283" customWidth="1"/>
    <col min="258" max="258" width="15.85546875" style="283" bestFit="1" customWidth="1"/>
    <col min="259" max="259" width="12.5703125" style="283" bestFit="1" customWidth="1"/>
    <col min="260" max="260" width="12.42578125" style="283" bestFit="1" customWidth="1"/>
    <col min="261" max="511" width="11.5703125" style="283"/>
    <col min="512" max="512" width="4.5703125" style="283" customWidth="1"/>
    <col min="513" max="513" width="41.42578125" style="283" customWidth="1"/>
    <col min="514" max="514" width="15.85546875" style="283" bestFit="1" customWidth="1"/>
    <col min="515" max="515" width="12.5703125" style="283" bestFit="1" customWidth="1"/>
    <col min="516" max="516" width="12.42578125" style="283" bestFit="1" customWidth="1"/>
    <col min="517" max="767" width="11.5703125" style="283"/>
    <col min="768" max="768" width="4.5703125" style="283" customWidth="1"/>
    <col min="769" max="769" width="41.42578125" style="283" customWidth="1"/>
    <col min="770" max="770" width="15.85546875" style="283" bestFit="1" customWidth="1"/>
    <col min="771" max="771" width="12.5703125" style="283" bestFit="1" customWidth="1"/>
    <col min="772" max="772" width="12.42578125" style="283" bestFit="1" customWidth="1"/>
    <col min="773" max="1023" width="11.5703125" style="283"/>
    <col min="1024" max="1024" width="4.5703125" style="283" customWidth="1"/>
    <col min="1025" max="1025" width="41.42578125" style="283" customWidth="1"/>
    <col min="1026" max="1026" width="15.85546875" style="283" bestFit="1" customWidth="1"/>
    <col min="1027" max="1027" width="12.5703125" style="283" bestFit="1" customWidth="1"/>
    <col min="1028" max="1028" width="12.42578125" style="283" bestFit="1" customWidth="1"/>
    <col min="1029" max="1279" width="11.5703125" style="283"/>
    <col min="1280" max="1280" width="4.5703125" style="283" customWidth="1"/>
    <col min="1281" max="1281" width="41.42578125" style="283" customWidth="1"/>
    <col min="1282" max="1282" width="15.85546875" style="283" bestFit="1" customWidth="1"/>
    <col min="1283" max="1283" width="12.5703125" style="283" bestFit="1" customWidth="1"/>
    <col min="1284" max="1284" width="12.42578125" style="283" bestFit="1" customWidth="1"/>
    <col min="1285" max="1535" width="11.5703125" style="283"/>
    <col min="1536" max="1536" width="4.5703125" style="283" customWidth="1"/>
    <col min="1537" max="1537" width="41.42578125" style="283" customWidth="1"/>
    <col min="1538" max="1538" width="15.85546875" style="283" bestFit="1" customWidth="1"/>
    <col min="1539" max="1539" width="12.5703125" style="283" bestFit="1" customWidth="1"/>
    <col min="1540" max="1540" width="12.42578125" style="283" bestFit="1" customWidth="1"/>
    <col min="1541" max="1791" width="11.5703125" style="283"/>
    <col min="1792" max="1792" width="4.5703125" style="283" customWidth="1"/>
    <col min="1793" max="1793" width="41.42578125" style="283" customWidth="1"/>
    <col min="1794" max="1794" width="15.85546875" style="283" bestFit="1" customWidth="1"/>
    <col min="1795" max="1795" width="12.5703125" style="283" bestFit="1" customWidth="1"/>
    <col min="1796" max="1796" width="12.42578125" style="283" bestFit="1" customWidth="1"/>
    <col min="1797" max="2047" width="11.5703125" style="283"/>
    <col min="2048" max="2048" width="4.5703125" style="283" customWidth="1"/>
    <col min="2049" max="2049" width="41.42578125" style="283" customWidth="1"/>
    <col min="2050" max="2050" width="15.85546875" style="283" bestFit="1" customWidth="1"/>
    <col min="2051" max="2051" width="12.5703125" style="283" bestFit="1" customWidth="1"/>
    <col min="2052" max="2052" width="12.42578125" style="283" bestFit="1" customWidth="1"/>
    <col min="2053" max="2303" width="11.5703125" style="283"/>
    <col min="2304" max="2304" width="4.5703125" style="283" customWidth="1"/>
    <col min="2305" max="2305" width="41.42578125" style="283" customWidth="1"/>
    <col min="2306" max="2306" width="15.85546875" style="283" bestFit="1" customWidth="1"/>
    <col min="2307" max="2307" width="12.5703125" style="283" bestFit="1" customWidth="1"/>
    <col min="2308" max="2308" width="12.42578125" style="283" bestFit="1" customWidth="1"/>
    <col min="2309" max="2559" width="11.5703125" style="283"/>
    <col min="2560" max="2560" width="4.5703125" style="283" customWidth="1"/>
    <col min="2561" max="2561" width="41.42578125" style="283" customWidth="1"/>
    <col min="2562" max="2562" width="15.85546875" style="283" bestFit="1" customWidth="1"/>
    <col min="2563" max="2563" width="12.5703125" style="283" bestFit="1" customWidth="1"/>
    <col min="2564" max="2564" width="12.42578125" style="283" bestFit="1" customWidth="1"/>
    <col min="2565" max="2815" width="11.5703125" style="283"/>
    <col min="2816" max="2816" width="4.5703125" style="283" customWidth="1"/>
    <col min="2817" max="2817" width="41.42578125" style="283" customWidth="1"/>
    <col min="2818" max="2818" width="15.85546875" style="283" bestFit="1" customWidth="1"/>
    <col min="2819" max="2819" width="12.5703125" style="283" bestFit="1" customWidth="1"/>
    <col min="2820" max="2820" width="12.42578125" style="283" bestFit="1" customWidth="1"/>
    <col min="2821" max="3071" width="11.5703125" style="283"/>
    <col min="3072" max="3072" width="4.5703125" style="283" customWidth="1"/>
    <col min="3073" max="3073" width="41.42578125" style="283" customWidth="1"/>
    <col min="3074" max="3074" width="15.85546875" style="283" bestFit="1" customWidth="1"/>
    <col min="3075" max="3075" width="12.5703125" style="283" bestFit="1" customWidth="1"/>
    <col min="3076" max="3076" width="12.42578125" style="283" bestFit="1" customWidth="1"/>
    <col min="3077" max="3327" width="11.5703125" style="283"/>
    <col min="3328" max="3328" width="4.5703125" style="283" customWidth="1"/>
    <col min="3329" max="3329" width="41.42578125" style="283" customWidth="1"/>
    <col min="3330" max="3330" width="15.85546875" style="283" bestFit="1" customWidth="1"/>
    <col min="3331" max="3331" width="12.5703125" style="283" bestFit="1" customWidth="1"/>
    <col min="3332" max="3332" width="12.42578125" style="283" bestFit="1" customWidth="1"/>
    <col min="3333" max="3583" width="11.5703125" style="283"/>
    <col min="3584" max="3584" width="4.5703125" style="283" customWidth="1"/>
    <col min="3585" max="3585" width="41.42578125" style="283" customWidth="1"/>
    <col min="3586" max="3586" width="15.85546875" style="283" bestFit="1" customWidth="1"/>
    <col min="3587" max="3587" width="12.5703125" style="283" bestFit="1" customWidth="1"/>
    <col min="3588" max="3588" width="12.42578125" style="283" bestFit="1" customWidth="1"/>
    <col min="3589" max="3839" width="11.5703125" style="283"/>
    <col min="3840" max="3840" width="4.5703125" style="283" customWidth="1"/>
    <col min="3841" max="3841" width="41.42578125" style="283" customWidth="1"/>
    <col min="3842" max="3842" width="15.85546875" style="283" bestFit="1" customWidth="1"/>
    <col min="3843" max="3843" width="12.5703125" style="283" bestFit="1" customWidth="1"/>
    <col min="3844" max="3844" width="12.42578125" style="283" bestFit="1" customWidth="1"/>
    <col min="3845" max="4095" width="11.5703125" style="283"/>
    <col min="4096" max="4096" width="4.5703125" style="283" customWidth="1"/>
    <col min="4097" max="4097" width="41.42578125" style="283" customWidth="1"/>
    <col min="4098" max="4098" width="15.85546875" style="283" bestFit="1" customWidth="1"/>
    <col min="4099" max="4099" width="12.5703125" style="283" bestFit="1" customWidth="1"/>
    <col min="4100" max="4100" width="12.42578125" style="283" bestFit="1" customWidth="1"/>
    <col min="4101" max="4351" width="11.5703125" style="283"/>
    <col min="4352" max="4352" width="4.5703125" style="283" customWidth="1"/>
    <col min="4353" max="4353" width="41.42578125" style="283" customWidth="1"/>
    <col min="4354" max="4354" width="15.85546875" style="283" bestFit="1" customWidth="1"/>
    <col min="4355" max="4355" width="12.5703125" style="283" bestFit="1" customWidth="1"/>
    <col min="4356" max="4356" width="12.42578125" style="283" bestFit="1" customWidth="1"/>
    <col min="4357" max="4607" width="11.5703125" style="283"/>
    <col min="4608" max="4608" width="4.5703125" style="283" customWidth="1"/>
    <col min="4609" max="4609" width="41.42578125" style="283" customWidth="1"/>
    <col min="4610" max="4610" width="15.85546875" style="283" bestFit="1" customWidth="1"/>
    <col min="4611" max="4611" width="12.5703125" style="283" bestFit="1" customWidth="1"/>
    <col min="4612" max="4612" width="12.42578125" style="283" bestFit="1" customWidth="1"/>
    <col min="4613" max="4863" width="11.5703125" style="283"/>
    <col min="4864" max="4864" width="4.5703125" style="283" customWidth="1"/>
    <col min="4865" max="4865" width="41.42578125" style="283" customWidth="1"/>
    <col min="4866" max="4866" width="15.85546875" style="283" bestFit="1" customWidth="1"/>
    <col min="4867" max="4867" width="12.5703125" style="283" bestFit="1" customWidth="1"/>
    <col min="4868" max="4868" width="12.42578125" style="283" bestFit="1" customWidth="1"/>
    <col min="4869" max="5119" width="11.5703125" style="283"/>
    <col min="5120" max="5120" width="4.5703125" style="283" customWidth="1"/>
    <col min="5121" max="5121" width="41.42578125" style="283" customWidth="1"/>
    <col min="5122" max="5122" width="15.85546875" style="283" bestFit="1" customWidth="1"/>
    <col min="5123" max="5123" width="12.5703125" style="283" bestFit="1" customWidth="1"/>
    <col min="5124" max="5124" width="12.42578125" style="283" bestFit="1" customWidth="1"/>
    <col min="5125" max="5375" width="11.5703125" style="283"/>
    <col min="5376" max="5376" width="4.5703125" style="283" customWidth="1"/>
    <col min="5377" max="5377" width="41.42578125" style="283" customWidth="1"/>
    <col min="5378" max="5378" width="15.85546875" style="283" bestFit="1" customWidth="1"/>
    <col min="5379" max="5379" width="12.5703125" style="283" bestFit="1" customWidth="1"/>
    <col min="5380" max="5380" width="12.42578125" style="283" bestFit="1" customWidth="1"/>
    <col min="5381" max="5631" width="11.5703125" style="283"/>
    <col min="5632" max="5632" width="4.5703125" style="283" customWidth="1"/>
    <col min="5633" max="5633" width="41.42578125" style="283" customWidth="1"/>
    <col min="5634" max="5634" width="15.85546875" style="283" bestFit="1" customWidth="1"/>
    <col min="5635" max="5635" width="12.5703125" style="283" bestFit="1" customWidth="1"/>
    <col min="5636" max="5636" width="12.42578125" style="283" bestFit="1" customWidth="1"/>
    <col min="5637" max="5887" width="11.5703125" style="283"/>
    <col min="5888" max="5888" width="4.5703125" style="283" customWidth="1"/>
    <col min="5889" max="5889" width="41.42578125" style="283" customWidth="1"/>
    <col min="5890" max="5890" width="15.85546875" style="283" bestFit="1" customWidth="1"/>
    <col min="5891" max="5891" width="12.5703125" style="283" bestFit="1" customWidth="1"/>
    <col min="5892" max="5892" width="12.42578125" style="283" bestFit="1" customWidth="1"/>
    <col min="5893" max="6143" width="11.5703125" style="283"/>
    <col min="6144" max="6144" width="4.5703125" style="283" customWidth="1"/>
    <col min="6145" max="6145" width="41.42578125" style="283" customWidth="1"/>
    <col min="6146" max="6146" width="15.85546875" style="283" bestFit="1" customWidth="1"/>
    <col min="6147" max="6147" width="12.5703125" style="283" bestFit="1" customWidth="1"/>
    <col min="6148" max="6148" width="12.42578125" style="283" bestFit="1" customWidth="1"/>
    <col min="6149" max="6399" width="11.5703125" style="283"/>
    <col min="6400" max="6400" width="4.5703125" style="283" customWidth="1"/>
    <col min="6401" max="6401" width="41.42578125" style="283" customWidth="1"/>
    <col min="6402" max="6402" width="15.85546875" style="283" bestFit="1" customWidth="1"/>
    <col min="6403" max="6403" width="12.5703125" style="283" bestFit="1" customWidth="1"/>
    <col min="6404" max="6404" width="12.42578125" style="283" bestFit="1" customWidth="1"/>
    <col min="6405" max="6655" width="11.5703125" style="283"/>
    <col min="6656" max="6656" width="4.5703125" style="283" customWidth="1"/>
    <col min="6657" max="6657" width="41.42578125" style="283" customWidth="1"/>
    <col min="6658" max="6658" width="15.85546875" style="283" bestFit="1" customWidth="1"/>
    <col min="6659" max="6659" width="12.5703125" style="283" bestFit="1" customWidth="1"/>
    <col min="6660" max="6660" width="12.42578125" style="283" bestFit="1" customWidth="1"/>
    <col min="6661" max="6911" width="11.5703125" style="283"/>
    <col min="6912" max="6912" width="4.5703125" style="283" customWidth="1"/>
    <col min="6913" max="6913" width="41.42578125" style="283" customWidth="1"/>
    <col min="6914" max="6914" width="15.85546875" style="283" bestFit="1" customWidth="1"/>
    <col min="6915" max="6915" width="12.5703125" style="283" bestFit="1" customWidth="1"/>
    <col min="6916" max="6916" width="12.42578125" style="283" bestFit="1" customWidth="1"/>
    <col min="6917" max="7167" width="11.5703125" style="283"/>
    <col min="7168" max="7168" width="4.5703125" style="283" customWidth="1"/>
    <col min="7169" max="7169" width="41.42578125" style="283" customWidth="1"/>
    <col min="7170" max="7170" width="15.85546875" style="283" bestFit="1" customWidth="1"/>
    <col min="7171" max="7171" width="12.5703125" style="283" bestFit="1" customWidth="1"/>
    <col min="7172" max="7172" width="12.42578125" style="283" bestFit="1" customWidth="1"/>
    <col min="7173" max="7423" width="11.5703125" style="283"/>
    <col min="7424" max="7424" width="4.5703125" style="283" customWidth="1"/>
    <col min="7425" max="7425" width="41.42578125" style="283" customWidth="1"/>
    <col min="7426" max="7426" width="15.85546875" style="283" bestFit="1" customWidth="1"/>
    <col min="7427" max="7427" width="12.5703125" style="283" bestFit="1" customWidth="1"/>
    <col min="7428" max="7428" width="12.42578125" style="283" bestFit="1" customWidth="1"/>
    <col min="7429" max="7679" width="11.5703125" style="283"/>
    <col min="7680" max="7680" width="4.5703125" style="283" customWidth="1"/>
    <col min="7681" max="7681" width="41.42578125" style="283" customWidth="1"/>
    <col min="7682" max="7682" width="15.85546875" style="283" bestFit="1" customWidth="1"/>
    <col min="7683" max="7683" width="12.5703125" style="283" bestFit="1" customWidth="1"/>
    <col min="7684" max="7684" width="12.42578125" style="283" bestFit="1" customWidth="1"/>
    <col min="7685" max="7935" width="11.5703125" style="283"/>
    <col min="7936" max="7936" width="4.5703125" style="283" customWidth="1"/>
    <col min="7937" max="7937" width="41.42578125" style="283" customWidth="1"/>
    <col min="7938" max="7938" width="15.85546875" style="283" bestFit="1" customWidth="1"/>
    <col min="7939" max="7939" width="12.5703125" style="283" bestFit="1" customWidth="1"/>
    <col min="7940" max="7940" width="12.42578125" style="283" bestFit="1" customWidth="1"/>
    <col min="7941" max="8191" width="11.5703125" style="283"/>
    <col min="8192" max="8192" width="4.5703125" style="283" customWidth="1"/>
    <col min="8193" max="8193" width="41.42578125" style="283" customWidth="1"/>
    <col min="8194" max="8194" width="15.85546875" style="283" bestFit="1" customWidth="1"/>
    <col min="8195" max="8195" width="12.5703125" style="283" bestFit="1" customWidth="1"/>
    <col min="8196" max="8196" width="12.42578125" style="283" bestFit="1" customWidth="1"/>
    <col min="8197" max="8447" width="11.5703125" style="283"/>
    <col min="8448" max="8448" width="4.5703125" style="283" customWidth="1"/>
    <col min="8449" max="8449" width="41.42578125" style="283" customWidth="1"/>
    <col min="8450" max="8450" width="15.85546875" style="283" bestFit="1" customWidth="1"/>
    <col min="8451" max="8451" width="12.5703125" style="283" bestFit="1" customWidth="1"/>
    <col min="8452" max="8452" width="12.42578125" style="283" bestFit="1" customWidth="1"/>
    <col min="8453" max="8703" width="11.5703125" style="283"/>
    <col min="8704" max="8704" width="4.5703125" style="283" customWidth="1"/>
    <col min="8705" max="8705" width="41.42578125" style="283" customWidth="1"/>
    <col min="8706" max="8706" width="15.85546875" style="283" bestFit="1" customWidth="1"/>
    <col min="8707" max="8707" width="12.5703125" style="283" bestFit="1" customWidth="1"/>
    <col min="8708" max="8708" width="12.42578125" style="283" bestFit="1" customWidth="1"/>
    <col min="8709" max="8959" width="11.5703125" style="283"/>
    <col min="8960" max="8960" width="4.5703125" style="283" customWidth="1"/>
    <col min="8961" max="8961" width="41.42578125" style="283" customWidth="1"/>
    <col min="8962" max="8962" width="15.85546875" style="283" bestFit="1" customWidth="1"/>
    <col min="8963" max="8963" width="12.5703125" style="283" bestFit="1" customWidth="1"/>
    <col min="8964" max="8964" width="12.42578125" style="283" bestFit="1" customWidth="1"/>
    <col min="8965" max="9215" width="11.5703125" style="283"/>
    <col min="9216" max="9216" width="4.5703125" style="283" customWidth="1"/>
    <col min="9217" max="9217" width="41.42578125" style="283" customWidth="1"/>
    <col min="9218" max="9218" width="15.85546875" style="283" bestFit="1" customWidth="1"/>
    <col min="9219" max="9219" width="12.5703125" style="283" bestFit="1" customWidth="1"/>
    <col min="9220" max="9220" width="12.42578125" style="283" bestFit="1" customWidth="1"/>
    <col min="9221" max="9471" width="11.5703125" style="283"/>
    <col min="9472" max="9472" width="4.5703125" style="283" customWidth="1"/>
    <col min="9473" max="9473" width="41.42578125" style="283" customWidth="1"/>
    <col min="9474" max="9474" width="15.85546875" style="283" bestFit="1" customWidth="1"/>
    <col min="9475" max="9475" width="12.5703125" style="283" bestFit="1" customWidth="1"/>
    <col min="9476" max="9476" width="12.42578125" style="283" bestFit="1" customWidth="1"/>
    <col min="9477" max="9727" width="11.5703125" style="283"/>
    <col min="9728" max="9728" width="4.5703125" style="283" customWidth="1"/>
    <col min="9729" max="9729" width="41.42578125" style="283" customWidth="1"/>
    <col min="9730" max="9730" width="15.85546875" style="283" bestFit="1" customWidth="1"/>
    <col min="9731" max="9731" width="12.5703125" style="283" bestFit="1" customWidth="1"/>
    <col min="9732" max="9732" width="12.42578125" style="283" bestFit="1" customWidth="1"/>
    <col min="9733" max="9983" width="11.5703125" style="283"/>
    <col min="9984" max="9984" width="4.5703125" style="283" customWidth="1"/>
    <col min="9985" max="9985" width="41.42578125" style="283" customWidth="1"/>
    <col min="9986" max="9986" width="15.85546875" style="283" bestFit="1" customWidth="1"/>
    <col min="9987" max="9987" width="12.5703125" style="283" bestFit="1" customWidth="1"/>
    <col min="9988" max="9988" width="12.42578125" style="283" bestFit="1" customWidth="1"/>
    <col min="9989" max="10239" width="11.5703125" style="283"/>
    <col min="10240" max="10240" width="4.5703125" style="283" customWidth="1"/>
    <col min="10241" max="10241" width="41.42578125" style="283" customWidth="1"/>
    <col min="10242" max="10242" width="15.85546875" style="283" bestFit="1" customWidth="1"/>
    <col min="10243" max="10243" width="12.5703125" style="283" bestFit="1" customWidth="1"/>
    <col min="10244" max="10244" width="12.42578125" style="283" bestFit="1" customWidth="1"/>
    <col min="10245" max="10495" width="11.5703125" style="283"/>
    <col min="10496" max="10496" width="4.5703125" style="283" customWidth="1"/>
    <col min="10497" max="10497" width="41.42578125" style="283" customWidth="1"/>
    <col min="10498" max="10498" width="15.85546875" style="283" bestFit="1" customWidth="1"/>
    <col min="10499" max="10499" width="12.5703125" style="283" bestFit="1" customWidth="1"/>
    <col min="10500" max="10500" width="12.42578125" style="283" bestFit="1" customWidth="1"/>
    <col min="10501" max="10751" width="11.5703125" style="283"/>
    <col min="10752" max="10752" width="4.5703125" style="283" customWidth="1"/>
    <col min="10753" max="10753" width="41.42578125" style="283" customWidth="1"/>
    <col min="10754" max="10754" width="15.85546875" style="283" bestFit="1" customWidth="1"/>
    <col min="10755" max="10755" width="12.5703125" style="283" bestFit="1" customWidth="1"/>
    <col min="10756" max="10756" width="12.42578125" style="283" bestFit="1" customWidth="1"/>
    <col min="10757" max="11007" width="11.5703125" style="283"/>
    <col min="11008" max="11008" width="4.5703125" style="283" customWidth="1"/>
    <col min="11009" max="11009" width="41.42578125" style="283" customWidth="1"/>
    <col min="11010" max="11010" width="15.85546875" style="283" bestFit="1" customWidth="1"/>
    <col min="11011" max="11011" width="12.5703125" style="283" bestFit="1" customWidth="1"/>
    <col min="11012" max="11012" width="12.42578125" style="283" bestFit="1" customWidth="1"/>
    <col min="11013" max="11263" width="11.5703125" style="283"/>
    <col min="11264" max="11264" width="4.5703125" style="283" customWidth="1"/>
    <col min="11265" max="11265" width="41.42578125" style="283" customWidth="1"/>
    <col min="11266" max="11266" width="15.85546875" style="283" bestFit="1" customWidth="1"/>
    <col min="11267" max="11267" width="12.5703125" style="283" bestFit="1" customWidth="1"/>
    <col min="11268" max="11268" width="12.42578125" style="283" bestFit="1" customWidth="1"/>
    <col min="11269" max="11519" width="11.5703125" style="283"/>
    <col min="11520" max="11520" width="4.5703125" style="283" customWidth="1"/>
    <col min="11521" max="11521" width="41.42578125" style="283" customWidth="1"/>
    <col min="11522" max="11522" width="15.85546875" style="283" bestFit="1" customWidth="1"/>
    <col min="11523" max="11523" width="12.5703125" style="283" bestFit="1" customWidth="1"/>
    <col min="11524" max="11524" width="12.42578125" style="283" bestFit="1" customWidth="1"/>
    <col min="11525" max="11775" width="11.5703125" style="283"/>
    <col min="11776" max="11776" width="4.5703125" style="283" customWidth="1"/>
    <col min="11777" max="11777" width="41.42578125" style="283" customWidth="1"/>
    <col min="11778" max="11778" width="15.85546875" style="283" bestFit="1" customWidth="1"/>
    <col min="11779" max="11779" width="12.5703125" style="283" bestFit="1" customWidth="1"/>
    <col min="11780" max="11780" width="12.42578125" style="283" bestFit="1" customWidth="1"/>
    <col min="11781" max="12031" width="11.5703125" style="283"/>
    <col min="12032" max="12032" width="4.5703125" style="283" customWidth="1"/>
    <col min="12033" max="12033" width="41.42578125" style="283" customWidth="1"/>
    <col min="12034" max="12034" width="15.85546875" style="283" bestFit="1" customWidth="1"/>
    <col min="12035" max="12035" width="12.5703125" style="283" bestFit="1" customWidth="1"/>
    <col min="12036" max="12036" width="12.42578125" style="283" bestFit="1" customWidth="1"/>
    <col min="12037" max="12287" width="11.5703125" style="283"/>
    <col min="12288" max="12288" width="4.5703125" style="283" customWidth="1"/>
    <col min="12289" max="12289" width="41.42578125" style="283" customWidth="1"/>
    <col min="12290" max="12290" width="15.85546875" style="283" bestFit="1" customWidth="1"/>
    <col min="12291" max="12291" width="12.5703125" style="283" bestFit="1" customWidth="1"/>
    <col min="12292" max="12292" width="12.42578125" style="283" bestFit="1" customWidth="1"/>
    <col min="12293" max="12543" width="11.5703125" style="283"/>
    <col min="12544" max="12544" width="4.5703125" style="283" customWidth="1"/>
    <col min="12545" max="12545" width="41.42578125" style="283" customWidth="1"/>
    <col min="12546" max="12546" width="15.85546875" style="283" bestFit="1" customWidth="1"/>
    <col min="12547" max="12547" width="12.5703125" style="283" bestFit="1" customWidth="1"/>
    <col min="12548" max="12548" width="12.42578125" style="283" bestFit="1" customWidth="1"/>
    <col min="12549" max="12799" width="11.5703125" style="283"/>
    <col min="12800" max="12800" width="4.5703125" style="283" customWidth="1"/>
    <col min="12801" max="12801" width="41.42578125" style="283" customWidth="1"/>
    <col min="12802" max="12802" width="15.85546875" style="283" bestFit="1" customWidth="1"/>
    <col min="12803" max="12803" width="12.5703125" style="283" bestFit="1" customWidth="1"/>
    <col min="12804" max="12804" width="12.42578125" style="283" bestFit="1" customWidth="1"/>
    <col min="12805" max="13055" width="11.5703125" style="283"/>
    <col min="13056" max="13056" width="4.5703125" style="283" customWidth="1"/>
    <col min="13057" max="13057" width="41.42578125" style="283" customWidth="1"/>
    <col min="13058" max="13058" width="15.85546875" style="283" bestFit="1" customWidth="1"/>
    <col min="13059" max="13059" width="12.5703125" style="283" bestFit="1" customWidth="1"/>
    <col min="13060" max="13060" width="12.42578125" style="283" bestFit="1" customWidth="1"/>
    <col min="13061" max="13311" width="11.5703125" style="283"/>
    <col min="13312" max="13312" width="4.5703125" style="283" customWidth="1"/>
    <col min="13313" max="13313" width="41.42578125" style="283" customWidth="1"/>
    <col min="13314" max="13314" width="15.85546875" style="283" bestFit="1" customWidth="1"/>
    <col min="13315" max="13315" width="12.5703125" style="283" bestFit="1" customWidth="1"/>
    <col min="13316" max="13316" width="12.42578125" style="283" bestFit="1" customWidth="1"/>
    <col min="13317" max="13567" width="11.5703125" style="283"/>
    <col min="13568" max="13568" width="4.5703125" style="283" customWidth="1"/>
    <col min="13569" max="13569" width="41.42578125" style="283" customWidth="1"/>
    <col min="13570" max="13570" width="15.85546875" style="283" bestFit="1" customWidth="1"/>
    <col min="13571" max="13571" width="12.5703125" style="283" bestFit="1" customWidth="1"/>
    <col min="13572" max="13572" width="12.42578125" style="283" bestFit="1" customWidth="1"/>
    <col min="13573" max="13823" width="11.5703125" style="283"/>
    <col min="13824" max="13824" width="4.5703125" style="283" customWidth="1"/>
    <col min="13825" max="13825" width="41.42578125" style="283" customWidth="1"/>
    <col min="13826" max="13826" width="15.85546875" style="283" bestFit="1" customWidth="1"/>
    <col min="13827" max="13827" width="12.5703125" style="283" bestFit="1" customWidth="1"/>
    <col min="13828" max="13828" width="12.42578125" style="283" bestFit="1" customWidth="1"/>
    <col min="13829" max="14079" width="11.5703125" style="283"/>
    <col min="14080" max="14080" width="4.5703125" style="283" customWidth="1"/>
    <col min="14081" max="14081" width="41.42578125" style="283" customWidth="1"/>
    <col min="14082" max="14082" width="15.85546875" style="283" bestFit="1" customWidth="1"/>
    <col min="14083" max="14083" width="12.5703125" style="283" bestFit="1" customWidth="1"/>
    <col min="14084" max="14084" width="12.42578125" style="283" bestFit="1" customWidth="1"/>
    <col min="14085" max="14335" width="11.5703125" style="283"/>
    <col min="14336" max="14336" width="4.5703125" style="283" customWidth="1"/>
    <col min="14337" max="14337" width="41.42578125" style="283" customWidth="1"/>
    <col min="14338" max="14338" width="15.85546875" style="283" bestFit="1" customWidth="1"/>
    <col min="14339" max="14339" width="12.5703125" style="283" bestFit="1" customWidth="1"/>
    <col min="14340" max="14340" width="12.42578125" style="283" bestFit="1" customWidth="1"/>
    <col min="14341" max="14591" width="11.5703125" style="283"/>
    <col min="14592" max="14592" width="4.5703125" style="283" customWidth="1"/>
    <col min="14593" max="14593" width="41.42578125" style="283" customWidth="1"/>
    <col min="14594" max="14594" width="15.85546875" style="283" bestFit="1" customWidth="1"/>
    <col min="14595" max="14595" width="12.5703125" style="283" bestFit="1" customWidth="1"/>
    <col min="14596" max="14596" width="12.42578125" style="283" bestFit="1" customWidth="1"/>
    <col min="14597" max="14847" width="11.5703125" style="283"/>
    <col min="14848" max="14848" width="4.5703125" style="283" customWidth="1"/>
    <col min="14849" max="14849" width="41.42578125" style="283" customWidth="1"/>
    <col min="14850" max="14850" width="15.85546875" style="283" bestFit="1" customWidth="1"/>
    <col min="14851" max="14851" width="12.5703125" style="283" bestFit="1" customWidth="1"/>
    <col min="14852" max="14852" width="12.42578125" style="283" bestFit="1" customWidth="1"/>
    <col min="14853" max="15103" width="11.5703125" style="283"/>
    <col min="15104" max="15104" width="4.5703125" style="283" customWidth="1"/>
    <col min="15105" max="15105" width="41.42578125" style="283" customWidth="1"/>
    <col min="15106" max="15106" width="15.85546875" style="283" bestFit="1" customWidth="1"/>
    <col min="15107" max="15107" width="12.5703125" style="283" bestFit="1" customWidth="1"/>
    <col min="15108" max="15108" width="12.42578125" style="283" bestFit="1" customWidth="1"/>
    <col min="15109" max="15359" width="11.5703125" style="283"/>
    <col min="15360" max="15360" width="4.5703125" style="283" customWidth="1"/>
    <col min="15361" max="15361" width="41.42578125" style="283" customWidth="1"/>
    <col min="15362" max="15362" width="15.85546875" style="283" bestFit="1" customWidth="1"/>
    <col min="15363" max="15363" width="12.5703125" style="283" bestFit="1" customWidth="1"/>
    <col min="15364" max="15364" width="12.42578125" style="283" bestFit="1" customWidth="1"/>
    <col min="15365" max="15615" width="11.5703125" style="283"/>
    <col min="15616" max="15616" width="4.5703125" style="283" customWidth="1"/>
    <col min="15617" max="15617" width="41.42578125" style="283" customWidth="1"/>
    <col min="15618" max="15618" width="15.85546875" style="283" bestFit="1" customWidth="1"/>
    <col min="15619" max="15619" width="12.5703125" style="283" bestFit="1" customWidth="1"/>
    <col min="15620" max="15620" width="12.42578125" style="283" bestFit="1" customWidth="1"/>
    <col min="15621" max="15871" width="11.5703125" style="283"/>
    <col min="15872" max="15872" width="4.5703125" style="283" customWidth="1"/>
    <col min="15873" max="15873" width="41.42578125" style="283" customWidth="1"/>
    <col min="15874" max="15874" width="15.85546875" style="283" bestFit="1" customWidth="1"/>
    <col min="15875" max="15875" width="12.5703125" style="283" bestFit="1" customWidth="1"/>
    <col min="15876" max="15876" width="12.42578125" style="283" bestFit="1" customWidth="1"/>
    <col min="15877" max="16127" width="11.5703125" style="283"/>
    <col min="16128" max="16128" width="4.5703125" style="283" customWidth="1"/>
    <col min="16129" max="16129" width="41.42578125" style="283" customWidth="1"/>
    <col min="16130" max="16130" width="15.85546875" style="283" bestFit="1" customWidth="1"/>
    <col min="16131" max="16131" width="12.5703125" style="283" bestFit="1" customWidth="1"/>
    <col min="16132" max="16132" width="12.42578125" style="283" bestFit="1" customWidth="1"/>
    <col min="16133" max="16384" width="11.5703125" style="283"/>
  </cols>
  <sheetData>
    <row r="1" spans="1:5" ht="6" customHeight="1">
      <c r="A1" s="329" t="str">
        <f>+'GS PRINCIPAL '!A3</f>
        <v>ANALISIS  DE  GASTOS  DE SUPERVISION  DE  LA  OBRA: “MEJORAMIENTO DEL SERVICIO DE EDUCACIÓN SUPERIOR ARTÍSTICA EN ERNESTO LÓPEZ MINDREAU"</v>
      </c>
      <c r="B1" s="329"/>
      <c r="C1" s="329"/>
      <c r="D1" s="329"/>
    </row>
    <row r="2" spans="1:5" ht="30" customHeight="1">
      <c r="A2" s="329"/>
      <c r="B2" s="329"/>
      <c r="C2" s="329"/>
      <c r="D2" s="329"/>
    </row>
    <row r="3" spans="1:5" ht="13.15" customHeight="1">
      <c r="A3" s="330" t="s">
        <v>165</v>
      </c>
      <c r="B3" s="330"/>
      <c r="C3" s="331" t="s">
        <v>166</v>
      </c>
      <c r="D3" s="331"/>
    </row>
    <row r="4" spans="1:5">
      <c r="A4" s="330"/>
      <c r="B4" s="330"/>
      <c r="C4" s="284" t="s">
        <v>53</v>
      </c>
      <c r="D4" s="284" t="s">
        <v>167</v>
      </c>
    </row>
    <row r="5" spans="1:5">
      <c r="A5" s="332" t="s">
        <v>186</v>
      </c>
      <c r="B5" s="333"/>
      <c r="C5" s="333"/>
      <c r="D5" s="334"/>
    </row>
    <row r="6" spans="1:5">
      <c r="A6" s="285"/>
      <c r="B6" s="286" t="s">
        <v>185</v>
      </c>
      <c r="C6" s="287">
        <v>16451929.84</v>
      </c>
      <c r="D6" s="288"/>
    </row>
    <row r="7" spans="1:5">
      <c r="A7" s="285" t="s">
        <v>169</v>
      </c>
      <c r="B7" s="289" t="s">
        <v>170</v>
      </c>
      <c r="C7" s="286"/>
      <c r="D7" s="288"/>
    </row>
    <row r="8" spans="1:5">
      <c r="A8" s="285"/>
      <c r="B8" s="290" t="s">
        <v>187</v>
      </c>
      <c r="C8" s="291">
        <f>+SUM(C9:C10)</f>
        <v>0</v>
      </c>
      <c r="D8" s="308">
        <f>+C8/C6</f>
        <v>0</v>
      </c>
    </row>
    <row r="9" spans="1:5">
      <c r="A9" s="285"/>
      <c r="B9" s="292" t="s">
        <v>152</v>
      </c>
      <c r="C9" s="293">
        <f>+'GS PRINCIPAL '!J76</f>
        <v>0</v>
      </c>
      <c r="D9" s="294"/>
    </row>
    <row r="10" spans="1:5">
      <c r="A10" s="285"/>
      <c r="B10" s="292" t="s">
        <v>154</v>
      </c>
      <c r="C10" s="293">
        <f>+'GS PRINCIPAL '!J86</f>
        <v>0</v>
      </c>
      <c r="D10" s="294"/>
    </row>
    <row r="11" spans="1:5">
      <c r="A11" s="285"/>
      <c r="B11" s="290" t="s">
        <v>188</v>
      </c>
      <c r="C11" s="291">
        <f>+SUM(C12:C13)</f>
        <v>0</v>
      </c>
      <c r="D11" s="308">
        <f>+C11/C6</f>
        <v>0</v>
      </c>
    </row>
    <row r="12" spans="1:5">
      <c r="A12" s="285"/>
      <c r="B12" s="292" t="s">
        <v>152</v>
      </c>
      <c r="C12" s="293">
        <f>+'GS PRINCIPAL '!J77</f>
        <v>0</v>
      </c>
      <c r="D12" s="294"/>
    </row>
    <row r="13" spans="1:5">
      <c r="A13" s="285"/>
      <c r="B13" s="292" t="s">
        <v>173</v>
      </c>
      <c r="C13" s="293">
        <f>+'GS PRINCIPAL '!J87</f>
        <v>0</v>
      </c>
      <c r="D13" s="294"/>
    </row>
    <row r="14" spans="1:5">
      <c r="A14" s="295"/>
      <c r="B14" s="296" t="s">
        <v>174</v>
      </c>
      <c r="C14" s="297">
        <f>+C11+C8</f>
        <v>0</v>
      </c>
      <c r="D14" s="298"/>
    </row>
    <row r="15" spans="1:5">
      <c r="A15" s="285"/>
      <c r="B15" s="292" t="s">
        <v>175</v>
      </c>
      <c r="C15" s="293">
        <f>+ROUND(C14*0.18,2)</f>
        <v>0</v>
      </c>
      <c r="D15" s="308">
        <f>+C15/C6</f>
        <v>0</v>
      </c>
    </row>
    <row r="16" spans="1:5">
      <c r="A16" s="299"/>
      <c r="B16" s="300" t="s">
        <v>191</v>
      </c>
      <c r="C16" s="301">
        <f>+C15+C14</f>
        <v>0</v>
      </c>
      <c r="D16" s="309">
        <f>+C16/C6</f>
        <v>0</v>
      </c>
      <c r="E16" s="306">
        <f>0.0322862836*C6</f>
        <v>531171.67258154263</v>
      </c>
    </row>
    <row r="17" spans="1:6">
      <c r="A17" s="335" t="s">
        <v>190</v>
      </c>
      <c r="B17" s="335"/>
      <c r="C17" s="335"/>
      <c r="D17" s="335"/>
    </row>
    <row r="18" spans="1:6">
      <c r="A18" s="302" t="s">
        <v>192</v>
      </c>
      <c r="B18" s="302"/>
      <c r="C18" s="303"/>
      <c r="D18" s="303"/>
    </row>
    <row r="19" spans="1:6">
      <c r="A19" s="328" t="s">
        <v>178</v>
      </c>
      <c r="B19" s="328"/>
      <c r="C19" s="304">
        <f>+C9+C12+ROUND(SUM(C9,C12)*0.18,2)</f>
        <v>0</v>
      </c>
      <c r="D19" s="310">
        <f>+C19/C6</f>
        <v>0</v>
      </c>
    </row>
    <row r="20" spans="1:6">
      <c r="A20" s="328" t="s">
        <v>179</v>
      </c>
      <c r="B20" s="328"/>
      <c r="C20" s="304">
        <f>+C10+C13+ROUND(SUM(C10,C13)*0.18,2)</f>
        <v>0</v>
      </c>
      <c r="D20" s="310">
        <f>+C20/C6</f>
        <v>0</v>
      </c>
      <c r="F20" s="283">
        <v>7.5723077483812143E-2</v>
      </c>
    </row>
    <row r="21" spans="1:6">
      <c r="A21" s="302" t="s">
        <v>180</v>
      </c>
      <c r="B21" s="302"/>
      <c r="C21" s="305">
        <f>+C20+C19</f>
        <v>0</v>
      </c>
      <c r="D21" s="311">
        <f>+C21/C6</f>
        <v>0</v>
      </c>
    </row>
    <row r="22" spans="1:6">
      <c r="C22" s="306"/>
    </row>
    <row r="23" spans="1:6">
      <c r="C23" s="307" t="e">
        <f>+#REF!-'GS PRINCIPAL '!J92-#REF!</f>
        <v>#REF!</v>
      </c>
    </row>
  </sheetData>
  <mergeCells count="7">
    <mergeCell ref="A20:B20"/>
    <mergeCell ref="A1:D2"/>
    <mergeCell ref="A3:B4"/>
    <mergeCell ref="C3:D3"/>
    <mergeCell ref="A19:B19"/>
    <mergeCell ref="A5:D5"/>
    <mergeCell ref="A17:D17"/>
  </mergeCells>
  <printOptions horizontalCentered="1" verticalCentered="1"/>
  <pageMargins left="0.47244094488188981" right="0.43307086614173229" top="0.74803149606299213" bottom="0.74803149606299213" header="0.31496062992125984" footer="0.31496062992125984"/>
  <pageSetup scale="10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"/>
  <sheetViews>
    <sheetView showGridLines="0" tabSelected="1" view="pageBreakPreview" zoomScaleNormal="60" zoomScaleSheetLayoutView="100" workbookViewId="0">
      <selection activeCell="C9" sqref="C9"/>
    </sheetView>
  </sheetViews>
  <sheetFormatPr baseColWidth="10" defaultColWidth="9.140625" defaultRowHeight="12.75"/>
  <cols>
    <col min="1" max="1" width="29.140625" customWidth="1"/>
    <col min="2" max="2" width="2.42578125" customWidth="1"/>
    <col min="3" max="3" width="53.5703125" customWidth="1"/>
    <col min="4" max="4" width="6.7109375" customWidth="1"/>
    <col min="5" max="5" width="11.7109375" customWidth="1"/>
    <col min="6" max="6" width="11" customWidth="1"/>
    <col min="7" max="7" width="8.5703125" bestFit="1" customWidth="1"/>
    <col min="8" max="8" width="17.42578125" customWidth="1"/>
    <col min="9" max="9" width="13" bestFit="1" customWidth="1"/>
    <col min="10" max="10" width="20.28515625" customWidth="1"/>
    <col min="11" max="11" width="26" hidden="1" customWidth="1"/>
    <col min="12" max="12" width="17" customWidth="1"/>
    <col min="13" max="13" width="19.42578125" customWidth="1"/>
    <col min="14" max="14" width="14.28515625" customWidth="1"/>
    <col min="15" max="16" width="11.42578125" customWidth="1"/>
    <col min="17" max="17" width="18.28515625" customWidth="1"/>
  </cols>
  <sheetData>
    <row r="1" spans="1:20">
      <c r="A1" s="110"/>
      <c r="B1" s="111"/>
      <c r="C1" s="111"/>
      <c r="D1" s="111"/>
      <c r="E1" s="111"/>
      <c r="F1" s="111"/>
      <c r="G1" s="111"/>
      <c r="H1" s="111"/>
      <c r="I1" s="111"/>
      <c r="J1" s="112"/>
    </row>
    <row r="2" spans="1:20" ht="20.25">
      <c r="A2" s="364" t="s">
        <v>189</v>
      </c>
      <c r="B2" s="365"/>
      <c r="C2" s="365"/>
      <c r="D2" s="365"/>
      <c r="E2" s="365"/>
      <c r="F2" s="365"/>
      <c r="G2" s="365"/>
      <c r="H2" s="365"/>
      <c r="I2" s="365"/>
      <c r="J2" s="366"/>
    </row>
    <row r="3" spans="1:20" ht="22.15" customHeight="1">
      <c r="A3" s="375" t="s">
        <v>193</v>
      </c>
      <c r="B3" s="375"/>
      <c r="C3" s="375"/>
      <c r="D3" s="375"/>
      <c r="E3" s="375"/>
      <c r="F3" s="375"/>
      <c r="G3" s="375"/>
      <c r="H3" s="375"/>
      <c r="I3" s="375"/>
      <c r="J3" s="375"/>
    </row>
    <row r="4" spans="1:20" ht="22.15" customHeight="1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62"/>
      <c r="L4" s="362"/>
      <c r="M4" s="362"/>
      <c r="N4" s="362"/>
      <c r="O4" s="362"/>
      <c r="P4" s="362"/>
      <c r="Q4" s="362"/>
      <c r="R4" s="362"/>
      <c r="S4" s="362"/>
      <c r="T4" s="362"/>
    </row>
    <row r="5" spans="1:20" ht="15.75">
      <c r="A5" s="115" t="s">
        <v>76</v>
      </c>
      <c r="B5" s="3" t="s">
        <v>77</v>
      </c>
      <c r="C5" s="102">
        <v>10</v>
      </c>
      <c r="D5" s="3"/>
      <c r="E5" s="2"/>
      <c r="F5" s="2"/>
      <c r="G5" s="2"/>
      <c r="H5" s="2"/>
      <c r="I5" s="2"/>
      <c r="J5" s="116"/>
    </row>
    <row r="6" spans="1:20" ht="15.75">
      <c r="A6" s="115" t="s">
        <v>74</v>
      </c>
      <c r="B6" s="3" t="s">
        <v>73</v>
      </c>
      <c r="C6" s="103" t="s">
        <v>75</v>
      </c>
      <c r="D6" s="3"/>
      <c r="E6" s="4"/>
      <c r="F6" s="4"/>
      <c r="G6" s="4"/>
      <c r="H6" s="4"/>
      <c r="I6" s="4"/>
      <c r="J6" s="117"/>
      <c r="K6" s="363"/>
      <c r="L6" s="363"/>
      <c r="M6" s="363"/>
    </row>
    <row r="7" spans="1:20" ht="15.75">
      <c r="A7" s="115" t="s">
        <v>79</v>
      </c>
      <c r="B7" s="118" t="s">
        <v>78</v>
      </c>
      <c r="C7" s="140" t="s">
        <v>80</v>
      </c>
      <c r="D7" s="3"/>
      <c r="E7" s="4"/>
      <c r="F7" s="4"/>
      <c r="G7" s="4"/>
      <c r="H7" s="4"/>
      <c r="I7" s="4"/>
      <c r="J7" s="117"/>
      <c r="K7" s="120"/>
    </row>
    <row r="8" spans="1:20" ht="15">
      <c r="A8" s="119" t="s">
        <v>71</v>
      </c>
      <c r="B8" s="98"/>
      <c r="C8" s="198">
        <v>0</v>
      </c>
      <c r="D8" s="197"/>
      <c r="E8" s="197"/>
      <c r="F8" s="120"/>
      <c r="G8" s="4"/>
      <c r="H8" s="120"/>
      <c r="I8" s="72"/>
      <c r="J8" s="121"/>
      <c r="K8" s="120"/>
    </row>
    <row r="9" spans="1:20" ht="7.5" customHeight="1" thickBot="1">
      <c r="A9" s="113"/>
      <c r="C9" s="105"/>
      <c r="J9" s="114"/>
    </row>
    <row r="10" spans="1:20" ht="18.75" thickBot="1">
      <c r="A10" s="346" t="s">
        <v>152</v>
      </c>
      <c r="B10" s="347"/>
      <c r="C10" s="347"/>
      <c r="D10" s="347"/>
      <c r="E10" s="347"/>
      <c r="F10" s="347"/>
      <c r="G10" s="347"/>
      <c r="H10" s="347"/>
      <c r="I10" s="347"/>
      <c r="J10" s="348"/>
    </row>
    <row r="11" spans="1:20" ht="18" customHeight="1" thickTop="1" thickBot="1">
      <c r="A11" s="367" t="s">
        <v>2</v>
      </c>
      <c r="B11" s="368"/>
      <c r="C11" s="368"/>
      <c r="D11" s="371" t="s">
        <v>3</v>
      </c>
      <c r="E11" s="371" t="s">
        <v>4</v>
      </c>
      <c r="F11" s="360" t="s">
        <v>101</v>
      </c>
      <c r="G11" s="371" t="s">
        <v>6</v>
      </c>
      <c r="H11" s="360" t="s">
        <v>7</v>
      </c>
      <c r="I11" s="360" t="s">
        <v>8</v>
      </c>
      <c r="J11" s="373" t="s">
        <v>9</v>
      </c>
      <c r="K11" s="120"/>
    </row>
    <row r="12" spans="1:20" ht="18" customHeight="1" thickTop="1" thickBot="1">
      <c r="A12" s="369"/>
      <c r="B12" s="370"/>
      <c r="C12" s="370"/>
      <c r="D12" s="372"/>
      <c r="E12" s="372"/>
      <c r="F12" s="361" t="s">
        <v>10</v>
      </c>
      <c r="G12" s="372"/>
      <c r="H12" s="361"/>
      <c r="I12" s="361"/>
      <c r="J12" s="374"/>
      <c r="K12" s="108"/>
    </row>
    <row r="13" spans="1:20" ht="15.75" thickBot="1">
      <c r="A13" s="269" t="s">
        <v>184</v>
      </c>
      <c r="B13" s="270"/>
      <c r="C13" s="271"/>
      <c r="D13" s="271"/>
      <c r="E13" s="272"/>
      <c r="F13" s="272"/>
      <c r="G13" s="272"/>
      <c r="H13" s="272"/>
      <c r="I13" s="272"/>
      <c r="J13" s="273"/>
    </row>
    <row r="14" spans="1:20" s="147" customFormat="1" ht="18" customHeight="1">
      <c r="A14" s="274" t="s">
        <v>92</v>
      </c>
      <c r="B14" s="275"/>
      <c r="C14" s="276"/>
      <c r="D14" s="264"/>
      <c r="E14" s="265"/>
      <c r="F14" s="266"/>
      <c r="G14" s="265"/>
      <c r="H14" s="267"/>
      <c r="I14" s="266"/>
      <c r="J14" s="268">
        <f>SUM(I15:I28)</f>
        <v>0</v>
      </c>
      <c r="K14" s="146">
        <f>+K12*4.5%</f>
        <v>0</v>
      </c>
    </row>
    <row r="15" spans="1:20" ht="15.95" customHeight="1">
      <c r="A15" s="277" t="s">
        <v>195</v>
      </c>
      <c r="B15" s="261"/>
      <c r="C15" s="262"/>
      <c r="D15" s="18" t="s">
        <v>13</v>
      </c>
      <c r="E15" s="22">
        <v>1</v>
      </c>
      <c r="F15" s="20"/>
      <c r="G15" s="19">
        <f>+C5</f>
        <v>10</v>
      </c>
      <c r="H15" s="22">
        <v>1</v>
      </c>
      <c r="I15" s="23">
        <f t="shared" ref="I15:I28" si="0">+ROUND(E15*F15*G15*H15,2)</f>
        <v>0</v>
      </c>
      <c r="J15" s="123"/>
      <c r="K15" s="120">
        <f>ROUND(E15*H15*G15*30,0)</f>
        <v>300</v>
      </c>
    </row>
    <row r="16" spans="1:20" ht="15.95" customHeight="1">
      <c r="A16" s="277" t="s">
        <v>144</v>
      </c>
      <c r="B16" s="261"/>
      <c r="C16" s="262"/>
      <c r="D16" s="18" t="s">
        <v>13</v>
      </c>
      <c r="E16" s="22">
        <v>1</v>
      </c>
      <c r="F16" s="20"/>
      <c r="G16" s="19">
        <f>+G15</f>
        <v>10</v>
      </c>
      <c r="H16" s="22">
        <v>0.5</v>
      </c>
      <c r="I16" s="23">
        <f t="shared" ref="I16" si="1">+ROUND(E16*F16*G16*H16,2)</f>
        <v>0</v>
      </c>
      <c r="J16" s="123"/>
      <c r="K16" s="120">
        <f t="shared" ref="K16:K28" si="2">ROUND(E16*H16*G16*30,0)</f>
        <v>150</v>
      </c>
    </row>
    <row r="17" spans="1:11" ht="15.95" customHeight="1">
      <c r="A17" s="277" t="s">
        <v>194</v>
      </c>
      <c r="B17" s="261"/>
      <c r="C17" s="262"/>
      <c r="D17" s="18" t="s">
        <v>13</v>
      </c>
      <c r="E17" s="22">
        <v>1</v>
      </c>
      <c r="F17" s="20"/>
      <c r="G17" s="19">
        <f>+G16</f>
        <v>10</v>
      </c>
      <c r="H17" s="22">
        <v>0.5</v>
      </c>
      <c r="I17" s="23">
        <f t="shared" ref="I17:I24" si="3">+ROUND(E17*F17*G17*H17,2)</f>
        <v>0</v>
      </c>
      <c r="J17" s="123"/>
      <c r="K17" s="120">
        <f t="shared" si="2"/>
        <v>150</v>
      </c>
    </row>
    <row r="18" spans="1:11" ht="15.95" customHeight="1">
      <c r="A18" s="277" t="s">
        <v>145</v>
      </c>
      <c r="B18" s="261"/>
      <c r="C18" s="262"/>
      <c r="D18" s="18" t="s">
        <v>13</v>
      </c>
      <c r="E18" s="22">
        <v>1</v>
      </c>
      <c r="F18" s="20"/>
      <c r="G18" s="19">
        <f t="shared" ref="G18:G25" si="4">+G17</f>
        <v>10</v>
      </c>
      <c r="H18" s="22">
        <v>0.5</v>
      </c>
      <c r="I18" s="23">
        <f t="shared" si="3"/>
        <v>0</v>
      </c>
      <c r="J18" s="123"/>
      <c r="K18" s="120">
        <f t="shared" si="2"/>
        <v>150</v>
      </c>
    </row>
    <row r="19" spans="1:11" ht="15.95" customHeight="1">
      <c r="A19" s="277" t="s">
        <v>146</v>
      </c>
      <c r="B19" s="261"/>
      <c r="C19" s="262"/>
      <c r="D19" s="18" t="s">
        <v>13</v>
      </c>
      <c r="E19" s="22">
        <v>1</v>
      </c>
      <c r="F19" s="20"/>
      <c r="G19" s="19">
        <f t="shared" si="4"/>
        <v>10</v>
      </c>
      <c r="H19" s="22">
        <v>0.5</v>
      </c>
      <c r="I19" s="23">
        <f t="shared" si="3"/>
        <v>0</v>
      </c>
      <c r="J19" s="123"/>
      <c r="K19" s="120">
        <f t="shared" si="2"/>
        <v>150</v>
      </c>
    </row>
    <row r="20" spans="1:11" ht="15.95" customHeight="1">
      <c r="A20" s="277" t="s">
        <v>147</v>
      </c>
      <c r="B20" s="261"/>
      <c r="C20" s="262"/>
      <c r="D20" s="18" t="s">
        <v>13</v>
      </c>
      <c r="E20" s="22">
        <v>1</v>
      </c>
      <c r="F20" s="20"/>
      <c r="G20" s="19">
        <f t="shared" si="4"/>
        <v>10</v>
      </c>
      <c r="H20" s="22">
        <v>0.25</v>
      </c>
      <c r="I20" s="23">
        <f t="shared" si="3"/>
        <v>0</v>
      </c>
      <c r="J20" s="123"/>
      <c r="K20" s="120">
        <f t="shared" si="2"/>
        <v>75</v>
      </c>
    </row>
    <row r="21" spans="1:11" ht="15.95" customHeight="1">
      <c r="A21" s="277" t="s">
        <v>148</v>
      </c>
      <c r="B21" s="261"/>
      <c r="C21" s="262"/>
      <c r="D21" s="18" t="s">
        <v>13</v>
      </c>
      <c r="E21" s="22">
        <v>1</v>
      </c>
      <c r="F21" s="20"/>
      <c r="G21" s="19">
        <f t="shared" si="4"/>
        <v>10</v>
      </c>
      <c r="H21" s="22">
        <v>0.25</v>
      </c>
      <c r="I21" s="23">
        <f t="shared" si="3"/>
        <v>0</v>
      </c>
      <c r="J21" s="123"/>
      <c r="K21" s="120">
        <f t="shared" si="2"/>
        <v>75</v>
      </c>
    </row>
    <row r="22" spans="1:11" ht="15.95" customHeight="1">
      <c r="A22" s="277" t="s">
        <v>149</v>
      </c>
      <c r="B22" s="261"/>
      <c r="C22" s="262"/>
      <c r="D22" s="18" t="s">
        <v>13</v>
      </c>
      <c r="E22" s="22">
        <v>1</v>
      </c>
      <c r="F22" s="20"/>
      <c r="G22" s="19">
        <f t="shared" si="4"/>
        <v>10</v>
      </c>
      <c r="H22" s="22">
        <v>0.25</v>
      </c>
      <c r="I22" s="23">
        <f t="shared" si="3"/>
        <v>0</v>
      </c>
      <c r="J22" s="123"/>
      <c r="K22" s="120">
        <f t="shared" si="2"/>
        <v>75</v>
      </c>
    </row>
    <row r="23" spans="1:11" ht="15.95" customHeight="1">
      <c r="A23" s="277" t="s">
        <v>198</v>
      </c>
      <c r="B23" s="261"/>
      <c r="C23" s="262"/>
      <c r="D23" s="18" t="s">
        <v>13</v>
      </c>
      <c r="E23" s="22">
        <v>1</v>
      </c>
      <c r="F23" s="20"/>
      <c r="G23" s="19">
        <f t="shared" si="4"/>
        <v>10</v>
      </c>
      <c r="H23" s="22">
        <v>1</v>
      </c>
      <c r="I23" s="23">
        <f t="shared" si="3"/>
        <v>0</v>
      </c>
      <c r="J23" s="123"/>
      <c r="K23" s="120">
        <f t="shared" si="2"/>
        <v>300</v>
      </c>
    </row>
    <row r="24" spans="1:11" ht="15.95" customHeight="1">
      <c r="A24" s="327" t="s">
        <v>150</v>
      </c>
      <c r="B24" s="261"/>
      <c r="C24" s="262"/>
      <c r="D24" s="18" t="s">
        <v>13</v>
      </c>
      <c r="E24" s="22">
        <v>1</v>
      </c>
      <c r="F24" s="20"/>
      <c r="G24" s="19">
        <f t="shared" si="4"/>
        <v>10</v>
      </c>
      <c r="H24" s="22">
        <v>0.5</v>
      </c>
      <c r="I24" s="23">
        <f t="shared" si="3"/>
        <v>0</v>
      </c>
      <c r="J24" s="123"/>
      <c r="K24" s="120">
        <f t="shared" si="2"/>
        <v>150</v>
      </c>
    </row>
    <row r="25" spans="1:11" ht="15.95" customHeight="1">
      <c r="A25" s="277" t="s">
        <v>151</v>
      </c>
      <c r="B25" s="261"/>
      <c r="C25" s="262"/>
      <c r="D25" s="18" t="s">
        <v>13</v>
      </c>
      <c r="E25" s="22">
        <v>1</v>
      </c>
      <c r="F25" s="20"/>
      <c r="G25" s="19">
        <f t="shared" si="4"/>
        <v>10</v>
      </c>
      <c r="H25" s="22">
        <v>1</v>
      </c>
      <c r="I25" s="23">
        <f t="shared" ref="I25" si="5">+ROUND(E25*F25*G25*H25,2)</f>
        <v>0</v>
      </c>
      <c r="J25" s="123"/>
      <c r="K25" s="120"/>
    </row>
    <row r="26" spans="1:11" ht="15.95" customHeight="1">
      <c r="A26" s="278" t="s">
        <v>143</v>
      </c>
      <c r="B26" s="279"/>
      <c r="C26" s="280"/>
      <c r="D26" s="141"/>
      <c r="E26" s="142"/>
      <c r="F26" s="143"/>
      <c r="G26" s="142"/>
      <c r="H26" s="144"/>
      <c r="I26" s="143"/>
      <c r="J26" s="145"/>
      <c r="K26" s="120"/>
    </row>
    <row r="27" spans="1:11" ht="17.45" customHeight="1">
      <c r="A27" s="277" t="s">
        <v>111</v>
      </c>
      <c r="B27" s="261"/>
      <c r="C27" s="262"/>
      <c r="D27" s="18" t="s">
        <v>13</v>
      </c>
      <c r="E27" s="22">
        <v>1</v>
      </c>
      <c r="F27" s="20"/>
      <c r="G27" s="19">
        <f>+G25</f>
        <v>10</v>
      </c>
      <c r="H27" s="22">
        <v>1</v>
      </c>
      <c r="I27" s="23">
        <f t="shared" si="0"/>
        <v>0</v>
      </c>
      <c r="J27" s="123"/>
      <c r="K27" s="120">
        <f t="shared" si="2"/>
        <v>300</v>
      </c>
    </row>
    <row r="28" spans="1:11" ht="14.25">
      <c r="A28" s="277" t="s">
        <v>91</v>
      </c>
      <c r="B28" s="261"/>
      <c r="C28" s="262"/>
      <c r="D28" s="18" t="s">
        <v>13</v>
      </c>
      <c r="E28" s="22">
        <v>1</v>
      </c>
      <c r="F28" s="20"/>
      <c r="G28" s="19">
        <f>+G27</f>
        <v>10</v>
      </c>
      <c r="H28" s="22">
        <v>0.75</v>
      </c>
      <c r="I28" s="20">
        <f t="shared" si="0"/>
        <v>0</v>
      </c>
      <c r="J28" s="124"/>
      <c r="K28" s="120">
        <f t="shared" si="2"/>
        <v>225</v>
      </c>
    </row>
    <row r="29" spans="1:11" s="147" customFormat="1" ht="18" customHeight="1">
      <c r="A29" s="278" t="s">
        <v>97</v>
      </c>
      <c r="B29" s="279"/>
      <c r="C29" s="280"/>
      <c r="D29" s="141"/>
      <c r="E29" s="142"/>
      <c r="F29" s="143"/>
      <c r="G29" s="142"/>
      <c r="H29" s="144"/>
      <c r="I29" s="143"/>
      <c r="J29" s="145">
        <f>SUM(I30:I32)</f>
        <v>0</v>
      </c>
    </row>
    <row r="30" spans="1:11" ht="15.95" customHeight="1">
      <c r="A30" s="277" t="s">
        <v>33</v>
      </c>
      <c r="B30" s="261"/>
      <c r="C30" s="262"/>
      <c r="D30" s="18" t="s">
        <v>13</v>
      </c>
      <c r="E30" s="22">
        <v>1</v>
      </c>
      <c r="F30" s="20"/>
      <c r="G30" s="19">
        <f>+G28</f>
        <v>10</v>
      </c>
      <c r="H30" s="22">
        <v>1</v>
      </c>
      <c r="I30" s="23">
        <f>+ROUND(E30*F30*G30*H30,2)</f>
        <v>0</v>
      </c>
      <c r="J30" s="124"/>
      <c r="K30" s="120">
        <f>ROUND(E30*G30*H30*30,0)</f>
        <v>300</v>
      </c>
    </row>
    <row r="31" spans="1:11" ht="15.95" customHeight="1">
      <c r="A31" s="277" t="s">
        <v>83</v>
      </c>
      <c r="B31" s="261"/>
      <c r="C31" s="262"/>
      <c r="D31" s="18" t="s">
        <v>13</v>
      </c>
      <c r="E31" s="22">
        <v>1</v>
      </c>
      <c r="F31" s="20"/>
      <c r="G31" s="19">
        <f>+G30</f>
        <v>10</v>
      </c>
      <c r="H31" s="22">
        <v>0.5</v>
      </c>
      <c r="I31" s="23">
        <f>+ROUND(E31*F31*G31*H31,2)</f>
        <v>0</v>
      </c>
      <c r="J31" s="124"/>
      <c r="K31" s="120">
        <f>ROUND(E31*G31*H31*30,0)</f>
        <v>150</v>
      </c>
    </row>
    <row r="32" spans="1:11" ht="15.95" customHeight="1">
      <c r="A32" s="277" t="s">
        <v>34</v>
      </c>
      <c r="B32" s="261"/>
      <c r="C32" s="262"/>
      <c r="D32" s="18" t="s">
        <v>13</v>
      </c>
      <c r="E32" s="22">
        <v>1</v>
      </c>
      <c r="F32" s="20"/>
      <c r="G32" s="19">
        <f>+G31</f>
        <v>10</v>
      </c>
      <c r="H32" s="22">
        <v>0.5</v>
      </c>
      <c r="I32" s="23">
        <f>+ROUND(E32*F32*G32*H32,2)</f>
        <v>0</v>
      </c>
      <c r="J32" s="124"/>
      <c r="K32" s="120">
        <f>ROUND(E32*G32*H32*30,0)</f>
        <v>150</v>
      </c>
    </row>
    <row r="33" spans="1:12" s="147" customFormat="1" ht="18" customHeight="1">
      <c r="A33" s="278" t="s">
        <v>98</v>
      </c>
      <c r="B33" s="279"/>
      <c r="C33" s="280"/>
      <c r="D33" s="141"/>
      <c r="E33" s="142"/>
      <c r="F33" s="143"/>
      <c r="G33" s="142"/>
      <c r="H33" s="144"/>
      <c r="I33" s="143"/>
      <c r="J33" s="145">
        <f>+SUM(I34:I34)</f>
        <v>0</v>
      </c>
      <c r="K33" s="195">
        <f>+SUM(K15:K32)</f>
        <v>2700</v>
      </c>
    </row>
    <row r="34" spans="1:12" ht="15.95" customHeight="1">
      <c r="A34" s="277" t="s">
        <v>164</v>
      </c>
      <c r="B34" s="261"/>
      <c r="C34" s="262"/>
      <c r="D34" s="18" t="s">
        <v>66</v>
      </c>
      <c r="E34" s="22">
        <v>1</v>
      </c>
      <c r="F34" s="20"/>
      <c r="G34" s="19">
        <f>+G32</f>
        <v>10</v>
      </c>
      <c r="H34" s="22">
        <v>0.5</v>
      </c>
      <c r="I34" s="23">
        <f>+ROUND(E34*F34*G34*H34,2)</f>
        <v>0</v>
      </c>
      <c r="J34" s="124"/>
    </row>
    <row r="35" spans="1:12" s="147" customFormat="1" ht="18" customHeight="1">
      <c r="A35" s="278" t="s">
        <v>99</v>
      </c>
      <c r="B35" s="279"/>
      <c r="C35" s="280"/>
      <c r="D35" s="141"/>
      <c r="E35" s="142"/>
      <c r="F35" s="143"/>
      <c r="G35" s="142"/>
      <c r="H35" s="144"/>
      <c r="I35" s="143"/>
      <c r="J35" s="145">
        <f>SUM(I36:I49)</f>
        <v>0</v>
      </c>
      <c r="L35" s="325"/>
    </row>
    <row r="36" spans="1:12" ht="15.95" customHeight="1">
      <c r="A36" s="277" t="s">
        <v>90</v>
      </c>
      <c r="B36" s="261"/>
      <c r="C36" s="262"/>
      <c r="D36" s="18" t="s">
        <v>13</v>
      </c>
      <c r="E36" s="22">
        <v>10</v>
      </c>
      <c r="F36" s="20"/>
      <c r="G36" s="19"/>
      <c r="H36" s="22">
        <v>0.3</v>
      </c>
      <c r="I36" s="23">
        <f>+ROUND(E36*F36*H36,2)</f>
        <v>0</v>
      </c>
      <c r="J36" s="124"/>
    </row>
    <row r="37" spans="1:12" ht="15.95" customHeight="1">
      <c r="A37" s="277" t="s">
        <v>100</v>
      </c>
      <c r="B37" s="261"/>
      <c r="C37" s="262"/>
      <c r="D37" s="18" t="s">
        <v>13</v>
      </c>
      <c r="E37" s="22">
        <v>2</v>
      </c>
      <c r="F37" s="20"/>
      <c r="G37" s="19"/>
      <c r="H37" s="22">
        <v>0.25</v>
      </c>
      <c r="I37" s="23">
        <f t="shared" ref="I37:I39" si="6">+ROUND(E37*F37*H37,2)</f>
        <v>0</v>
      </c>
      <c r="J37" s="124"/>
    </row>
    <row r="38" spans="1:12" ht="15.95" customHeight="1">
      <c r="A38" s="277" t="s">
        <v>140</v>
      </c>
      <c r="B38" s="261"/>
      <c r="C38" s="262"/>
      <c r="D38" s="18" t="s">
        <v>13</v>
      </c>
      <c r="E38" s="22">
        <v>10</v>
      </c>
      <c r="F38" s="20"/>
      <c r="G38" s="19"/>
      <c r="H38" s="22">
        <v>0.3</v>
      </c>
      <c r="I38" s="23">
        <f t="shared" si="6"/>
        <v>0</v>
      </c>
      <c r="J38" s="124"/>
    </row>
    <row r="39" spans="1:12" ht="15.95" customHeight="1">
      <c r="A39" s="277" t="s">
        <v>84</v>
      </c>
      <c r="B39" s="261"/>
      <c r="C39" s="262"/>
      <c r="D39" s="18" t="s">
        <v>13</v>
      </c>
      <c r="E39" s="22">
        <v>10</v>
      </c>
      <c r="F39" s="20"/>
      <c r="G39" s="19"/>
      <c r="H39" s="22">
        <v>0.3</v>
      </c>
      <c r="I39" s="23">
        <f t="shared" si="6"/>
        <v>0</v>
      </c>
      <c r="J39" s="124"/>
    </row>
    <row r="40" spans="1:12" ht="15.95" customHeight="1">
      <c r="A40" s="277" t="s">
        <v>89</v>
      </c>
      <c r="B40" s="261"/>
      <c r="C40" s="262"/>
      <c r="D40" s="18"/>
      <c r="E40" s="22"/>
      <c r="F40" s="20"/>
      <c r="G40" s="19"/>
      <c r="H40" s="22"/>
      <c r="I40" s="23"/>
      <c r="J40" s="124"/>
    </row>
    <row r="41" spans="1:12" ht="15.95" customHeight="1">
      <c r="A41" s="281" t="s">
        <v>86</v>
      </c>
      <c r="B41" s="261"/>
      <c r="C41" s="262"/>
      <c r="D41" s="18" t="s">
        <v>88</v>
      </c>
      <c r="E41" s="22">
        <v>12</v>
      </c>
      <c r="F41" s="20"/>
      <c r="G41" s="19"/>
      <c r="H41" s="22"/>
      <c r="I41" s="20">
        <f t="shared" ref="I41:I47" si="7">+ROUND(E41*F41,2)</f>
        <v>0</v>
      </c>
      <c r="J41" s="124"/>
    </row>
    <row r="42" spans="1:12" ht="15.95" customHeight="1">
      <c r="A42" s="281" t="s">
        <v>87</v>
      </c>
      <c r="B42" s="261"/>
      <c r="C42" s="262"/>
      <c r="D42" s="18" t="s">
        <v>88</v>
      </c>
      <c r="E42" s="22">
        <v>12</v>
      </c>
      <c r="F42" s="20"/>
      <c r="G42" s="19"/>
      <c r="H42" s="22"/>
      <c r="I42" s="20">
        <f t="shared" si="7"/>
        <v>0</v>
      </c>
      <c r="J42" s="124"/>
    </row>
    <row r="43" spans="1:12" ht="15.95" customHeight="1">
      <c r="A43" s="281" t="s">
        <v>133</v>
      </c>
      <c r="B43" s="261"/>
      <c r="C43" s="262"/>
      <c r="D43" s="18" t="s">
        <v>88</v>
      </c>
      <c r="E43" s="22">
        <f>+E42</f>
        <v>12</v>
      </c>
      <c r="F43" s="20"/>
      <c r="G43" s="19"/>
      <c r="H43" s="22"/>
      <c r="I43" s="20">
        <f t="shared" si="7"/>
        <v>0</v>
      </c>
      <c r="J43" s="124"/>
    </row>
    <row r="44" spans="1:12" ht="15.95" customHeight="1">
      <c r="A44" s="281" t="s">
        <v>134</v>
      </c>
      <c r="B44" s="261"/>
      <c r="C44" s="262"/>
      <c r="D44" s="18" t="s">
        <v>88</v>
      </c>
      <c r="E44" s="22">
        <f>+K33</f>
        <v>2700</v>
      </c>
      <c r="F44" s="20"/>
      <c r="G44" s="19"/>
      <c r="H44" s="22"/>
      <c r="I44" s="20">
        <f t="shared" si="7"/>
        <v>0</v>
      </c>
      <c r="J44" s="124"/>
    </row>
    <row r="45" spans="1:12" ht="15.95" customHeight="1">
      <c r="A45" s="281" t="s">
        <v>135</v>
      </c>
      <c r="B45" s="261"/>
      <c r="C45" s="262"/>
      <c r="D45" s="18" t="s">
        <v>88</v>
      </c>
      <c r="E45" s="22">
        <v>12</v>
      </c>
      <c r="F45" s="20"/>
      <c r="G45" s="19"/>
      <c r="H45" s="22"/>
      <c r="I45" s="20">
        <f t="shared" si="7"/>
        <v>0</v>
      </c>
      <c r="J45" s="124"/>
    </row>
    <row r="46" spans="1:12" ht="15.95" customHeight="1">
      <c r="A46" s="281" t="s">
        <v>141</v>
      </c>
      <c r="B46" s="261"/>
      <c r="C46" s="262"/>
      <c r="D46" s="18" t="s">
        <v>88</v>
      </c>
      <c r="E46" s="22">
        <v>100</v>
      </c>
      <c r="F46" s="20"/>
      <c r="G46" s="19"/>
      <c r="H46" s="22"/>
      <c r="I46" s="20">
        <f t="shared" si="7"/>
        <v>0</v>
      </c>
      <c r="J46" s="124"/>
    </row>
    <row r="47" spans="1:12" ht="15.95" customHeight="1">
      <c r="A47" s="281" t="s">
        <v>142</v>
      </c>
      <c r="B47" s="261"/>
      <c r="C47" s="262"/>
      <c r="D47" s="18" t="s">
        <v>88</v>
      </c>
      <c r="E47" s="22">
        <f>1*310</f>
        <v>310</v>
      </c>
      <c r="F47" s="20"/>
      <c r="G47" s="19"/>
      <c r="H47" s="22"/>
      <c r="I47" s="20">
        <f t="shared" si="7"/>
        <v>0</v>
      </c>
      <c r="J47" s="124"/>
    </row>
    <row r="48" spans="1:12" ht="15.95" customHeight="1">
      <c r="A48" s="281"/>
      <c r="B48" s="261"/>
      <c r="C48" s="262"/>
      <c r="D48" s="18"/>
      <c r="E48" s="22"/>
      <c r="F48" s="20"/>
      <c r="G48" s="19"/>
      <c r="H48" s="22"/>
      <c r="I48" s="20"/>
      <c r="J48" s="124"/>
    </row>
    <row r="49" spans="1:13" ht="15.95" customHeight="1">
      <c r="A49" s="277" t="s">
        <v>163</v>
      </c>
      <c r="B49" s="261"/>
      <c r="C49" s="262"/>
      <c r="D49" s="18" t="s">
        <v>66</v>
      </c>
      <c r="E49" s="22">
        <v>10</v>
      </c>
      <c r="F49" s="20"/>
      <c r="G49" s="19"/>
      <c r="H49" s="22">
        <v>0.75</v>
      </c>
      <c r="I49" s="20"/>
      <c r="J49" s="124"/>
      <c r="M49" s="324"/>
    </row>
    <row r="50" spans="1:13" s="147" customFormat="1" ht="18" customHeight="1">
      <c r="A50" s="278" t="s">
        <v>94</v>
      </c>
      <c r="B50" s="279"/>
      <c r="C50" s="280"/>
      <c r="D50" s="141"/>
      <c r="E50" s="142"/>
      <c r="F50" s="143"/>
      <c r="G50" s="142"/>
      <c r="H50" s="144"/>
      <c r="I50" s="143"/>
      <c r="J50" s="149">
        <f>SUM(I51:I53)</f>
        <v>0</v>
      </c>
      <c r="L50" s="326"/>
    </row>
    <row r="51" spans="1:13" ht="15.95" customHeight="1">
      <c r="A51" s="277" t="s">
        <v>40</v>
      </c>
      <c r="B51" s="261"/>
      <c r="C51" s="262"/>
      <c r="D51" s="18" t="s">
        <v>66</v>
      </c>
      <c r="E51" s="22">
        <v>1</v>
      </c>
      <c r="F51" s="20"/>
      <c r="G51" s="19">
        <v>10</v>
      </c>
      <c r="H51" s="22">
        <v>1</v>
      </c>
      <c r="I51" s="20">
        <f>+ROUND(E51*F51*G51*H51,2)</f>
        <v>0</v>
      </c>
      <c r="J51" s="124"/>
      <c r="K51" s="132"/>
    </row>
    <row r="52" spans="1:13" ht="15.95" customHeight="1">
      <c r="A52" s="277" t="s">
        <v>95</v>
      </c>
      <c r="B52" s="261"/>
      <c r="C52" s="262"/>
      <c r="D52" s="18" t="s">
        <v>66</v>
      </c>
      <c r="E52" s="22">
        <v>1</v>
      </c>
      <c r="F52" s="20"/>
      <c r="G52" s="19">
        <v>10</v>
      </c>
      <c r="H52" s="22">
        <v>1</v>
      </c>
      <c r="I52" s="20">
        <f>+ROUND(E52*F52*G52*H52,2)</f>
        <v>0</v>
      </c>
      <c r="J52" s="124"/>
      <c r="K52" s="132"/>
    </row>
    <row r="53" spans="1:13" ht="15.95" customHeight="1">
      <c r="A53" s="277" t="s">
        <v>96</v>
      </c>
      <c r="B53" s="261"/>
      <c r="C53" s="262"/>
      <c r="D53" s="18" t="s">
        <v>66</v>
      </c>
      <c r="E53" s="22">
        <v>1</v>
      </c>
      <c r="F53" s="20"/>
      <c r="G53" s="19">
        <v>10</v>
      </c>
      <c r="H53" s="22">
        <v>1</v>
      </c>
      <c r="I53" s="20">
        <f>+ROUND(E53*F53*G53*H53,2)</f>
        <v>0</v>
      </c>
      <c r="J53" s="124"/>
      <c r="K53" s="132"/>
    </row>
    <row r="54" spans="1:13" ht="15.95" customHeight="1">
      <c r="A54" s="260"/>
      <c r="B54" s="261"/>
      <c r="C54" s="262"/>
      <c r="D54" s="12"/>
      <c r="E54" s="22"/>
      <c r="F54" s="23"/>
      <c r="G54" s="19"/>
      <c r="H54" s="19"/>
      <c r="I54" s="23"/>
      <c r="J54" s="124"/>
    </row>
    <row r="55" spans="1:13" s="147" customFormat="1" ht="18" customHeight="1">
      <c r="A55" s="278" t="s">
        <v>136</v>
      </c>
      <c r="B55" s="279"/>
      <c r="C55" s="280"/>
      <c r="D55" s="141"/>
      <c r="E55" s="142"/>
      <c r="F55" s="143"/>
      <c r="G55" s="142"/>
      <c r="H55" s="144"/>
      <c r="I55" s="143"/>
      <c r="J55" s="149">
        <f>SUM(I57:I59)</f>
        <v>0</v>
      </c>
      <c r="L55" s="326"/>
    </row>
    <row r="56" spans="1:13" ht="15.95" customHeight="1">
      <c r="A56" s="277" t="s">
        <v>110</v>
      </c>
      <c r="B56" s="261"/>
      <c r="C56" s="262"/>
      <c r="D56" s="12"/>
      <c r="E56" s="22"/>
      <c r="F56" s="42"/>
      <c r="G56" s="19"/>
      <c r="H56" s="19"/>
      <c r="I56" s="23"/>
      <c r="J56" s="123"/>
    </row>
    <row r="57" spans="1:13" ht="15.95" customHeight="1">
      <c r="A57" s="277" t="s">
        <v>102</v>
      </c>
      <c r="B57" s="261"/>
      <c r="C57" s="262"/>
      <c r="D57" s="18" t="s">
        <v>85</v>
      </c>
      <c r="E57" s="22">
        <v>1</v>
      </c>
      <c r="F57" s="20"/>
      <c r="G57" s="22">
        <v>1</v>
      </c>
      <c r="H57" s="22">
        <v>1</v>
      </c>
      <c r="I57" s="20">
        <f>+ROUND(E57*F57*G57*H57,2)</f>
        <v>0</v>
      </c>
      <c r="J57" s="123"/>
    </row>
    <row r="58" spans="1:13" ht="15.95" customHeight="1">
      <c r="A58" s="357" t="s">
        <v>137</v>
      </c>
      <c r="B58" s="358"/>
      <c r="C58" s="359"/>
      <c r="D58" s="18" t="s">
        <v>139</v>
      </c>
      <c r="E58" s="22">
        <v>1</v>
      </c>
      <c r="F58" s="20"/>
      <c r="G58" s="22">
        <v>10</v>
      </c>
      <c r="H58" s="22">
        <v>1</v>
      </c>
      <c r="I58" s="20">
        <f>+ROUND(E58*F58*G58*H58,2)</f>
        <v>0</v>
      </c>
      <c r="J58" s="123"/>
    </row>
    <row r="59" spans="1:13" ht="15.95" customHeight="1">
      <c r="A59" s="357" t="s">
        <v>138</v>
      </c>
      <c r="B59" s="358"/>
      <c r="C59" s="359"/>
      <c r="D59" s="18" t="s">
        <v>139</v>
      </c>
      <c r="E59" s="22">
        <v>1</v>
      </c>
      <c r="F59" s="20"/>
      <c r="G59" s="22">
        <v>10</v>
      </c>
      <c r="H59" s="22">
        <v>1</v>
      </c>
      <c r="I59" s="20">
        <f>+ROUND(E59*F59*G59*H59,2)</f>
        <v>0</v>
      </c>
      <c r="J59" s="123"/>
    </row>
    <row r="60" spans="1:13" ht="15.95" customHeight="1">
      <c r="A60" s="260"/>
      <c r="B60" s="261"/>
      <c r="C60" s="262"/>
      <c r="D60" s="12"/>
      <c r="E60" s="22"/>
      <c r="F60" s="20"/>
      <c r="G60" s="42"/>
      <c r="H60" s="40"/>
      <c r="I60" s="23"/>
      <c r="J60" s="124"/>
    </row>
    <row r="61" spans="1:13" s="147" customFormat="1" ht="18" customHeight="1">
      <c r="A61" s="278" t="s">
        <v>43</v>
      </c>
      <c r="B61" s="279"/>
      <c r="C61" s="280"/>
      <c r="D61" s="141"/>
      <c r="E61" s="142"/>
      <c r="F61" s="143"/>
      <c r="G61" s="142"/>
      <c r="H61" s="144"/>
      <c r="I61" s="143"/>
      <c r="J61" s="145"/>
    </row>
    <row r="62" spans="1:13" ht="15.95" customHeight="1">
      <c r="A62" s="277" t="s">
        <v>44</v>
      </c>
      <c r="B62" s="261"/>
      <c r="C62" s="262"/>
      <c r="D62" s="12"/>
      <c r="E62" s="22"/>
      <c r="F62" s="20"/>
      <c r="G62" s="42"/>
      <c r="H62" s="40"/>
      <c r="I62" s="23"/>
      <c r="J62" s="125">
        <f>I63</f>
        <v>0</v>
      </c>
      <c r="K62" t="s">
        <v>93</v>
      </c>
    </row>
    <row r="63" spans="1:13" ht="15.95" customHeight="1">
      <c r="A63" s="277" t="s">
        <v>45</v>
      </c>
      <c r="B63" s="261"/>
      <c r="C63" s="262"/>
      <c r="D63" s="22" t="s">
        <v>66</v>
      </c>
      <c r="E63" s="45">
        <v>1</v>
      </c>
      <c r="F63" s="20"/>
      <c r="G63" s="22">
        <v>10</v>
      </c>
      <c r="H63" s="22">
        <v>1</v>
      </c>
      <c r="I63" s="20">
        <f>+ROUND(E63*F63*G63*H63,2)</f>
        <v>0</v>
      </c>
      <c r="J63" s="124"/>
    </row>
    <row r="64" spans="1:13" ht="12.75" customHeight="1">
      <c r="A64" s="260"/>
      <c r="B64" s="261"/>
      <c r="C64" s="262"/>
      <c r="D64" s="12"/>
      <c r="E64" s="22"/>
      <c r="F64" s="20"/>
      <c r="G64" s="22"/>
      <c r="H64" s="22"/>
      <c r="I64" s="20"/>
      <c r="J64" s="124"/>
      <c r="K64">
        <v>48600</v>
      </c>
    </row>
    <row r="65" spans="1:13" ht="12.75" customHeight="1">
      <c r="A65" s="260"/>
      <c r="B65" s="261"/>
      <c r="C65" s="262"/>
      <c r="D65" s="12"/>
      <c r="E65" s="22"/>
      <c r="F65" s="20"/>
      <c r="G65" s="22"/>
      <c r="H65" s="22"/>
      <c r="I65" s="20"/>
      <c r="J65" s="124"/>
    </row>
    <row r="66" spans="1:13" s="147" customFormat="1" ht="18" customHeight="1">
      <c r="A66" s="278" t="s">
        <v>47</v>
      </c>
      <c r="B66" s="279"/>
      <c r="C66" s="280"/>
      <c r="D66" s="141"/>
      <c r="E66" s="142"/>
      <c r="F66" s="143"/>
      <c r="G66" s="142"/>
      <c r="H66" s="144"/>
      <c r="I66" s="143"/>
      <c r="J66" s="145">
        <f>SUM(I67:I74)</f>
        <v>0</v>
      </c>
      <c r="L66" s="325"/>
    </row>
    <row r="67" spans="1:13" ht="15.6" customHeight="1">
      <c r="A67" s="277" t="s">
        <v>103</v>
      </c>
      <c r="B67" s="261"/>
      <c r="C67" s="262"/>
      <c r="D67" s="22" t="s">
        <v>88</v>
      </c>
      <c r="E67" s="22">
        <v>100</v>
      </c>
      <c r="F67" s="20"/>
      <c r="G67" s="42"/>
      <c r="H67" s="40"/>
      <c r="I67" s="20"/>
      <c r="J67" s="148"/>
    </row>
    <row r="68" spans="1:13" ht="15.6" customHeight="1">
      <c r="A68" s="277" t="s">
        <v>104</v>
      </c>
      <c r="B68" s="261"/>
      <c r="C68" s="262"/>
      <c r="D68" s="22" t="s">
        <v>88</v>
      </c>
      <c r="E68" s="22">
        <v>100</v>
      </c>
      <c r="F68" s="20"/>
      <c r="G68" s="42"/>
      <c r="H68" s="40"/>
      <c r="I68" s="20"/>
      <c r="J68" s="148"/>
    </row>
    <row r="69" spans="1:13" ht="15.6" customHeight="1">
      <c r="A69" s="277" t="s">
        <v>105</v>
      </c>
      <c r="B69" s="261"/>
      <c r="C69" s="262"/>
      <c r="D69" s="22" t="s">
        <v>88</v>
      </c>
      <c r="E69" s="22">
        <v>5</v>
      </c>
      <c r="F69" s="20"/>
      <c r="G69" s="42"/>
      <c r="H69" s="40"/>
      <c r="I69" s="20"/>
      <c r="J69" s="148"/>
    </row>
    <row r="70" spans="1:13" ht="15.6" customHeight="1">
      <c r="A70" s="277" t="s">
        <v>106</v>
      </c>
      <c r="B70" s="261"/>
      <c r="C70" s="262"/>
      <c r="D70" s="22" t="s">
        <v>88</v>
      </c>
      <c r="E70" s="22">
        <v>10</v>
      </c>
      <c r="F70" s="20"/>
      <c r="G70" s="42"/>
      <c r="H70" s="40"/>
      <c r="I70" s="20"/>
      <c r="J70" s="148"/>
    </row>
    <row r="71" spans="1:13" ht="14.25" hidden="1">
      <c r="A71" s="277" t="s">
        <v>107</v>
      </c>
      <c r="B71" s="261"/>
      <c r="C71" s="262"/>
      <c r="D71" s="22" t="s">
        <v>88</v>
      </c>
      <c r="E71" s="22">
        <v>0</v>
      </c>
      <c r="F71" s="20"/>
      <c r="G71" s="42"/>
      <c r="H71" s="40"/>
      <c r="I71" s="20"/>
      <c r="J71" s="148"/>
    </row>
    <row r="72" spans="1:13" ht="15.6" customHeight="1">
      <c r="A72" s="277" t="s">
        <v>108</v>
      </c>
      <c r="B72" s="261"/>
      <c r="C72" s="262"/>
      <c r="D72" s="22" t="s">
        <v>88</v>
      </c>
      <c r="E72" s="22">
        <v>50</v>
      </c>
      <c r="F72" s="20"/>
      <c r="G72" s="42"/>
      <c r="H72" s="40"/>
      <c r="I72" s="20"/>
      <c r="J72" s="148"/>
    </row>
    <row r="73" spans="1:13" ht="15.95" customHeight="1">
      <c r="A73" s="277" t="s">
        <v>109</v>
      </c>
      <c r="B73" s="261"/>
      <c r="C73" s="262"/>
      <c r="D73" s="22" t="s">
        <v>88</v>
      </c>
      <c r="E73" s="22">
        <v>10</v>
      </c>
      <c r="F73" s="20"/>
      <c r="G73" s="42"/>
      <c r="H73" s="40"/>
      <c r="I73" s="20"/>
      <c r="J73" s="148"/>
    </row>
    <row r="74" spans="1:13" ht="15" customHeight="1">
      <c r="A74" s="277" t="s">
        <v>50</v>
      </c>
      <c r="B74" s="282"/>
      <c r="C74" s="262"/>
      <c r="D74" s="22" t="s">
        <v>88</v>
      </c>
      <c r="E74" s="22">
        <v>1</v>
      </c>
      <c r="F74" s="20"/>
      <c r="G74" s="22"/>
      <c r="H74" s="22"/>
      <c r="I74" s="20"/>
      <c r="J74" s="124"/>
    </row>
    <row r="75" spans="1:13" ht="15.95" customHeight="1">
      <c r="A75" s="260"/>
      <c r="B75" s="261"/>
      <c r="C75" s="262"/>
      <c r="D75" s="12"/>
      <c r="E75" s="22"/>
      <c r="F75" s="42"/>
      <c r="G75" s="19"/>
      <c r="H75" s="19"/>
      <c r="I75" s="20"/>
      <c r="J75" s="126"/>
    </row>
    <row r="76" spans="1:13" ht="15.95" customHeight="1">
      <c r="A76" s="127"/>
      <c r="B76" s="49"/>
      <c r="C76" s="49"/>
      <c r="D76" s="49"/>
      <c r="E76" s="107"/>
      <c r="F76" s="51" t="s">
        <v>52</v>
      </c>
      <c r="G76" s="52"/>
      <c r="H76" s="53"/>
      <c r="I76" s="54" t="s">
        <v>53</v>
      </c>
      <c r="J76" s="128">
        <f>SUM(J14:J74)</f>
        <v>0</v>
      </c>
      <c r="M76" s="76"/>
    </row>
    <row r="77" spans="1:13" ht="15.95" customHeight="1">
      <c r="A77" s="122"/>
      <c r="B77" s="11"/>
      <c r="C77" s="11"/>
      <c r="D77" s="11"/>
      <c r="E77" s="45"/>
      <c r="F77" s="57" t="s">
        <v>54</v>
      </c>
      <c r="G77" s="58"/>
      <c r="H77" s="59"/>
      <c r="I77" s="60" t="s">
        <v>53</v>
      </c>
      <c r="J77" s="129">
        <f>ROUND(J76*0.1,2)</f>
        <v>0</v>
      </c>
    </row>
    <row r="78" spans="1:13" ht="15.95" customHeight="1">
      <c r="A78" s="122"/>
      <c r="B78" s="11"/>
      <c r="C78" s="11"/>
      <c r="D78" s="11"/>
      <c r="E78" s="45"/>
      <c r="F78" s="57" t="s">
        <v>9</v>
      </c>
      <c r="G78" s="58"/>
      <c r="H78" s="59"/>
      <c r="I78" s="60" t="s">
        <v>53</v>
      </c>
      <c r="J78" s="130">
        <f>SUM(J76:J77)</f>
        <v>0</v>
      </c>
    </row>
    <row r="79" spans="1:13" ht="15.95" customHeight="1">
      <c r="A79" s="122"/>
      <c r="B79" s="11"/>
      <c r="C79" s="11"/>
      <c r="D79" s="11"/>
      <c r="E79" s="45"/>
      <c r="F79" s="57" t="s">
        <v>55</v>
      </c>
      <c r="G79" s="58"/>
      <c r="H79" s="59"/>
      <c r="I79" s="60" t="s">
        <v>53</v>
      </c>
      <c r="J79" s="129">
        <f>ROUND(J78*0.18,2)</f>
        <v>0</v>
      </c>
    </row>
    <row r="80" spans="1:13" ht="16.5" thickBot="1">
      <c r="A80" s="131"/>
      <c r="B80" s="64"/>
      <c r="C80" s="64"/>
      <c r="D80" s="64"/>
      <c r="E80" s="345" t="s">
        <v>153</v>
      </c>
      <c r="F80" s="345"/>
      <c r="G80" s="345"/>
      <c r="H80" s="345"/>
      <c r="I80" s="133" t="s">
        <v>53</v>
      </c>
      <c r="J80" s="134">
        <f>SUM(J78:J79)</f>
        <v>0</v>
      </c>
      <c r="K80" s="109"/>
    </row>
    <row r="81" spans="1:11" ht="18.75" thickBot="1">
      <c r="A81" s="346" t="s">
        <v>154</v>
      </c>
      <c r="B81" s="347"/>
      <c r="C81" s="347"/>
      <c r="D81" s="347"/>
      <c r="E81" s="347"/>
      <c r="F81" s="347"/>
      <c r="G81" s="347"/>
      <c r="H81" s="347"/>
      <c r="I81" s="347"/>
      <c r="J81" s="348"/>
    </row>
    <row r="82" spans="1:11" ht="18" customHeight="1" thickBot="1">
      <c r="A82" s="349" t="s">
        <v>2</v>
      </c>
      <c r="B82" s="350"/>
      <c r="C82" s="350"/>
      <c r="D82" s="353" t="s">
        <v>3</v>
      </c>
      <c r="E82" s="353" t="s">
        <v>4</v>
      </c>
      <c r="F82" s="353" t="s">
        <v>101</v>
      </c>
      <c r="G82" s="353" t="s">
        <v>6</v>
      </c>
      <c r="H82" s="353" t="s">
        <v>7</v>
      </c>
      <c r="I82" s="353" t="s">
        <v>8</v>
      </c>
      <c r="J82" s="355" t="s">
        <v>9</v>
      </c>
    </row>
    <row r="83" spans="1:11" ht="18" customHeight="1" thickTop="1" thickBot="1">
      <c r="A83" s="351"/>
      <c r="B83" s="352"/>
      <c r="C83" s="352"/>
      <c r="D83" s="354"/>
      <c r="E83" s="354"/>
      <c r="F83" s="354" t="s">
        <v>10</v>
      </c>
      <c r="G83" s="354"/>
      <c r="H83" s="354"/>
      <c r="I83" s="354"/>
      <c r="J83" s="356"/>
    </row>
    <row r="84" spans="1:11" ht="15.75" thickTop="1">
      <c r="A84" s="199" t="s">
        <v>92</v>
      </c>
      <c r="B84" s="200"/>
      <c r="C84" s="201"/>
      <c r="D84" s="201"/>
      <c r="E84" s="202"/>
      <c r="F84" s="203"/>
      <c r="G84" s="202"/>
      <c r="H84" s="204"/>
      <c r="I84" s="312"/>
      <c r="J84" s="313">
        <f>SUM(I85:I85)</f>
        <v>0</v>
      </c>
    </row>
    <row r="85" spans="1:11" s="259" customFormat="1" ht="20.25" customHeight="1">
      <c r="A85" s="314" t="s">
        <v>154</v>
      </c>
      <c r="B85" s="315"/>
      <c r="C85" s="316"/>
      <c r="D85" s="317" t="s">
        <v>196</v>
      </c>
      <c r="E85" s="318">
        <v>1</v>
      </c>
      <c r="F85" s="319"/>
      <c r="G85" s="320">
        <v>2</v>
      </c>
      <c r="H85" s="318">
        <v>0.5</v>
      </c>
      <c r="I85" s="321">
        <f>+ROUND(E85*F85*G85*0.5,2)</f>
        <v>0</v>
      </c>
      <c r="J85" s="322"/>
    </row>
    <row r="86" spans="1:11" ht="15.95" customHeight="1">
      <c r="A86" s="205"/>
      <c r="B86" s="49"/>
      <c r="C86" s="49"/>
      <c r="D86" s="49"/>
      <c r="E86" s="107"/>
      <c r="F86" s="51" t="s">
        <v>52</v>
      </c>
      <c r="G86" s="52"/>
      <c r="H86" s="53"/>
      <c r="I86" s="54" t="s">
        <v>53</v>
      </c>
      <c r="J86" s="206">
        <f>SUM(J84:J85)</f>
        <v>0</v>
      </c>
    </row>
    <row r="87" spans="1:11" ht="15.95" customHeight="1">
      <c r="A87" s="207"/>
      <c r="B87" s="11"/>
      <c r="C87" s="11"/>
      <c r="D87" s="11"/>
      <c r="E87" s="45"/>
      <c r="F87" s="57" t="s">
        <v>197</v>
      </c>
      <c r="G87" s="58"/>
      <c r="H87" s="59"/>
      <c r="I87" s="60" t="s">
        <v>53</v>
      </c>
      <c r="J87" s="208">
        <f>ROUND(J86*0.07,2)</f>
        <v>0</v>
      </c>
    </row>
    <row r="88" spans="1:11" ht="15.95" customHeight="1">
      <c r="A88" s="207"/>
      <c r="B88" s="11"/>
      <c r="C88" s="11"/>
      <c r="D88" s="11"/>
      <c r="E88" s="45"/>
      <c r="F88" s="57" t="s">
        <v>9</v>
      </c>
      <c r="G88" s="58"/>
      <c r="H88" s="59"/>
      <c r="I88" s="60" t="s">
        <v>53</v>
      </c>
      <c r="J88" s="209">
        <f>SUM(J86:J87)</f>
        <v>0</v>
      </c>
    </row>
    <row r="89" spans="1:11" ht="15.95" customHeight="1">
      <c r="A89" s="207"/>
      <c r="B89" s="11"/>
      <c r="C89" s="11"/>
      <c r="D89" s="11"/>
      <c r="E89" s="45"/>
      <c r="F89" s="57" t="s">
        <v>55</v>
      </c>
      <c r="G89" s="58"/>
      <c r="H89" s="59"/>
      <c r="I89" s="60" t="s">
        <v>53</v>
      </c>
      <c r="J89" s="208">
        <f>ROUND(J88*0.18,2)</f>
        <v>0</v>
      </c>
    </row>
    <row r="90" spans="1:11" ht="15.75" thickBot="1">
      <c r="A90" s="210"/>
      <c r="B90" s="211"/>
      <c r="C90" s="211"/>
      <c r="D90" s="211"/>
      <c r="E90" s="344" t="s">
        <v>155</v>
      </c>
      <c r="F90" s="344"/>
      <c r="G90" s="344"/>
      <c r="H90" s="344"/>
      <c r="I90" s="212" t="s">
        <v>53</v>
      </c>
      <c r="J90" s="213">
        <f>SUM(J88:J89)</f>
        <v>0</v>
      </c>
      <c r="K90" s="214"/>
    </row>
    <row r="91" spans="1:11" ht="15.75" thickBot="1">
      <c r="A91" s="122"/>
      <c r="B91" s="11"/>
      <c r="C91" s="11"/>
      <c r="D91" s="11"/>
      <c r="E91" s="45"/>
      <c r="F91" s="135"/>
      <c r="G91" s="136"/>
      <c r="H91" s="137"/>
      <c r="I91" s="138"/>
      <c r="J91" s="139"/>
    </row>
    <row r="92" spans="1:11" ht="15" customHeight="1">
      <c r="A92" s="336" t="e">
        <f>+J92/C8</f>
        <v>#DIV/0!</v>
      </c>
      <c r="B92" s="337"/>
      <c r="C92" s="337"/>
      <c r="D92" s="337"/>
      <c r="E92" s="337"/>
      <c r="F92" s="337"/>
      <c r="G92" s="337"/>
      <c r="H92" s="337"/>
      <c r="I92" s="340" t="s">
        <v>53</v>
      </c>
      <c r="J92" s="342">
        <f>+J90+J80</f>
        <v>0</v>
      </c>
    </row>
    <row r="93" spans="1:11" ht="15" customHeight="1" thickBot="1">
      <c r="A93" s="338"/>
      <c r="B93" s="339"/>
      <c r="C93" s="339"/>
      <c r="D93" s="339"/>
      <c r="E93" s="339"/>
      <c r="F93" s="339"/>
      <c r="G93" s="339"/>
      <c r="H93" s="339"/>
      <c r="I93" s="341"/>
      <c r="J93" s="343"/>
      <c r="K93" s="222" t="e">
        <f>+J92/C8</f>
        <v>#DIV/0!</v>
      </c>
    </row>
    <row r="94" spans="1:11" ht="15">
      <c r="A94" s="122"/>
      <c r="B94" s="11"/>
      <c r="C94" s="11"/>
      <c r="D94" s="11"/>
      <c r="E94" s="45"/>
      <c r="F94" s="135"/>
      <c r="G94" s="136"/>
      <c r="H94" s="137"/>
      <c r="I94" s="138"/>
      <c r="J94" s="139"/>
    </row>
    <row r="95" spans="1:11" ht="16.5" thickBot="1">
      <c r="A95" s="210"/>
      <c r="B95" s="211"/>
      <c r="C95" s="211"/>
      <c r="D95" s="211"/>
      <c r="E95" s="211"/>
      <c r="F95" s="215" t="s">
        <v>72</v>
      </c>
      <c r="G95" s="216"/>
      <c r="H95" s="217"/>
      <c r="I95" s="218"/>
      <c r="J95" s="223" t="e">
        <f>(J92/$C$8)</f>
        <v>#DIV/0!</v>
      </c>
      <c r="K95" s="132">
        <v>2.9050255171487498E-2</v>
      </c>
    </row>
    <row r="96" spans="1:11" ht="15">
      <c r="A96" s="11"/>
      <c r="B96" s="11"/>
      <c r="C96" s="11"/>
      <c r="D96" s="11"/>
      <c r="E96" s="45"/>
      <c r="F96" s="135"/>
      <c r="G96" s="136"/>
      <c r="H96" s="137"/>
      <c r="I96" s="138"/>
      <c r="J96" s="263"/>
    </row>
  </sheetData>
  <sheetProtection selectLockedCells="1" selectUnlockedCells="1"/>
  <protectedRanges>
    <protectedRange sqref="F41:F45 F48" name="Rango6_2"/>
    <protectedRange sqref="F36:F39" name="Rango6_1"/>
    <protectedRange sqref="F46:F47" name="Rango6_2_1"/>
  </protectedRanges>
  <mergeCells count="29">
    <mergeCell ref="A2:J2"/>
    <mergeCell ref="A11:C12"/>
    <mergeCell ref="D11:D12"/>
    <mergeCell ref="E11:E12"/>
    <mergeCell ref="F11:F12"/>
    <mergeCell ref="J11:J12"/>
    <mergeCell ref="A3:J4"/>
    <mergeCell ref="G11:G12"/>
    <mergeCell ref="A58:C58"/>
    <mergeCell ref="A59:C59"/>
    <mergeCell ref="I11:I12"/>
    <mergeCell ref="H11:H12"/>
    <mergeCell ref="K4:T4"/>
    <mergeCell ref="A10:J10"/>
    <mergeCell ref="K6:M6"/>
    <mergeCell ref="A92:H93"/>
    <mergeCell ref="I92:I93"/>
    <mergeCell ref="J92:J93"/>
    <mergeCell ref="E90:H90"/>
    <mergeCell ref="E80:H80"/>
    <mergeCell ref="A81:J81"/>
    <mergeCell ref="A82:C83"/>
    <mergeCell ref="D82:D83"/>
    <mergeCell ref="E82:E83"/>
    <mergeCell ref="F82:F83"/>
    <mergeCell ref="G82:G83"/>
    <mergeCell ref="H82:H83"/>
    <mergeCell ref="I82:I83"/>
    <mergeCell ref="J82:J83"/>
  </mergeCells>
  <printOptions horizontalCentered="1" verticalCentered="1"/>
  <pageMargins left="0.15748031496062992" right="0.23622047244094491" top="0.74803149606299213" bottom="0.74803149606299213" header="0.31496062992125984" footer="0.31496062992125984"/>
  <pageSetup paperSize="9" scale="55" firstPageNumber="0" fitToHeight="0" orientation="portrait" r:id="rId1"/>
  <headerFooter alignWithMargins="0"/>
  <rowBreaks count="1" manualBreakCount="1">
    <brk id="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T47"/>
  <sheetViews>
    <sheetView showGridLines="0" view="pageBreakPreview" zoomScale="85" zoomScaleNormal="85" zoomScaleSheetLayoutView="85" workbookViewId="0">
      <selection activeCell="O38" sqref="O38"/>
    </sheetView>
  </sheetViews>
  <sheetFormatPr baseColWidth="10" defaultColWidth="12.5703125" defaultRowHeight="12.75"/>
  <cols>
    <col min="1" max="1" width="3.7109375" style="180" customWidth="1"/>
    <col min="2" max="2" width="11.7109375" style="180" customWidth="1"/>
    <col min="3" max="3" width="9.7109375" style="180" customWidth="1"/>
    <col min="4" max="5" width="3.7109375" style="180" customWidth="1"/>
    <col min="6" max="6" width="35.7109375" style="180" customWidth="1"/>
    <col min="7" max="7" width="14.7109375" style="180" customWidth="1"/>
    <col min="8" max="8" width="2.7109375" style="180" customWidth="1"/>
    <col min="9" max="12" width="5.7109375" style="180" customWidth="1"/>
    <col min="13" max="13" width="13.7109375" style="180" customWidth="1"/>
    <col min="14" max="14" width="6.140625" style="180" customWidth="1"/>
    <col min="15" max="15" width="15.140625" style="180" customWidth="1"/>
    <col min="16" max="16" width="26.140625" style="180" customWidth="1"/>
    <col min="17" max="17" width="14.42578125" style="180" customWidth="1"/>
    <col min="18" max="18" width="12.5703125" style="180"/>
    <col min="19" max="19" width="13.85546875" style="180" bestFit="1" customWidth="1"/>
    <col min="20" max="16384" width="12.5703125" style="180"/>
  </cols>
  <sheetData>
    <row r="1" spans="1:20" s="150" customFormat="1" ht="12">
      <c r="P1" s="151"/>
    </row>
    <row r="2" spans="1:20" s="150" customFormat="1" ht="12" hidden="1">
      <c r="M2" s="152" t="e">
        <f>+[1]Resumen!G2</f>
        <v>#REF!</v>
      </c>
      <c r="O2" s="151"/>
      <c r="P2" s="151"/>
    </row>
    <row r="3" spans="1:20" s="150" customFormat="1" ht="19.5" hidden="1">
      <c r="M3" s="152" t="e">
        <f>+[1]Resumen!G3</f>
        <v>#REF!</v>
      </c>
      <c r="O3" s="153"/>
      <c r="P3" s="153"/>
    </row>
    <row r="4" spans="1:20" s="150" customFormat="1" hidden="1" thickBot="1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1:20" s="150" customFormat="1" ht="25.5" customHeight="1">
      <c r="G5" s="155"/>
    </row>
    <row r="6" spans="1:20" s="156" customFormat="1" ht="24" customHeight="1">
      <c r="A6" s="376"/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</row>
    <row r="7" spans="1:20" s="150" customFormat="1" ht="7.5" customHeight="1">
      <c r="G7" s="155"/>
    </row>
    <row r="8" spans="1:20" s="157" customFormat="1" ht="15" customHeight="1">
      <c r="A8" s="377" t="str">
        <f>+'GS PRINCIPAL '!A3</f>
        <v>ANALISIS  DE  GASTOS  DE SUPERVISION  DE  LA  OBRA: “MEJORAMIENTO DEL SERVICIO DE EDUCACIÓN SUPERIOR ARTÍSTICA EN ERNESTO LÓPEZ MINDREAU"</v>
      </c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</row>
    <row r="9" spans="1:20" s="157" customFormat="1" ht="33.75" customHeight="1">
      <c r="A9" s="377"/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</row>
    <row r="10" spans="1:20" s="150" customFormat="1" ht="25.5" customHeight="1">
      <c r="A10" s="377"/>
      <c r="B10" s="377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</row>
    <row r="11" spans="1:20" s="158" customFormat="1" ht="21" customHeight="1">
      <c r="A11" s="378" t="s">
        <v>112</v>
      </c>
      <c r="B11" s="379"/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80"/>
    </row>
    <row r="12" spans="1:20" s="150" customFormat="1" ht="12">
      <c r="F12" s="155"/>
      <c r="G12" s="155"/>
    </row>
    <row r="13" spans="1:20" s="160" customFormat="1" ht="17.25" customHeight="1">
      <c r="A13" s="159" t="s">
        <v>113</v>
      </c>
    </row>
    <row r="14" spans="1:20" s="162" customFormat="1" ht="6" customHeight="1">
      <c r="A14" s="161"/>
      <c r="E14" s="163"/>
    </row>
    <row r="15" spans="1:20" s="164" customFormat="1">
      <c r="B15" s="164" t="s">
        <v>114</v>
      </c>
      <c r="C15" s="165">
        <v>1.7999999999999999E-2</v>
      </c>
      <c r="F15" s="166"/>
      <c r="G15" s="167"/>
      <c r="L15" s="168"/>
      <c r="M15" s="166"/>
      <c r="T15" s="166"/>
    </row>
    <row r="16" spans="1:20" s="164" customFormat="1">
      <c r="F16" s="166" t="s">
        <v>115</v>
      </c>
      <c r="G16" s="169">
        <v>10</v>
      </c>
      <c r="L16" s="168"/>
      <c r="M16" s="166"/>
    </row>
    <row r="17" spans="1:19" s="162" customFormat="1" ht="7.5" customHeight="1" thickBot="1">
      <c r="A17" s="161"/>
      <c r="E17" s="163"/>
    </row>
    <row r="18" spans="1:19" s="164" customFormat="1" ht="18" customHeight="1" thickBot="1">
      <c r="B18" s="164" t="s">
        <v>116</v>
      </c>
      <c r="E18" s="170" t="s">
        <v>53</v>
      </c>
      <c r="F18" s="171">
        <f>O18</f>
        <v>0</v>
      </c>
      <c r="I18" s="172" t="s">
        <v>117</v>
      </c>
      <c r="J18" s="173"/>
      <c r="K18" s="173"/>
      <c r="L18" s="173"/>
      <c r="M18" s="174">
        <f>ROUND((C15*G16/12)*F18,2)</f>
        <v>0</v>
      </c>
      <c r="O18" s="168">
        <f>+'GS PRINCIPAL '!J29</f>
        <v>0</v>
      </c>
      <c r="P18" s="175" t="s">
        <v>118</v>
      </c>
    </row>
    <row r="19" spans="1:19" s="164" customFormat="1" ht="12.75" customHeight="1">
      <c r="F19" s="168"/>
    </row>
    <row r="20" spans="1:19" s="160" customFormat="1" ht="14.25">
      <c r="A20" s="159" t="s">
        <v>119</v>
      </c>
    </row>
    <row r="21" spans="1:19" s="162" customFormat="1" ht="7.5" customHeight="1">
      <c r="A21" s="161"/>
      <c r="E21" s="163"/>
    </row>
    <row r="22" spans="1:19" s="164" customFormat="1">
      <c r="B22" s="164" t="s">
        <v>114</v>
      </c>
      <c r="C22" s="165">
        <v>1.4999999999999999E-2</v>
      </c>
      <c r="F22" s="166"/>
      <c r="G22" s="167"/>
      <c r="L22" s="168"/>
      <c r="M22" s="166"/>
    </row>
    <row r="23" spans="1:19" s="164" customFormat="1">
      <c r="F23" s="166" t="s">
        <v>115</v>
      </c>
      <c r="G23" s="169">
        <f>+G16</f>
        <v>10</v>
      </c>
      <c r="L23" s="168"/>
      <c r="M23" s="166"/>
    </row>
    <row r="24" spans="1:19" s="162" customFormat="1" ht="7.5" customHeight="1" thickBot="1">
      <c r="A24" s="161"/>
      <c r="E24" s="163"/>
    </row>
    <row r="25" spans="1:19" s="164" customFormat="1" ht="18" customHeight="1" thickBot="1">
      <c r="B25" s="164" t="s">
        <v>120</v>
      </c>
      <c r="E25" s="170" t="s">
        <v>53</v>
      </c>
      <c r="F25" s="168">
        <f>O25</f>
        <v>0</v>
      </c>
      <c r="I25" s="172" t="s">
        <v>117</v>
      </c>
      <c r="J25" s="173"/>
      <c r="K25" s="173"/>
      <c r="L25" s="173"/>
      <c r="M25" s="174">
        <f>ROUND((C22*G23/12)*F25,2)</f>
        <v>0</v>
      </c>
      <c r="O25" s="166">
        <f>+'GS PRINCIPAL '!J14</f>
        <v>0</v>
      </c>
      <c r="P25" s="164" t="s">
        <v>121</v>
      </c>
    </row>
    <row r="26" spans="1:19" s="164" customFormat="1" ht="12.75" customHeight="1">
      <c r="F26" s="168"/>
    </row>
    <row r="27" spans="1:19" s="160" customFormat="1" ht="14.25">
      <c r="A27" s="159" t="s">
        <v>122</v>
      </c>
    </row>
    <row r="28" spans="1:19" s="162" customFormat="1" ht="7.5" customHeight="1">
      <c r="A28" s="161"/>
      <c r="E28" s="163"/>
      <c r="R28" s="219" t="s">
        <v>156</v>
      </c>
      <c r="S28">
        <v>31053789.190000001</v>
      </c>
    </row>
    <row r="29" spans="1:19" s="164" customFormat="1">
      <c r="F29" s="166" t="s">
        <v>123</v>
      </c>
      <c r="G29" s="323">
        <f>+O31</f>
        <v>0</v>
      </c>
      <c r="L29" s="168"/>
      <c r="M29" s="177">
        <f>ROUND((C30/1000*G31/12)*G29,2)</f>
        <v>0</v>
      </c>
      <c r="O29" s="196">
        <f>+'GS PRINCIPAL '!J14+'GS PRINCIPAL '!J84</f>
        <v>0</v>
      </c>
      <c r="P29" s="175" t="s">
        <v>124</v>
      </c>
      <c r="R29" s="219" t="s">
        <v>157</v>
      </c>
      <c r="S29">
        <v>17523262.510000002</v>
      </c>
    </row>
    <row r="30" spans="1:19" s="164" customFormat="1" ht="15.75" customHeight="1">
      <c r="B30" s="164" t="s">
        <v>125</v>
      </c>
      <c r="C30" s="178">
        <v>1.5</v>
      </c>
      <c r="D30" s="164" t="s">
        <v>126</v>
      </c>
      <c r="F30" s="176" t="s">
        <v>127</v>
      </c>
      <c r="G30" s="179">
        <v>0.1</v>
      </c>
      <c r="L30" s="168"/>
      <c r="M30" s="166"/>
      <c r="O30" s="166">
        <f>+'GS PRINCIPAL '!J29</f>
        <v>0</v>
      </c>
      <c r="R30" s="219" t="s">
        <v>158</v>
      </c>
      <c r="S30">
        <v>2635357.4300000002</v>
      </c>
    </row>
    <row r="31" spans="1:19" ht="20.100000000000001" customHeight="1">
      <c r="A31" s="164"/>
      <c r="B31" s="164" t="s">
        <v>114</v>
      </c>
      <c r="C31" s="178">
        <v>2.4</v>
      </c>
      <c r="D31" s="164" t="s">
        <v>126</v>
      </c>
      <c r="E31" s="164"/>
      <c r="F31" s="176" t="s">
        <v>128</v>
      </c>
      <c r="G31" s="167">
        <v>10</v>
      </c>
      <c r="H31" s="164"/>
      <c r="I31" s="164"/>
      <c r="J31" s="164"/>
      <c r="K31" s="164"/>
      <c r="L31" s="168"/>
      <c r="M31" s="166"/>
      <c r="N31" s="164"/>
      <c r="O31" s="196">
        <f>+O30+O29</f>
        <v>0</v>
      </c>
      <c r="R31" s="219" t="s">
        <v>159</v>
      </c>
      <c r="S31">
        <v>1744824.7</v>
      </c>
    </row>
    <row r="32" spans="1:19" ht="15.75" customHeight="1">
      <c r="A32" s="164"/>
      <c r="B32" s="164"/>
      <c r="C32" s="164"/>
      <c r="D32" s="164"/>
      <c r="E32" s="164"/>
      <c r="F32" s="166"/>
      <c r="G32" s="169"/>
      <c r="H32" s="164"/>
      <c r="I32" s="164"/>
      <c r="J32" s="164"/>
      <c r="K32" s="164"/>
      <c r="L32" s="164"/>
      <c r="M32" s="164"/>
      <c r="N32" s="164"/>
      <c r="O32" s="164"/>
      <c r="R32" s="219" t="s">
        <v>160</v>
      </c>
      <c r="S32">
        <v>699972.28</v>
      </c>
    </row>
    <row r="33" spans="1:19" ht="15.75" customHeight="1">
      <c r="A33" s="164"/>
      <c r="B33" s="164" t="s">
        <v>116</v>
      </c>
      <c r="C33" s="164"/>
      <c r="D33" s="164"/>
      <c r="E33" s="170" t="s">
        <v>53</v>
      </c>
      <c r="F33" s="176">
        <f>ROUND(+G29*G30,0)</f>
        <v>0</v>
      </c>
      <c r="G33" s="164"/>
      <c r="H33" s="164"/>
      <c r="I33" s="164"/>
      <c r="J33" s="164"/>
      <c r="K33" s="164"/>
      <c r="L33" s="164"/>
      <c r="M33" s="181">
        <f>ROUND((C31/1000*G31/12)*F33,2)</f>
        <v>0</v>
      </c>
      <c r="N33" s="164"/>
      <c r="O33" s="164"/>
      <c r="R33" s="219" t="s">
        <v>161</v>
      </c>
      <c r="S33" s="220">
        <v>425217.1</v>
      </c>
    </row>
    <row r="34" spans="1:19" s="162" customFormat="1" ht="7.5" customHeight="1" thickBot="1">
      <c r="A34" s="161"/>
      <c r="E34" s="163"/>
    </row>
    <row r="35" spans="1:19" s="164" customFormat="1" ht="18" customHeight="1" thickBot="1">
      <c r="E35" s="170"/>
      <c r="F35" s="168"/>
      <c r="I35" s="172" t="s">
        <v>117</v>
      </c>
      <c r="J35" s="173"/>
      <c r="K35" s="173"/>
      <c r="L35" s="173"/>
      <c r="M35" s="174">
        <f>SUM(M29:M33)</f>
        <v>0</v>
      </c>
      <c r="O35" s="168"/>
      <c r="R35" s="175" t="s">
        <v>162</v>
      </c>
      <c r="S35" s="221">
        <v>24134598.670000002</v>
      </c>
    </row>
    <row r="36" spans="1:19" s="164" customFormat="1" ht="12.75" customHeight="1">
      <c r="F36" s="168"/>
    </row>
    <row r="37" spans="1:19" s="164" customFormat="1">
      <c r="F37" s="168"/>
    </row>
    <row r="38" spans="1:19" s="188" customFormat="1" ht="24" customHeight="1">
      <c r="A38" s="182"/>
      <c r="B38" s="182"/>
      <c r="C38" s="182"/>
      <c r="D38" s="182"/>
      <c r="E38" s="182"/>
      <c r="F38" s="182"/>
      <c r="G38" s="182"/>
      <c r="H38" s="182"/>
      <c r="I38" s="182"/>
      <c r="J38" s="183"/>
      <c r="K38" s="183"/>
      <c r="L38" s="184" t="s">
        <v>129</v>
      </c>
      <c r="M38" s="185">
        <f>ROUND((M18+M25+M35),2)</f>
        <v>0</v>
      </c>
      <c r="N38" s="186"/>
      <c r="O38" s="187"/>
    </row>
    <row r="39" spans="1:19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</row>
    <row r="40" spans="1:19" s="160" customFormat="1" ht="14.25">
      <c r="A40" s="159" t="s">
        <v>130</v>
      </c>
      <c r="I40" s="189">
        <v>0.03</v>
      </c>
      <c r="J40" s="160" t="s">
        <v>131</v>
      </c>
      <c r="M40" s="190">
        <f>ROUND(I40*M38,2)</f>
        <v>0</v>
      </c>
    </row>
    <row r="41" spans="1:19" s="192" customFormat="1" ht="15">
      <c r="A41" s="191"/>
      <c r="H41" s="164"/>
    </row>
    <row r="42" spans="1:19" s="188" customFormat="1" ht="24" customHeight="1">
      <c r="A42" s="182"/>
      <c r="B42" s="182"/>
      <c r="C42" s="182"/>
      <c r="D42" s="381"/>
      <c r="E42" s="381"/>
      <c r="F42" s="182"/>
      <c r="G42" s="182"/>
      <c r="H42" s="182"/>
      <c r="I42" s="182"/>
      <c r="J42" s="183"/>
      <c r="K42" s="183"/>
      <c r="L42" s="193" t="s">
        <v>132</v>
      </c>
      <c r="M42" s="194">
        <f>SUM(M38:M40)</f>
        <v>0</v>
      </c>
      <c r="N42" s="186"/>
      <c r="O42" s="187"/>
    </row>
    <row r="43" spans="1:19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</row>
    <row r="44" spans="1:19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</row>
    <row r="45" spans="1:19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</row>
    <row r="46" spans="1:19">
      <c r="A46" s="164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</row>
    <row r="47" spans="1:19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</row>
  </sheetData>
  <mergeCells count="4">
    <mergeCell ref="A6:M6"/>
    <mergeCell ref="A8:M10"/>
    <mergeCell ref="A11:M11"/>
    <mergeCell ref="D42:E42"/>
  </mergeCells>
  <printOptions horizontalCentered="1" verticalCentered="1"/>
  <pageMargins left="0.59055118110236227" right="0.59055118110236227" top="0.59055118110236227" bottom="0.98425196850393704" header="0" footer="0.27559055118110237"/>
  <pageSetup paperSize="9" scale="72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69840-BC44-4114-89ED-63329D5A6524}">
  <dimension ref="A1:G21"/>
  <sheetViews>
    <sheetView zoomScaleNormal="100" zoomScaleSheetLayoutView="100" workbookViewId="0">
      <selection activeCell="D24" sqref="D24"/>
    </sheetView>
  </sheetViews>
  <sheetFormatPr baseColWidth="10" defaultRowHeight="12.75"/>
  <cols>
    <col min="1" max="1" width="4.5703125" customWidth="1"/>
    <col min="2" max="2" width="33.28515625" customWidth="1"/>
    <col min="3" max="3" width="15.85546875" bestFit="1" customWidth="1"/>
    <col min="4" max="4" width="22.85546875" customWidth="1"/>
    <col min="5" max="5" width="16.85546875" customWidth="1"/>
    <col min="6" max="6" width="16.7109375" customWidth="1"/>
    <col min="7" max="7" width="13.7109375" customWidth="1"/>
    <col min="256" max="256" width="4.5703125" customWidth="1"/>
    <col min="257" max="257" width="41.42578125" customWidth="1"/>
    <col min="258" max="258" width="15.85546875" bestFit="1" customWidth="1"/>
    <col min="259" max="259" width="12.5703125" bestFit="1" customWidth="1"/>
    <col min="260" max="260" width="12.42578125" bestFit="1" customWidth="1"/>
    <col min="512" max="512" width="4.5703125" customWidth="1"/>
    <col min="513" max="513" width="41.42578125" customWidth="1"/>
    <col min="514" max="514" width="15.85546875" bestFit="1" customWidth="1"/>
    <col min="515" max="515" width="12.5703125" bestFit="1" customWidth="1"/>
    <col min="516" max="516" width="12.42578125" bestFit="1" customWidth="1"/>
    <col min="768" max="768" width="4.5703125" customWidth="1"/>
    <col min="769" max="769" width="41.42578125" customWidth="1"/>
    <col min="770" max="770" width="15.85546875" bestFit="1" customWidth="1"/>
    <col min="771" max="771" width="12.5703125" bestFit="1" customWidth="1"/>
    <col min="772" max="772" width="12.42578125" bestFit="1" customWidth="1"/>
    <col min="1024" max="1024" width="4.5703125" customWidth="1"/>
    <col min="1025" max="1025" width="41.42578125" customWidth="1"/>
    <col min="1026" max="1026" width="15.85546875" bestFit="1" customWidth="1"/>
    <col min="1027" max="1027" width="12.5703125" bestFit="1" customWidth="1"/>
    <col min="1028" max="1028" width="12.42578125" bestFit="1" customWidth="1"/>
    <col min="1280" max="1280" width="4.5703125" customWidth="1"/>
    <col min="1281" max="1281" width="41.42578125" customWidth="1"/>
    <col min="1282" max="1282" width="15.85546875" bestFit="1" customWidth="1"/>
    <col min="1283" max="1283" width="12.5703125" bestFit="1" customWidth="1"/>
    <col min="1284" max="1284" width="12.42578125" bestFit="1" customWidth="1"/>
    <col min="1536" max="1536" width="4.5703125" customWidth="1"/>
    <col min="1537" max="1537" width="41.42578125" customWidth="1"/>
    <col min="1538" max="1538" width="15.85546875" bestFit="1" customWidth="1"/>
    <col min="1539" max="1539" width="12.5703125" bestFit="1" customWidth="1"/>
    <col min="1540" max="1540" width="12.42578125" bestFit="1" customWidth="1"/>
    <col min="1792" max="1792" width="4.5703125" customWidth="1"/>
    <col min="1793" max="1793" width="41.42578125" customWidth="1"/>
    <col min="1794" max="1794" width="15.85546875" bestFit="1" customWidth="1"/>
    <col min="1795" max="1795" width="12.5703125" bestFit="1" customWidth="1"/>
    <col min="1796" max="1796" width="12.42578125" bestFit="1" customWidth="1"/>
    <col min="2048" max="2048" width="4.5703125" customWidth="1"/>
    <col min="2049" max="2049" width="41.42578125" customWidth="1"/>
    <col min="2050" max="2050" width="15.85546875" bestFit="1" customWidth="1"/>
    <col min="2051" max="2051" width="12.5703125" bestFit="1" customWidth="1"/>
    <col min="2052" max="2052" width="12.42578125" bestFit="1" customWidth="1"/>
    <col min="2304" max="2304" width="4.5703125" customWidth="1"/>
    <col min="2305" max="2305" width="41.42578125" customWidth="1"/>
    <col min="2306" max="2306" width="15.85546875" bestFit="1" customWidth="1"/>
    <col min="2307" max="2307" width="12.5703125" bestFit="1" customWidth="1"/>
    <col min="2308" max="2308" width="12.42578125" bestFit="1" customWidth="1"/>
    <col min="2560" max="2560" width="4.5703125" customWidth="1"/>
    <col min="2561" max="2561" width="41.42578125" customWidth="1"/>
    <col min="2562" max="2562" width="15.85546875" bestFit="1" customWidth="1"/>
    <col min="2563" max="2563" width="12.5703125" bestFit="1" customWidth="1"/>
    <col min="2564" max="2564" width="12.42578125" bestFit="1" customWidth="1"/>
    <col min="2816" max="2816" width="4.5703125" customWidth="1"/>
    <col min="2817" max="2817" width="41.42578125" customWidth="1"/>
    <col min="2818" max="2818" width="15.85546875" bestFit="1" customWidth="1"/>
    <col min="2819" max="2819" width="12.5703125" bestFit="1" customWidth="1"/>
    <col min="2820" max="2820" width="12.42578125" bestFit="1" customWidth="1"/>
    <col min="3072" max="3072" width="4.5703125" customWidth="1"/>
    <col min="3073" max="3073" width="41.42578125" customWidth="1"/>
    <col min="3074" max="3074" width="15.85546875" bestFit="1" customWidth="1"/>
    <col min="3075" max="3075" width="12.5703125" bestFit="1" customWidth="1"/>
    <col min="3076" max="3076" width="12.42578125" bestFit="1" customWidth="1"/>
    <col min="3328" max="3328" width="4.5703125" customWidth="1"/>
    <col min="3329" max="3329" width="41.42578125" customWidth="1"/>
    <col min="3330" max="3330" width="15.85546875" bestFit="1" customWidth="1"/>
    <col min="3331" max="3331" width="12.5703125" bestFit="1" customWidth="1"/>
    <col min="3332" max="3332" width="12.42578125" bestFit="1" customWidth="1"/>
    <col min="3584" max="3584" width="4.5703125" customWidth="1"/>
    <col min="3585" max="3585" width="41.42578125" customWidth="1"/>
    <col min="3586" max="3586" width="15.85546875" bestFit="1" customWidth="1"/>
    <col min="3587" max="3587" width="12.5703125" bestFit="1" customWidth="1"/>
    <col min="3588" max="3588" width="12.42578125" bestFit="1" customWidth="1"/>
    <col min="3840" max="3840" width="4.5703125" customWidth="1"/>
    <col min="3841" max="3841" width="41.42578125" customWidth="1"/>
    <col min="3842" max="3842" width="15.85546875" bestFit="1" customWidth="1"/>
    <col min="3843" max="3843" width="12.5703125" bestFit="1" customWidth="1"/>
    <col min="3844" max="3844" width="12.42578125" bestFit="1" customWidth="1"/>
    <col min="4096" max="4096" width="4.5703125" customWidth="1"/>
    <col min="4097" max="4097" width="41.42578125" customWidth="1"/>
    <col min="4098" max="4098" width="15.85546875" bestFit="1" customWidth="1"/>
    <col min="4099" max="4099" width="12.5703125" bestFit="1" customWidth="1"/>
    <col min="4100" max="4100" width="12.42578125" bestFit="1" customWidth="1"/>
    <col min="4352" max="4352" width="4.5703125" customWidth="1"/>
    <col min="4353" max="4353" width="41.42578125" customWidth="1"/>
    <col min="4354" max="4354" width="15.85546875" bestFit="1" customWidth="1"/>
    <col min="4355" max="4355" width="12.5703125" bestFit="1" customWidth="1"/>
    <col min="4356" max="4356" width="12.42578125" bestFit="1" customWidth="1"/>
    <col min="4608" max="4608" width="4.5703125" customWidth="1"/>
    <col min="4609" max="4609" width="41.42578125" customWidth="1"/>
    <col min="4610" max="4610" width="15.85546875" bestFit="1" customWidth="1"/>
    <col min="4611" max="4611" width="12.5703125" bestFit="1" customWidth="1"/>
    <col min="4612" max="4612" width="12.42578125" bestFit="1" customWidth="1"/>
    <col min="4864" max="4864" width="4.5703125" customWidth="1"/>
    <col min="4865" max="4865" width="41.42578125" customWidth="1"/>
    <col min="4866" max="4866" width="15.85546875" bestFit="1" customWidth="1"/>
    <col min="4867" max="4867" width="12.5703125" bestFit="1" customWidth="1"/>
    <col min="4868" max="4868" width="12.42578125" bestFit="1" customWidth="1"/>
    <col min="5120" max="5120" width="4.5703125" customWidth="1"/>
    <col min="5121" max="5121" width="41.42578125" customWidth="1"/>
    <col min="5122" max="5122" width="15.85546875" bestFit="1" customWidth="1"/>
    <col min="5123" max="5123" width="12.5703125" bestFit="1" customWidth="1"/>
    <col min="5124" max="5124" width="12.42578125" bestFit="1" customWidth="1"/>
    <col min="5376" max="5376" width="4.5703125" customWidth="1"/>
    <col min="5377" max="5377" width="41.42578125" customWidth="1"/>
    <col min="5378" max="5378" width="15.85546875" bestFit="1" customWidth="1"/>
    <col min="5379" max="5379" width="12.5703125" bestFit="1" customWidth="1"/>
    <col min="5380" max="5380" width="12.42578125" bestFit="1" customWidth="1"/>
    <col min="5632" max="5632" width="4.5703125" customWidth="1"/>
    <col min="5633" max="5633" width="41.42578125" customWidth="1"/>
    <col min="5634" max="5634" width="15.85546875" bestFit="1" customWidth="1"/>
    <col min="5635" max="5635" width="12.5703125" bestFit="1" customWidth="1"/>
    <col min="5636" max="5636" width="12.42578125" bestFit="1" customWidth="1"/>
    <col min="5888" max="5888" width="4.5703125" customWidth="1"/>
    <col min="5889" max="5889" width="41.42578125" customWidth="1"/>
    <col min="5890" max="5890" width="15.85546875" bestFit="1" customWidth="1"/>
    <col min="5891" max="5891" width="12.5703125" bestFit="1" customWidth="1"/>
    <col min="5892" max="5892" width="12.42578125" bestFit="1" customWidth="1"/>
    <col min="6144" max="6144" width="4.5703125" customWidth="1"/>
    <col min="6145" max="6145" width="41.42578125" customWidth="1"/>
    <col min="6146" max="6146" width="15.85546875" bestFit="1" customWidth="1"/>
    <col min="6147" max="6147" width="12.5703125" bestFit="1" customWidth="1"/>
    <col min="6148" max="6148" width="12.42578125" bestFit="1" customWidth="1"/>
    <col min="6400" max="6400" width="4.5703125" customWidth="1"/>
    <col min="6401" max="6401" width="41.42578125" customWidth="1"/>
    <col min="6402" max="6402" width="15.85546875" bestFit="1" customWidth="1"/>
    <col min="6403" max="6403" width="12.5703125" bestFit="1" customWidth="1"/>
    <col min="6404" max="6404" width="12.42578125" bestFit="1" customWidth="1"/>
    <col min="6656" max="6656" width="4.5703125" customWidth="1"/>
    <col min="6657" max="6657" width="41.42578125" customWidth="1"/>
    <col min="6658" max="6658" width="15.85546875" bestFit="1" customWidth="1"/>
    <col min="6659" max="6659" width="12.5703125" bestFit="1" customWidth="1"/>
    <col min="6660" max="6660" width="12.42578125" bestFit="1" customWidth="1"/>
    <col min="6912" max="6912" width="4.5703125" customWidth="1"/>
    <col min="6913" max="6913" width="41.42578125" customWidth="1"/>
    <col min="6914" max="6914" width="15.85546875" bestFit="1" customWidth="1"/>
    <col min="6915" max="6915" width="12.5703125" bestFit="1" customWidth="1"/>
    <col min="6916" max="6916" width="12.42578125" bestFit="1" customWidth="1"/>
    <col min="7168" max="7168" width="4.5703125" customWidth="1"/>
    <col min="7169" max="7169" width="41.42578125" customWidth="1"/>
    <col min="7170" max="7170" width="15.85546875" bestFit="1" customWidth="1"/>
    <col min="7171" max="7171" width="12.5703125" bestFit="1" customWidth="1"/>
    <col min="7172" max="7172" width="12.42578125" bestFit="1" customWidth="1"/>
    <col min="7424" max="7424" width="4.5703125" customWidth="1"/>
    <col min="7425" max="7425" width="41.42578125" customWidth="1"/>
    <col min="7426" max="7426" width="15.85546875" bestFit="1" customWidth="1"/>
    <col min="7427" max="7427" width="12.5703125" bestFit="1" customWidth="1"/>
    <col min="7428" max="7428" width="12.42578125" bestFit="1" customWidth="1"/>
    <col min="7680" max="7680" width="4.5703125" customWidth="1"/>
    <col min="7681" max="7681" width="41.42578125" customWidth="1"/>
    <col min="7682" max="7682" width="15.85546875" bestFit="1" customWidth="1"/>
    <col min="7683" max="7683" width="12.5703125" bestFit="1" customWidth="1"/>
    <col min="7684" max="7684" width="12.42578125" bestFit="1" customWidth="1"/>
    <col min="7936" max="7936" width="4.5703125" customWidth="1"/>
    <col min="7937" max="7937" width="41.42578125" customWidth="1"/>
    <col min="7938" max="7938" width="15.85546875" bestFit="1" customWidth="1"/>
    <col min="7939" max="7939" width="12.5703125" bestFit="1" customWidth="1"/>
    <col min="7940" max="7940" width="12.42578125" bestFit="1" customWidth="1"/>
    <col min="8192" max="8192" width="4.5703125" customWidth="1"/>
    <col min="8193" max="8193" width="41.42578125" customWidth="1"/>
    <col min="8194" max="8194" width="15.85546875" bestFit="1" customWidth="1"/>
    <col min="8195" max="8195" width="12.5703125" bestFit="1" customWidth="1"/>
    <col min="8196" max="8196" width="12.42578125" bestFit="1" customWidth="1"/>
    <col min="8448" max="8448" width="4.5703125" customWidth="1"/>
    <col min="8449" max="8449" width="41.42578125" customWidth="1"/>
    <col min="8450" max="8450" width="15.85546875" bestFit="1" customWidth="1"/>
    <col min="8451" max="8451" width="12.5703125" bestFit="1" customWidth="1"/>
    <col min="8452" max="8452" width="12.42578125" bestFit="1" customWidth="1"/>
    <col min="8704" max="8704" width="4.5703125" customWidth="1"/>
    <col min="8705" max="8705" width="41.42578125" customWidth="1"/>
    <col min="8706" max="8706" width="15.85546875" bestFit="1" customWidth="1"/>
    <col min="8707" max="8707" width="12.5703125" bestFit="1" customWidth="1"/>
    <col min="8708" max="8708" width="12.42578125" bestFit="1" customWidth="1"/>
    <col min="8960" max="8960" width="4.5703125" customWidth="1"/>
    <col min="8961" max="8961" width="41.42578125" customWidth="1"/>
    <col min="8962" max="8962" width="15.85546875" bestFit="1" customWidth="1"/>
    <col min="8963" max="8963" width="12.5703125" bestFit="1" customWidth="1"/>
    <col min="8964" max="8964" width="12.42578125" bestFit="1" customWidth="1"/>
    <col min="9216" max="9216" width="4.5703125" customWidth="1"/>
    <col min="9217" max="9217" width="41.42578125" customWidth="1"/>
    <col min="9218" max="9218" width="15.85546875" bestFit="1" customWidth="1"/>
    <col min="9219" max="9219" width="12.5703125" bestFit="1" customWidth="1"/>
    <col min="9220" max="9220" width="12.42578125" bestFit="1" customWidth="1"/>
    <col min="9472" max="9472" width="4.5703125" customWidth="1"/>
    <col min="9473" max="9473" width="41.42578125" customWidth="1"/>
    <col min="9474" max="9474" width="15.85546875" bestFit="1" customWidth="1"/>
    <col min="9475" max="9475" width="12.5703125" bestFit="1" customWidth="1"/>
    <col min="9476" max="9476" width="12.42578125" bestFit="1" customWidth="1"/>
    <col min="9728" max="9728" width="4.5703125" customWidth="1"/>
    <col min="9729" max="9729" width="41.42578125" customWidth="1"/>
    <col min="9730" max="9730" width="15.85546875" bestFit="1" customWidth="1"/>
    <col min="9731" max="9731" width="12.5703125" bestFit="1" customWidth="1"/>
    <col min="9732" max="9732" width="12.42578125" bestFit="1" customWidth="1"/>
    <col min="9984" max="9984" width="4.5703125" customWidth="1"/>
    <col min="9985" max="9985" width="41.42578125" customWidth="1"/>
    <col min="9986" max="9986" width="15.85546875" bestFit="1" customWidth="1"/>
    <col min="9987" max="9987" width="12.5703125" bestFit="1" customWidth="1"/>
    <col min="9988" max="9988" width="12.42578125" bestFit="1" customWidth="1"/>
    <col min="10240" max="10240" width="4.5703125" customWidth="1"/>
    <col min="10241" max="10241" width="41.42578125" customWidth="1"/>
    <col min="10242" max="10242" width="15.85546875" bestFit="1" customWidth="1"/>
    <col min="10243" max="10243" width="12.5703125" bestFit="1" customWidth="1"/>
    <col min="10244" max="10244" width="12.42578125" bestFit="1" customWidth="1"/>
    <col min="10496" max="10496" width="4.5703125" customWidth="1"/>
    <col min="10497" max="10497" width="41.42578125" customWidth="1"/>
    <col min="10498" max="10498" width="15.85546875" bestFit="1" customWidth="1"/>
    <col min="10499" max="10499" width="12.5703125" bestFit="1" customWidth="1"/>
    <col min="10500" max="10500" width="12.42578125" bestFit="1" customWidth="1"/>
    <col min="10752" max="10752" width="4.5703125" customWidth="1"/>
    <col min="10753" max="10753" width="41.42578125" customWidth="1"/>
    <col min="10754" max="10754" width="15.85546875" bestFit="1" customWidth="1"/>
    <col min="10755" max="10755" width="12.5703125" bestFit="1" customWidth="1"/>
    <col min="10756" max="10756" width="12.42578125" bestFit="1" customWidth="1"/>
    <col min="11008" max="11008" width="4.5703125" customWidth="1"/>
    <col min="11009" max="11009" width="41.42578125" customWidth="1"/>
    <col min="11010" max="11010" width="15.85546875" bestFit="1" customWidth="1"/>
    <col min="11011" max="11011" width="12.5703125" bestFit="1" customWidth="1"/>
    <col min="11012" max="11012" width="12.42578125" bestFit="1" customWidth="1"/>
    <col min="11264" max="11264" width="4.5703125" customWidth="1"/>
    <col min="11265" max="11265" width="41.42578125" customWidth="1"/>
    <col min="11266" max="11266" width="15.85546875" bestFit="1" customWidth="1"/>
    <col min="11267" max="11267" width="12.5703125" bestFit="1" customWidth="1"/>
    <col min="11268" max="11268" width="12.42578125" bestFit="1" customWidth="1"/>
    <col min="11520" max="11520" width="4.5703125" customWidth="1"/>
    <col min="11521" max="11521" width="41.42578125" customWidth="1"/>
    <col min="11522" max="11522" width="15.85546875" bestFit="1" customWidth="1"/>
    <col min="11523" max="11523" width="12.5703125" bestFit="1" customWidth="1"/>
    <col min="11524" max="11524" width="12.42578125" bestFit="1" customWidth="1"/>
    <col min="11776" max="11776" width="4.5703125" customWidth="1"/>
    <col min="11777" max="11777" width="41.42578125" customWidth="1"/>
    <col min="11778" max="11778" width="15.85546875" bestFit="1" customWidth="1"/>
    <col min="11779" max="11779" width="12.5703125" bestFit="1" customWidth="1"/>
    <col min="11780" max="11780" width="12.42578125" bestFit="1" customWidth="1"/>
    <col min="12032" max="12032" width="4.5703125" customWidth="1"/>
    <col min="12033" max="12033" width="41.42578125" customWidth="1"/>
    <col min="12034" max="12034" width="15.85546875" bestFit="1" customWidth="1"/>
    <col min="12035" max="12035" width="12.5703125" bestFit="1" customWidth="1"/>
    <col min="12036" max="12036" width="12.42578125" bestFit="1" customWidth="1"/>
    <col min="12288" max="12288" width="4.5703125" customWidth="1"/>
    <col min="12289" max="12289" width="41.42578125" customWidth="1"/>
    <col min="12290" max="12290" width="15.85546875" bestFit="1" customWidth="1"/>
    <col min="12291" max="12291" width="12.5703125" bestFit="1" customWidth="1"/>
    <col min="12292" max="12292" width="12.42578125" bestFit="1" customWidth="1"/>
    <col min="12544" max="12544" width="4.5703125" customWidth="1"/>
    <col min="12545" max="12545" width="41.42578125" customWidth="1"/>
    <col min="12546" max="12546" width="15.85546875" bestFit="1" customWidth="1"/>
    <col min="12547" max="12547" width="12.5703125" bestFit="1" customWidth="1"/>
    <col min="12548" max="12548" width="12.42578125" bestFit="1" customWidth="1"/>
    <col min="12800" max="12800" width="4.5703125" customWidth="1"/>
    <col min="12801" max="12801" width="41.42578125" customWidth="1"/>
    <col min="12802" max="12802" width="15.85546875" bestFit="1" customWidth="1"/>
    <col min="12803" max="12803" width="12.5703125" bestFit="1" customWidth="1"/>
    <col min="12804" max="12804" width="12.42578125" bestFit="1" customWidth="1"/>
    <col min="13056" max="13056" width="4.5703125" customWidth="1"/>
    <col min="13057" max="13057" width="41.42578125" customWidth="1"/>
    <col min="13058" max="13058" width="15.85546875" bestFit="1" customWidth="1"/>
    <col min="13059" max="13059" width="12.5703125" bestFit="1" customWidth="1"/>
    <col min="13060" max="13060" width="12.42578125" bestFit="1" customWidth="1"/>
    <col min="13312" max="13312" width="4.5703125" customWidth="1"/>
    <col min="13313" max="13313" width="41.42578125" customWidth="1"/>
    <col min="13314" max="13314" width="15.85546875" bestFit="1" customWidth="1"/>
    <col min="13315" max="13315" width="12.5703125" bestFit="1" customWidth="1"/>
    <col min="13316" max="13316" width="12.42578125" bestFit="1" customWidth="1"/>
    <col min="13568" max="13568" width="4.5703125" customWidth="1"/>
    <col min="13569" max="13569" width="41.42578125" customWidth="1"/>
    <col min="13570" max="13570" width="15.85546875" bestFit="1" customWidth="1"/>
    <col min="13571" max="13571" width="12.5703125" bestFit="1" customWidth="1"/>
    <col min="13572" max="13572" width="12.42578125" bestFit="1" customWidth="1"/>
    <col min="13824" max="13824" width="4.5703125" customWidth="1"/>
    <col min="13825" max="13825" width="41.42578125" customWidth="1"/>
    <col min="13826" max="13826" width="15.85546875" bestFit="1" customWidth="1"/>
    <col min="13827" max="13827" width="12.5703125" bestFit="1" customWidth="1"/>
    <col min="13828" max="13828" width="12.42578125" bestFit="1" customWidth="1"/>
    <col min="14080" max="14080" width="4.5703125" customWidth="1"/>
    <col min="14081" max="14081" width="41.42578125" customWidth="1"/>
    <col min="14082" max="14082" width="15.85546875" bestFit="1" customWidth="1"/>
    <col min="14083" max="14083" width="12.5703125" bestFit="1" customWidth="1"/>
    <col min="14084" max="14084" width="12.42578125" bestFit="1" customWidth="1"/>
    <col min="14336" max="14336" width="4.5703125" customWidth="1"/>
    <col min="14337" max="14337" width="41.42578125" customWidth="1"/>
    <col min="14338" max="14338" width="15.85546875" bestFit="1" customWidth="1"/>
    <col min="14339" max="14339" width="12.5703125" bestFit="1" customWidth="1"/>
    <col min="14340" max="14340" width="12.42578125" bestFit="1" customWidth="1"/>
    <col min="14592" max="14592" width="4.5703125" customWidth="1"/>
    <col min="14593" max="14593" width="41.42578125" customWidth="1"/>
    <col min="14594" max="14594" width="15.85546875" bestFit="1" customWidth="1"/>
    <col min="14595" max="14595" width="12.5703125" bestFit="1" customWidth="1"/>
    <col min="14596" max="14596" width="12.42578125" bestFit="1" customWidth="1"/>
    <col min="14848" max="14848" width="4.5703125" customWidth="1"/>
    <col min="14849" max="14849" width="41.42578125" customWidth="1"/>
    <col min="14850" max="14850" width="15.85546875" bestFit="1" customWidth="1"/>
    <col min="14851" max="14851" width="12.5703125" bestFit="1" customWidth="1"/>
    <col min="14852" max="14852" width="12.42578125" bestFit="1" customWidth="1"/>
    <col min="15104" max="15104" width="4.5703125" customWidth="1"/>
    <col min="15105" max="15105" width="41.42578125" customWidth="1"/>
    <col min="15106" max="15106" width="15.85546875" bestFit="1" customWidth="1"/>
    <col min="15107" max="15107" width="12.5703125" bestFit="1" customWidth="1"/>
    <col min="15108" max="15108" width="12.42578125" bestFit="1" customWidth="1"/>
    <col min="15360" max="15360" width="4.5703125" customWidth="1"/>
    <col min="15361" max="15361" width="41.42578125" customWidth="1"/>
    <col min="15362" max="15362" width="15.85546875" bestFit="1" customWidth="1"/>
    <col min="15363" max="15363" width="12.5703125" bestFit="1" customWidth="1"/>
    <col min="15364" max="15364" width="12.42578125" bestFit="1" customWidth="1"/>
    <col min="15616" max="15616" width="4.5703125" customWidth="1"/>
    <col min="15617" max="15617" width="41.42578125" customWidth="1"/>
    <col min="15618" max="15618" width="15.85546875" bestFit="1" customWidth="1"/>
    <col min="15619" max="15619" width="12.5703125" bestFit="1" customWidth="1"/>
    <col min="15620" max="15620" width="12.42578125" bestFit="1" customWidth="1"/>
    <col min="15872" max="15872" width="4.5703125" customWidth="1"/>
    <col min="15873" max="15873" width="41.42578125" customWidth="1"/>
    <col min="15874" max="15874" width="15.85546875" bestFit="1" customWidth="1"/>
    <col min="15875" max="15875" width="12.5703125" bestFit="1" customWidth="1"/>
    <col min="15876" max="15876" width="12.42578125" bestFit="1" customWidth="1"/>
    <col min="16128" max="16128" width="4.5703125" customWidth="1"/>
    <col min="16129" max="16129" width="41.42578125" customWidth="1"/>
    <col min="16130" max="16130" width="15.85546875" bestFit="1" customWidth="1"/>
    <col min="16131" max="16131" width="12.5703125" bestFit="1" customWidth="1"/>
    <col min="16132" max="16132" width="12.42578125" bestFit="1" customWidth="1"/>
  </cols>
  <sheetData>
    <row r="1" spans="1:7" ht="27" customHeight="1">
      <c r="A1" s="383" t="s">
        <v>181</v>
      </c>
      <c r="B1" s="383"/>
      <c r="C1" s="383"/>
      <c r="D1" s="383"/>
      <c r="E1" s="383"/>
      <c r="F1" s="383"/>
      <c r="G1" s="383"/>
    </row>
    <row r="2" spans="1:7" s="259" customFormat="1" ht="30" customHeight="1">
      <c r="A2" s="385" t="s">
        <v>165</v>
      </c>
      <c r="B2" s="386"/>
      <c r="C2" s="389">
        <v>45139</v>
      </c>
      <c r="D2" s="388"/>
      <c r="E2" s="389">
        <v>45017</v>
      </c>
      <c r="F2" s="388"/>
      <c r="G2" s="258" t="s">
        <v>182</v>
      </c>
    </row>
    <row r="3" spans="1:7" ht="13.15" customHeight="1">
      <c r="A3" s="385"/>
      <c r="B3" s="386"/>
      <c r="C3" s="390" t="s">
        <v>166</v>
      </c>
      <c r="D3" s="390"/>
      <c r="E3" s="390" t="s">
        <v>166</v>
      </c>
      <c r="F3" s="390"/>
      <c r="G3" s="382" t="s">
        <v>183</v>
      </c>
    </row>
    <row r="4" spans="1:7">
      <c r="A4" s="387"/>
      <c r="B4" s="388"/>
      <c r="C4" s="224" t="s">
        <v>53</v>
      </c>
      <c r="D4" s="224" t="s">
        <v>167</v>
      </c>
      <c r="E4" s="224" t="s">
        <v>53</v>
      </c>
      <c r="F4" s="224" t="s">
        <v>167</v>
      </c>
      <c r="G4" s="382"/>
    </row>
    <row r="5" spans="1:7">
      <c r="A5" s="225"/>
      <c r="B5" s="232" t="s">
        <v>168</v>
      </c>
      <c r="C5" s="242">
        <f>+'GS PRINCIPAL '!C8</f>
        <v>0</v>
      </c>
      <c r="D5" s="226"/>
      <c r="E5" s="242">
        <f>+C5</f>
        <v>0</v>
      </c>
      <c r="F5" s="114"/>
      <c r="G5" s="252"/>
    </row>
    <row r="6" spans="1:7">
      <c r="A6" s="225" t="s">
        <v>169</v>
      </c>
      <c r="B6" s="248" t="s">
        <v>170</v>
      </c>
      <c r="C6" s="241"/>
      <c r="D6" s="226"/>
      <c r="F6" s="114"/>
      <c r="G6" s="252"/>
    </row>
    <row r="7" spans="1:7">
      <c r="A7" s="225"/>
      <c r="B7" s="249" t="s">
        <v>171</v>
      </c>
      <c r="C7" s="243">
        <f>+SUM(C8:C9)</f>
        <v>0</v>
      </c>
      <c r="D7" s="227" t="e">
        <f>+C7/C5</f>
        <v>#DIV/0!</v>
      </c>
      <c r="E7" s="243">
        <f>+SUM(E8:E9)</f>
        <v>2124088.9</v>
      </c>
      <c r="F7" s="227" t="e">
        <f>+E7/E5</f>
        <v>#DIV/0!</v>
      </c>
      <c r="G7" s="253">
        <f>+C7-E7</f>
        <v>-2124088.9</v>
      </c>
    </row>
    <row r="8" spans="1:7">
      <c r="A8" s="225"/>
      <c r="B8" s="250" t="s">
        <v>152</v>
      </c>
      <c r="C8" s="245">
        <f>+'GS PRINCIPAL '!J76</f>
        <v>0</v>
      </c>
      <c r="D8" s="228"/>
      <c r="E8" s="245">
        <f>+[2]GS!$J$85</f>
        <v>2107626.44</v>
      </c>
      <c r="F8" s="227"/>
      <c r="G8" s="253"/>
    </row>
    <row r="9" spans="1:7">
      <c r="A9" s="225"/>
      <c r="B9" s="250" t="s">
        <v>154</v>
      </c>
      <c r="C9" s="245">
        <f>+'GS PRINCIPAL '!J86</f>
        <v>0</v>
      </c>
      <c r="D9" s="228"/>
      <c r="E9" s="245">
        <f>+[2]GS!$J$101</f>
        <v>16462.46</v>
      </c>
      <c r="F9" s="227"/>
      <c r="G9" s="253"/>
    </row>
    <row r="10" spans="1:7">
      <c r="A10" s="225"/>
      <c r="B10" s="226"/>
      <c r="C10" s="241"/>
      <c r="D10" s="228"/>
      <c r="F10" s="227"/>
      <c r="G10" s="253"/>
    </row>
    <row r="11" spans="1:7">
      <c r="A11" s="225"/>
      <c r="B11" s="249" t="s">
        <v>172</v>
      </c>
      <c r="C11" s="243">
        <f>+SUM(C12:C13)</f>
        <v>0</v>
      </c>
      <c r="D11" s="227" t="e">
        <f>+C11/C5</f>
        <v>#DIV/0!</v>
      </c>
      <c r="E11" s="243">
        <f>+SUM(E12:E13)</f>
        <v>169927.12</v>
      </c>
      <c r="F11" s="227" t="e">
        <f>+E11/E5</f>
        <v>#DIV/0!</v>
      </c>
      <c r="G11" s="253">
        <f>+C11-E11</f>
        <v>-169927.12</v>
      </c>
    </row>
    <row r="12" spans="1:7">
      <c r="A12" s="225"/>
      <c r="B12" s="250" t="s">
        <v>152</v>
      </c>
      <c r="C12" s="245">
        <f>+'GS PRINCIPAL '!J77</f>
        <v>0</v>
      </c>
      <c r="D12" s="228"/>
      <c r="E12" s="245">
        <f>+[2]GS!$J$86</f>
        <v>168610.12</v>
      </c>
      <c r="F12" s="227"/>
      <c r="G12" s="253"/>
    </row>
    <row r="13" spans="1:7">
      <c r="A13" s="225"/>
      <c r="B13" s="250" t="s">
        <v>173</v>
      </c>
      <c r="C13" s="245">
        <f>+'GS PRINCIPAL '!J87</f>
        <v>0</v>
      </c>
      <c r="D13" s="228"/>
      <c r="E13" s="245">
        <f>+[2]GS!$J$102</f>
        <v>1317</v>
      </c>
      <c r="F13" s="227"/>
      <c r="G13" s="253"/>
    </row>
    <row r="14" spans="1:7">
      <c r="A14" s="225"/>
      <c r="B14" s="251"/>
      <c r="C14" s="246"/>
      <c r="D14" s="226"/>
      <c r="F14" s="247"/>
      <c r="G14" s="254"/>
    </row>
    <row r="15" spans="1:7">
      <c r="A15" s="229"/>
      <c r="B15" s="230" t="s">
        <v>174</v>
      </c>
      <c r="C15" s="231">
        <f>+C11+C7</f>
        <v>0</v>
      </c>
      <c r="D15" s="232"/>
      <c r="E15" s="231">
        <f>+E11+E7</f>
        <v>2294016.02</v>
      </c>
      <c r="F15" s="114"/>
      <c r="G15" s="253">
        <f>+C15-E15</f>
        <v>-2294016.02</v>
      </c>
    </row>
    <row r="16" spans="1:7">
      <c r="A16" s="225"/>
      <c r="B16" s="244" t="s">
        <v>175</v>
      </c>
      <c r="C16" s="245">
        <f>+ROUND(C15*0.18,2)</f>
        <v>0</v>
      </c>
      <c r="D16" s="227" t="e">
        <f>+C16/C5</f>
        <v>#DIV/0!</v>
      </c>
      <c r="E16" s="245">
        <f>+ROUND(E15*0.18,2)</f>
        <v>412922.88</v>
      </c>
      <c r="F16" s="114"/>
      <c r="G16" s="253">
        <f>+C16-E16</f>
        <v>-412922.88</v>
      </c>
    </row>
    <row r="17" spans="1:7">
      <c r="A17" s="233"/>
      <c r="B17" s="234" t="s">
        <v>176</v>
      </c>
      <c r="C17" s="235">
        <f>+C16+C15</f>
        <v>0</v>
      </c>
      <c r="D17" s="239" t="e">
        <f>+C17/C5</f>
        <v>#DIV/0!</v>
      </c>
      <c r="E17" s="235">
        <f>+E16+E15</f>
        <v>2706938.9</v>
      </c>
      <c r="F17" s="239" t="e">
        <f>+E17/E5</f>
        <v>#DIV/0!</v>
      </c>
      <c r="G17" s="256">
        <f>+C17-E17</f>
        <v>-2706938.9</v>
      </c>
    </row>
    <row r="18" spans="1:7">
      <c r="A18" s="391" t="s">
        <v>177</v>
      </c>
      <c r="B18" s="392"/>
      <c r="C18" s="392"/>
      <c r="D18" s="392"/>
      <c r="E18" s="392"/>
      <c r="F18" s="393"/>
      <c r="G18" s="253"/>
    </row>
    <row r="19" spans="1:7">
      <c r="A19" s="394" t="s">
        <v>178</v>
      </c>
      <c r="B19" s="394"/>
      <c r="C19" s="236">
        <f>+C8+C12+ROUND(SUM(C8,C12)*0.18,2)</f>
        <v>0</v>
      </c>
      <c r="D19" s="237" t="e">
        <f>+C19/C5</f>
        <v>#DIV/0!</v>
      </c>
      <c r="E19" s="236">
        <f>+E8+E12+ROUND(SUM(E8,E12)*0.18,2)</f>
        <v>2685959.14</v>
      </c>
      <c r="F19" s="237" t="e">
        <f>+E19/E5</f>
        <v>#DIV/0!</v>
      </c>
      <c r="G19" s="255">
        <f>+C19-E19</f>
        <v>-2685959.14</v>
      </c>
    </row>
    <row r="20" spans="1:7">
      <c r="A20" s="394" t="s">
        <v>179</v>
      </c>
      <c r="B20" s="394"/>
      <c r="C20" s="236">
        <f>+C9+C13+ROUND(SUM(C9,C13)*0.18,2)</f>
        <v>0</v>
      </c>
      <c r="D20" s="237" t="e">
        <f>+C20/C5</f>
        <v>#DIV/0!</v>
      </c>
      <c r="E20" s="236">
        <f>+E9+E13+ROUND(SUM(E9,E13)*0.18,2)</f>
        <v>20979.759999999998</v>
      </c>
      <c r="F20" s="237" t="e">
        <f>+E20/E5</f>
        <v>#DIV/0!</v>
      </c>
      <c r="G20" s="253">
        <f>+C20-E20</f>
        <v>-20979.759999999998</v>
      </c>
    </row>
    <row r="21" spans="1:7">
      <c r="A21" s="384" t="s">
        <v>180</v>
      </c>
      <c r="B21" s="384"/>
      <c r="C21" s="238">
        <f>+C20+C19</f>
        <v>0</v>
      </c>
      <c r="D21" s="240" t="e">
        <f>+C21/C5</f>
        <v>#DIV/0!</v>
      </c>
      <c r="E21" s="238">
        <f>+E20+E19</f>
        <v>2706938.9</v>
      </c>
      <c r="F21" s="240" t="e">
        <f>+E21/E5</f>
        <v>#DIV/0!</v>
      </c>
      <c r="G21" s="257">
        <f>+C21-E21</f>
        <v>-2706938.9</v>
      </c>
    </row>
  </sheetData>
  <mergeCells count="11">
    <mergeCell ref="G3:G4"/>
    <mergeCell ref="A1:G1"/>
    <mergeCell ref="A21:B21"/>
    <mergeCell ref="A2:B4"/>
    <mergeCell ref="C2:D2"/>
    <mergeCell ref="E2:F2"/>
    <mergeCell ref="E3:F3"/>
    <mergeCell ref="A18:F18"/>
    <mergeCell ref="C3:D3"/>
    <mergeCell ref="A19:B19"/>
    <mergeCell ref="A20:B20"/>
  </mergeCells>
  <printOptions horizontalCentered="1" verticalCentered="1"/>
  <pageMargins left="0.47244094488188981" right="0.43307086614173229" top="0.74803149606299213" bottom="0.74803149606299213" header="0.31496062992125984" footer="0.31496062992125984"/>
  <pageSetup scale="1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77"/>
  <sheetViews>
    <sheetView view="pageBreakPreview" zoomScale="70" zoomScaleSheetLayoutView="70" workbookViewId="0">
      <pane ySplit="14" topLeftCell="A45" activePane="bottomLeft" state="frozen"/>
      <selection pane="bottomLeft" activeCell="C8" sqref="C8"/>
    </sheetView>
  </sheetViews>
  <sheetFormatPr baseColWidth="10" defaultColWidth="9.140625" defaultRowHeight="12.75"/>
  <cols>
    <col min="1" max="1" width="29.140625" customWidth="1"/>
    <col min="2" max="2" width="2.42578125" customWidth="1"/>
    <col min="3" max="3" width="55.28515625" customWidth="1"/>
    <col min="4" max="4" width="14.140625" customWidth="1"/>
    <col min="5" max="5" width="12.140625" customWidth="1"/>
    <col min="6" max="6" width="12.28515625" customWidth="1"/>
    <col min="7" max="7" width="9.7109375" customWidth="1"/>
    <col min="8" max="8" width="19.5703125" customWidth="1"/>
    <col min="9" max="9" width="11.42578125" customWidth="1"/>
    <col min="10" max="10" width="18" customWidth="1"/>
    <col min="11" max="11" width="16.140625" customWidth="1"/>
    <col min="12" max="13" width="11.42578125" customWidth="1"/>
    <col min="14" max="14" width="14.28515625" customWidth="1"/>
    <col min="15" max="16" width="11.42578125" customWidth="1"/>
    <col min="17" max="17" width="18.28515625" customWidth="1"/>
  </cols>
  <sheetData>
    <row r="2" spans="1:12" ht="20.25">
      <c r="A2" s="395" t="s">
        <v>0</v>
      </c>
      <c r="B2" s="395"/>
      <c r="C2" s="395"/>
      <c r="D2" s="395"/>
      <c r="E2" s="395"/>
      <c r="F2" s="395"/>
      <c r="G2" s="395"/>
      <c r="H2" s="395"/>
      <c r="I2" s="395"/>
      <c r="J2" s="395"/>
    </row>
    <row r="4" spans="1:12" ht="18">
      <c r="A4" s="396" t="s">
        <v>1</v>
      </c>
      <c r="B4" s="396"/>
      <c r="C4" s="396"/>
      <c r="D4" s="396"/>
      <c r="E4" s="396"/>
      <c r="F4" s="396"/>
      <c r="G4" s="396"/>
      <c r="H4" s="396"/>
      <c r="I4" s="396"/>
      <c r="J4" s="396"/>
    </row>
    <row r="5" spans="1:12" ht="15.75">
      <c r="A5" s="397" t="s">
        <v>81</v>
      </c>
      <c r="B5" s="397"/>
      <c r="C5" s="397"/>
      <c r="D5" s="397"/>
      <c r="E5" s="397"/>
      <c r="F5" s="397"/>
      <c r="G5" s="397"/>
      <c r="H5" s="397"/>
      <c r="I5" s="397"/>
      <c r="J5" s="397"/>
    </row>
    <row r="6" spans="1:12" ht="15.75">
      <c r="A6" s="398" t="s">
        <v>82</v>
      </c>
      <c r="B6" s="398"/>
      <c r="C6" s="398"/>
      <c r="D6" s="398"/>
      <c r="E6" s="398"/>
      <c r="F6" s="398"/>
      <c r="G6" s="398"/>
      <c r="H6" s="398"/>
      <c r="I6" s="398"/>
      <c r="J6" s="398"/>
    </row>
    <row r="7" spans="1:12">
      <c r="A7" s="1"/>
      <c r="B7" s="2"/>
      <c r="C7" s="2"/>
      <c r="D7" s="2"/>
      <c r="E7" s="2"/>
      <c r="F7" s="2"/>
      <c r="G7" s="2"/>
      <c r="H7" s="2"/>
      <c r="I7" s="2"/>
      <c r="J7" s="2"/>
    </row>
    <row r="8" spans="1:12" ht="15.75">
      <c r="A8" s="3" t="s">
        <v>76</v>
      </c>
      <c r="B8" s="3" t="s">
        <v>77</v>
      </c>
      <c r="C8" s="102">
        <v>6</v>
      </c>
      <c r="D8" s="3"/>
      <c r="E8" s="2"/>
      <c r="F8" s="2"/>
      <c r="G8" s="2"/>
      <c r="H8" s="2"/>
      <c r="I8" s="2"/>
      <c r="J8" s="2"/>
    </row>
    <row r="9" spans="1:12" ht="15.75">
      <c r="A9" s="3" t="s">
        <v>74</v>
      </c>
      <c r="B9" s="3" t="s">
        <v>73</v>
      </c>
      <c r="C9" s="103" t="s">
        <v>75</v>
      </c>
      <c r="D9" s="3"/>
      <c r="E9" s="4"/>
      <c r="F9" s="4"/>
      <c r="G9" s="4"/>
      <c r="H9" s="4"/>
      <c r="I9" s="4"/>
      <c r="J9" s="4"/>
    </row>
    <row r="10" spans="1:12" ht="15.75">
      <c r="A10" s="3" t="s">
        <v>79</v>
      </c>
      <c r="B10" s="3" t="s">
        <v>78</v>
      </c>
      <c r="C10" s="104" t="s">
        <v>80</v>
      </c>
      <c r="D10" s="3"/>
      <c r="E10" s="4"/>
      <c r="F10" s="4"/>
      <c r="G10" s="4"/>
      <c r="H10" s="4"/>
      <c r="I10" s="4"/>
      <c r="J10" s="4"/>
    </row>
    <row r="11" spans="1:12" ht="15.75">
      <c r="A11" s="98" t="s">
        <v>71</v>
      </c>
      <c r="B11" s="98"/>
      <c r="C11" s="106">
        <v>11500000</v>
      </c>
      <c r="D11" s="399"/>
      <c r="E11" s="399"/>
      <c r="F11" s="4"/>
      <c r="G11" s="4"/>
      <c r="H11" s="4"/>
      <c r="I11" s="72"/>
      <c r="J11" s="72"/>
    </row>
    <row r="12" spans="1:12" ht="15.75" thickBot="1">
      <c r="C12" s="105"/>
    </row>
    <row r="13" spans="1:12" ht="25.5" customHeight="1" thickTop="1" thickBot="1">
      <c r="A13" s="403" t="s">
        <v>2</v>
      </c>
      <c r="B13" s="403"/>
      <c r="C13" s="403"/>
      <c r="D13" s="402" t="s">
        <v>3</v>
      </c>
      <c r="E13" s="402" t="s">
        <v>4</v>
      </c>
      <c r="F13" s="402" t="s">
        <v>5</v>
      </c>
      <c r="G13" s="402" t="s">
        <v>6</v>
      </c>
      <c r="H13" s="402" t="s">
        <v>7</v>
      </c>
      <c r="I13" s="402" t="s">
        <v>8</v>
      </c>
      <c r="J13" s="404" t="s">
        <v>9</v>
      </c>
    </row>
    <row r="14" spans="1:12" ht="25.5" customHeight="1" thickTop="1" thickBot="1">
      <c r="A14" s="403"/>
      <c r="B14" s="403"/>
      <c r="C14" s="403"/>
      <c r="D14" s="402"/>
      <c r="E14" s="402"/>
      <c r="F14" s="402" t="s">
        <v>10</v>
      </c>
      <c r="G14" s="402"/>
      <c r="H14" s="402"/>
      <c r="I14" s="402"/>
      <c r="J14" s="404"/>
    </row>
    <row r="15" spans="1:12" ht="13.5" thickTop="1">
      <c r="A15" s="5"/>
      <c r="B15" s="6"/>
      <c r="C15" s="7"/>
      <c r="D15" s="7"/>
      <c r="E15" s="8"/>
      <c r="F15" s="8"/>
      <c r="G15" s="8"/>
      <c r="H15" s="8"/>
      <c r="I15" s="8"/>
      <c r="J15" s="9"/>
    </row>
    <row r="16" spans="1:12" ht="15">
      <c r="A16" s="10" t="s">
        <v>11</v>
      </c>
      <c r="B16" s="11"/>
      <c r="C16" s="12"/>
      <c r="D16" s="12"/>
      <c r="E16" s="13"/>
      <c r="F16" s="13"/>
      <c r="G16" s="13"/>
      <c r="H16" s="13"/>
      <c r="I16" s="13"/>
      <c r="J16" s="14">
        <f>SUM(I17:I23)</f>
        <v>162000</v>
      </c>
      <c r="K16" s="15">
        <v>372438.89</v>
      </c>
      <c r="L16" s="16">
        <f>K16-J16</f>
        <v>210438.89</v>
      </c>
    </row>
    <row r="17" spans="1:20" ht="15.95" customHeight="1">
      <c r="A17" s="17" t="s">
        <v>12</v>
      </c>
      <c r="B17" s="11"/>
      <c r="C17" s="12"/>
      <c r="D17" s="18" t="s">
        <v>13</v>
      </c>
      <c r="E17" s="19">
        <v>1</v>
      </c>
      <c r="F17" s="20">
        <v>8000</v>
      </c>
      <c r="G17" s="21">
        <v>6</v>
      </c>
      <c r="H17" s="22">
        <v>1</v>
      </c>
      <c r="I17" s="23">
        <f>H17*G17*F17</f>
        <v>48000</v>
      </c>
      <c r="J17" s="23"/>
      <c r="L17" s="24"/>
    </row>
    <row r="18" spans="1:20" ht="15.95" customHeight="1">
      <c r="A18" s="17" t="s">
        <v>14</v>
      </c>
      <c r="B18" s="11"/>
      <c r="C18" s="12"/>
      <c r="D18" s="18" t="s">
        <v>13</v>
      </c>
      <c r="E18" s="19">
        <v>1</v>
      </c>
      <c r="F18" s="20">
        <v>6000</v>
      </c>
      <c r="G18" s="21">
        <v>6</v>
      </c>
      <c r="H18" s="22">
        <v>1</v>
      </c>
      <c r="I18" s="23">
        <f>H18*G18*F18*E18</f>
        <v>36000</v>
      </c>
      <c r="J18" s="23"/>
      <c r="L18" s="25"/>
    </row>
    <row r="19" spans="1:20" ht="15.95" customHeight="1">
      <c r="A19" s="17" t="s">
        <v>15</v>
      </c>
      <c r="B19" s="11"/>
      <c r="C19" s="12"/>
      <c r="D19" s="18" t="s">
        <v>13</v>
      </c>
      <c r="E19" s="19">
        <v>1</v>
      </c>
      <c r="F19" s="20">
        <v>5000</v>
      </c>
      <c r="G19" s="21">
        <v>6</v>
      </c>
      <c r="H19" s="22">
        <v>1</v>
      </c>
      <c r="I19" s="23">
        <f>H19*G19*F19*E19</f>
        <v>30000</v>
      </c>
      <c r="J19" s="23"/>
      <c r="L19" s="25"/>
    </row>
    <row r="20" spans="1:20" ht="15.95" customHeight="1">
      <c r="A20" s="17" t="s">
        <v>16</v>
      </c>
      <c r="B20" s="11"/>
      <c r="C20" s="12"/>
      <c r="D20" s="18" t="s">
        <v>13</v>
      </c>
      <c r="E20" s="19">
        <v>1</v>
      </c>
      <c r="F20" s="20">
        <v>4000</v>
      </c>
      <c r="G20" s="21">
        <v>6</v>
      </c>
      <c r="H20" s="22">
        <v>0.8</v>
      </c>
      <c r="I20" s="23">
        <f>H20*G20*F20</f>
        <v>19200.000000000004</v>
      </c>
      <c r="J20" s="23"/>
      <c r="L20" s="25"/>
    </row>
    <row r="21" spans="1:20" ht="15.95" customHeight="1">
      <c r="A21" s="17" t="s">
        <v>17</v>
      </c>
      <c r="B21" s="11"/>
      <c r="C21" s="12"/>
      <c r="D21" s="18" t="s">
        <v>13</v>
      </c>
      <c r="E21" s="19">
        <v>1</v>
      </c>
      <c r="F21" s="20">
        <v>4000</v>
      </c>
      <c r="G21" s="21">
        <v>6</v>
      </c>
      <c r="H21" s="22">
        <v>0.8</v>
      </c>
      <c r="I21" s="23">
        <f>H21*G21*F21</f>
        <v>19200.000000000004</v>
      </c>
      <c r="J21" s="23"/>
      <c r="L21" s="25"/>
      <c r="N21" s="26" t="s">
        <v>18</v>
      </c>
      <c r="O21" s="26" t="s">
        <v>19</v>
      </c>
      <c r="P21" s="27" t="s">
        <v>20</v>
      </c>
      <c r="Q21" s="28" t="s">
        <v>21</v>
      </c>
      <c r="R21" s="28" t="s">
        <v>22</v>
      </c>
      <c r="S21" s="29" t="s">
        <v>6</v>
      </c>
      <c r="T21" s="30" t="s">
        <v>23</v>
      </c>
    </row>
    <row r="22" spans="1:20" ht="15.95" customHeight="1">
      <c r="A22" s="17" t="s">
        <v>24</v>
      </c>
      <c r="B22" s="11"/>
      <c r="C22" s="12"/>
      <c r="D22" s="18" t="s">
        <v>13</v>
      </c>
      <c r="E22" s="19">
        <v>1</v>
      </c>
      <c r="F22" s="20">
        <v>4000</v>
      </c>
      <c r="G22" s="21">
        <v>6</v>
      </c>
      <c r="H22" s="22">
        <v>0.2</v>
      </c>
      <c r="I22" s="23">
        <f>H22*G22*F22</f>
        <v>4800.0000000000009</v>
      </c>
      <c r="J22" s="13"/>
      <c r="M22" s="31" t="s">
        <v>25</v>
      </c>
      <c r="N22" s="32">
        <f>SUM(J16+J25)</f>
        <v>195000</v>
      </c>
      <c r="O22" s="33">
        <v>1.4</v>
      </c>
      <c r="P22" s="32">
        <f>N22*O22/100</f>
        <v>2730</v>
      </c>
      <c r="Q22" s="33">
        <v>1.2154</v>
      </c>
      <c r="R22" s="32">
        <f>P22*Q22</f>
        <v>3318.0419999999999</v>
      </c>
      <c r="S22" s="34">
        <v>5</v>
      </c>
      <c r="T22" s="32">
        <f>R22*S22</f>
        <v>16590.21</v>
      </c>
    </row>
    <row r="23" spans="1:20" ht="15.95" customHeight="1">
      <c r="A23" s="17" t="s">
        <v>26</v>
      </c>
      <c r="B23" s="11"/>
      <c r="C23" s="12"/>
      <c r="D23" s="18" t="s">
        <v>13</v>
      </c>
      <c r="E23" s="19">
        <v>1</v>
      </c>
      <c r="F23" s="20">
        <v>4000</v>
      </c>
      <c r="G23" s="21">
        <v>6</v>
      </c>
      <c r="H23" s="22">
        <v>0.2</v>
      </c>
      <c r="I23" s="23">
        <f>H23*G23*F23</f>
        <v>4800.0000000000009</v>
      </c>
      <c r="J23" s="13"/>
      <c r="M23" s="31" t="s">
        <v>27</v>
      </c>
      <c r="N23" s="32"/>
      <c r="P23" s="35"/>
      <c r="T23" s="32">
        <f>T22*0.18</f>
        <v>2986.2377999999999</v>
      </c>
    </row>
    <row r="24" spans="1:20" ht="15.95" customHeight="1">
      <c r="A24" s="17"/>
      <c r="B24" s="11"/>
      <c r="C24" s="12"/>
      <c r="D24" s="12"/>
      <c r="E24" s="19"/>
      <c r="F24" s="23"/>
      <c r="G24" s="21"/>
      <c r="H24" s="22"/>
      <c r="I24" s="23"/>
      <c r="J24" s="13"/>
      <c r="T24" s="36">
        <f>SUM(T22:T23)</f>
        <v>19576.447799999998</v>
      </c>
    </row>
    <row r="25" spans="1:20" ht="15.95" customHeight="1">
      <c r="A25" s="10" t="s">
        <v>28</v>
      </c>
      <c r="B25" s="11"/>
      <c r="C25" s="12"/>
      <c r="D25" s="12"/>
      <c r="E25" s="19"/>
      <c r="F25" s="23"/>
      <c r="G25" s="21"/>
      <c r="H25" s="22"/>
      <c r="I25" s="23"/>
      <c r="J25" s="14">
        <f>SUM(I26:I28)</f>
        <v>33000</v>
      </c>
    </row>
    <row r="26" spans="1:20" ht="15.95" customHeight="1">
      <c r="A26" s="17" t="s">
        <v>29</v>
      </c>
      <c r="B26" s="11"/>
      <c r="C26" s="12"/>
      <c r="D26" s="18" t="s">
        <v>13</v>
      </c>
      <c r="E26" s="19">
        <v>1</v>
      </c>
      <c r="F26" s="20">
        <v>2500</v>
      </c>
      <c r="G26" s="21">
        <v>6</v>
      </c>
      <c r="H26" s="22">
        <v>1</v>
      </c>
      <c r="I26" s="23">
        <f>H26*G26*F26</f>
        <v>15000</v>
      </c>
      <c r="J26" s="13"/>
    </row>
    <row r="27" spans="1:20" ht="15.95" customHeight="1">
      <c r="A27" s="17" t="s">
        <v>30</v>
      </c>
      <c r="B27" s="11"/>
      <c r="C27" s="12"/>
      <c r="D27" s="18" t="s">
        <v>13</v>
      </c>
      <c r="E27" s="19">
        <v>1</v>
      </c>
      <c r="F27" s="20">
        <v>2500</v>
      </c>
      <c r="G27" s="21">
        <v>6</v>
      </c>
      <c r="H27" s="22">
        <v>0.4</v>
      </c>
      <c r="I27" s="23">
        <f>H27*G27*F27</f>
        <v>6000.0000000000009</v>
      </c>
      <c r="J27" s="13"/>
    </row>
    <row r="28" spans="1:20" ht="15.95" customHeight="1">
      <c r="A28" s="17" t="s">
        <v>31</v>
      </c>
      <c r="B28" s="11"/>
      <c r="C28" s="12"/>
      <c r="D28" s="18" t="s">
        <v>13</v>
      </c>
      <c r="E28" s="19">
        <v>1</v>
      </c>
      <c r="F28" s="20">
        <v>2000</v>
      </c>
      <c r="G28" s="21">
        <v>6</v>
      </c>
      <c r="H28" s="22">
        <v>1</v>
      </c>
      <c r="I28" s="23">
        <f>H28*G28*F28</f>
        <v>12000</v>
      </c>
      <c r="J28" s="13"/>
    </row>
    <row r="29" spans="1:20" ht="15.95" customHeight="1">
      <c r="A29" s="17"/>
      <c r="B29" s="11"/>
      <c r="C29" s="12"/>
      <c r="D29" s="12"/>
      <c r="E29" s="19"/>
      <c r="F29" s="23"/>
      <c r="G29" s="21"/>
      <c r="H29" s="19"/>
      <c r="I29" s="23"/>
      <c r="J29" s="13"/>
    </row>
    <row r="30" spans="1:20" ht="15.95" customHeight="1">
      <c r="A30" s="10" t="s">
        <v>32</v>
      </c>
      <c r="B30" s="11"/>
      <c r="C30" s="12"/>
      <c r="D30" s="12"/>
      <c r="E30" s="19"/>
      <c r="F30" s="23"/>
      <c r="G30" s="21"/>
      <c r="H30" s="19"/>
      <c r="I30" s="23"/>
      <c r="J30" s="14">
        <f>SUM(I31:I32)</f>
        <v>16200</v>
      </c>
    </row>
    <row r="31" spans="1:20" ht="15.95" customHeight="1">
      <c r="A31" s="17" t="s">
        <v>33</v>
      </c>
      <c r="B31" s="11"/>
      <c r="C31" s="12"/>
      <c r="D31" s="18" t="s">
        <v>13</v>
      </c>
      <c r="E31" s="19">
        <v>1</v>
      </c>
      <c r="F31" s="20">
        <v>1200</v>
      </c>
      <c r="G31" s="21">
        <v>6</v>
      </c>
      <c r="H31" s="22">
        <v>1</v>
      </c>
      <c r="I31" s="23">
        <f>H31*G31*F31</f>
        <v>7200</v>
      </c>
      <c r="J31" s="13"/>
    </row>
    <row r="32" spans="1:20" ht="15.95" customHeight="1">
      <c r="A32" s="17" t="s">
        <v>34</v>
      </c>
      <c r="B32" s="11"/>
      <c r="C32" s="12"/>
      <c r="D32" s="18" t="s">
        <v>13</v>
      </c>
      <c r="E32" s="19">
        <v>1</v>
      </c>
      <c r="F32" s="20">
        <v>1500</v>
      </c>
      <c r="G32" s="21">
        <v>6</v>
      </c>
      <c r="H32" s="22">
        <v>1</v>
      </c>
      <c r="I32" s="23">
        <f>H32*G32*F32</f>
        <v>9000</v>
      </c>
      <c r="J32" s="13"/>
    </row>
    <row r="33" spans="1:10" ht="15.95" customHeight="1">
      <c r="A33" s="17"/>
      <c r="B33" s="11"/>
      <c r="C33" s="12"/>
      <c r="D33" s="12"/>
      <c r="E33" s="19"/>
      <c r="F33" s="23"/>
      <c r="G33" s="21"/>
      <c r="H33" s="19"/>
      <c r="I33" s="23"/>
      <c r="J33" s="13"/>
    </row>
    <row r="34" spans="1:10" ht="15.95" customHeight="1">
      <c r="A34" s="10" t="s">
        <v>35</v>
      </c>
      <c r="B34" s="11"/>
      <c r="C34" s="12"/>
      <c r="D34" s="12"/>
      <c r="E34" s="19"/>
      <c r="F34" s="23"/>
      <c r="G34" s="21"/>
      <c r="H34" s="19"/>
      <c r="I34" s="23"/>
      <c r="J34" s="14">
        <f>SUM(I35:I41)</f>
        <v>55620</v>
      </c>
    </row>
    <row r="35" spans="1:10" ht="15.95" customHeight="1">
      <c r="A35" s="17" t="s">
        <v>65</v>
      </c>
      <c r="B35" s="11"/>
      <c r="C35" s="12"/>
      <c r="D35" s="18" t="s">
        <v>66</v>
      </c>
      <c r="E35" s="19">
        <v>1</v>
      </c>
      <c r="F35" s="20">
        <v>5400</v>
      </c>
      <c r="G35" s="21">
        <v>6</v>
      </c>
      <c r="H35" s="22">
        <v>1</v>
      </c>
      <c r="I35" s="23">
        <f>H35*G35*F35</f>
        <v>32400</v>
      </c>
      <c r="J35" s="13"/>
    </row>
    <row r="36" spans="1:10" ht="15.95" customHeight="1">
      <c r="A36" s="17" t="s">
        <v>36</v>
      </c>
      <c r="B36" s="11"/>
      <c r="C36" s="12"/>
      <c r="D36" s="18" t="s">
        <v>13</v>
      </c>
      <c r="E36" s="19">
        <v>5</v>
      </c>
      <c r="F36" s="20">
        <v>50</v>
      </c>
      <c r="G36" s="21">
        <v>6</v>
      </c>
      <c r="H36" s="22">
        <v>1</v>
      </c>
      <c r="I36" s="23">
        <f>H36*G36*F36*E36</f>
        <v>1500</v>
      </c>
      <c r="J36" s="13"/>
    </row>
    <row r="37" spans="1:10" ht="15.95" customHeight="1">
      <c r="A37" s="17" t="s">
        <v>67</v>
      </c>
      <c r="B37" s="11"/>
      <c r="C37" s="12"/>
      <c r="D37" s="18" t="s">
        <v>66</v>
      </c>
      <c r="E37" s="19">
        <v>1</v>
      </c>
      <c r="F37" s="20">
        <v>120</v>
      </c>
      <c r="G37" s="21">
        <v>6</v>
      </c>
      <c r="H37" s="22">
        <v>1</v>
      </c>
      <c r="I37" s="23">
        <f>H37*G37*F37*E37</f>
        <v>720</v>
      </c>
      <c r="J37" s="13"/>
    </row>
    <row r="38" spans="1:10" ht="15.95" customHeight="1">
      <c r="A38" s="17" t="s">
        <v>69</v>
      </c>
      <c r="B38" s="11"/>
      <c r="C38" s="12"/>
      <c r="D38" s="18" t="s">
        <v>13</v>
      </c>
      <c r="E38" s="19">
        <v>2</v>
      </c>
      <c r="F38" s="20">
        <v>2500</v>
      </c>
      <c r="G38" s="21">
        <v>1</v>
      </c>
      <c r="H38" s="22">
        <v>1</v>
      </c>
      <c r="I38" s="23">
        <f>H38*G38*F38*E38</f>
        <v>5000</v>
      </c>
      <c r="J38" s="13"/>
    </row>
    <row r="39" spans="1:10" ht="15.95" customHeight="1">
      <c r="A39" s="17" t="s">
        <v>37</v>
      </c>
      <c r="B39" s="11"/>
      <c r="C39" s="12"/>
      <c r="D39" s="18" t="s">
        <v>13</v>
      </c>
      <c r="E39" s="19">
        <v>2</v>
      </c>
      <c r="F39" s="20">
        <v>2000</v>
      </c>
      <c r="G39" s="21">
        <v>1</v>
      </c>
      <c r="H39" s="22">
        <v>1</v>
      </c>
      <c r="I39" s="23">
        <f>H39*G39*F39*E39</f>
        <v>4000</v>
      </c>
      <c r="J39" s="13"/>
    </row>
    <row r="40" spans="1:10" ht="15.95" customHeight="1">
      <c r="A40" s="17" t="s">
        <v>38</v>
      </c>
      <c r="B40" s="11"/>
      <c r="C40" s="12"/>
      <c r="D40" s="18" t="s">
        <v>13</v>
      </c>
      <c r="E40" s="19">
        <v>12</v>
      </c>
      <c r="F40" s="20">
        <v>250</v>
      </c>
      <c r="G40" s="21">
        <v>1</v>
      </c>
      <c r="H40" s="22">
        <v>1</v>
      </c>
      <c r="I40" s="23">
        <f>H40*G40*F40*E40</f>
        <v>3000</v>
      </c>
      <c r="J40" s="13"/>
    </row>
    <row r="41" spans="1:10" ht="15.95" customHeight="1">
      <c r="A41" s="17" t="s">
        <v>68</v>
      </c>
      <c r="B41" s="11"/>
      <c r="C41" s="12"/>
      <c r="D41" s="18" t="s">
        <v>66</v>
      </c>
      <c r="E41" s="19">
        <v>1</v>
      </c>
      <c r="F41" s="20">
        <f>50*30</f>
        <v>1500</v>
      </c>
      <c r="G41" s="21">
        <v>6</v>
      </c>
      <c r="H41" s="22">
        <v>1</v>
      </c>
      <c r="I41" s="37">
        <f>E41*F41*G41</f>
        <v>9000</v>
      </c>
      <c r="J41" s="13"/>
    </row>
    <row r="42" spans="1:10" ht="15.95" customHeight="1">
      <c r="A42" s="17"/>
      <c r="B42" s="11"/>
      <c r="C42" s="12"/>
      <c r="D42" s="12"/>
      <c r="E42" s="19"/>
      <c r="F42" s="23"/>
      <c r="G42" s="21"/>
      <c r="H42" s="19"/>
      <c r="I42" s="23"/>
      <c r="J42" s="13"/>
    </row>
    <row r="43" spans="1:10" ht="15.95" customHeight="1">
      <c r="A43" s="10" t="s">
        <v>39</v>
      </c>
      <c r="B43" s="11"/>
      <c r="C43" s="12"/>
      <c r="D43" s="12"/>
      <c r="E43" s="19"/>
      <c r="F43" s="23"/>
      <c r="G43" s="21"/>
      <c r="H43" s="19"/>
      <c r="I43" s="23"/>
      <c r="J43" s="14">
        <f>SUM(I44:I44)</f>
        <v>1800</v>
      </c>
    </row>
    <row r="44" spans="1:10" ht="15.95" customHeight="1">
      <c r="A44" s="17" t="s">
        <v>40</v>
      </c>
      <c r="B44" s="11"/>
      <c r="C44" s="12"/>
      <c r="D44" s="18" t="s">
        <v>66</v>
      </c>
      <c r="E44" s="19">
        <v>1</v>
      </c>
      <c r="F44" s="20">
        <v>300</v>
      </c>
      <c r="G44" s="21">
        <v>6</v>
      </c>
      <c r="H44" s="22">
        <v>1</v>
      </c>
      <c r="I44" s="23">
        <f>H44*G44*F44</f>
        <v>1800</v>
      </c>
      <c r="J44" s="13"/>
    </row>
    <row r="45" spans="1:10" ht="15.95" customHeight="1">
      <c r="A45" s="17"/>
      <c r="B45" s="11"/>
      <c r="C45" s="12"/>
      <c r="D45" s="12"/>
      <c r="E45" s="19"/>
      <c r="F45" s="23"/>
      <c r="G45" s="21"/>
      <c r="H45" s="19"/>
      <c r="I45" s="23"/>
      <c r="J45" s="13"/>
    </row>
    <row r="46" spans="1:10" ht="15.95" customHeight="1">
      <c r="A46" s="10" t="s">
        <v>41</v>
      </c>
      <c r="B46" s="11"/>
      <c r="C46" s="12"/>
      <c r="D46" s="12"/>
      <c r="E46" s="38"/>
      <c r="F46" s="23"/>
      <c r="G46" s="39"/>
      <c r="H46" s="40"/>
      <c r="I46" s="23"/>
      <c r="J46" s="41">
        <f>SUM(I48)</f>
        <v>2100</v>
      </c>
    </row>
    <row r="47" spans="1:10" ht="15.95" customHeight="1">
      <c r="A47" s="17" t="s">
        <v>70</v>
      </c>
      <c r="B47" s="11"/>
      <c r="C47" s="12"/>
      <c r="D47" s="12"/>
      <c r="E47" s="22"/>
      <c r="F47" s="42"/>
      <c r="G47" s="21"/>
      <c r="H47" s="19"/>
      <c r="I47" s="23"/>
      <c r="J47" s="23"/>
    </row>
    <row r="48" spans="1:10" ht="15.95" customHeight="1">
      <c r="A48" s="17" t="s">
        <v>42</v>
      </c>
      <c r="B48" s="11"/>
      <c r="C48" s="12"/>
      <c r="D48" s="18" t="s">
        <v>66</v>
      </c>
      <c r="E48" s="22">
        <v>1</v>
      </c>
      <c r="F48" s="20">
        <v>350</v>
      </c>
      <c r="G48" s="43">
        <v>6</v>
      </c>
      <c r="H48" s="22">
        <v>1</v>
      </c>
      <c r="I48" s="20">
        <f>H48*F48*G48*E48</f>
        <v>2100</v>
      </c>
      <c r="J48" s="23"/>
    </row>
    <row r="49" spans="1:10" ht="15.95" customHeight="1">
      <c r="A49" s="17"/>
      <c r="B49" s="11"/>
      <c r="C49" s="12"/>
      <c r="D49" s="12"/>
      <c r="E49" s="22"/>
      <c r="F49" s="23"/>
      <c r="G49" s="44"/>
      <c r="H49" s="40"/>
      <c r="I49" s="23"/>
      <c r="J49" s="13"/>
    </row>
    <row r="50" spans="1:10" ht="15.95" customHeight="1">
      <c r="A50" s="10" t="s">
        <v>43</v>
      </c>
      <c r="B50" s="11"/>
      <c r="C50" s="12"/>
      <c r="D50" s="12"/>
      <c r="E50" s="22"/>
      <c r="F50" s="23"/>
      <c r="G50" s="44"/>
      <c r="H50" s="40"/>
      <c r="I50" s="23"/>
      <c r="J50" s="13"/>
    </row>
    <row r="51" spans="1:10" ht="15.95" customHeight="1">
      <c r="A51" s="17" t="s">
        <v>44</v>
      </c>
      <c r="B51" s="11"/>
      <c r="C51" s="12"/>
      <c r="D51" s="12"/>
      <c r="E51" s="22"/>
      <c r="F51" s="23"/>
      <c r="G51" s="44"/>
      <c r="H51" s="40"/>
      <c r="I51" s="23"/>
      <c r="J51" s="41">
        <f>I52</f>
        <v>2100</v>
      </c>
    </row>
    <row r="52" spans="1:10" ht="15.95" customHeight="1">
      <c r="A52" s="17" t="s">
        <v>45</v>
      </c>
      <c r="B52" s="11"/>
      <c r="C52" s="12"/>
      <c r="D52" s="22" t="s">
        <v>66</v>
      </c>
      <c r="E52" s="45">
        <v>1</v>
      </c>
      <c r="F52" s="101">
        <v>350</v>
      </c>
      <c r="G52" s="43">
        <v>6</v>
      </c>
      <c r="H52" s="22">
        <v>1</v>
      </c>
      <c r="I52" s="20">
        <f>H52*G52*F52</f>
        <v>2100</v>
      </c>
      <c r="J52" s="13"/>
    </row>
    <row r="53" spans="1:10" ht="12.75" customHeight="1">
      <c r="A53" s="17"/>
      <c r="B53" s="11"/>
      <c r="C53" s="12"/>
      <c r="D53" s="12"/>
      <c r="E53" s="22"/>
      <c r="F53" s="42"/>
      <c r="G53" s="43"/>
      <c r="H53" s="22"/>
      <c r="I53" s="20"/>
      <c r="J53" s="13"/>
    </row>
    <row r="54" spans="1:10" ht="15.95" customHeight="1">
      <c r="A54" s="10" t="s">
        <v>47</v>
      </c>
      <c r="B54" s="11"/>
      <c r="C54" s="12"/>
      <c r="D54" s="12"/>
      <c r="E54" s="22"/>
      <c r="F54" s="46"/>
      <c r="G54" s="43"/>
      <c r="H54" s="19"/>
      <c r="I54" s="20"/>
      <c r="J54" s="41">
        <f>I55</f>
        <v>1000</v>
      </c>
    </row>
    <row r="55" spans="1:10" ht="15.95" customHeight="1">
      <c r="A55" s="17" t="s">
        <v>48</v>
      </c>
      <c r="B55" s="11"/>
      <c r="C55" s="12"/>
      <c r="D55" s="22" t="s">
        <v>46</v>
      </c>
      <c r="E55" s="22">
        <v>1</v>
      </c>
      <c r="F55" s="101">
        <v>1000</v>
      </c>
      <c r="G55" s="43">
        <v>1</v>
      </c>
      <c r="H55" s="22">
        <v>1</v>
      </c>
      <c r="I55" s="20">
        <f>H55*G55*F55</f>
        <v>1000</v>
      </c>
      <c r="J55" s="13"/>
    </row>
    <row r="56" spans="1:10" ht="15.95" customHeight="1">
      <c r="A56" s="17" t="s">
        <v>49</v>
      </c>
      <c r="B56" s="11"/>
      <c r="C56" s="12"/>
      <c r="D56" s="12"/>
      <c r="E56" s="22"/>
      <c r="F56" s="42"/>
      <c r="G56" s="43"/>
      <c r="H56" s="22"/>
      <c r="I56" s="20"/>
      <c r="J56" s="13"/>
    </row>
    <row r="57" spans="1:10" ht="12" customHeight="1">
      <c r="A57" s="17"/>
      <c r="B57" s="11"/>
      <c r="C57" s="12"/>
      <c r="D57" s="12"/>
      <c r="E57" s="22"/>
      <c r="F57" s="42"/>
      <c r="G57" s="43"/>
      <c r="H57" s="22"/>
      <c r="I57" s="20"/>
      <c r="J57" s="13"/>
    </row>
    <row r="58" spans="1:10" ht="15.95" customHeight="1">
      <c r="A58" s="10" t="s">
        <v>50</v>
      </c>
      <c r="B58" s="11"/>
      <c r="C58" s="12"/>
      <c r="D58" s="12"/>
      <c r="E58" s="22"/>
      <c r="F58" s="46"/>
      <c r="G58" s="43"/>
      <c r="H58" s="19"/>
      <c r="I58" s="20"/>
      <c r="J58" s="41">
        <f>I59</f>
        <v>120</v>
      </c>
    </row>
    <row r="59" spans="1:10" ht="15.95" customHeight="1">
      <c r="A59" s="17" t="s">
        <v>51</v>
      </c>
      <c r="B59" s="11"/>
      <c r="C59" s="12"/>
      <c r="D59" s="22" t="s">
        <v>46</v>
      </c>
      <c r="E59" s="22">
        <v>1</v>
      </c>
      <c r="F59" s="20">
        <v>120</v>
      </c>
      <c r="G59" s="43">
        <v>1</v>
      </c>
      <c r="H59" s="22">
        <v>1</v>
      </c>
      <c r="I59" s="20">
        <f>H59*G59*F59</f>
        <v>120</v>
      </c>
      <c r="J59" s="13"/>
    </row>
    <row r="60" spans="1:10" ht="15.95" customHeight="1">
      <c r="A60" s="17"/>
      <c r="B60" s="11"/>
      <c r="C60" s="12"/>
      <c r="D60" s="12"/>
      <c r="E60" s="22"/>
      <c r="F60" s="42"/>
      <c r="G60" s="19"/>
      <c r="H60" s="19"/>
      <c r="I60" s="20"/>
      <c r="J60" s="47"/>
    </row>
    <row r="61" spans="1:10" ht="15.95" customHeight="1">
      <c r="A61" s="48"/>
      <c r="B61" s="49"/>
      <c r="C61" s="49"/>
      <c r="D61" s="49"/>
      <c r="E61" s="50"/>
      <c r="F61" s="51" t="s">
        <v>52</v>
      </c>
      <c r="G61" s="52"/>
      <c r="H61" s="53"/>
      <c r="I61" s="54" t="s">
        <v>53</v>
      </c>
      <c r="J61" s="55">
        <f>SUM(J16:J58)</f>
        <v>273940</v>
      </c>
    </row>
    <row r="62" spans="1:10" ht="15.95" customHeight="1">
      <c r="A62" s="17"/>
      <c r="B62" s="11"/>
      <c r="C62" s="11"/>
      <c r="D62" s="11"/>
      <c r="E62" s="56"/>
      <c r="F62" s="57" t="s">
        <v>54</v>
      </c>
      <c r="G62" s="58"/>
      <c r="H62" s="59"/>
      <c r="I62" s="60" t="s">
        <v>53</v>
      </c>
      <c r="J62" s="61">
        <f>J61*0.1</f>
        <v>27394</v>
      </c>
    </row>
    <row r="63" spans="1:10" ht="15.95" customHeight="1">
      <c r="A63" s="17"/>
      <c r="B63" s="11"/>
      <c r="C63" s="11"/>
      <c r="D63" s="11"/>
      <c r="E63" s="56"/>
      <c r="F63" s="57" t="s">
        <v>9</v>
      </c>
      <c r="G63" s="58"/>
      <c r="H63" s="59"/>
      <c r="I63" s="60" t="s">
        <v>53</v>
      </c>
      <c r="J63" s="62">
        <f>SUM(J61:J62)</f>
        <v>301334</v>
      </c>
    </row>
    <row r="64" spans="1:10" ht="15.95" customHeight="1">
      <c r="A64" s="17"/>
      <c r="B64" s="11"/>
      <c r="C64" s="11"/>
      <c r="D64" s="11"/>
      <c r="E64" s="56"/>
      <c r="F64" s="57" t="s">
        <v>55</v>
      </c>
      <c r="G64" s="58"/>
      <c r="H64" s="59"/>
      <c r="I64" s="60" t="s">
        <v>53</v>
      </c>
      <c r="J64" s="61">
        <f>J63*0.18</f>
        <v>54240.119999999995</v>
      </c>
    </row>
    <row r="65" spans="1:11" ht="15.95" customHeight="1">
      <c r="A65" s="63"/>
      <c r="B65" s="64"/>
      <c r="C65" s="64"/>
      <c r="D65" s="64"/>
      <c r="E65" s="65"/>
      <c r="F65" s="66" t="s">
        <v>56</v>
      </c>
      <c r="G65" s="67"/>
      <c r="H65" s="68"/>
      <c r="I65" s="69" t="s">
        <v>53</v>
      </c>
      <c r="J65" s="70">
        <f>SUM(J63:J64)</f>
        <v>355574.12</v>
      </c>
    </row>
    <row r="66" spans="1:11" ht="15.95" customHeight="1">
      <c r="A66" s="48"/>
      <c r="B66" s="11"/>
      <c r="C66" s="11"/>
      <c r="D66" s="11"/>
      <c r="E66" s="56"/>
      <c r="F66" s="57"/>
      <c r="G66" s="58"/>
      <c r="H66" s="59"/>
      <c r="I66" s="71"/>
      <c r="J66" s="72"/>
      <c r="K66" s="35"/>
    </row>
    <row r="67" spans="1:11" ht="15">
      <c r="A67" s="73" t="s">
        <v>57</v>
      </c>
      <c r="B67" s="74"/>
      <c r="C67" s="75"/>
      <c r="D67" s="11"/>
      <c r="E67" s="11"/>
      <c r="F67" s="11"/>
      <c r="G67" s="11"/>
      <c r="H67" s="11"/>
      <c r="I67" s="11"/>
      <c r="J67" s="11"/>
      <c r="K67" s="76"/>
    </row>
    <row r="68" spans="1:11" ht="15">
      <c r="A68" s="405" t="s">
        <v>58</v>
      </c>
      <c r="B68" s="405"/>
      <c r="C68" s="405"/>
      <c r="D68" s="77" t="s">
        <v>46</v>
      </c>
      <c r="E68" s="78">
        <v>1</v>
      </c>
      <c r="F68" s="79">
        <v>4000</v>
      </c>
      <c r="G68" s="78">
        <v>12</v>
      </c>
      <c r="H68" s="78">
        <v>1</v>
      </c>
      <c r="I68" s="80" t="s">
        <v>53</v>
      </c>
      <c r="J68" s="81">
        <f>G68*F68</f>
        <v>48000</v>
      </c>
      <c r="K68" s="82"/>
    </row>
    <row r="69" spans="1:11" ht="15">
      <c r="A69" s="405" t="s">
        <v>59</v>
      </c>
      <c r="B69" s="405"/>
      <c r="C69" s="405"/>
      <c r="D69" s="77" t="s">
        <v>13</v>
      </c>
      <c r="E69" s="78">
        <v>1</v>
      </c>
      <c r="F69" s="79">
        <v>95000</v>
      </c>
      <c r="G69" s="78">
        <v>1</v>
      </c>
      <c r="H69" s="78">
        <v>1</v>
      </c>
      <c r="I69" s="80" t="s">
        <v>53</v>
      </c>
      <c r="J69" s="81">
        <f>G69*F69</f>
        <v>95000</v>
      </c>
      <c r="K69" s="82"/>
    </row>
    <row r="70" spans="1:11" ht="15">
      <c r="A70" s="406" t="s">
        <v>60</v>
      </c>
      <c r="B70" s="406"/>
      <c r="C70" s="406"/>
      <c r="D70" s="77" t="s">
        <v>46</v>
      </c>
      <c r="E70" s="78">
        <v>1</v>
      </c>
      <c r="F70" s="79">
        <v>18500</v>
      </c>
      <c r="G70" s="78">
        <v>1</v>
      </c>
      <c r="H70" s="78">
        <v>1</v>
      </c>
      <c r="I70" s="80" t="s">
        <v>53</v>
      </c>
      <c r="J70" s="81">
        <f>G70*F70</f>
        <v>18500</v>
      </c>
      <c r="K70" s="82"/>
    </row>
    <row r="71" spans="1:11" ht="27.75" customHeight="1">
      <c r="A71" s="407" t="s">
        <v>61</v>
      </c>
      <c r="B71" s="407"/>
      <c r="C71" s="407"/>
      <c r="D71" s="83" t="s">
        <v>46</v>
      </c>
      <c r="E71" s="84">
        <v>1</v>
      </c>
      <c r="F71" s="85">
        <v>18000</v>
      </c>
      <c r="G71" s="86">
        <v>1</v>
      </c>
      <c r="H71" s="84">
        <v>1</v>
      </c>
      <c r="I71" s="87" t="s">
        <v>53</v>
      </c>
      <c r="J71" s="88">
        <f>G71*F71</f>
        <v>18000</v>
      </c>
    </row>
    <row r="72" spans="1:11" ht="15">
      <c r="A72" s="400" t="s">
        <v>62</v>
      </c>
      <c r="B72" s="400"/>
      <c r="C72" s="400"/>
      <c r="D72" s="77" t="s">
        <v>66</v>
      </c>
      <c r="E72" s="78">
        <v>3</v>
      </c>
      <c r="F72" s="79">
        <f>(3*(300+270+150))+(3*240)</f>
        <v>2880</v>
      </c>
      <c r="G72" s="78">
        <v>6</v>
      </c>
      <c r="H72" s="78">
        <v>1</v>
      </c>
      <c r="I72" s="80" t="s">
        <v>53</v>
      </c>
      <c r="J72" s="88">
        <f>G72*F72</f>
        <v>17280</v>
      </c>
      <c r="K72" s="82"/>
    </row>
    <row r="73" spans="1:11" ht="24.4" customHeight="1">
      <c r="A73" s="64"/>
      <c r="B73" s="64"/>
      <c r="C73" s="64"/>
      <c r="D73" s="89"/>
      <c r="E73" s="401" t="s">
        <v>63</v>
      </c>
      <c r="F73" s="401"/>
      <c r="G73" s="401"/>
      <c r="H73" s="401"/>
      <c r="I73" s="90" t="s">
        <v>53</v>
      </c>
      <c r="J73" s="91">
        <f>SUM(J68:J72)</f>
        <v>196780</v>
      </c>
    </row>
    <row r="74" spans="1:11" ht="14.25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1" ht="15">
      <c r="A75" s="11"/>
      <c r="B75" s="11"/>
      <c r="C75" s="11"/>
      <c r="D75" s="11"/>
      <c r="E75" s="11"/>
      <c r="F75" s="92" t="s">
        <v>64</v>
      </c>
      <c r="G75" s="93"/>
      <c r="H75" s="94"/>
      <c r="I75" s="95" t="s">
        <v>53</v>
      </c>
      <c r="J75" s="96">
        <f>SUM(J65+J73)</f>
        <v>552354.12</v>
      </c>
      <c r="K75" s="97"/>
    </row>
    <row r="76" spans="1:11" ht="15">
      <c r="A76" s="11"/>
      <c r="B76" s="11"/>
      <c r="C76" s="11"/>
      <c r="D76" s="11"/>
      <c r="E76" s="11"/>
      <c r="F76" s="57"/>
      <c r="G76" s="58"/>
      <c r="H76" s="59"/>
      <c r="I76" s="71"/>
      <c r="J76" s="99"/>
      <c r="K76" s="35"/>
    </row>
    <row r="77" spans="1:11" ht="15.75">
      <c r="A77" s="11"/>
      <c r="B77" s="11"/>
      <c r="C77" s="11"/>
      <c r="D77" s="11"/>
      <c r="E77" s="11"/>
      <c r="F77" s="92" t="s">
        <v>72</v>
      </c>
      <c r="G77" s="93"/>
      <c r="H77" s="94"/>
      <c r="I77" s="95"/>
      <c r="J77" s="100">
        <f>(J75/$C$11)</f>
        <v>4.8030793043478258E-2</v>
      </c>
      <c r="K77" s="35"/>
    </row>
  </sheetData>
  <sheetProtection selectLockedCells="1" selectUnlockedCells="1"/>
  <mergeCells count="19">
    <mergeCell ref="J13:J14"/>
    <mergeCell ref="A68:C68"/>
    <mergeCell ref="A69:C69"/>
    <mergeCell ref="A70:C70"/>
    <mergeCell ref="A71:C71"/>
    <mergeCell ref="A72:C72"/>
    <mergeCell ref="E73:H73"/>
    <mergeCell ref="H13:H14"/>
    <mergeCell ref="I13:I14"/>
    <mergeCell ref="A13:C14"/>
    <mergeCell ref="D13:D14"/>
    <mergeCell ref="E13:E14"/>
    <mergeCell ref="F13:F14"/>
    <mergeCell ref="G13:G14"/>
    <mergeCell ref="A2:J2"/>
    <mergeCell ref="A4:J4"/>
    <mergeCell ref="A5:J5"/>
    <mergeCell ref="A6:J6"/>
    <mergeCell ref="D11:E11"/>
  </mergeCells>
  <printOptions horizontalCentered="1"/>
  <pageMargins left="0.19652777777777777" right="0.19652777777777777" top="0.59027777777777779" bottom="0.19652777777777777" header="0.51180555555555551" footer="0.51180555555555551"/>
  <pageSetup paperSize="9" scale="54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Resumen</vt:lpstr>
      <vt:lpstr>GS PRINCIPAL </vt:lpstr>
      <vt:lpstr>Seguros </vt:lpstr>
      <vt:lpstr>Comparativo</vt:lpstr>
      <vt:lpstr>GS - BASE</vt:lpstr>
      <vt:lpstr>Comparativo!Área_de_impresión</vt:lpstr>
      <vt:lpstr>'GS - BASE'!Área_de_impresión</vt:lpstr>
      <vt:lpstr>'GS PRINCIPAL '!Área_de_impresión</vt:lpstr>
      <vt:lpstr>Resumen!Área_de_impresión</vt:lpstr>
      <vt:lpstr>'Seguros '!Área_de_impresión</vt:lpstr>
      <vt:lpstr>'GS - BASE'!Títulos_a_imprimir</vt:lpstr>
      <vt:lpstr>'GS PRINCIPAL '!Títulos_a_imprimir</vt:lpstr>
      <vt:lpstr>'Seguros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OFICINA DE LOGISTICA- CONTRATACIONES USUARIO 01</cp:lastModifiedBy>
  <cp:lastPrinted>2025-04-03T15:16:35Z</cp:lastPrinted>
  <dcterms:created xsi:type="dcterms:W3CDTF">2015-01-29T18:43:09Z</dcterms:created>
  <dcterms:modified xsi:type="dcterms:W3CDTF">2025-06-18T22:02:51Z</dcterms:modified>
</cp:coreProperties>
</file>